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chartsheets/sheet4.xml" ContentType="application/vnd.openxmlformats-officedocument.spreadsheetml.chartsheet+xml"/>
  <Override PartName="/xl/chartsheets/sheet5.xml" ContentType="application/vnd.openxmlformats-officedocument.spreadsheetml.chartsheet+xml"/>
  <Override PartName="/xl/chartsheets/sheet6.xml" ContentType="application/vnd.openxmlformats-officedocument.spreadsheetml.chartsheet+xml"/>
  <Override PartName="/xl/chartsheets/sheet7.xml" ContentType="application/vnd.openxmlformats-officedocument.spreadsheetml.chartsheet+xml"/>
  <Override PartName="/xl/chartsheets/sheet8.xml" ContentType="application/vnd.openxmlformats-officedocument.spreadsheetml.chartsheet+xml"/>
  <Override PartName="/xl/chartsheets/sheet9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chartsheets/sheet10.xml" ContentType="application/vnd.openxmlformats-officedocument.spreadsheetml.chartsheet+xml"/>
  <Override PartName="/xl/worksheets/sheet25.xml" ContentType="application/vnd.openxmlformats-officedocument.spreadsheetml.worksheet+xml"/>
  <Override PartName="/xl/chartsheets/sheet11.xml" ContentType="application/vnd.openxmlformats-officedocument.spreadsheetml.chartsheet+xml"/>
  <Override PartName="/xl/chartsheets/sheet12.xml" ContentType="application/vnd.openxmlformats-officedocument.spreadsheetml.chartsheet+xml"/>
  <Override PartName="/xl/chartsheets/sheet13.xml" ContentType="application/vnd.openxmlformats-officedocument.spreadsheetml.chartsheet+xml"/>
  <Override PartName="/xl/chartsheets/sheet14.xml" ContentType="application/vnd.openxmlformats-officedocument.spreadsheetml.chart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7.xml" ContentType="application/vnd.openxmlformats-officedocument.drawingml.chart+xml"/>
  <Override PartName="/xl/drawings/drawing14.xml" ContentType="application/vnd.openxmlformats-officedocument.drawingml.chartshapes+xml"/>
  <Override PartName="/xl/drawings/drawing15.xml" ContentType="application/vnd.openxmlformats-officedocument.drawing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drawings/drawing18.xml" ContentType="application/vnd.openxmlformats-officedocument.drawingml.chartshapes+xml"/>
  <Override PartName="/xl/comments1.xml" ContentType="application/vnd.openxmlformats-officedocument.spreadsheetml.comments+xml"/>
  <Override PartName="/xl/drawings/drawing19.xml" ContentType="application/vnd.openxmlformats-officedocument.drawing+xml"/>
  <Override PartName="/xl/charts/chart10.xml" ContentType="application/vnd.openxmlformats-officedocument.drawingml.chart+xml"/>
  <Override PartName="/xl/drawings/drawing20.xml" ContentType="application/vnd.openxmlformats-officedocument.drawing+xml"/>
  <Override PartName="/xl/charts/chart11.xml" ContentType="application/vnd.openxmlformats-officedocument.drawingml.chart+xml"/>
  <Override PartName="/xl/drawings/drawing21.xml" ContentType="application/vnd.openxmlformats-officedocument.drawing+xml"/>
  <Override PartName="/xl/charts/chart12.xml" ContentType="application/vnd.openxmlformats-officedocument.drawingml.chart+xml"/>
  <Override PartName="/xl/drawings/drawing22.xml" ContentType="application/vnd.openxmlformats-officedocument.drawing+xml"/>
  <Override PartName="/xl/charts/chart13.xml" ContentType="application/vnd.openxmlformats-officedocument.drawingml.chart+xml"/>
  <Override PartName="/xl/drawings/drawing23.xml" ContentType="application/vnd.openxmlformats-officedocument.drawingml.chartshapes+xml"/>
  <Override PartName="/xl/drawings/drawing24.xml" ContentType="application/vnd.openxmlformats-officedocument.drawing+xml"/>
  <Override PartName="/xl/charts/chart14.xml" ContentType="application/vnd.openxmlformats-officedocument.drawingml.chart+xml"/>
  <Override PartName="/xl/drawings/drawing2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Rhew_K\Documents\TMDL\Ocklawaha\Cycle 3\Lake Denham_2832A\Denham Modeling\Curve Number Approach\"/>
    </mc:Choice>
  </mc:AlternateContent>
  <xr:revisionPtr revIDLastSave="0" documentId="13_ncr:1_{B2826112-5EBE-4434-844F-A93E4A841D7D}" xr6:coauthVersionLast="45" xr6:coauthVersionMax="45" xr10:uidLastSave="{00000000-0000-0000-0000-000000000000}"/>
  <bookViews>
    <workbookView xWindow="-120" yWindow="-120" windowWidth="29040" windowHeight="15840" tabRatio="634" firstSheet="30" activeTab="31" xr2:uid="{00000000-000D-0000-FFFF-FFFF00000000}"/>
  </bookViews>
  <sheets>
    <sheet name="annual WQ" sheetId="21" r:id="rId1"/>
    <sheet name="TP load-DT" sheetId="22" r:id="rId2"/>
    <sheet name="TP load-conc" sheetId="23" r:id="rId3"/>
    <sheet name="DecadalN load" sheetId="42" r:id="rId4"/>
    <sheet name="Decadal P load" sheetId="41" r:id="rId5"/>
    <sheet name="annual N load" sheetId="36" r:id="rId6"/>
    <sheet name="annual P load (4)" sheetId="28" r:id="rId7"/>
    <sheet name="annual P load (3)" sheetId="20" r:id="rId8"/>
    <sheet name="annual P load (2)" sheetId="7" r:id="rId9"/>
    <sheet name="Stormwater (future)" sheetId="13" r:id="rId10"/>
    <sheet name="Stormwater 2012 (2009 LU)" sheetId="45" r:id="rId11"/>
    <sheet name="Stormwater 2011 (2009 LU)" sheetId="34" r:id="rId12"/>
    <sheet name="Stormwater 2010 (2009 LU)" sheetId="29" r:id="rId13"/>
    <sheet name="Stormwater 2009 (2009 LU)" sheetId="30" r:id="rId14"/>
    <sheet name="Stormwater 2008 (2009 LU)" sheetId="31" r:id="rId15"/>
    <sheet name="Stormwater 2007 (2009 LU)" sheetId="32" r:id="rId16"/>
    <sheet name="Stormwater 2011" sheetId="33" r:id="rId17"/>
    <sheet name="Stormwater 2010" sheetId="27" r:id="rId18"/>
    <sheet name="Stormwater 2009" sheetId="26" r:id="rId19"/>
    <sheet name="Stormwater 2008" sheetId="25" r:id="rId20"/>
    <sheet name="Stormwater 2007" sheetId="24" r:id="rId21"/>
    <sheet name="Stormwater 2006 (2009 LU)" sheetId="19" r:id="rId22"/>
    <sheet name="Stormwater 2005" sheetId="18" r:id="rId23"/>
    <sheet name="Stormwater 2004" sheetId="17" r:id="rId24"/>
    <sheet name="Stormwater 2003" sheetId="16" r:id="rId25"/>
    <sheet name="Stormwater 2002" sheetId="15" r:id="rId26"/>
    <sheet name="Stormwater 2001" sheetId="14" r:id="rId27"/>
    <sheet name="Stormwater 2000" sheetId="46" r:id="rId28"/>
    <sheet name="Stormwater" sheetId="1" r:id="rId29"/>
    <sheet name="Eutromod" sheetId="4" r:id="rId30"/>
    <sheet name="Sedimentation" sheetId="8" r:id="rId31"/>
    <sheet name="Summary" sheetId="2" r:id="rId32"/>
    <sheet name="Waterfowl nutrient load" sheetId="35" r:id="rId33"/>
    <sheet name="CBC gull figure" sheetId="44" r:id="rId34"/>
    <sheet name="CBC gull data" sheetId="43" r:id="rId35"/>
    <sheet name="Waterfowl TP excretion" sheetId="37" r:id="rId36"/>
    <sheet name="Waterfowl TN excretion" sheetId="38" r:id="rId37"/>
    <sheet name="TP load -birds" sheetId="39" r:id="rId38"/>
    <sheet name="TN load-birds" sheetId="40" r:id="rId39"/>
    <sheet name="Activity log" sheetId="3" r:id="rId40"/>
    <sheet name="load table" sheetId="48" r:id="rId41"/>
    <sheet name="Sheet1" sheetId="47" r:id="rId42"/>
  </sheets>
  <definedNames>
    <definedName name="\0">Eutromod!$BK$5</definedName>
    <definedName name="\A">Eutromod!$BF$7</definedName>
    <definedName name="\B">Eutromod!$BH$14</definedName>
    <definedName name="\D">Eutromod!$BH$24</definedName>
    <definedName name="\E">Eutromod!$BH$52</definedName>
    <definedName name="\X">Eutromod!$CA$1</definedName>
    <definedName name="__123Graph_A" localSheetId="27" hidden="1">Eutromod!#REF!</definedName>
    <definedName name="__123Graph_A" localSheetId="20" hidden="1">Eutromod!#REF!</definedName>
    <definedName name="__123Graph_A" localSheetId="15" hidden="1">Eutromod!#REF!</definedName>
    <definedName name="__123Graph_A" localSheetId="19" hidden="1">Eutromod!#REF!</definedName>
    <definedName name="__123Graph_A" localSheetId="14" hidden="1">Eutromod!#REF!</definedName>
    <definedName name="__123Graph_A" localSheetId="18" hidden="1">Eutromod!#REF!</definedName>
    <definedName name="__123Graph_A" localSheetId="13" hidden="1">Eutromod!#REF!</definedName>
    <definedName name="__123Graph_A" localSheetId="17" hidden="1">Eutromod!#REF!</definedName>
    <definedName name="__123Graph_A" localSheetId="12" hidden="1">Eutromod!#REF!</definedName>
    <definedName name="__123Graph_A" localSheetId="16" hidden="1">Eutromod!#REF!</definedName>
    <definedName name="__123Graph_A" localSheetId="11" hidden="1">Eutromod!#REF!</definedName>
    <definedName name="__123Graph_A" localSheetId="10" hidden="1">Eutromod!#REF!</definedName>
    <definedName name="__123Graph_A" hidden="1">Eutromod!#REF!</definedName>
    <definedName name="__123Graph_ANLOAD" localSheetId="27" hidden="1">Eutromod!#REF!</definedName>
    <definedName name="__123Graph_ANLOAD" localSheetId="20" hidden="1">Eutromod!#REF!</definedName>
    <definedName name="__123Graph_ANLOAD" localSheetId="15" hidden="1">Eutromod!#REF!</definedName>
    <definedName name="__123Graph_ANLOAD" localSheetId="19" hidden="1">Eutromod!#REF!</definedName>
    <definedName name="__123Graph_ANLOAD" localSheetId="14" hidden="1">Eutromod!#REF!</definedName>
    <definedName name="__123Graph_ANLOAD" localSheetId="18" hidden="1">Eutromod!#REF!</definedName>
    <definedName name="__123Graph_ANLOAD" localSheetId="13" hidden="1">Eutromod!#REF!</definedName>
    <definedName name="__123Graph_ANLOAD" localSheetId="17" hidden="1">Eutromod!#REF!</definedName>
    <definedName name="__123Graph_ANLOAD" localSheetId="12" hidden="1">Eutromod!#REF!</definedName>
    <definedName name="__123Graph_ANLOAD" localSheetId="16" hidden="1">Eutromod!#REF!</definedName>
    <definedName name="__123Graph_ANLOAD" localSheetId="11" hidden="1">Eutromod!#REF!</definedName>
    <definedName name="__123Graph_ANLOAD" localSheetId="10" hidden="1">Eutromod!#REF!</definedName>
    <definedName name="__123Graph_ANLOAD" hidden="1">Eutromod!#REF!</definedName>
    <definedName name="__123Graph_AOPQRSTWXMRS" hidden="1">Eutromod!$H$49:$H$55</definedName>
    <definedName name="__123Graph_APLOAD" localSheetId="27" hidden="1">Eutromod!#REF!</definedName>
    <definedName name="__123Graph_APLOAD" localSheetId="20" hidden="1">Eutromod!#REF!</definedName>
    <definedName name="__123Graph_APLOAD" localSheetId="15" hidden="1">Eutromod!#REF!</definedName>
    <definedName name="__123Graph_APLOAD" localSheetId="19" hidden="1">Eutromod!#REF!</definedName>
    <definedName name="__123Graph_APLOAD" localSheetId="14" hidden="1">Eutromod!#REF!</definedName>
    <definedName name="__123Graph_APLOAD" localSheetId="18" hidden="1">Eutromod!#REF!</definedName>
    <definedName name="__123Graph_APLOAD" localSheetId="13" hidden="1">Eutromod!#REF!</definedName>
    <definedName name="__123Graph_APLOAD" localSheetId="17" hidden="1">Eutromod!#REF!</definedName>
    <definedName name="__123Graph_APLOAD" localSheetId="12" hidden="1">Eutromod!#REF!</definedName>
    <definedName name="__123Graph_APLOAD" localSheetId="16" hidden="1">Eutromod!#REF!</definedName>
    <definedName name="__123Graph_APLOAD" localSheetId="11" hidden="1">Eutromod!#REF!</definedName>
    <definedName name="__123Graph_APLOAD" localSheetId="10" hidden="1">Eutromod!#REF!</definedName>
    <definedName name="__123Graph_APLOAD" hidden="1">Eutromod!#REF!</definedName>
    <definedName name="__123Graph_ATOTN" hidden="1">Eutromod!$AV$185:$AV$195</definedName>
    <definedName name="__123Graph_ATOTP" hidden="1">Eutromod!$AQ$185:$AQ$195</definedName>
    <definedName name="__123Graph_B" localSheetId="27" hidden="1">Eutromod!#REF!</definedName>
    <definedName name="__123Graph_B" localSheetId="20" hidden="1">Eutromod!#REF!</definedName>
    <definedName name="__123Graph_B" localSheetId="15" hidden="1">Eutromod!#REF!</definedName>
    <definedName name="__123Graph_B" localSheetId="19" hidden="1">Eutromod!#REF!</definedName>
    <definedName name="__123Graph_B" localSheetId="14" hidden="1">Eutromod!#REF!</definedName>
    <definedName name="__123Graph_B" localSheetId="18" hidden="1">Eutromod!#REF!</definedName>
    <definedName name="__123Graph_B" localSheetId="13" hidden="1">Eutromod!#REF!</definedName>
    <definedName name="__123Graph_B" localSheetId="17" hidden="1">Eutromod!#REF!</definedName>
    <definedName name="__123Graph_B" localSheetId="12" hidden="1">Eutromod!#REF!</definedName>
    <definedName name="__123Graph_B" localSheetId="16" hidden="1">Eutromod!#REF!</definedName>
    <definedName name="__123Graph_B" localSheetId="11" hidden="1">Eutromod!#REF!</definedName>
    <definedName name="__123Graph_B" localSheetId="10" hidden="1">Eutromod!#REF!</definedName>
    <definedName name="__123Graph_B" hidden="1">Eutromod!#REF!</definedName>
    <definedName name="__123Graph_BNLOAD" localSheetId="27" hidden="1">Eutromod!#REF!</definedName>
    <definedName name="__123Graph_BNLOAD" localSheetId="20" hidden="1">Eutromod!#REF!</definedName>
    <definedName name="__123Graph_BNLOAD" localSheetId="15" hidden="1">Eutromod!#REF!</definedName>
    <definedName name="__123Graph_BNLOAD" localSheetId="19" hidden="1">Eutromod!#REF!</definedName>
    <definedName name="__123Graph_BNLOAD" localSheetId="14" hidden="1">Eutromod!#REF!</definedName>
    <definedName name="__123Graph_BNLOAD" localSheetId="18" hidden="1">Eutromod!#REF!</definedName>
    <definedName name="__123Graph_BNLOAD" localSheetId="13" hidden="1">Eutromod!#REF!</definedName>
    <definedName name="__123Graph_BNLOAD" localSheetId="17" hidden="1">Eutromod!#REF!</definedName>
    <definedName name="__123Graph_BNLOAD" localSheetId="12" hidden="1">Eutromod!#REF!</definedName>
    <definedName name="__123Graph_BNLOAD" localSheetId="16" hidden="1">Eutromod!#REF!</definedName>
    <definedName name="__123Graph_BNLOAD" localSheetId="11" hidden="1">Eutromod!#REF!</definedName>
    <definedName name="__123Graph_BNLOAD" localSheetId="10" hidden="1">Eutromod!#REF!</definedName>
    <definedName name="__123Graph_BNLOAD" hidden="1">Eutromod!#REF!</definedName>
    <definedName name="__123Graph_BOPQRSTWXMRS" hidden="1">Eutromod!$H$49:$H$55</definedName>
    <definedName name="__123Graph_BPLOAD" localSheetId="27" hidden="1">Eutromod!#REF!</definedName>
    <definedName name="__123Graph_BPLOAD" localSheetId="20" hidden="1">Eutromod!#REF!</definedName>
    <definedName name="__123Graph_BPLOAD" localSheetId="15" hidden="1">Eutromod!#REF!</definedName>
    <definedName name="__123Graph_BPLOAD" localSheetId="19" hidden="1">Eutromod!#REF!</definedName>
    <definedName name="__123Graph_BPLOAD" localSheetId="14" hidden="1">Eutromod!#REF!</definedName>
    <definedName name="__123Graph_BPLOAD" localSheetId="18" hidden="1">Eutromod!#REF!</definedName>
    <definedName name="__123Graph_BPLOAD" localSheetId="13" hidden="1">Eutromod!#REF!</definedName>
    <definedName name="__123Graph_BPLOAD" localSheetId="17" hidden="1">Eutromod!#REF!</definedName>
    <definedName name="__123Graph_BPLOAD" localSheetId="12" hidden="1">Eutromod!#REF!</definedName>
    <definedName name="__123Graph_BPLOAD" localSheetId="16" hidden="1">Eutromod!#REF!</definedName>
    <definedName name="__123Graph_BPLOAD" localSheetId="11" hidden="1">Eutromod!#REF!</definedName>
    <definedName name="__123Graph_BPLOAD" localSheetId="10" hidden="1">Eutromod!#REF!</definedName>
    <definedName name="__123Graph_BPLOAD" hidden="1">Eutromod!#REF!</definedName>
    <definedName name="__123Graph_BTOTN" hidden="1">Eutromod!$BA$185:$BA$195</definedName>
    <definedName name="__123Graph_BTOTP" hidden="1">Eutromod!$V$185:$V$194</definedName>
    <definedName name="__123Graph_C" localSheetId="27" hidden="1">Eutromod!#REF!</definedName>
    <definedName name="__123Graph_C" localSheetId="20" hidden="1">Eutromod!#REF!</definedName>
    <definedName name="__123Graph_C" localSheetId="15" hidden="1">Eutromod!#REF!</definedName>
    <definedName name="__123Graph_C" localSheetId="19" hidden="1">Eutromod!#REF!</definedName>
    <definedName name="__123Graph_C" localSheetId="14" hidden="1">Eutromod!#REF!</definedName>
    <definedName name="__123Graph_C" localSheetId="18" hidden="1">Eutromod!#REF!</definedName>
    <definedName name="__123Graph_C" localSheetId="13" hidden="1">Eutromod!#REF!</definedName>
    <definedName name="__123Graph_C" localSheetId="17" hidden="1">Eutromod!#REF!</definedName>
    <definedName name="__123Graph_C" localSheetId="12" hidden="1">Eutromod!#REF!</definedName>
    <definedName name="__123Graph_C" localSheetId="16" hidden="1">Eutromod!#REF!</definedName>
    <definedName name="__123Graph_C" localSheetId="11" hidden="1">Eutromod!#REF!</definedName>
    <definedName name="__123Graph_C" localSheetId="10" hidden="1">Eutromod!#REF!</definedName>
    <definedName name="__123Graph_C" hidden="1">Eutromod!#REF!</definedName>
    <definedName name="__123Graph_CNLOAD" localSheetId="27" hidden="1">Eutromod!#REF!</definedName>
    <definedName name="__123Graph_CNLOAD" localSheetId="20" hidden="1">Eutromod!#REF!</definedName>
    <definedName name="__123Graph_CNLOAD" localSheetId="15" hidden="1">Eutromod!#REF!</definedName>
    <definedName name="__123Graph_CNLOAD" localSheetId="19" hidden="1">Eutromod!#REF!</definedName>
    <definedName name="__123Graph_CNLOAD" localSheetId="14" hidden="1">Eutromod!#REF!</definedName>
    <definedName name="__123Graph_CNLOAD" localSheetId="18" hidden="1">Eutromod!#REF!</definedName>
    <definedName name="__123Graph_CNLOAD" localSheetId="13" hidden="1">Eutromod!#REF!</definedName>
    <definedName name="__123Graph_CNLOAD" localSheetId="17" hidden="1">Eutromod!#REF!</definedName>
    <definedName name="__123Graph_CNLOAD" localSheetId="12" hidden="1">Eutromod!#REF!</definedName>
    <definedName name="__123Graph_CNLOAD" localSheetId="16" hidden="1">Eutromod!#REF!</definedName>
    <definedName name="__123Graph_CNLOAD" localSheetId="11" hidden="1">Eutromod!#REF!</definedName>
    <definedName name="__123Graph_CNLOAD" localSheetId="10" hidden="1">Eutromod!#REF!</definedName>
    <definedName name="__123Graph_CNLOAD" hidden="1">Eutromod!#REF!</definedName>
    <definedName name="__123Graph_COPQRSTWXMRS" localSheetId="27" hidden="1">Eutromod!#REF!</definedName>
    <definedName name="__123Graph_COPQRSTWXMRS" localSheetId="20" hidden="1">Eutromod!#REF!</definedName>
    <definedName name="__123Graph_COPQRSTWXMRS" localSheetId="15" hidden="1">Eutromod!#REF!</definedName>
    <definedName name="__123Graph_COPQRSTWXMRS" localSheetId="19" hidden="1">Eutromod!#REF!</definedName>
    <definedName name="__123Graph_COPQRSTWXMRS" localSheetId="14" hidden="1">Eutromod!#REF!</definedName>
    <definedName name="__123Graph_COPQRSTWXMRS" localSheetId="18" hidden="1">Eutromod!#REF!</definedName>
    <definedName name="__123Graph_COPQRSTWXMRS" localSheetId="13" hidden="1">Eutromod!#REF!</definedName>
    <definedName name="__123Graph_COPQRSTWXMRS" localSheetId="17" hidden="1">Eutromod!#REF!</definedName>
    <definedName name="__123Graph_COPQRSTWXMRS" localSheetId="12" hidden="1">Eutromod!#REF!</definedName>
    <definedName name="__123Graph_COPQRSTWXMRS" localSheetId="16" hidden="1">Eutromod!#REF!</definedName>
    <definedName name="__123Graph_COPQRSTWXMRS" localSheetId="11" hidden="1">Eutromod!#REF!</definedName>
    <definedName name="__123Graph_COPQRSTWXMRS" localSheetId="10" hidden="1">Eutromod!#REF!</definedName>
    <definedName name="__123Graph_COPQRSTWXMRS" hidden="1">Eutromod!#REF!</definedName>
    <definedName name="__123Graph_CPLOAD" localSheetId="27" hidden="1">Eutromod!#REF!</definedName>
    <definedName name="__123Graph_CPLOAD" localSheetId="20" hidden="1">Eutromod!#REF!</definedName>
    <definedName name="__123Graph_CPLOAD" localSheetId="15" hidden="1">Eutromod!#REF!</definedName>
    <definedName name="__123Graph_CPLOAD" localSheetId="19" hidden="1">Eutromod!#REF!</definedName>
    <definedName name="__123Graph_CPLOAD" localSheetId="14" hidden="1">Eutromod!#REF!</definedName>
    <definedName name="__123Graph_CPLOAD" localSheetId="18" hidden="1">Eutromod!#REF!</definedName>
    <definedName name="__123Graph_CPLOAD" localSheetId="13" hidden="1">Eutromod!#REF!</definedName>
    <definedName name="__123Graph_CPLOAD" localSheetId="17" hidden="1">Eutromod!#REF!</definedName>
    <definedName name="__123Graph_CPLOAD" localSheetId="12" hidden="1">Eutromod!#REF!</definedName>
    <definedName name="__123Graph_CPLOAD" localSheetId="16" hidden="1">Eutromod!#REF!</definedName>
    <definedName name="__123Graph_CPLOAD" localSheetId="11" hidden="1">Eutromod!#REF!</definedName>
    <definedName name="__123Graph_CPLOAD" localSheetId="10" hidden="1">Eutromod!#REF!</definedName>
    <definedName name="__123Graph_CPLOAD" hidden="1">Eutromod!#REF!</definedName>
    <definedName name="__123Graph_CTOTN" hidden="1">Eutromod!$BB$185:$BB$195</definedName>
    <definedName name="__123Graph_CTOTP" hidden="1">Eutromod!$AA$185:$AA$195</definedName>
    <definedName name="__123Graph_D" localSheetId="27" hidden="1">Eutromod!#REF!</definedName>
    <definedName name="__123Graph_D" localSheetId="20" hidden="1">Eutromod!#REF!</definedName>
    <definedName name="__123Graph_D" localSheetId="15" hidden="1">Eutromod!#REF!</definedName>
    <definedName name="__123Graph_D" localSheetId="19" hidden="1">Eutromod!#REF!</definedName>
    <definedName name="__123Graph_D" localSheetId="14" hidden="1">Eutromod!#REF!</definedName>
    <definedName name="__123Graph_D" localSheetId="18" hidden="1">Eutromod!#REF!</definedName>
    <definedName name="__123Graph_D" localSheetId="13" hidden="1">Eutromod!#REF!</definedName>
    <definedName name="__123Graph_D" localSheetId="17" hidden="1">Eutromod!#REF!</definedName>
    <definedName name="__123Graph_D" localSheetId="12" hidden="1">Eutromod!#REF!</definedName>
    <definedName name="__123Graph_D" localSheetId="16" hidden="1">Eutromod!#REF!</definedName>
    <definedName name="__123Graph_D" localSheetId="11" hidden="1">Eutromod!#REF!</definedName>
    <definedName name="__123Graph_D" localSheetId="10" hidden="1">Eutromod!#REF!</definedName>
    <definedName name="__123Graph_D" hidden="1">Eutromod!#REF!</definedName>
    <definedName name="__123Graph_DNLOAD" localSheetId="27" hidden="1">Eutromod!#REF!</definedName>
    <definedName name="__123Graph_DNLOAD" localSheetId="20" hidden="1">Eutromod!#REF!</definedName>
    <definedName name="__123Graph_DNLOAD" localSheetId="15" hidden="1">Eutromod!#REF!</definedName>
    <definedName name="__123Graph_DNLOAD" localSheetId="19" hidden="1">Eutromod!#REF!</definedName>
    <definedName name="__123Graph_DNLOAD" localSheetId="14" hidden="1">Eutromod!#REF!</definedName>
    <definedName name="__123Graph_DNLOAD" localSheetId="18" hidden="1">Eutromod!#REF!</definedName>
    <definedName name="__123Graph_DNLOAD" localSheetId="13" hidden="1">Eutromod!#REF!</definedName>
    <definedName name="__123Graph_DNLOAD" localSheetId="17" hidden="1">Eutromod!#REF!</definedName>
    <definedName name="__123Graph_DNLOAD" localSheetId="12" hidden="1">Eutromod!#REF!</definedName>
    <definedName name="__123Graph_DNLOAD" localSheetId="16" hidden="1">Eutromod!#REF!</definedName>
    <definedName name="__123Graph_DNLOAD" localSheetId="11" hidden="1">Eutromod!#REF!</definedName>
    <definedName name="__123Graph_DNLOAD" localSheetId="10" hidden="1">Eutromod!#REF!</definedName>
    <definedName name="__123Graph_DNLOAD" hidden="1">Eutromod!#REF!</definedName>
    <definedName name="__123Graph_DPLOAD" localSheetId="27" hidden="1">Eutromod!#REF!</definedName>
    <definedName name="__123Graph_DPLOAD" localSheetId="20" hidden="1">Eutromod!#REF!</definedName>
    <definedName name="__123Graph_DPLOAD" localSheetId="15" hidden="1">Eutromod!#REF!</definedName>
    <definedName name="__123Graph_DPLOAD" localSheetId="19" hidden="1">Eutromod!#REF!</definedName>
    <definedName name="__123Graph_DPLOAD" localSheetId="14" hidden="1">Eutromod!#REF!</definedName>
    <definedName name="__123Graph_DPLOAD" localSheetId="18" hidden="1">Eutromod!#REF!</definedName>
    <definedName name="__123Graph_DPLOAD" localSheetId="13" hidden="1">Eutromod!#REF!</definedName>
    <definedName name="__123Graph_DPLOAD" localSheetId="17" hidden="1">Eutromod!#REF!</definedName>
    <definedName name="__123Graph_DPLOAD" localSheetId="12" hidden="1">Eutromod!#REF!</definedName>
    <definedName name="__123Graph_DPLOAD" localSheetId="16" hidden="1">Eutromod!#REF!</definedName>
    <definedName name="__123Graph_DPLOAD" localSheetId="11" hidden="1">Eutromod!#REF!</definedName>
    <definedName name="__123Graph_DPLOAD" localSheetId="10" hidden="1">Eutromod!#REF!</definedName>
    <definedName name="__123Graph_DPLOAD" hidden="1">Eutromod!#REF!</definedName>
    <definedName name="__123Graph_DTOTN" hidden="1">Eutromod!$BD$185:$BD$195</definedName>
    <definedName name="__123Graph_DTOTP" hidden="1">Eutromod!$AJ$185:$AJ$195</definedName>
    <definedName name="__123Graph_E" localSheetId="27" hidden="1">Eutromod!#REF!</definedName>
    <definedName name="__123Graph_E" localSheetId="20" hidden="1">Eutromod!#REF!</definedName>
    <definedName name="__123Graph_E" localSheetId="15" hidden="1">Eutromod!#REF!</definedName>
    <definedName name="__123Graph_E" localSheetId="19" hidden="1">Eutromod!#REF!</definedName>
    <definedName name="__123Graph_E" localSheetId="14" hidden="1">Eutromod!#REF!</definedName>
    <definedName name="__123Graph_E" localSheetId="18" hidden="1">Eutromod!#REF!</definedName>
    <definedName name="__123Graph_E" localSheetId="13" hidden="1">Eutromod!#REF!</definedName>
    <definedName name="__123Graph_E" localSheetId="17" hidden="1">Eutromod!#REF!</definedName>
    <definedName name="__123Graph_E" localSheetId="12" hidden="1">Eutromod!#REF!</definedName>
    <definedName name="__123Graph_E" localSheetId="16" hidden="1">Eutromod!#REF!</definedName>
    <definedName name="__123Graph_E" localSheetId="11" hidden="1">Eutromod!#REF!</definedName>
    <definedName name="__123Graph_E" localSheetId="10" hidden="1">Eutromod!#REF!</definedName>
    <definedName name="__123Graph_E" hidden="1">Eutromod!#REF!</definedName>
    <definedName name="__123Graph_ENLOAD" localSheetId="27" hidden="1">Eutromod!#REF!</definedName>
    <definedName name="__123Graph_ENLOAD" localSheetId="20" hidden="1">Eutromod!#REF!</definedName>
    <definedName name="__123Graph_ENLOAD" localSheetId="15" hidden="1">Eutromod!#REF!</definedName>
    <definedName name="__123Graph_ENLOAD" localSheetId="19" hidden="1">Eutromod!#REF!</definedName>
    <definedName name="__123Graph_ENLOAD" localSheetId="14" hidden="1">Eutromod!#REF!</definedName>
    <definedName name="__123Graph_ENLOAD" localSheetId="18" hidden="1">Eutromod!#REF!</definedName>
    <definedName name="__123Graph_ENLOAD" localSheetId="13" hidden="1">Eutromod!#REF!</definedName>
    <definedName name="__123Graph_ENLOAD" localSheetId="17" hidden="1">Eutromod!#REF!</definedName>
    <definedName name="__123Graph_ENLOAD" localSheetId="12" hidden="1">Eutromod!#REF!</definedName>
    <definedName name="__123Graph_ENLOAD" localSheetId="16" hidden="1">Eutromod!#REF!</definedName>
    <definedName name="__123Graph_ENLOAD" localSheetId="11" hidden="1">Eutromod!#REF!</definedName>
    <definedName name="__123Graph_ENLOAD" localSheetId="10" hidden="1">Eutromod!#REF!</definedName>
    <definedName name="__123Graph_ENLOAD" hidden="1">Eutromod!#REF!</definedName>
    <definedName name="__123Graph_EPLOAD" localSheetId="27" hidden="1">Eutromod!#REF!</definedName>
    <definedName name="__123Graph_EPLOAD" localSheetId="20" hidden="1">Eutromod!#REF!</definedName>
    <definedName name="__123Graph_EPLOAD" localSheetId="15" hidden="1">Eutromod!#REF!</definedName>
    <definedName name="__123Graph_EPLOAD" localSheetId="19" hidden="1">Eutromod!#REF!</definedName>
    <definedName name="__123Graph_EPLOAD" localSheetId="14" hidden="1">Eutromod!#REF!</definedName>
    <definedName name="__123Graph_EPLOAD" localSheetId="18" hidden="1">Eutromod!#REF!</definedName>
    <definedName name="__123Graph_EPLOAD" localSheetId="13" hidden="1">Eutromod!#REF!</definedName>
    <definedName name="__123Graph_EPLOAD" localSheetId="17" hidden="1">Eutromod!#REF!</definedName>
    <definedName name="__123Graph_EPLOAD" localSheetId="12" hidden="1">Eutromod!#REF!</definedName>
    <definedName name="__123Graph_EPLOAD" localSheetId="16" hidden="1">Eutromod!#REF!</definedName>
    <definedName name="__123Graph_EPLOAD" localSheetId="11" hidden="1">Eutromod!#REF!</definedName>
    <definedName name="__123Graph_EPLOAD" localSheetId="10" hidden="1">Eutromod!#REF!</definedName>
    <definedName name="__123Graph_EPLOAD" hidden="1">Eutromod!#REF!</definedName>
    <definedName name="__123Graph_ETOTP" hidden="1">Eutromod!$AK$185:$AK$195</definedName>
    <definedName name="__123Graph_F" localSheetId="27" hidden="1">Eutromod!#REF!</definedName>
    <definedName name="__123Graph_F" localSheetId="20" hidden="1">Eutromod!#REF!</definedName>
    <definedName name="__123Graph_F" localSheetId="15" hidden="1">Eutromod!#REF!</definedName>
    <definedName name="__123Graph_F" localSheetId="19" hidden="1">Eutromod!#REF!</definedName>
    <definedName name="__123Graph_F" localSheetId="14" hidden="1">Eutromod!#REF!</definedName>
    <definedName name="__123Graph_F" localSheetId="18" hidden="1">Eutromod!#REF!</definedName>
    <definedName name="__123Graph_F" localSheetId="13" hidden="1">Eutromod!#REF!</definedName>
    <definedName name="__123Graph_F" localSheetId="17" hidden="1">Eutromod!#REF!</definedName>
    <definedName name="__123Graph_F" localSheetId="12" hidden="1">Eutromod!#REF!</definedName>
    <definedName name="__123Graph_F" localSheetId="16" hidden="1">Eutromod!#REF!</definedName>
    <definedName name="__123Graph_F" localSheetId="11" hidden="1">Eutromod!#REF!</definedName>
    <definedName name="__123Graph_F" localSheetId="10" hidden="1">Eutromod!#REF!</definedName>
    <definedName name="__123Graph_F" hidden="1">Eutromod!#REF!</definedName>
    <definedName name="__123Graph_FNLOAD" localSheetId="27" hidden="1">Eutromod!#REF!</definedName>
    <definedName name="__123Graph_FNLOAD" localSheetId="20" hidden="1">Eutromod!#REF!</definedName>
    <definedName name="__123Graph_FNLOAD" localSheetId="15" hidden="1">Eutromod!#REF!</definedName>
    <definedName name="__123Graph_FNLOAD" localSheetId="19" hidden="1">Eutromod!#REF!</definedName>
    <definedName name="__123Graph_FNLOAD" localSheetId="14" hidden="1">Eutromod!#REF!</definedName>
    <definedName name="__123Graph_FNLOAD" localSheetId="18" hidden="1">Eutromod!#REF!</definedName>
    <definedName name="__123Graph_FNLOAD" localSheetId="13" hidden="1">Eutromod!#REF!</definedName>
    <definedName name="__123Graph_FNLOAD" localSheetId="17" hidden="1">Eutromod!#REF!</definedName>
    <definedName name="__123Graph_FNLOAD" localSheetId="12" hidden="1">Eutromod!#REF!</definedName>
    <definedName name="__123Graph_FNLOAD" localSheetId="16" hidden="1">Eutromod!#REF!</definedName>
    <definedName name="__123Graph_FNLOAD" localSheetId="11" hidden="1">Eutromod!#REF!</definedName>
    <definedName name="__123Graph_FNLOAD" localSheetId="10" hidden="1">Eutromod!#REF!</definedName>
    <definedName name="__123Graph_FNLOAD" hidden="1">Eutromod!#REF!</definedName>
    <definedName name="__123Graph_FPLOAD" localSheetId="27" hidden="1">Eutromod!#REF!</definedName>
    <definedName name="__123Graph_FPLOAD" localSheetId="20" hidden="1">Eutromod!#REF!</definedName>
    <definedName name="__123Graph_FPLOAD" localSheetId="15" hidden="1">Eutromod!#REF!</definedName>
    <definedName name="__123Graph_FPLOAD" localSheetId="19" hidden="1">Eutromod!#REF!</definedName>
    <definedName name="__123Graph_FPLOAD" localSheetId="14" hidden="1">Eutromod!#REF!</definedName>
    <definedName name="__123Graph_FPLOAD" localSheetId="18" hidden="1">Eutromod!#REF!</definedName>
    <definedName name="__123Graph_FPLOAD" localSheetId="13" hidden="1">Eutromod!#REF!</definedName>
    <definedName name="__123Graph_FPLOAD" localSheetId="17" hidden="1">Eutromod!#REF!</definedName>
    <definedName name="__123Graph_FPLOAD" localSheetId="12" hidden="1">Eutromod!#REF!</definedName>
    <definedName name="__123Graph_FPLOAD" localSheetId="16" hidden="1">Eutromod!#REF!</definedName>
    <definedName name="__123Graph_FPLOAD" localSheetId="11" hidden="1">Eutromod!#REF!</definedName>
    <definedName name="__123Graph_FPLOAD" localSheetId="10" hidden="1">Eutromod!#REF!</definedName>
    <definedName name="__123Graph_FPLOAD" hidden="1">Eutromod!#REF!</definedName>
    <definedName name="__123Graph_FTOTP" hidden="1">Eutromod!$AM$185:$AM$195</definedName>
    <definedName name="__123Graph_X" localSheetId="27" hidden="1">Eutromod!#REF!</definedName>
    <definedName name="__123Graph_X" localSheetId="20" hidden="1">Eutromod!#REF!</definedName>
    <definedName name="__123Graph_X" localSheetId="15" hidden="1">Eutromod!#REF!</definedName>
    <definedName name="__123Graph_X" localSheetId="19" hidden="1">Eutromod!#REF!</definedName>
    <definedName name="__123Graph_X" localSheetId="14" hidden="1">Eutromod!#REF!</definedName>
    <definedName name="__123Graph_X" localSheetId="18" hidden="1">Eutromod!#REF!</definedName>
    <definedName name="__123Graph_X" localSheetId="13" hidden="1">Eutromod!#REF!</definedName>
    <definedName name="__123Graph_X" localSheetId="17" hidden="1">Eutromod!#REF!</definedName>
    <definedName name="__123Graph_X" localSheetId="12" hidden="1">Eutromod!#REF!</definedName>
    <definedName name="__123Graph_X" localSheetId="16" hidden="1">Eutromod!#REF!</definedName>
    <definedName name="__123Graph_X" localSheetId="11" hidden="1">Eutromod!#REF!</definedName>
    <definedName name="__123Graph_X" localSheetId="10" hidden="1">Eutromod!#REF!</definedName>
    <definedName name="__123Graph_X" hidden="1">Eutromod!#REF!</definedName>
    <definedName name="__123Graph_XNLOAD" localSheetId="27" hidden="1">Eutromod!#REF!</definedName>
    <definedName name="__123Graph_XNLOAD" localSheetId="20" hidden="1">Eutromod!#REF!</definedName>
    <definedName name="__123Graph_XNLOAD" localSheetId="15" hidden="1">Eutromod!#REF!</definedName>
    <definedName name="__123Graph_XNLOAD" localSheetId="19" hidden="1">Eutromod!#REF!</definedName>
    <definedName name="__123Graph_XNLOAD" localSheetId="14" hidden="1">Eutromod!#REF!</definedName>
    <definedName name="__123Graph_XNLOAD" localSheetId="18" hidden="1">Eutromod!#REF!</definedName>
    <definedName name="__123Graph_XNLOAD" localSheetId="13" hidden="1">Eutromod!#REF!</definedName>
    <definedName name="__123Graph_XNLOAD" localSheetId="17" hidden="1">Eutromod!#REF!</definedName>
    <definedName name="__123Graph_XNLOAD" localSheetId="12" hidden="1">Eutromod!#REF!</definedName>
    <definedName name="__123Graph_XNLOAD" localSheetId="16" hidden="1">Eutromod!#REF!</definedName>
    <definedName name="__123Graph_XNLOAD" localSheetId="11" hidden="1">Eutromod!#REF!</definedName>
    <definedName name="__123Graph_XNLOAD" localSheetId="10" hidden="1">Eutromod!#REF!</definedName>
    <definedName name="__123Graph_XNLOAD" hidden="1">Eutromod!#REF!</definedName>
    <definedName name="__123Graph_XOPQRSTWXMRS" hidden="1">Eutromod!$BC$6:$BC$13</definedName>
    <definedName name="__123Graph_XPLOAD" localSheetId="27" hidden="1">Eutromod!#REF!</definedName>
    <definedName name="__123Graph_XPLOAD" localSheetId="20" hidden="1">Eutromod!#REF!</definedName>
    <definedName name="__123Graph_XPLOAD" localSheetId="15" hidden="1">Eutromod!#REF!</definedName>
    <definedName name="__123Graph_XPLOAD" localSheetId="19" hidden="1">Eutromod!#REF!</definedName>
    <definedName name="__123Graph_XPLOAD" localSheetId="14" hidden="1">Eutromod!#REF!</definedName>
    <definedName name="__123Graph_XPLOAD" localSheetId="18" hidden="1">Eutromod!#REF!</definedName>
    <definedName name="__123Graph_XPLOAD" localSheetId="13" hidden="1">Eutromod!#REF!</definedName>
    <definedName name="__123Graph_XPLOAD" localSheetId="17" hidden="1">Eutromod!#REF!</definedName>
    <definedName name="__123Graph_XPLOAD" localSheetId="12" hidden="1">Eutromod!#REF!</definedName>
    <definedName name="__123Graph_XPLOAD" localSheetId="16" hidden="1">Eutromod!#REF!</definedName>
    <definedName name="__123Graph_XPLOAD" localSheetId="11" hidden="1">Eutromod!#REF!</definedName>
    <definedName name="__123Graph_XPLOAD" localSheetId="10" hidden="1">Eutromod!#REF!</definedName>
    <definedName name="__123Graph_XPLOAD" hidden="1">Eutromod!#REF!</definedName>
    <definedName name="__123Graph_XTOTN" hidden="1">Eutromod!$A$190:$A$200</definedName>
    <definedName name="__123Graph_XTOTP" hidden="1">Eutromod!$A$190:$A$200</definedName>
    <definedName name="_1__123Graph_AGRAPH_D" hidden="1">Eutromod!$AJ$30:$AJ$40</definedName>
    <definedName name="_2__123Graph_XGRAPH_D" hidden="1">Eutromod!$AJ$50:$AJ$60</definedName>
    <definedName name="ARAIN">Eutromod!$A$141:$D$154</definedName>
    <definedName name="_xlnm.Print_Area" localSheetId="29">Eutromod!#REF!</definedName>
    <definedName name="Print_Area_MI" localSheetId="29">Eutromod!#REF!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T36" i="46" l="1"/>
  <c r="AT27" i="46"/>
  <c r="AT18" i="46"/>
  <c r="N7" i="2"/>
  <c r="AZ18" i="46"/>
  <c r="BL24" i="2" l="1"/>
  <c r="R40" i="48" l="1"/>
  <c r="P41" i="48"/>
  <c r="P40" i="48"/>
  <c r="P39" i="48"/>
  <c r="P38" i="48"/>
  <c r="P37" i="48"/>
  <c r="P36" i="48"/>
  <c r="P35" i="48"/>
  <c r="P34" i="48"/>
  <c r="P33" i="48"/>
  <c r="P32" i="48"/>
  <c r="R37" i="48" s="1"/>
  <c r="P31" i="48"/>
  <c r="P30" i="48"/>
  <c r="P29" i="48"/>
  <c r="P28" i="48"/>
  <c r="P27" i="48"/>
  <c r="P26" i="48"/>
  <c r="P25" i="48"/>
  <c r="R30" i="48" s="1"/>
  <c r="P19" i="48"/>
  <c r="P18" i="48"/>
  <c r="Q18" i="48" s="1"/>
  <c r="P17" i="48"/>
  <c r="P16" i="48"/>
  <c r="R18" i="48" s="1"/>
  <c r="S18" i="48" s="1"/>
  <c r="P15" i="48"/>
  <c r="Q15" i="48" s="1"/>
  <c r="P14" i="48"/>
  <c r="Q14" i="48" s="1"/>
  <c r="P13" i="48"/>
  <c r="P12" i="48"/>
  <c r="P11" i="48"/>
  <c r="P10" i="48"/>
  <c r="R15" i="48" s="1"/>
  <c r="S15" i="48" s="1"/>
  <c r="P9" i="48"/>
  <c r="P8" i="48"/>
  <c r="Q8" i="48" s="1"/>
  <c r="P7" i="48"/>
  <c r="Q7" i="48" s="1"/>
  <c r="P6" i="48"/>
  <c r="Q6" i="48" s="1"/>
  <c r="P5" i="48"/>
  <c r="P4" i="48"/>
  <c r="P20" i="48" s="1"/>
  <c r="P3" i="48"/>
  <c r="O42" i="48"/>
  <c r="N42" i="48"/>
  <c r="M42" i="48"/>
  <c r="L42" i="48"/>
  <c r="K42" i="48"/>
  <c r="J42" i="48"/>
  <c r="I42" i="48"/>
  <c r="H42" i="48"/>
  <c r="G42" i="48"/>
  <c r="F42" i="48"/>
  <c r="E42" i="48"/>
  <c r="D42" i="48"/>
  <c r="C42" i="48"/>
  <c r="O20" i="48"/>
  <c r="N20" i="48"/>
  <c r="M20" i="48"/>
  <c r="L20" i="48"/>
  <c r="K20" i="48"/>
  <c r="J20" i="48"/>
  <c r="I20" i="48"/>
  <c r="H20" i="48"/>
  <c r="G20" i="48"/>
  <c r="F20" i="48"/>
  <c r="E20" i="48"/>
  <c r="D20" i="48"/>
  <c r="C20" i="48"/>
  <c r="Q27" i="48" l="1"/>
  <c r="Q9" i="48"/>
  <c r="Q17" i="48"/>
  <c r="Q11" i="48"/>
  <c r="Q19" i="48"/>
  <c r="S37" i="48"/>
  <c r="Q13" i="48"/>
  <c r="Q5" i="48"/>
  <c r="Q3" i="48"/>
  <c r="Q12" i="48"/>
  <c r="S30" i="48"/>
  <c r="Q33" i="48"/>
  <c r="Q41" i="48"/>
  <c r="P42" i="48"/>
  <c r="S40" i="48" s="1"/>
  <c r="R8" i="48"/>
  <c r="S8" i="48" s="1"/>
  <c r="Q32" i="48"/>
  <c r="Q4" i="48"/>
  <c r="Q10" i="48"/>
  <c r="Q16" i="48"/>
  <c r="Q35" i="48" l="1"/>
  <c r="Q20" i="48"/>
  <c r="Q36" i="48"/>
  <c r="Q28" i="48"/>
  <c r="Q31" i="48"/>
  <c r="Q38" i="48"/>
  <c r="Q39" i="48"/>
  <c r="Q30" i="48"/>
  <c r="Q34" i="48"/>
  <c r="Q37" i="48"/>
  <c r="Q25" i="48"/>
  <c r="Q26" i="48"/>
  <c r="Q40" i="48"/>
  <c r="Q29" i="48"/>
  <c r="V12" i="45"/>
  <c r="Z12" i="45" s="1"/>
  <c r="AO12" i="45" s="1"/>
  <c r="Q42" i="48" l="1"/>
  <c r="AH168" i="46" l="1"/>
  <c r="AL168" i="46" s="1"/>
  <c r="AX168" i="46" s="1"/>
  <c r="AG168" i="46"/>
  <c r="AK168" i="46" s="1"/>
  <c r="AW168" i="46" s="1"/>
  <c r="AF168" i="46"/>
  <c r="AJ168" i="46" s="1"/>
  <c r="AV168" i="46" s="1"/>
  <c r="AE168" i="46"/>
  <c r="AI168" i="46" s="1"/>
  <c r="Y168" i="46"/>
  <c r="AC168" i="46" s="1"/>
  <c r="AR168" i="46" s="1"/>
  <c r="X168" i="46"/>
  <c r="AB168" i="46" s="1"/>
  <c r="AQ168" i="46" s="1"/>
  <c r="W168" i="46"/>
  <c r="AA168" i="46" s="1"/>
  <c r="AP168" i="46" s="1"/>
  <c r="V168" i="46"/>
  <c r="Z168" i="46" s="1"/>
  <c r="AM168" i="46" l="1"/>
  <c r="AU168" i="46"/>
  <c r="AY168" i="46" s="1"/>
  <c r="AD168" i="46"/>
  <c r="AO168" i="46"/>
  <c r="AS168" i="46" s="1"/>
  <c r="G84" i="47" l="1"/>
  <c r="V21" i="15" l="1"/>
  <c r="Z21" i="15" s="1"/>
  <c r="V21" i="30"/>
  <c r="V21" i="18"/>
  <c r="G170" i="47"/>
  <c r="G169" i="47"/>
  <c r="G168" i="47"/>
  <c r="G167" i="47"/>
  <c r="G166" i="47"/>
  <c r="G165" i="47"/>
  <c r="G164" i="47"/>
  <c r="G161" i="47"/>
  <c r="G160" i="47"/>
  <c r="G159" i="47"/>
  <c r="G158" i="47"/>
  <c r="G157" i="47"/>
  <c r="G156" i="47"/>
  <c r="G155" i="47"/>
  <c r="G152" i="47"/>
  <c r="G151" i="47"/>
  <c r="G150" i="47"/>
  <c r="G149" i="47"/>
  <c r="G148" i="47"/>
  <c r="G147" i="47"/>
  <c r="G146" i="47"/>
  <c r="G143" i="47"/>
  <c r="G142" i="47"/>
  <c r="G141" i="47"/>
  <c r="G140" i="47"/>
  <c r="G139" i="47"/>
  <c r="G138" i="47"/>
  <c r="G137" i="47"/>
  <c r="G134" i="47"/>
  <c r="G133" i="47"/>
  <c r="G132" i="47"/>
  <c r="G131" i="47"/>
  <c r="G130" i="47"/>
  <c r="G129" i="47"/>
  <c r="G128" i="47"/>
  <c r="G125" i="47"/>
  <c r="G124" i="47"/>
  <c r="G123" i="47"/>
  <c r="G122" i="47"/>
  <c r="G121" i="47"/>
  <c r="G120" i="47"/>
  <c r="G119" i="47"/>
  <c r="G116" i="47"/>
  <c r="G115" i="47"/>
  <c r="G114" i="47"/>
  <c r="G113" i="47"/>
  <c r="G112" i="47"/>
  <c r="G111" i="47"/>
  <c r="G110" i="47"/>
  <c r="G107" i="47"/>
  <c r="G106" i="47"/>
  <c r="G105" i="47"/>
  <c r="G104" i="47"/>
  <c r="G103" i="47"/>
  <c r="G102" i="47"/>
  <c r="G101" i="47"/>
  <c r="G99" i="47"/>
  <c r="G98" i="47"/>
  <c r="G97" i="47"/>
  <c r="G96" i="47"/>
  <c r="G95" i="47"/>
  <c r="G94" i="47"/>
  <c r="G93" i="47"/>
  <c r="G92" i="47"/>
  <c r="G90" i="47"/>
  <c r="G89" i="47"/>
  <c r="G88" i="47"/>
  <c r="G87" i="47"/>
  <c r="G86" i="47"/>
  <c r="G85" i="47"/>
  <c r="G83" i="47"/>
  <c r="G80" i="47"/>
  <c r="G79" i="47"/>
  <c r="G78" i="47"/>
  <c r="G77" i="47"/>
  <c r="G76" i="47"/>
  <c r="G75" i="47"/>
  <c r="G74" i="47"/>
  <c r="G71" i="47"/>
  <c r="G70" i="47"/>
  <c r="G69" i="47"/>
  <c r="G68" i="47"/>
  <c r="G67" i="47"/>
  <c r="G66" i="47"/>
  <c r="G65" i="47"/>
  <c r="G62" i="47"/>
  <c r="G61" i="47"/>
  <c r="G60" i="47"/>
  <c r="G59" i="47"/>
  <c r="G58" i="47"/>
  <c r="G57" i="47"/>
  <c r="G56" i="47"/>
  <c r="G53" i="47"/>
  <c r="G52" i="47"/>
  <c r="G51" i="47"/>
  <c r="G50" i="47"/>
  <c r="G49" i="47"/>
  <c r="G48" i="47"/>
  <c r="G47" i="47"/>
  <c r="G44" i="47"/>
  <c r="G43" i="47"/>
  <c r="G42" i="47"/>
  <c r="G41" i="47"/>
  <c r="G40" i="47"/>
  <c r="G39" i="47"/>
  <c r="G38" i="47"/>
  <c r="G35" i="47"/>
  <c r="G34" i="47"/>
  <c r="G33" i="47"/>
  <c r="G32" i="47"/>
  <c r="G31" i="47"/>
  <c r="G30" i="47"/>
  <c r="G29" i="47"/>
  <c r="G26" i="47"/>
  <c r="G25" i="47"/>
  <c r="G24" i="47"/>
  <c r="G23" i="47"/>
  <c r="G22" i="47"/>
  <c r="G21" i="47"/>
  <c r="G20" i="47"/>
  <c r="G17" i="47"/>
  <c r="G16" i="47"/>
  <c r="G15" i="47"/>
  <c r="G14" i="47"/>
  <c r="G13" i="47"/>
  <c r="G12" i="47"/>
  <c r="G11" i="47"/>
  <c r="G8" i="47"/>
  <c r="G7" i="47"/>
  <c r="G6" i="47"/>
  <c r="G5" i="47"/>
  <c r="G4" i="47"/>
  <c r="G3" i="47"/>
  <c r="V12" i="15"/>
  <c r="Z12" i="15" s="1"/>
  <c r="E9" i="47"/>
  <c r="C9" i="47"/>
  <c r="D171" i="47"/>
  <c r="D172" i="47" s="1"/>
  <c r="D162" i="47"/>
  <c r="D163" i="47" s="1"/>
  <c r="D153" i="47"/>
  <c r="D154" i="47" s="1"/>
  <c r="D144" i="47"/>
  <c r="D145" i="47" s="1"/>
  <c r="D135" i="47"/>
  <c r="D136" i="47" s="1"/>
  <c r="D126" i="47"/>
  <c r="D127" i="47" s="1"/>
  <c r="D117" i="47"/>
  <c r="D118" i="47" s="1"/>
  <c r="D108" i="47"/>
  <c r="D109" i="47" s="1"/>
  <c r="D99" i="47"/>
  <c r="D100" i="47" s="1"/>
  <c r="D90" i="47"/>
  <c r="D91" i="47" s="1"/>
  <c r="D81" i="47"/>
  <c r="D82" i="47" s="1"/>
  <c r="D72" i="47"/>
  <c r="D73" i="47" s="1"/>
  <c r="D63" i="47"/>
  <c r="D64" i="47" s="1"/>
  <c r="D54" i="47"/>
  <c r="D55" i="47" s="1"/>
  <c r="D45" i="47"/>
  <c r="D46" i="47" s="1"/>
  <c r="D36" i="47"/>
  <c r="D37" i="47" s="1"/>
  <c r="D27" i="47"/>
  <c r="D28" i="47" s="1"/>
  <c r="D18" i="47"/>
  <c r="D19" i="47" s="1"/>
  <c r="D9" i="47"/>
  <c r="D10" i="47" s="1"/>
  <c r="F171" i="47"/>
  <c r="F172" i="47" s="1"/>
  <c r="G172" i="47" s="1"/>
  <c r="F162" i="47"/>
  <c r="F163" i="47" s="1"/>
  <c r="G163" i="47" s="1"/>
  <c r="F153" i="47"/>
  <c r="F154" i="47" s="1"/>
  <c r="G154" i="47" s="1"/>
  <c r="F144" i="47"/>
  <c r="F145" i="47" s="1"/>
  <c r="G145" i="47" s="1"/>
  <c r="F135" i="47"/>
  <c r="F136" i="47" s="1"/>
  <c r="G136" i="47" s="1"/>
  <c r="F126" i="47"/>
  <c r="F127" i="47" s="1"/>
  <c r="F117" i="47"/>
  <c r="F118" i="47" s="1"/>
  <c r="G118" i="47" s="1"/>
  <c r="F108" i="47"/>
  <c r="F109" i="47" s="1"/>
  <c r="F99" i="47"/>
  <c r="F100" i="47" s="1"/>
  <c r="G100" i="47" s="1"/>
  <c r="F90" i="47"/>
  <c r="F91" i="47" s="1"/>
  <c r="G91" i="47" s="1"/>
  <c r="F81" i="47"/>
  <c r="F82" i="47" s="1"/>
  <c r="G82" i="47" s="1"/>
  <c r="F72" i="47"/>
  <c r="F73" i="47" s="1"/>
  <c r="G73" i="47" s="1"/>
  <c r="F63" i="47"/>
  <c r="F64" i="47" s="1"/>
  <c r="G64" i="47" s="1"/>
  <c r="F54" i="47"/>
  <c r="F55" i="47" s="1"/>
  <c r="F45" i="47"/>
  <c r="F46" i="47" s="1"/>
  <c r="G46" i="47" s="1"/>
  <c r="F36" i="47"/>
  <c r="F37" i="47" s="1"/>
  <c r="F27" i="47"/>
  <c r="F28" i="47" s="1"/>
  <c r="G28" i="47" s="1"/>
  <c r="F18" i="47"/>
  <c r="F19" i="47" s="1"/>
  <c r="G19" i="47" s="1"/>
  <c r="F9" i="47"/>
  <c r="F10" i="47" s="1"/>
  <c r="G10" i="47" s="1"/>
  <c r="E162" i="47"/>
  <c r="C162" i="47"/>
  <c r="E144" i="47"/>
  <c r="C144" i="47"/>
  <c r="E135" i="47"/>
  <c r="C135" i="47"/>
  <c r="E126" i="47"/>
  <c r="C126" i="47"/>
  <c r="E117" i="47"/>
  <c r="C117" i="47"/>
  <c r="E99" i="47"/>
  <c r="C99" i="47"/>
  <c r="E90" i="47"/>
  <c r="C90" i="47"/>
  <c r="E81" i="47"/>
  <c r="C81" i="47"/>
  <c r="E72" i="47"/>
  <c r="C72" i="47"/>
  <c r="E63" i="47"/>
  <c r="C63" i="47"/>
  <c r="E54" i="47"/>
  <c r="C54" i="47"/>
  <c r="E45" i="47"/>
  <c r="C45" i="47"/>
  <c r="E36" i="47"/>
  <c r="C36" i="47"/>
  <c r="E27" i="47"/>
  <c r="C27" i="47"/>
  <c r="E18" i="47"/>
  <c r="C18" i="47"/>
  <c r="V12" i="30"/>
  <c r="G108" i="47" l="1"/>
  <c r="G153" i="47"/>
  <c r="G162" i="47"/>
  <c r="G171" i="47"/>
  <c r="G37" i="47"/>
  <c r="G109" i="47"/>
  <c r="G55" i="47"/>
  <c r="G127" i="47"/>
  <c r="G27" i="47"/>
  <c r="G117" i="47"/>
  <c r="G45" i="47"/>
  <c r="G126" i="47"/>
  <c r="G72" i="47"/>
  <c r="G9" i="47"/>
  <c r="G81" i="47"/>
  <c r="G18" i="47"/>
  <c r="G54" i="47"/>
  <c r="G135" i="47"/>
  <c r="G36" i="47"/>
  <c r="G63" i="47"/>
  <c r="G144" i="47"/>
  <c r="E180" i="45" l="1"/>
  <c r="E27" i="45"/>
  <c r="E28" i="45" s="1"/>
  <c r="E18" i="15"/>
  <c r="E27" i="15"/>
  <c r="E28" i="15" s="1"/>
  <c r="E36" i="15"/>
  <c r="E37" i="15" s="1"/>
  <c r="E45" i="15"/>
  <c r="E46" i="15" s="1"/>
  <c r="E54" i="15"/>
  <c r="E55" i="15" s="1"/>
  <c r="E63" i="15"/>
  <c r="E64" i="15" s="1"/>
  <c r="E72" i="15"/>
  <c r="E73" i="15" s="1"/>
  <c r="E81" i="15"/>
  <c r="E82" i="15" s="1"/>
  <c r="E90" i="15"/>
  <c r="E91" i="15" s="1"/>
  <c r="E99" i="15"/>
  <c r="E100" i="15" s="1"/>
  <c r="E108" i="15"/>
  <c r="E109" i="15" s="1"/>
  <c r="E117" i="15"/>
  <c r="E118" i="15" s="1"/>
  <c r="E126" i="15"/>
  <c r="E127" i="15" s="1"/>
  <c r="E135" i="15"/>
  <c r="E136" i="15" s="1"/>
  <c r="E144" i="15"/>
  <c r="E145" i="15" s="1"/>
  <c r="E153" i="15"/>
  <c r="E154" i="15" s="1"/>
  <c r="E162" i="15"/>
  <c r="E163" i="15" s="1"/>
  <c r="E171" i="15"/>
  <c r="E172" i="15" s="1"/>
  <c r="E180" i="15"/>
  <c r="E171" i="45"/>
  <c r="E172" i="45" s="1"/>
  <c r="E162" i="45"/>
  <c r="E163" i="45" s="1"/>
  <c r="E153" i="45"/>
  <c r="E154" i="45" s="1"/>
  <c r="E144" i="45"/>
  <c r="E145" i="45" s="1"/>
  <c r="E135" i="45"/>
  <c r="E136" i="45" s="1"/>
  <c r="E126" i="45"/>
  <c r="E127" i="45" s="1"/>
  <c r="E117" i="45"/>
  <c r="E118" i="45" s="1"/>
  <c r="E108" i="45"/>
  <c r="E109" i="45" s="1"/>
  <c r="E99" i="45"/>
  <c r="E100" i="45" s="1"/>
  <c r="E90" i="45"/>
  <c r="E91" i="45" s="1"/>
  <c r="E81" i="45"/>
  <c r="E82" i="45" s="1"/>
  <c r="E72" i="45"/>
  <c r="E73" i="45" s="1"/>
  <c r="E63" i="45"/>
  <c r="E64" i="45" s="1"/>
  <c r="E54" i="45"/>
  <c r="E55" i="45" s="1"/>
  <c r="E45" i="45"/>
  <c r="E46" i="45" s="1"/>
  <c r="E36" i="45"/>
  <c r="E37" i="45" s="1"/>
  <c r="E18" i="45"/>
  <c r="E180" i="34"/>
  <c r="E181" i="34" s="1"/>
  <c r="E171" i="34"/>
  <c r="E172" i="34" s="1"/>
  <c r="E162" i="34"/>
  <c r="E163" i="34" s="1"/>
  <c r="E153" i="34"/>
  <c r="E154" i="34" s="1"/>
  <c r="E144" i="34"/>
  <c r="E145" i="34" s="1"/>
  <c r="E135" i="34"/>
  <c r="E136" i="34" s="1"/>
  <c r="E126" i="34"/>
  <c r="E127" i="34" s="1"/>
  <c r="E117" i="34"/>
  <c r="E118" i="34" s="1"/>
  <c r="E108" i="34"/>
  <c r="E109" i="34" s="1"/>
  <c r="E99" i="34"/>
  <c r="E100" i="34" s="1"/>
  <c r="E90" i="34"/>
  <c r="E91" i="34" s="1"/>
  <c r="E81" i="34"/>
  <c r="E82" i="34" s="1"/>
  <c r="E72" i="34"/>
  <c r="E73" i="34" s="1"/>
  <c r="E63" i="34"/>
  <c r="E64" i="34" s="1"/>
  <c r="E54" i="34"/>
  <c r="E55" i="34" s="1"/>
  <c r="E45" i="34"/>
  <c r="E46" i="34" s="1"/>
  <c r="E36" i="34"/>
  <c r="E37" i="34" s="1"/>
  <c r="E27" i="34"/>
  <c r="E28" i="34" s="1"/>
  <c r="E18" i="34"/>
  <c r="E19" i="34" s="1"/>
  <c r="E180" i="29"/>
  <c r="E181" i="29" s="1"/>
  <c r="E171" i="29"/>
  <c r="E172" i="29" s="1"/>
  <c r="E162" i="29"/>
  <c r="E163" i="29" s="1"/>
  <c r="E153" i="29"/>
  <c r="E154" i="29" s="1"/>
  <c r="E144" i="29"/>
  <c r="E145" i="29" s="1"/>
  <c r="E135" i="29"/>
  <c r="E136" i="29" s="1"/>
  <c r="E126" i="29"/>
  <c r="E127" i="29" s="1"/>
  <c r="E117" i="29"/>
  <c r="E118" i="29" s="1"/>
  <c r="E108" i="29"/>
  <c r="E109" i="29" s="1"/>
  <c r="E99" i="29"/>
  <c r="E100" i="29" s="1"/>
  <c r="E90" i="29"/>
  <c r="E91" i="29" s="1"/>
  <c r="E81" i="29"/>
  <c r="E82" i="29" s="1"/>
  <c r="E72" i="29"/>
  <c r="E73" i="29" s="1"/>
  <c r="E63" i="29"/>
  <c r="E64" i="29" s="1"/>
  <c r="E54" i="29"/>
  <c r="E55" i="29" s="1"/>
  <c r="E45" i="29"/>
  <c r="E46" i="29" s="1"/>
  <c r="E36" i="29"/>
  <c r="E37" i="29" s="1"/>
  <c r="E27" i="29"/>
  <c r="E28" i="29" s="1"/>
  <c r="E18" i="29"/>
  <c r="E19" i="29" s="1"/>
  <c r="E180" i="30"/>
  <c r="E181" i="30" s="1"/>
  <c r="E171" i="30"/>
  <c r="E172" i="30" s="1"/>
  <c r="E162" i="30"/>
  <c r="E163" i="30" s="1"/>
  <c r="E153" i="30"/>
  <c r="E154" i="30" s="1"/>
  <c r="E144" i="30"/>
  <c r="E145" i="30" s="1"/>
  <c r="E135" i="30"/>
  <c r="E136" i="30" s="1"/>
  <c r="E126" i="30"/>
  <c r="E127" i="30" s="1"/>
  <c r="E117" i="30"/>
  <c r="E118" i="30" s="1"/>
  <c r="E108" i="30"/>
  <c r="E109" i="30" s="1"/>
  <c r="E99" i="30"/>
  <c r="E100" i="30" s="1"/>
  <c r="E90" i="30"/>
  <c r="E91" i="30" s="1"/>
  <c r="E81" i="30"/>
  <c r="E82" i="30" s="1"/>
  <c r="E72" i="30"/>
  <c r="E73" i="30" s="1"/>
  <c r="E63" i="30"/>
  <c r="E64" i="30" s="1"/>
  <c r="E54" i="30"/>
  <c r="E55" i="30" s="1"/>
  <c r="E45" i="30"/>
  <c r="E46" i="30" s="1"/>
  <c r="E36" i="30"/>
  <c r="E37" i="30" s="1"/>
  <c r="E27" i="30"/>
  <c r="E28" i="30" s="1"/>
  <c r="E18" i="30"/>
  <c r="E19" i="30" s="1"/>
  <c r="E180" i="31"/>
  <c r="E181" i="31" s="1"/>
  <c r="E171" i="31"/>
  <c r="E172" i="31" s="1"/>
  <c r="E162" i="31"/>
  <c r="E163" i="31" s="1"/>
  <c r="E153" i="31"/>
  <c r="E154" i="31" s="1"/>
  <c r="E144" i="31"/>
  <c r="E145" i="31" s="1"/>
  <c r="E135" i="31"/>
  <c r="E136" i="31" s="1"/>
  <c r="E126" i="31"/>
  <c r="E127" i="31" s="1"/>
  <c r="E117" i="31"/>
  <c r="E118" i="31" s="1"/>
  <c r="E108" i="31"/>
  <c r="E109" i="31" s="1"/>
  <c r="E99" i="31"/>
  <c r="E100" i="31" s="1"/>
  <c r="E90" i="31"/>
  <c r="E91" i="31" s="1"/>
  <c r="E81" i="31"/>
  <c r="E82" i="31" s="1"/>
  <c r="E72" i="31"/>
  <c r="E73" i="31" s="1"/>
  <c r="E63" i="31"/>
  <c r="E64" i="31" s="1"/>
  <c r="E54" i="31"/>
  <c r="E55" i="31" s="1"/>
  <c r="E45" i="31"/>
  <c r="E46" i="31" s="1"/>
  <c r="E36" i="31"/>
  <c r="E37" i="31" s="1"/>
  <c r="E27" i="31"/>
  <c r="E28" i="31" s="1"/>
  <c r="E18" i="31"/>
  <c r="E19" i="31" s="1"/>
  <c r="E180" i="32"/>
  <c r="E181" i="32" s="1"/>
  <c r="E171" i="32"/>
  <c r="E172" i="32" s="1"/>
  <c r="E162" i="32"/>
  <c r="E163" i="32" s="1"/>
  <c r="E153" i="32"/>
  <c r="E154" i="32" s="1"/>
  <c r="E144" i="32"/>
  <c r="E145" i="32" s="1"/>
  <c r="E135" i="32"/>
  <c r="E136" i="32" s="1"/>
  <c r="E126" i="32"/>
  <c r="E127" i="32" s="1"/>
  <c r="E117" i="32"/>
  <c r="E118" i="32" s="1"/>
  <c r="E108" i="32"/>
  <c r="E109" i="32" s="1"/>
  <c r="E99" i="32"/>
  <c r="E100" i="32" s="1"/>
  <c r="E90" i="32"/>
  <c r="E91" i="32" s="1"/>
  <c r="E81" i="32"/>
  <c r="E82" i="32" s="1"/>
  <c r="E72" i="32"/>
  <c r="E73" i="32" s="1"/>
  <c r="E63" i="32"/>
  <c r="E64" i="32" s="1"/>
  <c r="E54" i="32"/>
  <c r="E55" i="32" s="1"/>
  <c r="E45" i="32"/>
  <c r="E46" i="32" s="1"/>
  <c r="E36" i="32"/>
  <c r="E37" i="32" s="1"/>
  <c r="E27" i="32"/>
  <c r="E28" i="32" s="1"/>
  <c r="E18" i="32"/>
  <c r="E19" i="32" s="1"/>
  <c r="E180" i="19"/>
  <c r="E181" i="19" s="1"/>
  <c r="E171" i="19"/>
  <c r="E172" i="19" s="1"/>
  <c r="E162" i="19"/>
  <c r="E163" i="19" s="1"/>
  <c r="E153" i="19"/>
  <c r="E154" i="19" s="1"/>
  <c r="E144" i="19"/>
  <c r="E145" i="19" s="1"/>
  <c r="E135" i="19"/>
  <c r="E136" i="19" s="1"/>
  <c r="E126" i="19"/>
  <c r="E127" i="19" s="1"/>
  <c r="E117" i="19"/>
  <c r="E118" i="19" s="1"/>
  <c r="E108" i="19"/>
  <c r="E109" i="19" s="1"/>
  <c r="E99" i="19"/>
  <c r="E100" i="19" s="1"/>
  <c r="E90" i="19"/>
  <c r="E91" i="19" s="1"/>
  <c r="E81" i="19"/>
  <c r="E82" i="19" s="1"/>
  <c r="E72" i="19"/>
  <c r="E73" i="19" s="1"/>
  <c r="E63" i="19"/>
  <c r="E64" i="19" s="1"/>
  <c r="E54" i="19"/>
  <c r="E55" i="19" s="1"/>
  <c r="E45" i="19"/>
  <c r="E46" i="19" s="1"/>
  <c r="E36" i="19"/>
  <c r="E37" i="19" s="1"/>
  <c r="E27" i="19"/>
  <c r="E28" i="19" s="1"/>
  <c r="E18" i="19"/>
  <c r="E180" i="18"/>
  <c r="E181" i="18" s="1"/>
  <c r="E171" i="18"/>
  <c r="E172" i="18" s="1"/>
  <c r="E162" i="18"/>
  <c r="E163" i="18" s="1"/>
  <c r="E153" i="18"/>
  <c r="E154" i="18" s="1"/>
  <c r="E144" i="18"/>
  <c r="E145" i="18" s="1"/>
  <c r="E135" i="18"/>
  <c r="E136" i="18" s="1"/>
  <c r="E126" i="18"/>
  <c r="E127" i="18" s="1"/>
  <c r="E117" i="18"/>
  <c r="E118" i="18" s="1"/>
  <c r="E108" i="18"/>
  <c r="E109" i="18" s="1"/>
  <c r="E99" i="18"/>
  <c r="E100" i="18" s="1"/>
  <c r="E90" i="18"/>
  <c r="E91" i="18" s="1"/>
  <c r="E81" i="18"/>
  <c r="E82" i="18" s="1"/>
  <c r="E72" i="18"/>
  <c r="E73" i="18" s="1"/>
  <c r="E63" i="18"/>
  <c r="E64" i="18" s="1"/>
  <c r="E54" i="18"/>
  <c r="E55" i="18" s="1"/>
  <c r="E45" i="18"/>
  <c r="E46" i="18" s="1"/>
  <c r="E36" i="18"/>
  <c r="E37" i="18" s="1"/>
  <c r="E27" i="18"/>
  <c r="E28" i="18" s="1"/>
  <c r="E18" i="18"/>
  <c r="E19" i="18" s="1"/>
  <c r="E180" i="17"/>
  <c r="E181" i="17" s="1"/>
  <c r="E171" i="17"/>
  <c r="E172" i="17" s="1"/>
  <c r="E162" i="17"/>
  <c r="E163" i="17" s="1"/>
  <c r="E153" i="17"/>
  <c r="E154" i="17" s="1"/>
  <c r="E144" i="17"/>
  <c r="E145" i="17" s="1"/>
  <c r="E135" i="17"/>
  <c r="E136" i="17" s="1"/>
  <c r="E126" i="17"/>
  <c r="E127" i="17" s="1"/>
  <c r="E117" i="17"/>
  <c r="E118" i="17" s="1"/>
  <c r="E108" i="17"/>
  <c r="E109" i="17" s="1"/>
  <c r="E99" i="17"/>
  <c r="E100" i="17" s="1"/>
  <c r="E90" i="17"/>
  <c r="E91" i="17" s="1"/>
  <c r="E81" i="17"/>
  <c r="E82" i="17" s="1"/>
  <c r="E72" i="17"/>
  <c r="E73" i="17" s="1"/>
  <c r="E63" i="17"/>
  <c r="E64" i="17" s="1"/>
  <c r="E54" i="17"/>
  <c r="E55" i="17" s="1"/>
  <c r="E45" i="17"/>
  <c r="E46" i="17" s="1"/>
  <c r="E36" i="17"/>
  <c r="E37" i="17" s="1"/>
  <c r="E27" i="17"/>
  <c r="E28" i="17" s="1"/>
  <c r="E18" i="17"/>
  <c r="E19" i="17" s="1"/>
  <c r="E180" i="16"/>
  <c r="E181" i="16" s="1"/>
  <c r="E171" i="16"/>
  <c r="E172" i="16" s="1"/>
  <c r="E162" i="16"/>
  <c r="E163" i="16" s="1"/>
  <c r="E153" i="16"/>
  <c r="E154" i="16" s="1"/>
  <c r="E144" i="16"/>
  <c r="E145" i="16" s="1"/>
  <c r="E135" i="16"/>
  <c r="E136" i="16" s="1"/>
  <c r="E126" i="16"/>
  <c r="E127" i="16" s="1"/>
  <c r="E117" i="16"/>
  <c r="E118" i="16" s="1"/>
  <c r="E108" i="16"/>
  <c r="E109" i="16" s="1"/>
  <c r="E99" i="16"/>
  <c r="E100" i="16" s="1"/>
  <c r="E90" i="16"/>
  <c r="E91" i="16" s="1"/>
  <c r="E81" i="16"/>
  <c r="E82" i="16" s="1"/>
  <c r="E72" i="16"/>
  <c r="E73" i="16" s="1"/>
  <c r="E63" i="16"/>
  <c r="E64" i="16" s="1"/>
  <c r="E54" i="16"/>
  <c r="E55" i="16" s="1"/>
  <c r="E45" i="16"/>
  <c r="E46" i="16" s="1"/>
  <c r="E36" i="16"/>
  <c r="E37" i="16" s="1"/>
  <c r="E27" i="16"/>
  <c r="E28" i="16" s="1"/>
  <c r="E18" i="16"/>
  <c r="E19" i="16" s="1"/>
  <c r="E180" i="14"/>
  <c r="E181" i="14" s="1"/>
  <c r="E171" i="14"/>
  <c r="E162" i="14"/>
  <c r="E163" i="14" s="1"/>
  <c r="E153" i="14"/>
  <c r="E154" i="14" s="1"/>
  <c r="E144" i="14"/>
  <c r="E145" i="14" s="1"/>
  <c r="E135" i="14"/>
  <c r="E136" i="14" s="1"/>
  <c r="E126" i="14"/>
  <c r="E127" i="14" s="1"/>
  <c r="E117" i="14"/>
  <c r="E118" i="14" s="1"/>
  <c r="E108" i="14"/>
  <c r="E109" i="14" s="1"/>
  <c r="E99" i="14"/>
  <c r="E100" i="14" s="1"/>
  <c r="E90" i="14"/>
  <c r="E91" i="14" s="1"/>
  <c r="E81" i="14"/>
  <c r="E82" i="14" s="1"/>
  <c r="E72" i="14"/>
  <c r="E73" i="14" s="1"/>
  <c r="E63" i="14"/>
  <c r="E64" i="14" s="1"/>
  <c r="E54" i="14"/>
  <c r="E55" i="14" s="1"/>
  <c r="E45" i="14"/>
  <c r="E46" i="14" s="1"/>
  <c r="E36" i="14"/>
  <c r="E37" i="14" s="1"/>
  <c r="E27" i="14"/>
  <c r="E28" i="14" s="1"/>
  <c r="E18" i="14"/>
  <c r="E19" i="14" s="1"/>
  <c r="E180" i="46"/>
  <c r="E171" i="46"/>
  <c r="E172" i="46" s="1"/>
  <c r="E162" i="46"/>
  <c r="E153" i="46"/>
  <c r="E154" i="46" s="1"/>
  <c r="E144" i="46"/>
  <c r="E145" i="46" s="1"/>
  <c r="E135" i="46"/>
  <c r="E136" i="46" s="1"/>
  <c r="E126" i="46"/>
  <c r="E127" i="46" s="1"/>
  <c r="E117" i="46"/>
  <c r="E118" i="46" s="1"/>
  <c r="E108" i="46"/>
  <c r="E109" i="46" s="1"/>
  <c r="E99" i="46"/>
  <c r="E100" i="46" s="1"/>
  <c r="E90" i="46"/>
  <c r="E91" i="46" s="1"/>
  <c r="E81" i="46"/>
  <c r="E82" i="46" s="1"/>
  <c r="E72" i="46"/>
  <c r="E73" i="46" s="1"/>
  <c r="E63" i="46"/>
  <c r="E64" i="46" s="1"/>
  <c r="E54" i="46"/>
  <c r="E55" i="46" s="1"/>
  <c r="E45" i="46"/>
  <c r="E46" i="46" s="1"/>
  <c r="E36" i="46"/>
  <c r="E37" i="46" s="1"/>
  <c r="E27" i="46"/>
  <c r="E28" i="46" s="1"/>
  <c r="E18" i="46"/>
  <c r="BA18" i="46" s="1"/>
  <c r="E19" i="45" l="1"/>
  <c r="BA18" i="45"/>
  <c r="BA180" i="46"/>
  <c r="E183" i="46"/>
  <c r="E172" i="14"/>
  <c r="E187" i="14"/>
  <c r="E183" i="14"/>
  <c r="E183" i="30"/>
  <c r="E183" i="29"/>
  <c r="E183" i="34"/>
  <c r="E183" i="17"/>
  <c r="E181" i="15"/>
  <c r="BA180" i="15"/>
  <c r="E183" i="18"/>
  <c r="E183" i="15"/>
  <c r="E183" i="19"/>
  <c r="E183" i="45"/>
  <c r="E183" i="31"/>
  <c r="E163" i="46"/>
  <c r="E19" i="19"/>
  <c r="BA18" i="19"/>
  <c r="E183" i="16"/>
  <c r="E19" i="46"/>
  <c r="E19" i="15"/>
  <c r="BA18" i="15"/>
  <c r="E183" i="32"/>
  <c r="E181" i="45"/>
  <c r="E181" i="46"/>
  <c r="E184" i="46" s="1"/>
  <c r="V12" i="46" l="1"/>
  <c r="Z12" i="46" s="1"/>
  <c r="AO12" i="46" s="1"/>
  <c r="O38" i="2" l="1"/>
  <c r="V123" i="45"/>
  <c r="Z123" i="45" s="1"/>
  <c r="BA180" i="45"/>
  <c r="BA171" i="45"/>
  <c r="BA162" i="45"/>
  <c r="BA153" i="45"/>
  <c r="BA144" i="45"/>
  <c r="BA135" i="45"/>
  <c r="BA126" i="45"/>
  <c r="BA117" i="45"/>
  <c r="BA108" i="45"/>
  <c r="BA99" i="45"/>
  <c r="BA90" i="45"/>
  <c r="BA81" i="45"/>
  <c r="BA72" i="45"/>
  <c r="BA63" i="45"/>
  <c r="BA54" i="45"/>
  <c r="BA45" i="45"/>
  <c r="BA36" i="45"/>
  <c r="BA27" i="45"/>
  <c r="BA18" i="14"/>
  <c r="BA171" i="46"/>
  <c r="BA162" i="46"/>
  <c r="BA153" i="46"/>
  <c r="BA144" i="46"/>
  <c r="BA135" i="46"/>
  <c r="BA126" i="46"/>
  <c r="BA117" i="46"/>
  <c r="BA108" i="46"/>
  <c r="BA99" i="46"/>
  <c r="BA90" i="46"/>
  <c r="BA81" i="46"/>
  <c r="BA72" i="46"/>
  <c r="BA63" i="46"/>
  <c r="BA54" i="46"/>
  <c r="BA45" i="46"/>
  <c r="BA36" i="46"/>
  <c r="BA27" i="46"/>
  <c r="BA180" i="14"/>
  <c r="BA171" i="14"/>
  <c r="BA162" i="14"/>
  <c r="BA153" i="14"/>
  <c r="BA144" i="14"/>
  <c r="BA135" i="14"/>
  <c r="BA126" i="14"/>
  <c r="BA117" i="14"/>
  <c r="BA108" i="14"/>
  <c r="BA99" i="14"/>
  <c r="BA90" i="14"/>
  <c r="BA81" i="14"/>
  <c r="BA72" i="14"/>
  <c r="BA63" i="14"/>
  <c r="BA54" i="14"/>
  <c r="BA45" i="14"/>
  <c r="BA36" i="14"/>
  <c r="BA27" i="14"/>
  <c r="BA171" i="15"/>
  <c r="BA162" i="15"/>
  <c r="BA153" i="15"/>
  <c r="BA144" i="15"/>
  <c r="BA135" i="15"/>
  <c r="BA126" i="15"/>
  <c r="BA117" i="15"/>
  <c r="BA108" i="15"/>
  <c r="BA99" i="15"/>
  <c r="BA90" i="15"/>
  <c r="BA81" i="15"/>
  <c r="BA72" i="15"/>
  <c r="BA63" i="15"/>
  <c r="BA54" i="15"/>
  <c r="BA45" i="15"/>
  <c r="BA36" i="15"/>
  <c r="BA27" i="15"/>
  <c r="BA180" i="16"/>
  <c r="BA171" i="16"/>
  <c r="BA162" i="16"/>
  <c r="BA153" i="16"/>
  <c r="BA144" i="16"/>
  <c r="BA135" i="16"/>
  <c r="BA126" i="16"/>
  <c r="BA117" i="16"/>
  <c r="BA108" i="16"/>
  <c r="BA99" i="16"/>
  <c r="BA90" i="16"/>
  <c r="BA81" i="16"/>
  <c r="BA72" i="16"/>
  <c r="BA63" i="16"/>
  <c r="BA54" i="16"/>
  <c r="BA45" i="16"/>
  <c r="BA36" i="16"/>
  <c r="BA27" i="16"/>
  <c r="BA18" i="16"/>
  <c r="BA180" i="17"/>
  <c r="BA171" i="17"/>
  <c r="BA162" i="17"/>
  <c r="BA153" i="17"/>
  <c r="BA144" i="17"/>
  <c r="BA135" i="17"/>
  <c r="BA126" i="17"/>
  <c r="BA117" i="17"/>
  <c r="BA108" i="17"/>
  <c r="BA99" i="17"/>
  <c r="BA90" i="17"/>
  <c r="BA81" i="17"/>
  <c r="BA72" i="17"/>
  <c r="BA63" i="17"/>
  <c r="BA54" i="17"/>
  <c r="BA45" i="17"/>
  <c r="BA36" i="17"/>
  <c r="BA27" i="17"/>
  <c r="BA18" i="17"/>
  <c r="BA180" i="18"/>
  <c r="BA171" i="18"/>
  <c r="BA162" i="18"/>
  <c r="BA153" i="18"/>
  <c r="BA144" i="18"/>
  <c r="BA135" i="18"/>
  <c r="BA126" i="18"/>
  <c r="BA117" i="18"/>
  <c r="BA108" i="18"/>
  <c r="BA99" i="18"/>
  <c r="BA90" i="18"/>
  <c r="BA81" i="18"/>
  <c r="BA72" i="18"/>
  <c r="BA63" i="18"/>
  <c r="BA54" i="18"/>
  <c r="BA45" i="18"/>
  <c r="BA36" i="18"/>
  <c r="BA27" i="18"/>
  <c r="BA18" i="18"/>
  <c r="BA180" i="19"/>
  <c r="BA171" i="19"/>
  <c r="BA162" i="19"/>
  <c r="BA153" i="19"/>
  <c r="BA144" i="19"/>
  <c r="BA135" i="19"/>
  <c r="BA126" i="19"/>
  <c r="BA117" i="19"/>
  <c r="BA108" i="19"/>
  <c r="BA99" i="19"/>
  <c r="BA90" i="19"/>
  <c r="BA81" i="19"/>
  <c r="BA72" i="19"/>
  <c r="BA63" i="19"/>
  <c r="BA54" i="19"/>
  <c r="BA45" i="19"/>
  <c r="BA36" i="19"/>
  <c r="BA27" i="19"/>
  <c r="BA180" i="32"/>
  <c r="BA171" i="32"/>
  <c r="BA162" i="32"/>
  <c r="BA153" i="32"/>
  <c r="BA144" i="32"/>
  <c r="BA135" i="32"/>
  <c r="BA126" i="32"/>
  <c r="BA117" i="32"/>
  <c r="BA108" i="32"/>
  <c r="BA99" i="32"/>
  <c r="BA90" i="32"/>
  <c r="BA81" i="32"/>
  <c r="BA72" i="32"/>
  <c r="BA63" i="32"/>
  <c r="BA54" i="32"/>
  <c r="BA45" i="32"/>
  <c r="BA36" i="32"/>
  <c r="BA27" i="32"/>
  <c r="BA18" i="32"/>
  <c r="BA180" i="31"/>
  <c r="BA171" i="31"/>
  <c r="BA162" i="31"/>
  <c r="BA153" i="31"/>
  <c r="BA144" i="31"/>
  <c r="BA135" i="31"/>
  <c r="BA126" i="31"/>
  <c r="BA117" i="31"/>
  <c r="BA108" i="31"/>
  <c r="BA99" i="31"/>
  <c r="BA90" i="31"/>
  <c r="BA81" i="31"/>
  <c r="BA72" i="31"/>
  <c r="BA63" i="31"/>
  <c r="BA54" i="31"/>
  <c r="BA45" i="31"/>
  <c r="BA36" i="31"/>
  <c r="BA27" i="31"/>
  <c r="BA18" i="31"/>
  <c r="BA180" i="30"/>
  <c r="BA171" i="30"/>
  <c r="BA162" i="30"/>
  <c r="BA153" i="30"/>
  <c r="BA144" i="30"/>
  <c r="BA135" i="30"/>
  <c r="BA126" i="30"/>
  <c r="BA117" i="30"/>
  <c r="BA108" i="30"/>
  <c r="BA99" i="30"/>
  <c r="BA90" i="30"/>
  <c r="BA81" i="30"/>
  <c r="BA72" i="30"/>
  <c r="BA63" i="30"/>
  <c r="BA54" i="30"/>
  <c r="BA45" i="30"/>
  <c r="BA36" i="30"/>
  <c r="BA27" i="30"/>
  <c r="BA18" i="30"/>
  <c r="BA18" i="34"/>
  <c r="BA180" i="34"/>
  <c r="BA171" i="34"/>
  <c r="BA162" i="34"/>
  <c r="BA153" i="34"/>
  <c r="BA144" i="34"/>
  <c r="BA135" i="34"/>
  <c r="BA126" i="34"/>
  <c r="BA117" i="34"/>
  <c r="BA108" i="34"/>
  <c r="BA99" i="34"/>
  <c r="BA90" i="34"/>
  <c r="BA81" i="34"/>
  <c r="BA72" i="34"/>
  <c r="BA63" i="34"/>
  <c r="BA54" i="34"/>
  <c r="BA45" i="34"/>
  <c r="BA36" i="34"/>
  <c r="BA27" i="34"/>
  <c r="BA18" i="29"/>
  <c r="BA180" i="29"/>
  <c r="BA171" i="29"/>
  <c r="BA162" i="29"/>
  <c r="BA153" i="29"/>
  <c r="BA144" i="29"/>
  <c r="BA135" i="29"/>
  <c r="BA126" i="29"/>
  <c r="BA117" i="29"/>
  <c r="BA108" i="29"/>
  <c r="BA99" i="29"/>
  <c r="BA90" i="29"/>
  <c r="BA81" i="29"/>
  <c r="BA72" i="29"/>
  <c r="BA63" i="29"/>
  <c r="BA54" i="29"/>
  <c r="BA45" i="29"/>
  <c r="BA36" i="29"/>
  <c r="BA27" i="29"/>
  <c r="BA184" i="14" l="1"/>
  <c r="BB184" i="14" s="1"/>
  <c r="BA184" i="46"/>
  <c r="BB184" i="46" s="1"/>
  <c r="H180" i="45"/>
  <c r="G180" i="45"/>
  <c r="F180" i="45"/>
  <c r="D180" i="45"/>
  <c r="H181" i="45" s="1"/>
  <c r="H171" i="45"/>
  <c r="G171" i="45"/>
  <c r="F171" i="45"/>
  <c r="D171" i="45"/>
  <c r="H162" i="45"/>
  <c r="G162" i="45"/>
  <c r="F162" i="45"/>
  <c r="D162" i="45"/>
  <c r="H163" i="45" s="1"/>
  <c r="H153" i="45"/>
  <c r="G153" i="45"/>
  <c r="F153" i="45"/>
  <c r="D153" i="45"/>
  <c r="H144" i="45"/>
  <c r="G144" i="45"/>
  <c r="F144" i="45"/>
  <c r="D144" i="45"/>
  <c r="H145" i="45" s="1"/>
  <c r="H135" i="45"/>
  <c r="G135" i="45"/>
  <c r="F135" i="45"/>
  <c r="D135" i="45"/>
  <c r="H126" i="45"/>
  <c r="G126" i="45"/>
  <c r="F126" i="45"/>
  <c r="D126" i="45"/>
  <c r="H127" i="45" s="1"/>
  <c r="H117" i="45"/>
  <c r="G117" i="45"/>
  <c r="F117" i="45"/>
  <c r="D117" i="45"/>
  <c r="H108" i="45"/>
  <c r="G108" i="45"/>
  <c r="F108" i="45"/>
  <c r="D108" i="45"/>
  <c r="H109" i="45" s="1"/>
  <c r="H99" i="45"/>
  <c r="G99" i="45"/>
  <c r="F99" i="45"/>
  <c r="D99" i="45"/>
  <c r="H90" i="45"/>
  <c r="G90" i="45"/>
  <c r="F90" i="45"/>
  <c r="D90" i="45"/>
  <c r="H91" i="45" s="1"/>
  <c r="H81" i="45"/>
  <c r="G81" i="45"/>
  <c r="F81" i="45"/>
  <c r="D81" i="45"/>
  <c r="H72" i="45"/>
  <c r="G72" i="45"/>
  <c r="F72" i="45"/>
  <c r="D72" i="45"/>
  <c r="H73" i="45" s="1"/>
  <c r="H63" i="45"/>
  <c r="G63" i="45"/>
  <c r="F63" i="45"/>
  <c r="D63" i="45"/>
  <c r="H54" i="45"/>
  <c r="G54" i="45"/>
  <c r="F54" i="45"/>
  <c r="D54" i="45"/>
  <c r="H55" i="45" s="1"/>
  <c r="H45" i="45"/>
  <c r="G45" i="45"/>
  <c r="F45" i="45"/>
  <c r="D45" i="45"/>
  <c r="H36" i="45"/>
  <c r="G36" i="45"/>
  <c r="F36" i="45"/>
  <c r="D36" i="45"/>
  <c r="H37" i="45" s="1"/>
  <c r="H27" i="45"/>
  <c r="G27" i="45"/>
  <c r="F27" i="45"/>
  <c r="D27" i="45"/>
  <c r="H18" i="45"/>
  <c r="G18" i="45"/>
  <c r="F18" i="45"/>
  <c r="D18" i="45"/>
  <c r="H19" i="45" s="1"/>
  <c r="H180" i="34"/>
  <c r="G180" i="34"/>
  <c r="F180" i="34"/>
  <c r="D180" i="34"/>
  <c r="H171" i="34"/>
  <c r="G171" i="34"/>
  <c r="F171" i="34"/>
  <c r="D171" i="34"/>
  <c r="H172" i="34" s="1"/>
  <c r="H162" i="34"/>
  <c r="G162" i="34"/>
  <c r="F162" i="34"/>
  <c r="D162" i="34"/>
  <c r="H153" i="34"/>
  <c r="G153" i="34"/>
  <c r="F153" i="34"/>
  <c r="D153" i="34"/>
  <c r="H154" i="34" s="1"/>
  <c r="H144" i="34"/>
  <c r="G144" i="34"/>
  <c r="F144" i="34"/>
  <c r="D144" i="34"/>
  <c r="H135" i="34"/>
  <c r="G135" i="34"/>
  <c r="F135" i="34"/>
  <c r="D135" i="34"/>
  <c r="H136" i="34" s="1"/>
  <c r="H126" i="34"/>
  <c r="G126" i="34"/>
  <c r="F126" i="34"/>
  <c r="D126" i="34"/>
  <c r="H117" i="34"/>
  <c r="G117" i="34"/>
  <c r="F117" i="34"/>
  <c r="D117" i="34"/>
  <c r="H118" i="34" s="1"/>
  <c r="H108" i="34"/>
  <c r="G108" i="34"/>
  <c r="F108" i="34"/>
  <c r="D108" i="34"/>
  <c r="H99" i="34"/>
  <c r="G99" i="34"/>
  <c r="F99" i="34"/>
  <c r="D99" i="34"/>
  <c r="H100" i="34" s="1"/>
  <c r="H90" i="34"/>
  <c r="G90" i="34"/>
  <c r="F90" i="34"/>
  <c r="D90" i="34"/>
  <c r="H81" i="34"/>
  <c r="G81" i="34"/>
  <c r="F81" i="34"/>
  <c r="D81" i="34"/>
  <c r="H82" i="34" s="1"/>
  <c r="H72" i="34"/>
  <c r="G72" i="34"/>
  <c r="F72" i="34"/>
  <c r="D72" i="34"/>
  <c r="H63" i="34"/>
  <c r="G63" i="34"/>
  <c r="F63" i="34"/>
  <c r="D63" i="34"/>
  <c r="H64" i="34" s="1"/>
  <c r="H54" i="34"/>
  <c r="G54" i="34"/>
  <c r="F54" i="34"/>
  <c r="D54" i="34"/>
  <c r="H45" i="34"/>
  <c r="G45" i="34"/>
  <c r="F45" i="34"/>
  <c r="D45" i="34"/>
  <c r="H46" i="34" s="1"/>
  <c r="H36" i="34"/>
  <c r="G36" i="34"/>
  <c r="F36" i="34"/>
  <c r="D36" i="34"/>
  <c r="H27" i="34"/>
  <c r="G27" i="34"/>
  <c r="F27" i="34"/>
  <c r="D27" i="34"/>
  <c r="H28" i="34" s="1"/>
  <c r="H18" i="34"/>
  <c r="G18" i="34"/>
  <c r="F18" i="34"/>
  <c r="D18" i="34"/>
  <c r="H180" i="29"/>
  <c r="G180" i="29"/>
  <c r="F180" i="29"/>
  <c r="D180" i="29"/>
  <c r="H181" i="29" s="1"/>
  <c r="H171" i="29"/>
  <c r="G171" i="29"/>
  <c r="F171" i="29"/>
  <c r="D171" i="29"/>
  <c r="H162" i="29"/>
  <c r="G162" i="29"/>
  <c r="F162" i="29"/>
  <c r="D162" i="29"/>
  <c r="H163" i="29" s="1"/>
  <c r="H153" i="29"/>
  <c r="G153" i="29"/>
  <c r="F153" i="29"/>
  <c r="D153" i="29"/>
  <c r="H144" i="29"/>
  <c r="G144" i="29"/>
  <c r="F144" i="29"/>
  <c r="D144" i="29"/>
  <c r="H145" i="29" s="1"/>
  <c r="H135" i="29"/>
  <c r="G135" i="29"/>
  <c r="F135" i="29"/>
  <c r="D135" i="29"/>
  <c r="H126" i="29"/>
  <c r="G126" i="29"/>
  <c r="F126" i="29"/>
  <c r="D126" i="29"/>
  <c r="H127" i="29" s="1"/>
  <c r="H117" i="29"/>
  <c r="G117" i="29"/>
  <c r="F117" i="29"/>
  <c r="D117" i="29"/>
  <c r="H108" i="29"/>
  <c r="G108" i="29"/>
  <c r="F108" i="29"/>
  <c r="D108" i="29"/>
  <c r="H109" i="29" s="1"/>
  <c r="H99" i="29"/>
  <c r="G99" i="29"/>
  <c r="F99" i="29"/>
  <c r="D99" i="29"/>
  <c r="H90" i="29"/>
  <c r="G90" i="29"/>
  <c r="F90" i="29"/>
  <c r="D90" i="29"/>
  <c r="H91" i="29" s="1"/>
  <c r="H81" i="29"/>
  <c r="G81" i="29"/>
  <c r="F81" i="29"/>
  <c r="D81" i="29"/>
  <c r="H72" i="29"/>
  <c r="G72" i="29"/>
  <c r="F72" i="29"/>
  <c r="D72" i="29"/>
  <c r="H73" i="29" s="1"/>
  <c r="H63" i="29"/>
  <c r="G63" i="29"/>
  <c r="F63" i="29"/>
  <c r="D63" i="29"/>
  <c r="H54" i="29"/>
  <c r="G54" i="29"/>
  <c r="F54" i="29"/>
  <c r="D54" i="29"/>
  <c r="H55" i="29" s="1"/>
  <c r="H45" i="29"/>
  <c r="G45" i="29"/>
  <c r="F45" i="29"/>
  <c r="D45" i="29"/>
  <c r="H36" i="29"/>
  <c r="G36" i="29"/>
  <c r="F36" i="29"/>
  <c r="D36" i="29"/>
  <c r="H37" i="29" s="1"/>
  <c r="H27" i="29"/>
  <c r="G27" i="29"/>
  <c r="F27" i="29"/>
  <c r="D27" i="29"/>
  <c r="H18" i="29"/>
  <c r="G18" i="29"/>
  <c r="F18" i="29"/>
  <c r="D18" i="29"/>
  <c r="H19" i="29" s="1"/>
  <c r="H180" i="30"/>
  <c r="G180" i="30"/>
  <c r="F180" i="30"/>
  <c r="D180" i="30"/>
  <c r="H171" i="30"/>
  <c r="G171" i="30"/>
  <c r="F171" i="30"/>
  <c r="D171" i="30"/>
  <c r="H172" i="30" s="1"/>
  <c r="H162" i="30"/>
  <c r="G162" i="30"/>
  <c r="F162" i="30"/>
  <c r="D162" i="30"/>
  <c r="H153" i="30"/>
  <c r="G153" i="30"/>
  <c r="F153" i="30"/>
  <c r="D153" i="30"/>
  <c r="H154" i="30" s="1"/>
  <c r="H144" i="30"/>
  <c r="G144" i="30"/>
  <c r="F144" i="30"/>
  <c r="D144" i="30"/>
  <c r="H135" i="30"/>
  <c r="G135" i="30"/>
  <c r="F135" i="30"/>
  <c r="D135" i="30"/>
  <c r="H136" i="30" s="1"/>
  <c r="H126" i="30"/>
  <c r="G126" i="30"/>
  <c r="F126" i="30"/>
  <c r="D126" i="30"/>
  <c r="H117" i="30"/>
  <c r="G117" i="30"/>
  <c r="F117" i="30"/>
  <c r="D117" i="30"/>
  <c r="H118" i="30" s="1"/>
  <c r="H108" i="30"/>
  <c r="G108" i="30"/>
  <c r="F108" i="30"/>
  <c r="D108" i="30"/>
  <c r="H99" i="30"/>
  <c r="G99" i="30"/>
  <c r="F99" i="30"/>
  <c r="D99" i="30"/>
  <c r="H100" i="30" s="1"/>
  <c r="H90" i="30"/>
  <c r="G90" i="30"/>
  <c r="F90" i="30"/>
  <c r="D90" i="30"/>
  <c r="H81" i="30"/>
  <c r="G81" i="30"/>
  <c r="F81" i="30"/>
  <c r="D81" i="30"/>
  <c r="H82" i="30" s="1"/>
  <c r="H72" i="30"/>
  <c r="G72" i="30"/>
  <c r="F72" i="30"/>
  <c r="D72" i="30"/>
  <c r="H63" i="30"/>
  <c r="G63" i="30"/>
  <c r="F63" i="30"/>
  <c r="D63" i="30"/>
  <c r="H64" i="30" s="1"/>
  <c r="H54" i="30"/>
  <c r="G54" i="30"/>
  <c r="F54" i="30"/>
  <c r="D54" i="30"/>
  <c r="H45" i="30"/>
  <c r="G45" i="30"/>
  <c r="F45" i="30"/>
  <c r="D45" i="30"/>
  <c r="H46" i="30" s="1"/>
  <c r="H36" i="30"/>
  <c r="G36" i="30"/>
  <c r="F36" i="30"/>
  <c r="D36" i="30"/>
  <c r="H27" i="30"/>
  <c r="G27" i="30"/>
  <c r="F27" i="30"/>
  <c r="D27" i="30"/>
  <c r="H28" i="30" s="1"/>
  <c r="H18" i="30"/>
  <c r="G18" i="30"/>
  <c r="F18" i="30"/>
  <c r="D18" i="30"/>
  <c r="H180" i="31"/>
  <c r="G180" i="31"/>
  <c r="F180" i="31"/>
  <c r="D180" i="31"/>
  <c r="H181" i="31" s="1"/>
  <c r="H171" i="31"/>
  <c r="G171" i="31"/>
  <c r="F171" i="31"/>
  <c r="D171" i="31"/>
  <c r="H162" i="31"/>
  <c r="G162" i="31"/>
  <c r="F162" i="31"/>
  <c r="D162" i="31"/>
  <c r="H163" i="31" s="1"/>
  <c r="H153" i="31"/>
  <c r="G153" i="31"/>
  <c r="F153" i="31"/>
  <c r="D153" i="31"/>
  <c r="H144" i="31"/>
  <c r="G144" i="31"/>
  <c r="F144" i="31"/>
  <c r="D144" i="31"/>
  <c r="H145" i="31" s="1"/>
  <c r="H135" i="31"/>
  <c r="G135" i="31"/>
  <c r="F135" i="31"/>
  <c r="D135" i="31"/>
  <c r="H126" i="31"/>
  <c r="G126" i="31"/>
  <c r="F126" i="31"/>
  <c r="D126" i="31"/>
  <c r="H127" i="31" s="1"/>
  <c r="H117" i="31"/>
  <c r="G117" i="31"/>
  <c r="F117" i="31"/>
  <c r="D117" i="31"/>
  <c r="H108" i="31"/>
  <c r="G108" i="31"/>
  <c r="F108" i="31"/>
  <c r="D108" i="31"/>
  <c r="H109" i="31" s="1"/>
  <c r="H99" i="31"/>
  <c r="G99" i="31"/>
  <c r="F99" i="31"/>
  <c r="D99" i="31"/>
  <c r="H90" i="31"/>
  <c r="G90" i="31"/>
  <c r="F90" i="31"/>
  <c r="D90" i="31"/>
  <c r="H91" i="31" s="1"/>
  <c r="H81" i="31"/>
  <c r="G81" i="31"/>
  <c r="F81" i="31"/>
  <c r="D81" i="31"/>
  <c r="H72" i="31"/>
  <c r="G72" i="31"/>
  <c r="F72" i="31"/>
  <c r="D72" i="31"/>
  <c r="H73" i="31" s="1"/>
  <c r="H63" i="31"/>
  <c r="G63" i="31"/>
  <c r="F63" i="31"/>
  <c r="D63" i="31"/>
  <c r="H54" i="31"/>
  <c r="G54" i="31"/>
  <c r="F54" i="31"/>
  <c r="D54" i="31"/>
  <c r="H55" i="31" s="1"/>
  <c r="H45" i="31"/>
  <c r="G45" i="31"/>
  <c r="F45" i="31"/>
  <c r="D45" i="31"/>
  <c r="H36" i="31"/>
  <c r="G36" i="31"/>
  <c r="F36" i="31"/>
  <c r="D36" i="31"/>
  <c r="H37" i="31" s="1"/>
  <c r="H27" i="31"/>
  <c r="G27" i="31"/>
  <c r="F27" i="31"/>
  <c r="D27" i="31"/>
  <c r="H18" i="31"/>
  <c r="G18" i="31"/>
  <c r="F18" i="31"/>
  <c r="D18" i="31"/>
  <c r="H19" i="31" s="1"/>
  <c r="H180" i="32"/>
  <c r="G180" i="32"/>
  <c r="F180" i="32"/>
  <c r="D180" i="32"/>
  <c r="H171" i="32"/>
  <c r="G171" i="32"/>
  <c r="F171" i="32"/>
  <c r="D171" i="32"/>
  <c r="H172" i="32" s="1"/>
  <c r="H162" i="32"/>
  <c r="G162" i="32"/>
  <c r="F162" i="32"/>
  <c r="D162" i="32"/>
  <c r="H153" i="32"/>
  <c r="G153" i="32"/>
  <c r="F153" i="32"/>
  <c r="D153" i="32"/>
  <c r="H154" i="32" s="1"/>
  <c r="H144" i="32"/>
  <c r="G144" i="32"/>
  <c r="F144" i="32"/>
  <c r="D144" i="32"/>
  <c r="H135" i="32"/>
  <c r="G135" i="32"/>
  <c r="F135" i="32"/>
  <c r="D135" i="32"/>
  <c r="H136" i="32" s="1"/>
  <c r="H126" i="32"/>
  <c r="G126" i="32"/>
  <c r="F126" i="32"/>
  <c r="D126" i="32"/>
  <c r="H117" i="32"/>
  <c r="G117" i="32"/>
  <c r="F117" i="32"/>
  <c r="D117" i="32"/>
  <c r="H118" i="32" s="1"/>
  <c r="H108" i="32"/>
  <c r="G108" i="32"/>
  <c r="F108" i="32"/>
  <c r="D108" i="32"/>
  <c r="H99" i="32"/>
  <c r="G99" i="32"/>
  <c r="F99" i="32"/>
  <c r="D99" i="32"/>
  <c r="H100" i="32" s="1"/>
  <c r="H90" i="32"/>
  <c r="G90" i="32"/>
  <c r="F90" i="32"/>
  <c r="D90" i="32"/>
  <c r="H81" i="32"/>
  <c r="G81" i="32"/>
  <c r="F81" i="32"/>
  <c r="D81" i="32"/>
  <c r="H82" i="32" s="1"/>
  <c r="H72" i="32"/>
  <c r="G72" i="32"/>
  <c r="F72" i="32"/>
  <c r="D72" i="32"/>
  <c r="H63" i="32"/>
  <c r="G63" i="32"/>
  <c r="F63" i="32"/>
  <c r="D63" i="32"/>
  <c r="H64" i="32" s="1"/>
  <c r="H54" i="32"/>
  <c r="G54" i="32"/>
  <c r="F54" i="32"/>
  <c r="D54" i="32"/>
  <c r="H45" i="32"/>
  <c r="G45" i="32"/>
  <c r="F45" i="32"/>
  <c r="D45" i="32"/>
  <c r="H46" i="32" s="1"/>
  <c r="H36" i="32"/>
  <c r="G36" i="32"/>
  <c r="F36" i="32"/>
  <c r="D36" i="32"/>
  <c r="H27" i="32"/>
  <c r="G27" i="32"/>
  <c r="F27" i="32"/>
  <c r="D27" i="32"/>
  <c r="H28" i="32" s="1"/>
  <c r="H18" i="32"/>
  <c r="G18" i="32"/>
  <c r="F18" i="32"/>
  <c r="D18" i="32"/>
  <c r="H180" i="19"/>
  <c r="G180" i="19"/>
  <c r="F180" i="19"/>
  <c r="D180" i="19"/>
  <c r="H181" i="19" s="1"/>
  <c r="H171" i="19"/>
  <c r="G171" i="19"/>
  <c r="F171" i="19"/>
  <c r="D171" i="19"/>
  <c r="H162" i="19"/>
  <c r="G162" i="19"/>
  <c r="F162" i="19"/>
  <c r="D162" i="19"/>
  <c r="H163" i="19" s="1"/>
  <c r="H153" i="19"/>
  <c r="G153" i="19"/>
  <c r="F153" i="19"/>
  <c r="D153" i="19"/>
  <c r="H144" i="19"/>
  <c r="G144" i="19"/>
  <c r="F144" i="19"/>
  <c r="D144" i="19"/>
  <c r="H145" i="19" s="1"/>
  <c r="H135" i="19"/>
  <c r="G135" i="19"/>
  <c r="F135" i="19"/>
  <c r="D135" i="19"/>
  <c r="H126" i="19"/>
  <c r="G126" i="19"/>
  <c r="F126" i="19"/>
  <c r="D126" i="19"/>
  <c r="H127" i="19" s="1"/>
  <c r="H117" i="19"/>
  <c r="G117" i="19"/>
  <c r="F117" i="19"/>
  <c r="D117" i="19"/>
  <c r="H108" i="19"/>
  <c r="G108" i="19"/>
  <c r="F108" i="19"/>
  <c r="D108" i="19"/>
  <c r="H109" i="19" s="1"/>
  <c r="H99" i="19"/>
  <c r="G99" i="19"/>
  <c r="F99" i="19"/>
  <c r="D99" i="19"/>
  <c r="H90" i="19"/>
  <c r="G90" i="19"/>
  <c r="F90" i="19"/>
  <c r="D90" i="19"/>
  <c r="H91" i="19" s="1"/>
  <c r="H81" i="19"/>
  <c r="G81" i="19"/>
  <c r="F81" i="19"/>
  <c r="D81" i="19"/>
  <c r="H72" i="19"/>
  <c r="G72" i="19"/>
  <c r="F72" i="19"/>
  <c r="D72" i="19"/>
  <c r="H73" i="19" s="1"/>
  <c r="H63" i="19"/>
  <c r="G63" i="19"/>
  <c r="F63" i="19"/>
  <c r="D63" i="19"/>
  <c r="H54" i="19"/>
  <c r="G54" i="19"/>
  <c r="F54" i="19"/>
  <c r="D54" i="19"/>
  <c r="H55" i="19" s="1"/>
  <c r="H45" i="19"/>
  <c r="G45" i="19"/>
  <c r="F45" i="19"/>
  <c r="D45" i="19"/>
  <c r="H36" i="19"/>
  <c r="G36" i="19"/>
  <c r="F36" i="19"/>
  <c r="D36" i="19"/>
  <c r="H37" i="19" s="1"/>
  <c r="H27" i="19"/>
  <c r="G27" i="19"/>
  <c r="F27" i="19"/>
  <c r="D27" i="19"/>
  <c r="H18" i="19"/>
  <c r="G18" i="19"/>
  <c r="F18" i="19"/>
  <c r="D18" i="19"/>
  <c r="H19" i="19" s="1"/>
  <c r="H180" i="18"/>
  <c r="G180" i="18"/>
  <c r="F180" i="18"/>
  <c r="D180" i="18"/>
  <c r="H171" i="18"/>
  <c r="G171" i="18"/>
  <c r="F171" i="18"/>
  <c r="D171" i="18"/>
  <c r="H172" i="18" s="1"/>
  <c r="H162" i="18"/>
  <c r="G162" i="18"/>
  <c r="F162" i="18"/>
  <c r="D162" i="18"/>
  <c r="H153" i="18"/>
  <c r="G153" i="18"/>
  <c r="F153" i="18"/>
  <c r="D153" i="18"/>
  <c r="H154" i="18" s="1"/>
  <c r="H144" i="18"/>
  <c r="G144" i="18"/>
  <c r="F144" i="18"/>
  <c r="D144" i="18"/>
  <c r="H135" i="18"/>
  <c r="G135" i="18"/>
  <c r="F135" i="18"/>
  <c r="D135" i="18"/>
  <c r="H136" i="18" s="1"/>
  <c r="H126" i="18"/>
  <c r="G126" i="18"/>
  <c r="F126" i="18"/>
  <c r="D126" i="18"/>
  <c r="H117" i="18"/>
  <c r="G117" i="18"/>
  <c r="F117" i="18"/>
  <c r="D117" i="18"/>
  <c r="H118" i="18" s="1"/>
  <c r="H108" i="18"/>
  <c r="G108" i="18"/>
  <c r="F108" i="18"/>
  <c r="D108" i="18"/>
  <c r="H99" i="18"/>
  <c r="G99" i="18"/>
  <c r="F99" i="18"/>
  <c r="D99" i="18"/>
  <c r="H100" i="18" s="1"/>
  <c r="H90" i="18"/>
  <c r="G90" i="18"/>
  <c r="F90" i="18"/>
  <c r="D90" i="18"/>
  <c r="H81" i="18"/>
  <c r="G81" i="18"/>
  <c r="F81" i="18"/>
  <c r="D81" i="18"/>
  <c r="H82" i="18" s="1"/>
  <c r="H72" i="18"/>
  <c r="G72" i="18"/>
  <c r="F72" i="18"/>
  <c r="D72" i="18"/>
  <c r="H63" i="18"/>
  <c r="G63" i="18"/>
  <c r="F63" i="18"/>
  <c r="D63" i="18"/>
  <c r="H64" i="18" s="1"/>
  <c r="H54" i="18"/>
  <c r="G54" i="18"/>
  <c r="F54" i="18"/>
  <c r="D54" i="18"/>
  <c r="H45" i="18"/>
  <c r="G45" i="18"/>
  <c r="F45" i="18"/>
  <c r="D45" i="18"/>
  <c r="H46" i="18" s="1"/>
  <c r="H36" i="18"/>
  <c r="G36" i="18"/>
  <c r="F36" i="18"/>
  <c r="D36" i="18"/>
  <c r="H27" i="18"/>
  <c r="G27" i="18"/>
  <c r="F27" i="18"/>
  <c r="D27" i="18"/>
  <c r="H28" i="18" s="1"/>
  <c r="H18" i="18"/>
  <c r="G18" i="18"/>
  <c r="F18" i="18"/>
  <c r="D18" i="18"/>
  <c r="H180" i="17"/>
  <c r="G180" i="17"/>
  <c r="F180" i="17"/>
  <c r="D180" i="17"/>
  <c r="H181" i="17" s="1"/>
  <c r="H171" i="17"/>
  <c r="G171" i="17"/>
  <c r="F171" i="17"/>
  <c r="D171" i="17"/>
  <c r="H162" i="17"/>
  <c r="G162" i="17"/>
  <c r="F162" i="17"/>
  <c r="D162" i="17"/>
  <c r="H163" i="17" s="1"/>
  <c r="H153" i="17"/>
  <c r="G153" i="17"/>
  <c r="F153" i="17"/>
  <c r="D153" i="17"/>
  <c r="H144" i="17"/>
  <c r="G144" i="17"/>
  <c r="F144" i="17"/>
  <c r="D144" i="17"/>
  <c r="H145" i="17" s="1"/>
  <c r="H135" i="17"/>
  <c r="G135" i="17"/>
  <c r="F135" i="17"/>
  <c r="D135" i="17"/>
  <c r="H126" i="17"/>
  <c r="G126" i="17"/>
  <c r="F126" i="17"/>
  <c r="D126" i="17"/>
  <c r="H127" i="17" s="1"/>
  <c r="H117" i="17"/>
  <c r="G117" i="17"/>
  <c r="F117" i="17"/>
  <c r="D117" i="17"/>
  <c r="H108" i="17"/>
  <c r="G108" i="17"/>
  <c r="F108" i="17"/>
  <c r="D108" i="17"/>
  <c r="H109" i="17" s="1"/>
  <c r="H99" i="17"/>
  <c r="G99" i="17"/>
  <c r="F99" i="17"/>
  <c r="D99" i="17"/>
  <c r="H90" i="17"/>
  <c r="G90" i="17"/>
  <c r="F90" i="17"/>
  <c r="D90" i="17"/>
  <c r="H91" i="17" s="1"/>
  <c r="H81" i="17"/>
  <c r="G81" i="17"/>
  <c r="F81" i="17"/>
  <c r="D81" i="17"/>
  <c r="H72" i="17"/>
  <c r="G72" i="17"/>
  <c r="F72" i="17"/>
  <c r="D72" i="17"/>
  <c r="H73" i="17" s="1"/>
  <c r="H63" i="17"/>
  <c r="G63" i="17"/>
  <c r="F63" i="17"/>
  <c r="D63" i="17"/>
  <c r="H54" i="17"/>
  <c r="G54" i="17"/>
  <c r="F54" i="17"/>
  <c r="D54" i="17"/>
  <c r="H55" i="17" s="1"/>
  <c r="H45" i="17"/>
  <c r="G45" i="17"/>
  <c r="F45" i="17"/>
  <c r="D45" i="17"/>
  <c r="H36" i="17"/>
  <c r="G36" i="17"/>
  <c r="F36" i="17"/>
  <c r="D36" i="17"/>
  <c r="H37" i="17" s="1"/>
  <c r="H27" i="17"/>
  <c r="G27" i="17"/>
  <c r="F27" i="17"/>
  <c r="D27" i="17"/>
  <c r="H18" i="17"/>
  <c r="G18" i="17"/>
  <c r="F18" i="17"/>
  <c r="D18" i="17"/>
  <c r="H19" i="17" s="1"/>
  <c r="H180" i="16"/>
  <c r="G180" i="16"/>
  <c r="F180" i="16"/>
  <c r="D180" i="16"/>
  <c r="H171" i="16"/>
  <c r="G171" i="16"/>
  <c r="F171" i="16"/>
  <c r="D171" i="16"/>
  <c r="H172" i="16" s="1"/>
  <c r="H162" i="16"/>
  <c r="G162" i="16"/>
  <c r="F162" i="16"/>
  <c r="D162" i="16"/>
  <c r="H153" i="16"/>
  <c r="G153" i="16"/>
  <c r="F153" i="16"/>
  <c r="D153" i="16"/>
  <c r="H154" i="16" s="1"/>
  <c r="H144" i="16"/>
  <c r="G144" i="16"/>
  <c r="F144" i="16"/>
  <c r="D144" i="16"/>
  <c r="H135" i="16"/>
  <c r="G135" i="16"/>
  <c r="F135" i="16"/>
  <c r="D135" i="16"/>
  <c r="H136" i="16" s="1"/>
  <c r="H126" i="16"/>
  <c r="G126" i="16"/>
  <c r="F126" i="16"/>
  <c r="D126" i="16"/>
  <c r="H117" i="16"/>
  <c r="G117" i="16"/>
  <c r="F117" i="16"/>
  <c r="D117" i="16"/>
  <c r="H118" i="16" s="1"/>
  <c r="H108" i="16"/>
  <c r="G108" i="16"/>
  <c r="F108" i="16"/>
  <c r="D108" i="16"/>
  <c r="H99" i="16"/>
  <c r="G99" i="16"/>
  <c r="F99" i="16"/>
  <c r="D99" i="16"/>
  <c r="H100" i="16" s="1"/>
  <c r="H90" i="16"/>
  <c r="G90" i="16"/>
  <c r="F90" i="16"/>
  <c r="D90" i="16"/>
  <c r="H81" i="16"/>
  <c r="G81" i="16"/>
  <c r="F81" i="16"/>
  <c r="D81" i="16"/>
  <c r="H82" i="16" s="1"/>
  <c r="H72" i="16"/>
  <c r="G72" i="16"/>
  <c r="F72" i="16"/>
  <c r="D72" i="16"/>
  <c r="H63" i="16"/>
  <c r="G63" i="16"/>
  <c r="F63" i="16"/>
  <c r="D63" i="16"/>
  <c r="H64" i="16" s="1"/>
  <c r="H54" i="16"/>
  <c r="G54" i="16"/>
  <c r="F54" i="16"/>
  <c r="D54" i="16"/>
  <c r="H45" i="16"/>
  <c r="G45" i="16"/>
  <c r="F45" i="16"/>
  <c r="D45" i="16"/>
  <c r="H46" i="16" s="1"/>
  <c r="H36" i="16"/>
  <c r="G36" i="16"/>
  <c r="F36" i="16"/>
  <c r="D36" i="16"/>
  <c r="H27" i="16"/>
  <c r="G27" i="16"/>
  <c r="F27" i="16"/>
  <c r="D27" i="16"/>
  <c r="H28" i="16" s="1"/>
  <c r="H18" i="16"/>
  <c r="G18" i="16"/>
  <c r="F18" i="16"/>
  <c r="D18" i="16"/>
  <c r="H180" i="15"/>
  <c r="G180" i="15"/>
  <c r="F180" i="15"/>
  <c r="D180" i="15"/>
  <c r="H181" i="15" s="1"/>
  <c r="H171" i="15"/>
  <c r="G171" i="15"/>
  <c r="F171" i="15"/>
  <c r="D171" i="15"/>
  <c r="H162" i="15"/>
  <c r="G162" i="15"/>
  <c r="F162" i="15"/>
  <c r="D162" i="15"/>
  <c r="H163" i="15" s="1"/>
  <c r="H153" i="15"/>
  <c r="G153" i="15"/>
  <c r="F153" i="15"/>
  <c r="D153" i="15"/>
  <c r="H144" i="15"/>
  <c r="G144" i="15"/>
  <c r="F144" i="15"/>
  <c r="D144" i="15"/>
  <c r="H145" i="15" s="1"/>
  <c r="H135" i="15"/>
  <c r="G135" i="15"/>
  <c r="F135" i="15"/>
  <c r="D135" i="15"/>
  <c r="H126" i="15"/>
  <c r="G126" i="15"/>
  <c r="F126" i="15"/>
  <c r="D126" i="15"/>
  <c r="H127" i="15" s="1"/>
  <c r="H117" i="15"/>
  <c r="G117" i="15"/>
  <c r="F117" i="15"/>
  <c r="D117" i="15"/>
  <c r="H108" i="15"/>
  <c r="G108" i="15"/>
  <c r="F108" i="15"/>
  <c r="D108" i="15"/>
  <c r="H109" i="15" s="1"/>
  <c r="H99" i="15"/>
  <c r="G99" i="15"/>
  <c r="F99" i="15"/>
  <c r="D99" i="15"/>
  <c r="H90" i="15"/>
  <c r="G90" i="15"/>
  <c r="F90" i="15"/>
  <c r="D90" i="15"/>
  <c r="H91" i="15" s="1"/>
  <c r="H81" i="15"/>
  <c r="G81" i="15"/>
  <c r="F81" i="15"/>
  <c r="D81" i="15"/>
  <c r="H72" i="15"/>
  <c r="G72" i="15"/>
  <c r="F72" i="15"/>
  <c r="D72" i="15"/>
  <c r="H73" i="15" s="1"/>
  <c r="H63" i="15"/>
  <c r="G63" i="15"/>
  <c r="F63" i="15"/>
  <c r="D63" i="15"/>
  <c r="H54" i="15"/>
  <c r="G54" i="15"/>
  <c r="F54" i="15"/>
  <c r="D54" i="15"/>
  <c r="H55" i="15" s="1"/>
  <c r="H45" i="15"/>
  <c r="G45" i="15"/>
  <c r="F45" i="15"/>
  <c r="D45" i="15"/>
  <c r="H36" i="15"/>
  <c r="G36" i="15"/>
  <c r="F36" i="15"/>
  <c r="D36" i="15"/>
  <c r="H37" i="15" s="1"/>
  <c r="H27" i="15"/>
  <c r="G27" i="15"/>
  <c r="F27" i="15"/>
  <c r="D27" i="15"/>
  <c r="H18" i="15"/>
  <c r="G18" i="15"/>
  <c r="F18" i="15"/>
  <c r="D18" i="15"/>
  <c r="H19" i="15" s="1"/>
  <c r="H180" i="46"/>
  <c r="G180" i="46"/>
  <c r="F180" i="46"/>
  <c r="D180" i="46"/>
  <c r="H171" i="46"/>
  <c r="G171" i="46"/>
  <c r="F171" i="46"/>
  <c r="D171" i="46"/>
  <c r="H172" i="46" s="1"/>
  <c r="H162" i="46"/>
  <c r="G162" i="46"/>
  <c r="F162" i="46"/>
  <c r="D162" i="46"/>
  <c r="H153" i="46"/>
  <c r="G153" i="46"/>
  <c r="F153" i="46"/>
  <c r="D153" i="46"/>
  <c r="H154" i="46" s="1"/>
  <c r="H144" i="46"/>
  <c r="G144" i="46"/>
  <c r="F144" i="46"/>
  <c r="D144" i="46"/>
  <c r="H135" i="46"/>
  <c r="G135" i="46"/>
  <c r="F135" i="46"/>
  <c r="D135" i="46"/>
  <c r="H136" i="46" s="1"/>
  <c r="H126" i="46"/>
  <c r="G126" i="46"/>
  <c r="F126" i="46"/>
  <c r="D126" i="46"/>
  <c r="H117" i="46"/>
  <c r="G117" i="46"/>
  <c r="F117" i="46"/>
  <c r="D117" i="46"/>
  <c r="H118" i="46" s="1"/>
  <c r="H108" i="46"/>
  <c r="G108" i="46"/>
  <c r="F108" i="46"/>
  <c r="D108" i="46"/>
  <c r="H99" i="46"/>
  <c r="G99" i="46"/>
  <c r="F99" i="46"/>
  <c r="D99" i="46"/>
  <c r="H100" i="46" s="1"/>
  <c r="H90" i="46"/>
  <c r="G90" i="46"/>
  <c r="F90" i="46"/>
  <c r="D90" i="46"/>
  <c r="H81" i="46"/>
  <c r="G81" i="46"/>
  <c r="F81" i="46"/>
  <c r="D81" i="46"/>
  <c r="H82" i="46" s="1"/>
  <c r="H72" i="46"/>
  <c r="G72" i="46"/>
  <c r="F72" i="46"/>
  <c r="D72" i="46"/>
  <c r="H63" i="46"/>
  <c r="G63" i="46"/>
  <c r="F63" i="46"/>
  <c r="D63" i="46"/>
  <c r="H64" i="46" s="1"/>
  <c r="H54" i="46"/>
  <c r="G54" i="46"/>
  <c r="F54" i="46"/>
  <c r="D54" i="46"/>
  <c r="H45" i="46"/>
  <c r="G45" i="46"/>
  <c r="F45" i="46"/>
  <c r="D45" i="46"/>
  <c r="H46" i="46" s="1"/>
  <c r="H36" i="46"/>
  <c r="G36" i="46"/>
  <c r="F36" i="46"/>
  <c r="D36" i="46"/>
  <c r="H27" i="46"/>
  <c r="G27" i="46"/>
  <c r="F27" i="46"/>
  <c r="D27" i="46"/>
  <c r="H28" i="46" s="1"/>
  <c r="H18" i="46"/>
  <c r="G18" i="46"/>
  <c r="F18" i="46"/>
  <c r="D18" i="46"/>
  <c r="AH170" i="46"/>
  <c r="AG170" i="46"/>
  <c r="AF170" i="46"/>
  <c r="AE170" i="46"/>
  <c r="AI170" i="46" s="1"/>
  <c r="Y170" i="46"/>
  <c r="AC170" i="46" s="1"/>
  <c r="AR170" i="46" s="1"/>
  <c r="X170" i="46"/>
  <c r="AB170" i="46" s="1"/>
  <c r="AQ170" i="46" s="1"/>
  <c r="W170" i="46"/>
  <c r="AA170" i="46" s="1"/>
  <c r="AP170" i="46" s="1"/>
  <c r="V170" i="46"/>
  <c r="Z170" i="46" s="1"/>
  <c r="AH169" i="46"/>
  <c r="AG169" i="46"/>
  <c r="AF169" i="46"/>
  <c r="AE169" i="46"/>
  <c r="AI169" i="46" s="1"/>
  <c r="Y169" i="46"/>
  <c r="AC169" i="46" s="1"/>
  <c r="AR169" i="46" s="1"/>
  <c r="X169" i="46"/>
  <c r="AB169" i="46" s="1"/>
  <c r="AQ169" i="46" s="1"/>
  <c r="W169" i="46"/>
  <c r="AA169" i="46" s="1"/>
  <c r="AP169" i="46" s="1"/>
  <c r="V169" i="46"/>
  <c r="Z169" i="46" s="1"/>
  <c r="AH167" i="46"/>
  <c r="AG167" i="46"/>
  <c r="AF167" i="46"/>
  <c r="AE167" i="46"/>
  <c r="AI167" i="46" s="1"/>
  <c r="Y167" i="46"/>
  <c r="AC167" i="46" s="1"/>
  <c r="AR167" i="46" s="1"/>
  <c r="X167" i="46"/>
  <c r="AB167" i="46" s="1"/>
  <c r="AQ167" i="46" s="1"/>
  <c r="W167" i="46"/>
  <c r="AA167" i="46" s="1"/>
  <c r="AP167" i="46" s="1"/>
  <c r="V167" i="46"/>
  <c r="Z167" i="46" s="1"/>
  <c r="AH166" i="46"/>
  <c r="AG166" i="46"/>
  <c r="AF166" i="46"/>
  <c r="AE166" i="46"/>
  <c r="AI166" i="46" s="1"/>
  <c r="Y166" i="46"/>
  <c r="AC166" i="46" s="1"/>
  <c r="AR166" i="46" s="1"/>
  <c r="X166" i="46"/>
  <c r="AB166" i="46" s="1"/>
  <c r="AQ166" i="46" s="1"/>
  <c r="W166" i="46"/>
  <c r="AA166" i="46" s="1"/>
  <c r="AP166" i="46" s="1"/>
  <c r="V166" i="46"/>
  <c r="Z166" i="46" s="1"/>
  <c r="AH165" i="46"/>
  <c r="AG165" i="46"/>
  <c r="AF165" i="46"/>
  <c r="AE165" i="46"/>
  <c r="AI165" i="46" s="1"/>
  <c r="Y165" i="46"/>
  <c r="AC165" i="46" s="1"/>
  <c r="AR165" i="46" s="1"/>
  <c r="X165" i="46"/>
  <c r="AB165" i="46" s="1"/>
  <c r="AQ165" i="46" s="1"/>
  <c r="W165" i="46"/>
  <c r="AA165" i="46" s="1"/>
  <c r="AP165" i="46" s="1"/>
  <c r="V165" i="46"/>
  <c r="Z165" i="46" s="1"/>
  <c r="AH161" i="46"/>
  <c r="AL161" i="46" s="1"/>
  <c r="AX161" i="46" s="1"/>
  <c r="AG161" i="46"/>
  <c r="AK161" i="46" s="1"/>
  <c r="AW161" i="46" s="1"/>
  <c r="AF161" i="46"/>
  <c r="AJ161" i="46" s="1"/>
  <c r="AV161" i="46" s="1"/>
  <c r="AE161" i="46"/>
  <c r="AI161" i="46" s="1"/>
  <c r="Y161" i="46"/>
  <c r="AC161" i="46" s="1"/>
  <c r="AR161" i="46" s="1"/>
  <c r="X161" i="46"/>
  <c r="AB161" i="46" s="1"/>
  <c r="AQ161" i="46" s="1"/>
  <c r="W161" i="46"/>
  <c r="AA161" i="46" s="1"/>
  <c r="AP161" i="46" s="1"/>
  <c r="V161" i="46"/>
  <c r="Z161" i="46" s="1"/>
  <c r="AH160" i="46"/>
  <c r="AL160" i="46" s="1"/>
  <c r="AX160" i="46" s="1"/>
  <c r="AG160" i="46"/>
  <c r="AK160" i="46" s="1"/>
  <c r="AW160" i="46" s="1"/>
  <c r="AF160" i="46"/>
  <c r="AJ160" i="46" s="1"/>
  <c r="AV160" i="46" s="1"/>
  <c r="AE160" i="46"/>
  <c r="AI160" i="46" s="1"/>
  <c r="Y160" i="46"/>
  <c r="AC160" i="46" s="1"/>
  <c r="AR160" i="46" s="1"/>
  <c r="X160" i="46"/>
  <c r="AB160" i="46" s="1"/>
  <c r="AQ160" i="46" s="1"/>
  <c r="W160" i="46"/>
  <c r="AA160" i="46" s="1"/>
  <c r="AP160" i="46" s="1"/>
  <c r="V160" i="46"/>
  <c r="Z160" i="46" s="1"/>
  <c r="AH159" i="46"/>
  <c r="AL159" i="46" s="1"/>
  <c r="AX159" i="46" s="1"/>
  <c r="AG159" i="46"/>
  <c r="AK159" i="46" s="1"/>
  <c r="AW159" i="46" s="1"/>
  <c r="AF159" i="46"/>
  <c r="AJ159" i="46" s="1"/>
  <c r="AV159" i="46" s="1"/>
  <c r="AE159" i="46"/>
  <c r="AI159" i="46" s="1"/>
  <c r="Y159" i="46"/>
  <c r="AC159" i="46" s="1"/>
  <c r="AR159" i="46" s="1"/>
  <c r="X159" i="46"/>
  <c r="AB159" i="46" s="1"/>
  <c r="AQ159" i="46" s="1"/>
  <c r="W159" i="46"/>
  <c r="AA159" i="46" s="1"/>
  <c r="AP159" i="46" s="1"/>
  <c r="V159" i="46"/>
  <c r="Z159" i="46" s="1"/>
  <c r="AH158" i="46"/>
  <c r="AL158" i="46" s="1"/>
  <c r="AX158" i="46" s="1"/>
  <c r="AG158" i="46"/>
  <c r="AK158" i="46" s="1"/>
  <c r="AW158" i="46" s="1"/>
  <c r="AF158" i="46"/>
  <c r="AJ158" i="46" s="1"/>
  <c r="AV158" i="46" s="1"/>
  <c r="AE158" i="46"/>
  <c r="AI158" i="46" s="1"/>
  <c r="Y158" i="46"/>
  <c r="AC158" i="46" s="1"/>
  <c r="AR158" i="46" s="1"/>
  <c r="X158" i="46"/>
  <c r="AB158" i="46" s="1"/>
  <c r="AQ158" i="46" s="1"/>
  <c r="W158" i="46"/>
  <c r="AA158" i="46" s="1"/>
  <c r="AP158" i="46" s="1"/>
  <c r="V158" i="46"/>
  <c r="Z158" i="46" s="1"/>
  <c r="AH157" i="46"/>
  <c r="AL157" i="46" s="1"/>
  <c r="AX157" i="46" s="1"/>
  <c r="AG157" i="46"/>
  <c r="AK157" i="46" s="1"/>
  <c r="AW157" i="46" s="1"/>
  <c r="AF157" i="46"/>
  <c r="AJ157" i="46" s="1"/>
  <c r="AV157" i="46" s="1"/>
  <c r="AE157" i="46"/>
  <c r="AI157" i="46" s="1"/>
  <c r="Y157" i="46"/>
  <c r="AC157" i="46" s="1"/>
  <c r="AR157" i="46" s="1"/>
  <c r="X157" i="46"/>
  <c r="AB157" i="46" s="1"/>
  <c r="AQ157" i="46" s="1"/>
  <c r="W157" i="46"/>
  <c r="AA157" i="46" s="1"/>
  <c r="AP157" i="46" s="1"/>
  <c r="V157" i="46"/>
  <c r="Z157" i="46" s="1"/>
  <c r="AH156" i="46"/>
  <c r="AL156" i="46" s="1"/>
  <c r="AX156" i="46" s="1"/>
  <c r="AG156" i="46"/>
  <c r="AK156" i="46" s="1"/>
  <c r="AW156" i="46" s="1"/>
  <c r="AF156" i="46"/>
  <c r="AJ156" i="46" s="1"/>
  <c r="AV156" i="46" s="1"/>
  <c r="AE156" i="46"/>
  <c r="AI156" i="46" s="1"/>
  <c r="Y156" i="46"/>
  <c r="AC156" i="46" s="1"/>
  <c r="AR156" i="46" s="1"/>
  <c r="X156" i="46"/>
  <c r="AB156" i="46" s="1"/>
  <c r="AQ156" i="46" s="1"/>
  <c r="W156" i="46"/>
  <c r="AA156" i="46" s="1"/>
  <c r="AP156" i="46" s="1"/>
  <c r="V156" i="46"/>
  <c r="Z156" i="46" s="1"/>
  <c r="AH152" i="46"/>
  <c r="AG152" i="46"/>
  <c r="AF152" i="46"/>
  <c r="AE152" i="46"/>
  <c r="AI152" i="46" s="1"/>
  <c r="Y152" i="46"/>
  <c r="AC152" i="46" s="1"/>
  <c r="AR152" i="46" s="1"/>
  <c r="X152" i="46"/>
  <c r="AB152" i="46" s="1"/>
  <c r="AQ152" i="46" s="1"/>
  <c r="W152" i="46"/>
  <c r="AA152" i="46" s="1"/>
  <c r="AP152" i="46" s="1"/>
  <c r="V152" i="46"/>
  <c r="Z152" i="46" s="1"/>
  <c r="AH151" i="46"/>
  <c r="AG151" i="46"/>
  <c r="AF151" i="46"/>
  <c r="AE151" i="46"/>
  <c r="AI151" i="46" s="1"/>
  <c r="Y151" i="46"/>
  <c r="AC151" i="46" s="1"/>
  <c r="AR151" i="46" s="1"/>
  <c r="X151" i="46"/>
  <c r="AB151" i="46" s="1"/>
  <c r="AQ151" i="46" s="1"/>
  <c r="W151" i="46"/>
  <c r="AA151" i="46" s="1"/>
  <c r="AP151" i="46" s="1"/>
  <c r="V151" i="46"/>
  <c r="Z151" i="46" s="1"/>
  <c r="AH150" i="46"/>
  <c r="AG150" i="46"/>
  <c r="AF150" i="46"/>
  <c r="AE150" i="46"/>
  <c r="AI150" i="46" s="1"/>
  <c r="Y150" i="46"/>
  <c r="AC150" i="46" s="1"/>
  <c r="AR150" i="46" s="1"/>
  <c r="X150" i="46"/>
  <c r="AB150" i="46" s="1"/>
  <c r="AQ150" i="46" s="1"/>
  <c r="W150" i="46"/>
  <c r="AA150" i="46" s="1"/>
  <c r="AP150" i="46" s="1"/>
  <c r="V150" i="46"/>
  <c r="Z150" i="46" s="1"/>
  <c r="AH149" i="46"/>
  <c r="AG149" i="46"/>
  <c r="AF149" i="46"/>
  <c r="AE149" i="46"/>
  <c r="AI149" i="46" s="1"/>
  <c r="Y149" i="46"/>
  <c r="AC149" i="46" s="1"/>
  <c r="AR149" i="46" s="1"/>
  <c r="X149" i="46"/>
  <c r="AB149" i="46" s="1"/>
  <c r="AQ149" i="46" s="1"/>
  <c r="W149" i="46"/>
  <c r="AA149" i="46" s="1"/>
  <c r="AP149" i="46" s="1"/>
  <c r="V149" i="46"/>
  <c r="Z149" i="46" s="1"/>
  <c r="AH148" i="46"/>
  <c r="AG148" i="46"/>
  <c r="AF148" i="46"/>
  <c r="AE148" i="46"/>
  <c r="AI148" i="46" s="1"/>
  <c r="Y148" i="46"/>
  <c r="AC148" i="46" s="1"/>
  <c r="AR148" i="46" s="1"/>
  <c r="X148" i="46"/>
  <c r="AB148" i="46" s="1"/>
  <c r="AQ148" i="46" s="1"/>
  <c r="W148" i="46"/>
  <c r="AA148" i="46" s="1"/>
  <c r="AP148" i="46" s="1"/>
  <c r="V148" i="46"/>
  <c r="Z148" i="46" s="1"/>
  <c r="AH147" i="46"/>
  <c r="AG147" i="46"/>
  <c r="AF147" i="46"/>
  <c r="AE147" i="46"/>
  <c r="AI147" i="46" s="1"/>
  <c r="Y147" i="46"/>
  <c r="AC147" i="46" s="1"/>
  <c r="AR147" i="46" s="1"/>
  <c r="X147" i="46"/>
  <c r="AB147" i="46" s="1"/>
  <c r="AQ147" i="46" s="1"/>
  <c r="W147" i="46"/>
  <c r="AA147" i="46" s="1"/>
  <c r="AP147" i="46" s="1"/>
  <c r="V147" i="46"/>
  <c r="Z147" i="46" s="1"/>
  <c r="AH143" i="46"/>
  <c r="AG143" i="46"/>
  <c r="AF143" i="46"/>
  <c r="AE143" i="46"/>
  <c r="AI143" i="46" s="1"/>
  <c r="Y143" i="46"/>
  <c r="AC143" i="46" s="1"/>
  <c r="AR143" i="46" s="1"/>
  <c r="X143" i="46"/>
  <c r="AB143" i="46" s="1"/>
  <c r="AQ143" i="46" s="1"/>
  <c r="W143" i="46"/>
  <c r="AA143" i="46" s="1"/>
  <c r="AP143" i="46" s="1"/>
  <c r="V143" i="46"/>
  <c r="Z143" i="46" s="1"/>
  <c r="AH142" i="46"/>
  <c r="AG142" i="46"/>
  <c r="AF142" i="46"/>
  <c r="AE142" i="46"/>
  <c r="AI142" i="46" s="1"/>
  <c r="Y142" i="46"/>
  <c r="AC142" i="46" s="1"/>
  <c r="AR142" i="46" s="1"/>
  <c r="X142" i="46"/>
  <c r="AB142" i="46" s="1"/>
  <c r="AQ142" i="46" s="1"/>
  <c r="W142" i="46"/>
  <c r="AA142" i="46" s="1"/>
  <c r="AP142" i="46" s="1"/>
  <c r="V142" i="46"/>
  <c r="Z142" i="46" s="1"/>
  <c r="AH141" i="46"/>
  <c r="AG141" i="46"/>
  <c r="AF141" i="46"/>
  <c r="AE141" i="46"/>
  <c r="AI141" i="46" s="1"/>
  <c r="Y141" i="46"/>
  <c r="AC141" i="46" s="1"/>
  <c r="AR141" i="46" s="1"/>
  <c r="X141" i="46"/>
  <c r="AB141" i="46" s="1"/>
  <c r="AQ141" i="46" s="1"/>
  <c r="W141" i="46"/>
  <c r="AA141" i="46" s="1"/>
  <c r="AP141" i="46" s="1"/>
  <c r="V141" i="46"/>
  <c r="Z141" i="46" s="1"/>
  <c r="AH140" i="46"/>
  <c r="AG140" i="46"/>
  <c r="AF140" i="46"/>
  <c r="AE140" i="46"/>
  <c r="AI140" i="46" s="1"/>
  <c r="Y140" i="46"/>
  <c r="AC140" i="46" s="1"/>
  <c r="AR140" i="46" s="1"/>
  <c r="X140" i="46"/>
  <c r="AB140" i="46" s="1"/>
  <c r="AQ140" i="46" s="1"/>
  <c r="W140" i="46"/>
  <c r="AA140" i="46" s="1"/>
  <c r="AP140" i="46" s="1"/>
  <c r="V140" i="46"/>
  <c r="Z140" i="46" s="1"/>
  <c r="AH139" i="46"/>
  <c r="AG139" i="46"/>
  <c r="AF139" i="46"/>
  <c r="AE139" i="46"/>
  <c r="AI139" i="46" s="1"/>
  <c r="Y139" i="46"/>
  <c r="AC139" i="46" s="1"/>
  <c r="AR139" i="46" s="1"/>
  <c r="X139" i="46"/>
  <c r="AB139" i="46" s="1"/>
  <c r="AQ139" i="46" s="1"/>
  <c r="W139" i="46"/>
  <c r="AA139" i="46" s="1"/>
  <c r="AP139" i="46" s="1"/>
  <c r="V139" i="46"/>
  <c r="Z139" i="46" s="1"/>
  <c r="AH138" i="46"/>
  <c r="AG138" i="46"/>
  <c r="AF138" i="46"/>
  <c r="AE138" i="46"/>
  <c r="AI138" i="46" s="1"/>
  <c r="Y138" i="46"/>
  <c r="AC138" i="46" s="1"/>
  <c r="AR138" i="46" s="1"/>
  <c r="X138" i="46"/>
  <c r="AB138" i="46" s="1"/>
  <c r="AQ138" i="46" s="1"/>
  <c r="W138" i="46"/>
  <c r="AA138" i="46" s="1"/>
  <c r="AP138" i="46" s="1"/>
  <c r="V138" i="46"/>
  <c r="Z138" i="46" s="1"/>
  <c r="AH134" i="46"/>
  <c r="AG134" i="46"/>
  <c r="AF134" i="46"/>
  <c r="AE134" i="46"/>
  <c r="AI134" i="46" s="1"/>
  <c r="Y134" i="46"/>
  <c r="AC134" i="46" s="1"/>
  <c r="AR134" i="46" s="1"/>
  <c r="X134" i="46"/>
  <c r="AB134" i="46" s="1"/>
  <c r="AQ134" i="46" s="1"/>
  <c r="W134" i="46"/>
  <c r="AA134" i="46" s="1"/>
  <c r="AP134" i="46" s="1"/>
  <c r="V134" i="46"/>
  <c r="Z134" i="46" s="1"/>
  <c r="AH133" i="46"/>
  <c r="AG133" i="46"/>
  <c r="AF133" i="46"/>
  <c r="AE133" i="46"/>
  <c r="AI133" i="46" s="1"/>
  <c r="Y133" i="46"/>
  <c r="AC133" i="46" s="1"/>
  <c r="AR133" i="46" s="1"/>
  <c r="X133" i="46"/>
  <c r="AB133" i="46" s="1"/>
  <c r="AQ133" i="46" s="1"/>
  <c r="W133" i="46"/>
  <c r="AA133" i="46" s="1"/>
  <c r="AP133" i="46" s="1"/>
  <c r="V133" i="46"/>
  <c r="Z133" i="46" s="1"/>
  <c r="AH132" i="46"/>
  <c r="AG132" i="46"/>
  <c r="AF132" i="46"/>
  <c r="AE132" i="46"/>
  <c r="AI132" i="46" s="1"/>
  <c r="Y132" i="46"/>
  <c r="AC132" i="46" s="1"/>
  <c r="AR132" i="46" s="1"/>
  <c r="X132" i="46"/>
  <c r="AB132" i="46" s="1"/>
  <c r="AQ132" i="46" s="1"/>
  <c r="W132" i="46"/>
  <c r="AA132" i="46" s="1"/>
  <c r="AP132" i="46" s="1"/>
  <c r="V132" i="46"/>
  <c r="Z132" i="46" s="1"/>
  <c r="AH131" i="46"/>
  <c r="AG131" i="46"/>
  <c r="AF131" i="46"/>
  <c r="AE131" i="46"/>
  <c r="AI131" i="46" s="1"/>
  <c r="Y131" i="46"/>
  <c r="AC131" i="46" s="1"/>
  <c r="AR131" i="46" s="1"/>
  <c r="X131" i="46"/>
  <c r="AB131" i="46" s="1"/>
  <c r="AQ131" i="46" s="1"/>
  <c r="W131" i="46"/>
  <c r="AA131" i="46" s="1"/>
  <c r="AP131" i="46" s="1"/>
  <c r="V131" i="46"/>
  <c r="Z131" i="46" s="1"/>
  <c r="AH130" i="46"/>
  <c r="AG130" i="46"/>
  <c r="AF130" i="46"/>
  <c r="AE130" i="46"/>
  <c r="AI130" i="46" s="1"/>
  <c r="Y130" i="46"/>
  <c r="AC130" i="46" s="1"/>
  <c r="AR130" i="46" s="1"/>
  <c r="X130" i="46"/>
  <c r="AB130" i="46" s="1"/>
  <c r="AQ130" i="46" s="1"/>
  <c r="W130" i="46"/>
  <c r="AA130" i="46" s="1"/>
  <c r="AP130" i="46" s="1"/>
  <c r="V130" i="46"/>
  <c r="Z130" i="46" s="1"/>
  <c r="AH129" i="46"/>
  <c r="AG129" i="46"/>
  <c r="AF129" i="46"/>
  <c r="AE129" i="46"/>
  <c r="AI129" i="46" s="1"/>
  <c r="Y129" i="46"/>
  <c r="AC129" i="46" s="1"/>
  <c r="AR129" i="46" s="1"/>
  <c r="X129" i="46"/>
  <c r="AB129" i="46" s="1"/>
  <c r="AQ129" i="46" s="1"/>
  <c r="W129" i="46"/>
  <c r="AA129" i="46" s="1"/>
  <c r="AP129" i="46" s="1"/>
  <c r="V129" i="46"/>
  <c r="Z129" i="46" s="1"/>
  <c r="AH125" i="46"/>
  <c r="AG125" i="46"/>
  <c r="AF125" i="46"/>
  <c r="AE125" i="46"/>
  <c r="AI125" i="46" s="1"/>
  <c r="Y125" i="46"/>
  <c r="AC125" i="46" s="1"/>
  <c r="AR125" i="46" s="1"/>
  <c r="X125" i="46"/>
  <c r="AB125" i="46" s="1"/>
  <c r="AQ125" i="46" s="1"/>
  <c r="W125" i="46"/>
  <c r="AA125" i="46" s="1"/>
  <c r="AP125" i="46" s="1"/>
  <c r="V125" i="46"/>
  <c r="Z125" i="46" s="1"/>
  <c r="AH124" i="46"/>
  <c r="AG124" i="46"/>
  <c r="AF124" i="46"/>
  <c r="AE124" i="46"/>
  <c r="AI124" i="46" s="1"/>
  <c r="Y124" i="46"/>
  <c r="AC124" i="46" s="1"/>
  <c r="AR124" i="46" s="1"/>
  <c r="X124" i="46"/>
  <c r="AB124" i="46" s="1"/>
  <c r="AQ124" i="46" s="1"/>
  <c r="W124" i="46"/>
  <c r="AA124" i="46" s="1"/>
  <c r="AP124" i="46" s="1"/>
  <c r="V124" i="46"/>
  <c r="Z124" i="46" s="1"/>
  <c r="AH123" i="46"/>
  <c r="AG123" i="46"/>
  <c r="AF123" i="46"/>
  <c r="AE123" i="46"/>
  <c r="AI123" i="46" s="1"/>
  <c r="Y123" i="46"/>
  <c r="AC123" i="46" s="1"/>
  <c r="AR123" i="46" s="1"/>
  <c r="X123" i="46"/>
  <c r="AB123" i="46" s="1"/>
  <c r="AQ123" i="46" s="1"/>
  <c r="W123" i="46"/>
  <c r="AA123" i="46" s="1"/>
  <c r="AP123" i="46" s="1"/>
  <c r="V123" i="46"/>
  <c r="Z123" i="46" s="1"/>
  <c r="AH122" i="46"/>
  <c r="AG122" i="46"/>
  <c r="AF122" i="46"/>
  <c r="AE122" i="46"/>
  <c r="AI122" i="46" s="1"/>
  <c r="Y122" i="46"/>
  <c r="AC122" i="46" s="1"/>
  <c r="AR122" i="46" s="1"/>
  <c r="X122" i="46"/>
  <c r="AB122" i="46" s="1"/>
  <c r="AQ122" i="46" s="1"/>
  <c r="W122" i="46"/>
  <c r="AA122" i="46" s="1"/>
  <c r="AP122" i="46" s="1"/>
  <c r="V122" i="46"/>
  <c r="Z122" i="46" s="1"/>
  <c r="AH121" i="46"/>
  <c r="AG121" i="46"/>
  <c r="AF121" i="46"/>
  <c r="AE121" i="46"/>
  <c r="AI121" i="46" s="1"/>
  <c r="Y121" i="46"/>
  <c r="AC121" i="46" s="1"/>
  <c r="AR121" i="46" s="1"/>
  <c r="X121" i="46"/>
  <c r="AB121" i="46" s="1"/>
  <c r="AQ121" i="46" s="1"/>
  <c r="W121" i="46"/>
  <c r="AA121" i="46" s="1"/>
  <c r="AP121" i="46" s="1"/>
  <c r="V121" i="46"/>
  <c r="Z121" i="46" s="1"/>
  <c r="AH120" i="46"/>
  <c r="AG120" i="46"/>
  <c r="AF120" i="46"/>
  <c r="AE120" i="46"/>
  <c r="AI120" i="46" s="1"/>
  <c r="Y120" i="46"/>
  <c r="AC120" i="46" s="1"/>
  <c r="AR120" i="46" s="1"/>
  <c r="X120" i="46"/>
  <c r="AB120" i="46" s="1"/>
  <c r="AQ120" i="46" s="1"/>
  <c r="W120" i="46"/>
  <c r="AA120" i="46" s="1"/>
  <c r="AP120" i="46" s="1"/>
  <c r="V120" i="46"/>
  <c r="Z120" i="46" s="1"/>
  <c r="AH116" i="46"/>
  <c r="AG116" i="46"/>
  <c r="AF116" i="46"/>
  <c r="AE116" i="46"/>
  <c r="AI116" i="46" s="1"/>
  <c r="Y116" i="46"/>
  <c r="AC116" i="46" s="1"/>
  <c r="AR116" i="46" s="1"/>
  <c r="X116" i="46"/>
  <c r="AB116" i="46" s="1"/>
  <c r="AQ116" i="46" s="1"/>
  <c r="W116" i="46"/>
  <c r="AA116" i="46" s="1"/>
  <c r="AP116" i="46" s="1"/>
  <c r="V116" i="46"/>
  <c r="Z116" i="46" s="1"/>
  <c r="AH115" i="46"/>
  <c r="AG115" i="46"/>
  <c r="AF115" i="46"/>
  <c r="AE115" i="46"/>
  <c r="AI115" i="46" s="1"/>
  <c r="Y115" i="46"/>
  <c r="AC115" i="46" s="1"/>
  <c r="AR115" i="46" s="1"/>
  <c r="X115" i="46"/>
  <c r="AB115" i="46" s="1"/>
  <c r="AQ115" i="46" s="1"/>
  <c r="W115" i="46"/>
  <c r="AA115" i="46" s="1"/>
  <c r="AP115" i="46" s="1"/>
  <c r="V115" i="46"/>
  <c r="Z115" i="46" s="1"/>
  <c r="AH114" i="46"/>
  <c r="AG114" i="46"/>
  <c r="AF114" i="46"/>
  <c r="AE114" i="46"/>
  <c r="AI114" i="46" s="1"/>
  <c r="Y114" i="46"/>
  <c r="AC114" i="46" s="1"/>
  <c r="AR114" i="46" s="1"/>
  <c r="X114" i="46"/>
  <c r="AB114" i="46" s="1"/>
  <c r="AQ114" i="46" s="1"/>
  <c r="W114" i="46"/>
  <c r="AA114" i="46" s="1"/>
  <c r="AP114" i="46" s="1"/>
  <c r="V114" i="46"/>
  <c r="Z114" i="46" s="1"/>
  <c r="AH113" i="46"/>
  <c r="AG113" i="46"/>
  <c r="AF113" i="46"/>
  <c r="AE113" i="46"/>
  <c r="AI113" i="46" s="1"/>
  <c r="Y113" i="46"/>
  <c r="AC113" i="46" s="1"/>
  <c r="AR113" i="46" s="1"/>
  <c r="X113" i="46"/>
  <c r="AB113" i="46" s="1"/>
  <c r="AQ113" i="46" s="1"/>
  <c r="W113" i="46"/>
  <c r="AA113" i="46" s="1"/>
  <c r="AP113" i="46" s="1"/>
  <c r="V113" i="46"/>
  <c r="Z113" i="46" s="1"/>
  <c r="AH112" i="46"/>
  <c r="AG112" i="46"/>
  <c r="AF112" i="46"/>
  <c r="AE112" i="46"/>
  <c r="AI112" i="46" s="1"/>
  <c r="Y112" i="46"/>
  <c r="AC112" i="46" s="1"/>
  <c r="AR112" i="46" s="1"/>
  <c r="X112" i="46"/>
  <c r="AB112" i="46" s="1"/>
  <c r="AQ112" i="46" s="1"/>
  <c r="W112" i="46"/>
  <c r="AA112" i="46" s="1"/>
  <c r="AP112" i="46" s="1"/>
  <c r="V112" i="46"/>
  <c r="Z112" i="46" s="1"/>
  <c r="AH111" i="46"/>
  <c r="AG111" i="46"/>
  <c r="AF111" i="46"/>
  <c r="AE111" i="46"/>
  <c r="AI111" i="46" s="1"/>
  <c r="Y111" i="46"/>
  <c r="AC111" i="46" s="1"/>
  <c r="AR111" i="46" s="1"/>
  <c r="X111" i="46"/>
  <c r="AB111" i="46" s="1"/>
  <c r="AQ111" i="46" s="1"/>
  <c r="W111" i="46"/>
  <c r="AA111" i="46" s="1"/>
  <c r="AP111" i="46" s="1"/>
  <c r="V111" i="46"/>
  <c r="Z111" i="46" s="1"/>
  <c r="AH107" i="46"/>
  <c r="AG107" i="46"/>
  <c r="AF107" i="46"/>
  <c r="AE107" i="46"/>
  <c r="AI107" i="46" s="1"/>
  <c r="Y107" i="46"/>
  <c r="AC107" i="46" s="1"/>
  <c r="AR107" i="46" s="1"/>
  <c r="X107" i="46"/>
  <c r="AB107" i="46" s="1"/>
  <c r="AQ107" i="46" s="1"/>
  <c r="W107" i="46"/>
  <c r="AA107" i="46" s="1"/>
  <c r="AP107" i="46" s="1"/>
  <c r="V107" i="46"/>
  <c r="Z107" i="46" s="1"/>
  <c r="AH106" i="46"/>
  <c r="AG106" i="46"/>
  <c r="AF106" i="46"/>
  <c r="AE106" i="46"/>
  <c r="AI106" i="46" s="1"/>
  <c r="Y106" i="46"/>
  <c r="AC106" i="46" s="1"/>
  <c r="AR106" i="46" s="1"/>
  <c r="X106" i="46"/>
  <c r="AB106" i="46" s="1"/>
  <c r="AQ106" i="46" s="1"/>
  <c r="W106" i="46"/>
  <c r="AA106" i="46" s="1"/>
  <c r="AP106" i="46" s="1"/>
  <c r="V106" i="46"/>
  <c r="Z106" i="46" s="1"/>
  <c r="AH105" i="46"/>
  <c r="AG105" i="46"/>
  <c r="AF105" i="46"/>
  <c r="AE105" i="46"/>
  <c r="AI105" i="46" s="1"/>
  <c r="Y105" i="46"/>
  <c r="AC105" i="46" s="1"/>
  <c r="AR105" i="46" s="1"/>
  <c r="X105" i="46"/>
  <c r="AB105" i="46" s="1"/>
  <c r="AQ105" i="46" s="1"/>
  <c r="W105" i="46"/>
  <c r="AA105" i="46" s="1"/>
  <c r="AP105" i="46" s="1"/>
  <c r="V105" i="46"/>
  <c r="Z105" i="46" s="1"/>
  <c r="AH104" i="46"/>
  <c r="AG104" i="46"/>
  <c r="AF104" i="46"/>
  <c r="AE104" i="46"/>
  <c r="AI104" i="46" s="1"/>
  <c r="Y104" i="46"/>
  <c r="AC104" i="46" s="1"/>
  <c r="AR104" i="46" s="1"/>
  <c r="X104" i="46"/>
  <c r="AB104" i="46" s="1"/>
  <c r="AQ104" i="46" s="1"/>
  <c r="W104" i="46"/>
  <c r="AA104" i="46" s="1"/>
  <c r="AP104" i="46" s="1"/>
  <c r="V104" i="46"/>
  <c r="Z104" i="46" s="1"/>
  <c r="AH103" i="46"/>
  <c r="AG103" i="46"/>
  <c r="AF103" i="46"/>
  <c r="AE103" i="46"/>
  <c r="AI103" i="46" s="1"/>
  <c r="Y103" i="46"/>
  <c r="AC103" i="46" s="1"/>
  <c r="AR103" i="46" s="1"/>
  <c r="X103" i="46"/>
  <c r="AB103" i="46" s="1"/>
  <c r="AQ103" i="46" s="1"/>
  <c r="W103" i="46"/>
  <c r="AA103" i="46" s="1"/>
  <c r="AP103" i="46" s="1"/>
  <c r="V103" i="46"/>
  <c r="Z103" i="46" s="1"/>
  <c r="AH102" i="46"/>
  <c r="AG102" i="46"/>
  <c r="AF102" i="46"/>
  <c r="AE102" i="46"/>
  <c r="AI102" i="46" s="1"/>
  <c r="Y102" i="46"/>
  <c r="AC102" i="46" s="1"/>
  <c r="AR102" i="46" s="1"/>
  <c r="X102" i="46"/>
  <c r="AB102" i="46" s="1"/>
  <c r="AQ102" i="46" s="1"/>
  <c r="W102" i="46"/>
  <c r="AA102" i="46" s="1"/>
  <c r="AP102" i="46" s="1"/>
  <c r="V102" i="46"/>
  <c r="Z102" i="46" s="1"/>
  <c r="AH98" i="46"/>
  <c r="AG98" i="46"/>
  <c r="AF98" i="46"/>
  <c r="AE98" i="46"/>
  <c r="AI98" i="46" s="1"/>
  <c r="Y98" i="46"/>
  <c r="AC98" i="46" s="1"/>
  <c r="AR98" i="46" s="1"/>
  <c r="X98" i="46"/>
  <c r="AB98" i="46" s="1"/>
  <c r="AQ98" i="46" s="1"/>
  <c r="W98" i="46"/>
  <c r="AA98" i="46" s="1"/>
  <c r="AP98" i="46" s="1"/>
  <c r="V98" i="46"/>
  <c r="Z98" i="46" s="1"/>
  <c r="AH97" i="46"/>
  <c r="AG97" i="46"/>
  <c r="AF97" i="46"/>
  <c r="AE97" i="46"/>
  <c r="AI97" i="46" s="1"/>
  <c r="Y97" i="46"/>
  <c r="AC97" i="46" s="1"/>
  <c r="AR97" i="46" s="1"/>
  <c r="X97" i="46"/>
  <c r="AB97" i="46" s="1"/>
  <c r="AQ97" i="46" s="1"/>
  <c r="W97" i="46"/>
  <c r="AA97" i="46" s="1"/>
  <c r="AP97" i="46" s="1"/>
  <c r="V97" i="46"/>
  <c r="Z97" i="46" s="1"/>
  <c r="AH96" i="46"/>
  <c r="AG96" i="46"/>
  <c r="AF96" i="46"/>
  <c r="AE96" i="46"/>
  <c r="AI96" i="46" s="1"/>
  <c r="Y96" i="46"/>
  <c r="AC96" i="46" s="1"/>
  <c r="AR96" i="46" s="1"/>
  <c r="X96" i="46"/>
  <c r="AB96" i="46" s="1"/>
  <c r="AQ96" i="46" s="1"/>
  <c r="W96" i="46"/>
  <c r="AA96" i="46" s="1"/>
  <c r="AP96" i="46" s="1"/>
  <c r="V96" i="46"/>
  <c r="Z96" i="46" s="1"/>
  <c r="AH95" i="46"/>
  <c r="AG95" i="46"/>
  <c r="AF95" i="46"/>
  <c r="AE95" i="46"/>
  <c r="AI95" i="46" s="1"/>
  <c r="Y95" i="46"/>
  <c r="AC95" i="46" s="1"/>
  <c r="AR95" i="46" s="1"/>
  <c r="X95" i="46"/>
  <c r="AB95" i="46" s="1"/>
  <c r="AQ95" i="46" s="1"/>
  <c r="W95" i="46"/>
  <c r="AA95" i="46" s="1"/>
  <c r="AP95" i="46" s="1"/>
  <c r="V95" i="46"/>
  <c r="Z95" i="46" s="1"/>
  <c r="AH94" i="46"/>
  <c r="AG94" i="46"/>
  <c r="AF94" i="46"/>
  <c r="AE94" i="46"/>
  <c r="AI94" i="46" s="1"/>
  <c r="Y94" i="46"/>
  <c r="AC94" i="46" s="1"/>
  <c r="AR94" i="46" s="1"/>
  <c r="X94" i="46"/>
  <c r="AB94" i="46" s="1"/>
  <c r="AQ94" i="46" s="1"/>
  <c r="W94" i="46"/>
  <c r="AA94" i="46" s="1"/>
  <c r="AP94" i="46" s="1"/>
  <c r="V94" i="46"/>
  <c r="Z94" i="46" s="1"/>
  <c r="AH93" i="46"/>
  <c r="AG93" i="46"/>
  <c r="AF93" i="46"/>
  <c r="AE93" i="46"/>
  <c r="AI93" i="46" s="1"/>
  <c r="Y93" i="46"/>
  <c r="AC93" i="46" s="1"/>
  <c r="AR93" i="46" s="1"/>
  <c r="X93" i="46"/>
  <c r="AB93" i="46" s="1"/>
  <c r="AQ93" i="46" s="1"/>
  <c r="W93" i="46"/>
  <c r="AA93" i="46" s="1"/>
  <c r="AP93" i="46" s="1"/>
  <c r="V93" i="46"/>
  <c r="Z93" i="46" s="1"/>
  <c r="AH89" i="46"/>
  <c r="AG89" i="46"/>
  <c r="AF89" i="46"/>
  <c r="AE89" i="46"/>
  <c r="AI89" i="46" s="1"/>
  <c r="Y89" i="46"/>
  <c r="AC89" i="46" s="1"/>
  <c r="AR89" i="46" s="1"/>
  <c r="X89" i="46"/>
  <c r="AB89" i="46" s="1"/>
  <c r="AQ89" i="46" s="1"/>
  <c r="W89" i="46"/>
  <c r="AA89" i="46" s="1"/>
  <c r="AP89" i="46" s="1"/>
  <c r="V89" i="46"/>
  <c r="Z89" i="46" s="1"/>
  <c r="AH88" i="46"/>
  <c r="AG88" i="46"/>
  <c r="AF88" i="46"/>
  <c r="AE88" i="46"/>
  <c r="AI88" i="46" s="1"/>
  <c r="Y88" i="46"/>
  <c r="AC88" i="46" s="1"/>
  <c r="AR88" i="46" s="1"/>
  <c r="X88" i="46"/>
  <c r="AB88" i="46" s="1"/>
  <c r="AQ88" i="46" s="1"/>
  <c r="W88" i="46"/>
  <c r="AA88" i="46" s="1"/>
  <c r="AP88" i="46" s="1"/>
  <c r="V88" i="46"/>
  <c r="Z88" i="46" s="1"/>
  <c r="AH87" i="46"/>
  <c r="AG87" i="46"/>
  <c r="AF87" i="46"/>
  <c r="AE87" i="46"/>
  <c r="AI87" i="46" s="1"/>
  <c r="Y87" i="46"/>
  <c r="AC87" i="46" s="1"/>
  <c r="AR87" i="46" s="1"/>
  <c r="X87" i="46"/>
  <c r="AB87" i="46" s="1"/>
  <c r="AQ87" i="46" s="1"/>
  <c r="W87" i="46"/>
  <c r="AA87" i="46" s="1"/>
  <c r="AP87" i="46" s="1"/>
  <c r="V87" i="46"/>
  <c r="Z87" i="46" s="1"/>
  <c r="AH86" i="46"/>
  <c r="AG86" i="46"/>
  <c r="AF86" i="46"/>
  <c r="AE86" i="46"/>
  <c r="AI86" i="46" s="1"/>
  <c r="Y86" i="46"/>
  <c r="AC86" i="46" s="1"/>
  <c r="AR86" i="46" s="1"/>
  <c r="X86" i="46"/>
  <c r="AB86" i="46" s="1"/>
  <c r="AQ86" i="46" s="1"/>
  <c r="W86" i="46"/>
  <c r="AA86" i="46" s="1"/>
  <c r="AP86" i="46" s="1"/>
  <c r="V86" i="46"/>
  <c r="Z86" i="46" s="1"/>
  <c r="AH85" i="46"/>
  <c r="AG85" i="46"/>
  <c r="AF85" i="46"/>
  <c r="AE85" i="46"/>
  <c r="AI85" i="46" s="1"/>
  <c r="Y85" i="46"/>
  <c r="AC85" i="46" s="1"/>
  <c r="AR85" i="46" s="1"/>
  <c r="X85" i="46"/>
  <c r="AB85" i="46" s="1"/>
  <c r="AQ85" i="46" s="1"/>
  <c r="W85" i="46"/>
  <c r="AA85" i="46" s="1"/>
  <c r="AP85" i="46" s="1"/>
  <c r="V85" i="46"/>
  <c r="Z85" i="46" s="1"/>
  <c r="AH84" i="46"/>
  <c r="AG84" i="46"/>
  <c r="AF84" i="46"/>
  <c r="AE84" i="46"/>
  <c r="AI84" i="46" s="1"/>
  <c r="Y84" i="46"/>
  <c r="AC84" i="46" s="1"/>
  <c r="AR84" i="46" s="1"/>
  <c r="X84" i="46"/>
  <c r="AB84" i="46" s="1"/>
  <c r="AQ84" i="46" s="1"/>
  <c r="W84" i="46"/>
  <c r="AA84" i="46" s="1"/>
  <c r="AP84" i="46" s="1"/>
  <c r="V84" i="46"/>
  <c r="Z84" i="46" s="1"/>
  <c r="AH80" i="46"/>
  <c r="AG80" i="46"/>
  <c r="AF80" i="46"/>
  <c r="AE80" i="46"/>
  <c r="AI80" i="46" s="1"/>
  <c r="Y80" i="46"/>
  <c r="AC80" i="46" s="1"/>
  <c r="AR80" i="46" s="1"/>
  <c r="X80" i="46"/>
  <c r="AB80" i="46" s="1"/>
  <c r="AQ80" i="46" s="1"/>
  <c r="W80" i="46"/>
  <c r="AA80" i="46" s="1"/>
  <c r="AP80" i="46" s="1"/>
  <c r="V80" i="46"/>
  <c r="Z80" i="46" s="1"/>
  <c r="AH79" i="46"/>
  <c r="AG79" i="46"/>
  <c r="AF79" i="46"/>
  <c r="AE79" i="46"/>
  <c r="AI79" i="46" s="1"/>
  <c r="Y79" i="46"/>
  <c r="AC79" i="46" s="1"/>
  <c r="AR79" i="46" s="1"/>
  <c r="X79" i="46"/>
  <c r="AB79" i="46" s="1"/>
  <c r="AQ79" i="46" s="1"/>
  <c r="W79" i="46"/>
  <c r="AA79" i="46" s="1"/>
  <c r="AP79" i="46" s="1"/>
  <c r="V79" i="46"/>
  <c r="Z79" i="46" s="1"/>
  <c r="AH78" i="46"/>
  <c r="AG78" i="46"/>
  <c r="AF78" i="46"/>
  <c r="AE78" i="46"/>
  <c r="AI78" i="46" s="1"/>
  <c r="Y78" i="46"/>
  <c r="AC78" i="46" s="1"/>
  <c r="AR78" i="46" s="1"/>
  <c r="X78" i="46"/>
  <c r="AB78" i="46" s="1"/>
  <c r="AQ78" i="46" s="1"/>
  <c r="W78" i="46"/>
  <c r="AA78" i="46" s="1"/>
  <c r="AP78" i="46" s="1"/>
  <c r="V78" i="46"/>
  <c r="Z78" i="46" s="1"/>
  <c r="AH77" i="46"/>
  <c r="AG77" i="46"/>
  <c r="AF77" i="46"/>
  <c r="AE77" i="46"/>
  <c r="AI77" i="46" s="1"/>
  <c r="Y77" i="46"/>
  <c r="AC77" i="46" s="1"/>
  <c r="AR77" i="46" s="1"/>
  <c r="X77" i="46"/>
  <c r="AB77" i="46" s="1"/>
  <c r="AQ77" i="46" s="1"/>
  <c r="W77" i="46"/>
  <c r="AA77" i="46" s="1"/>
  <c r="AP77" i="46" s="1"/>
  <c r="V77" i="46"/>
  <c r="Z77" i="46" s="1"/>
  <c r="AH76" i="46"/>
  <c r="AG76" i="46"/>
  <c r="AF76" i="46"/>
  <c r="AE76" i="46"/>
  <c r="AI76" i="46" s="1"/>
  <c r="Y76" i="46"/>
  <c r="AC76" i="46" s="1"/>
  <c r="AR76" i="46" s="1"/>
  <c r="X76" i="46"/>
  <c r="AB76" i="46" s="1"/>
  <c r="AQ76" i="46" s="1"/>
  <c r="W76" i="46"/>
  <c r="AA76" i="46" s="1"/>
  <c r="AP76" i="46" s="1"/>
  <c r="V76" i="46"/>
  <c r="Z76" i="46" s="1"/>
  <c r="AH75" i="46"/>
  <c r="AG75" i="46"/>
  <c r="AF75" i="46"/>
  <c r="AE75" i="46"/>
  <c r="AI75" i="46" s="1"/>
  <c r="Y75" i="46"/>
  <c r="AC75" i="46" s="1"/>
  <c r="AR75" i="46" s="1"/>
  <c r="X75" i="46"/>
  <c r="AB75" i="46" s="1"/>
  <c r="AQ75" i="46" s="1"/>
  <c r="W75" i="46"/>
  <c r="AA75" i="46" s="1"/>
  <c r="AP75" i="46" s="1"/>
  <c r="V75" i="46"/>
  <c r="Z75" i="46" s="1"/>
  <c r="AH71" i="46"/>
  <c r="AG71" i="46"/>
  <c r="AF71" i="46"/>
  <c r="AE71" i="46"/>
  <c r="AI71" i="46" s="1"/>
  <c r="Y71" i="46"/>
  <c r="AC71" i="46" s="1"/>
  <c r="AR71" i="46" s="1"/>
  <c r="X71" i="46"/>
  <c r="AB71" i="46" s="1"/>
  <c r="AQ71" i="46" s="1"/>
  <c r="W71" i="46"/>
  <c r="AA71" i="46" s="1"/>
  <c r="AP71" i="46" s="1"/>
  <c r="V71" i="46"/>
  <c r="Z71" i="46" s="1"/>
  <c r="AH70" i="46"/>
  <c r="AG70" i="46"/>
  <c r="AF70" i="46"/>
  <c r="AE70" i="46"/>
  <c r="AI70" i="46" s="1"/>
  <c r="Y70" i="46"/>
  <c r="AC70" i="46" s="1"/>
  <c r="AR70" i="46" s="1"/>
  <c r="X70" i="46"/>
  <c r="AB70" i="46" s="1"/>
  <c r="AQ70" i="46" s="1"/>
  <c r="W70" i="46"/>
  <c r="AA70" i="46" s="1"/>
  <c r="AP70" i="46" s="1"/>
  <c r="V70" i="46"/>
  <c r="Z70" i="46" s="1"/>
  <c r="AH69" i="46"/>
  <c r="AG69" i="46"/>
  <c r="AF69" i="46"/>
  <c r="AE69" i="46"/>
  <c r="AI69" i="46" s="1"/>
  <c r="Y69" i="46"/>
  <c r="AC69" i="46" s="1"/>
  <c r="AR69" i="46" s="1"/>
  <c r="X69" i="46"/>
  <c r="AB69" i="46" s="1"/>
  <c r="AQ69" i="46" s="1"/>
  <c r="W69" i="46"/>
  <c r="AA69" i="46" s="1"/>
  <c r="AP69" i="46" s="1"/>
  <c r="V69" i="46"/>
  <c r="Z69" i="46" s="1"/>
  <c r="AH68" i="46"/>
  <c r="AG68" i="46"/>
  <c r="AF68" i="46"/>
  <c r="AE68" i="46"/>
  <c r="AI68" i="46" s="1"/>
  <c r="Y68" i="46"/>
  <c r="AC68" i="46" s="1"/>
  <c r="AR68" i="46" s="1"/>
  <c r="X68" i="46"/>
  <c r="AB68" i="46" s="1"/>
  <c r="AQ68" i="46" s="1"/>
  <c r="W68" i="46"/>
  <c r="AA68" i="46" s="1"/>
  <c r="AP68" i="46" s="1"/>
  <c r="V68" i="46"/>
  <c r="Z68" i="46" s="1"/>
  <c r="AH67" i="46"/>
  <c r="AG67" i="46"/>
  <c r="AF67" i="46"/>
  <c r="AE67" i="46"/>
  <c r="AI67" i="46" s="1"/>
  <c r="Y67" i="46"/>
  <c r="AC67" i="46" s="1"/>
  <c r="AR67" i="46" s="1"/>
  <c r="X67" i="46"/>
  <c r="AB67" i="46" s="1"/>
  <c r="AQ67" i="46" s="1"/>
  <c r="W67" i="46"/>
  <c r="AA67" i="46" s="1"/>
  <c r="AP67" i="46" s="1"/>
  <c r="V67" i="46"/>
  <c r="Z67" i="46" s="1"/>
  <c r="AH66" i="46"/>
  <c r="AG66" i="46"/>
  <c r="AF66" i="46"/>
  <c r="AE66" i="46"/>
  <c r="AI66" i="46" s="1"/>
  <c r="Y66" i="46"/>
  <c r="AC66" i="46" s="1"/>
  <c r="AR66" i="46" s="1"/>
  <c r="X66" i="46"/>
  <c r="AB66" i="46" s="1"/>
  <c r="AQ66" i="46" s="1"/>
  <c r="W66" i="46"/>
  <c r="AA66" i="46" s="1"/>
  <c r="AP66" i="46" s="1"/>
  <c r="V66" i="46"/>
  <c r="Z66" i="46" s="1"/>
  <c r="AH62" i="46"/>
  <c r="AG62" i="46"/>
  <c r="AF62" i="46"/>
  <c r="AE62" i="46"/>
  <c r="AI62" i="46" s="1"/>
  <c r="Y62" i="46"/>
  <c r="AC62" i="46" s="1"/>
  <c r="AR62" i="46" s="1"/>
  <c r="X62" i="46"/>
  <c r="AB62" i="46" s="1"/>
  <c r="AQ62" i="46" s="1"/>
  <c r="W62" i="46"/>
  <c r="AA62" i="46" s="1"/>
  <c r="AP62" i="46" s="1"/>
  <c r="V62" i="46"/>
  <c r="Z62" i="46" s="1"/>
  <c r="AH61" i="46"/>
  <c r="AG61" i="46"/>
  <c r="AF61" i="46"/>
  <c r="AE61" i="46"/>
  <c r="AI61" i="46" s="1"/>
  <c r="Y61" i="46"/>
  <c r="AC61" i="46" s="1"/>
  <c r="AR61" i="46" s="1"/>
  <c r="X61" i="46"/>
  <c r="AB61" i="46" s="1"/>
  <c r="AQ61" i="46" s="1"/>
  <c r="W61" i="46"/>
  <c r="AA61" i="46" s="1"/>
  <c r="AP61" i="46" s="1"/>
  <c r="V61" i="46"/>
  <c r="Z61" i="46" s="1"/>
  <c r="AH60" i="46"/>
  <c r="AG60" i="46"/>
  <c r="AF60" i="46"/>
  <c r="AE60" i="46"/>
  <c r="AI60" i="46" s="1"/>
  <c r="Y60" i="46"/>
  <c r="AC60" i="46" s="1"/>
  <c r="AR60" i="46" s="1"/>
  <c r="X60" i="46"/>
  <c r="AB60" i="46" s="1"/>
  <c r="AQ60" i="46" s="1"/>
  <c r="W60" i="46"/>
  <c r="AA60" i="46" s="1"/>
  <c r="AP60" i="46" s="1"/>
  <c r="V60" i="46"/>
  <c r="Z60" i="46" s="1"/>
  <c r="AH59" i="46"/>
  <c r="AG59" i="46"/>
  <c r="AF59" i="46"/>
  <c r="AE59" i="46"/>
  <c r="AI59" i="46" s="1"/>
  <c r="Y59" i="46"/>
  <c r="AC59" i="46" s="1"/>
  <c r="AR59" i="46" s="1"/>
  <c r="X59" i="46"/>
  <c r="AB59" i="46" s="1"/>
  <c r="AQ59" i="46" s="1"/>
  <c r="W59" i="46"/>
  <c r="AA59" i="46" s="1"/>
  <c r="AP59" i="46" s="1"/>
  <c r="V59" i="46"/>
  <c r="Z59" i="46" s="1"/>
  <c r="AH58" i="46"/>
  <c r="AG58" i="46"/>
  <c r="AF58" i="46"/>
  <c r="AE58" i="46"/>
  <c r="AI58" i="46" s="1"/>
  <c r="Y58" i="46"/>
  <c r="AC58" i="46" s="1"/>
  <c r="AR58" i="46" s="1"/>
  <c r="X58" i="46"/>
  <c r="AB58" i="46" s="1"/>
  <c r="AQ58" i="46" s="1"/>
  <c r="W58" i="46"/>
  <c r="AA58" i="46" s="1"/>
  <c r="AP58" i="46" s="1"/>
  <c r="V58" i="46"/>
  <c r="Z58" i="46" s="1"/>
  <c r="AH57" i="46"/>
  <c r="AG57" i="46"/>
  <c r="AF57" i="46"/>
  <c r="AE57" i="46"/>
  <c r="AI57" i="46" s="1"/>
  <c r="Y57" i="46"/>
  <c r="AC57" i="46" s="1"/>
  <c r="AR57" i="46" s="1"/>
  <c r="X57" i="46"/>
  <c r="AB57" i="46" s="1"/>
  <c r="AQ57" i="46" s="1"/>
  <c r="W57" i="46"/>
  <c r="AA57" i="46" s="1"/>
  <c r="AP57" i="46" s="1"/>
  <c r="V57" i="46"/>
  <c r="Z57" i="46" s="1"/>
  <c r="AH53" i="46"/>
  <c r="AG53" i="46"/>
  <c r="AF53" i="46"/>
  <c r="AE53" i="46"/>
  <c r="AI53" i="46" s="1"/>
  <c r="Y53" i="46"/>
  <c r="AC53" i="46" s="1"/>
  <c r="AR53" i="46" s="1"/>
  <c r="X53" i="46"/>
  <c r="AB53" i="46" s="1"/>
  <c r="AQ53" i="46" s="1"/>
  <c r="W53" i="46"/>
  <c r="AA53" i="46" s="1"/>
  <c r="AP53" i="46" s="1"/>
  <c r="V53" i="46"/>
  <c r="Z53" i="46" s="1"/>
  <c r="AH52" i="46"/>
  <c r="AG52" i="46"/>
  <c r="AF52" i="46"/>
  <c r="AE52" i="46"/>
  <c r="AI52" i="46" s="1"/>
  <c r="Y52" i="46"/>
  <c r="AC52" i="46" s="1"/>
  <c r="AR52" i="46" s="1"/>
  <c r="X52" i="46"/>
  <c r="AB52" i="46" s="1"/>
  <c r="AQ52" i="46" s="1"/>
  <c r="W52" i="46"/>
  <c r="AA52" i="46" s="1"/>
  <c r="AP52" i="46" s="1"/>
  <c r="V52" i="46"/>
  <c r="Z52" i="46" s="1"/>
  <c r="AH51" i="46"/>
  <c r="AG51" i="46"/>
  <c r="AF51" i="46"/>
  <c r="AE51" i="46"/>
  <c r="AI51" i="46" s="1"/>
  <c r="Y51" i="46"/>
  <c r="AC51" i="46" s="1"/>
  <c r="AR51" i="46" s="1"/>
  <c r="X51" i="46"/>
  <c r="AB51" i="46" s="1"/>
  <c r="AQ51" i="46" s="1"/>
  <c r="W51" i="46"/>
  <c r="AA51" i="46" s="1"/>
  <c r="AP51" i="46" s="1"/>
  <c r="V51" i="46"/>
  <c r="Z51" i="46" s="1"/>
  <c r="AH50" i="46"/>
  <c r="AG50" i="46"/>
  <c r="AF50" i="46"/>
  <c r="AE50" i="46"/>
  <c r="AI50" i="46" s="1"/>
  <c r="Y50" i="46"/>
  <c r="AC50" i="46" s="1"/>
  <c r="AR50" i="46" s="1"/>
  <c r="X50" i="46"/>
  <c r="AB50" i="46" s="1"/>
  <c r="AQ50" i="46" s="1"/>
  <c r="W50" i="46"/>
  <c r="AA50" i="46" s="1"/>
  <c r="AP50" i="46" s="1"/>
  <c r="V50" i="46"/>
  <c r="Z50" i="46" s="1"/>
  <c r="AH49" i="46"/>
  <c r="AG49" i="46"/>
  <c r="AF49" i="46"/>
  <c r="AE49" i="46"/>
  <c r="AI49" i="46" s="1"/>
  <c r="Y49" i="46"/>
  <c r="AC49" i="46" s="1"/>
  <c r="AR49" i="46" s="1"/>
  <c r="X49" i="46"/>
  <c r="AB49" i="46" s="1"/>
  <c r="AQ49" i="46" s="1"/>
  <c r="W49" i="46"/>
  <c r="AA49" i="46" s="1"/>
  <c r="AP49" i="46" s="1"/>
  <c r="V49" i="46"/>
  <c r="Z49" i="46" s="1"/>
  <c r="AH48" i="46"/>
  <c r="AG48" i="46"/>
  <c r="AF48" i="46"/>
  <c r="AE48" i="46"/>
  <c r="AI48" i="46" s="1"/>
  <c r="Y48" i="46"/>
  <c r="AC48" i="46" s="1"/>
  <c r="AR48" i="46" s="1"/>
  <c r="X48" i="46"/>
  <c r="AB48" i="46" s="1"/>
  <c r="AQ48" i="46" s="1"/>
  <c r="W48" i="46"/>
  <c r="AA48" i="46" s="1"/>
  <c r="AP48" i="46" s="1"/>
  <c r="V48" i="46"/>
  <c r="Z48" i="46" s="1"/>
  <c r="AH44" i="46"/>
  <c r="AG44" i="46"/>
  <c r="AF44" i="46"/>
  <c r="AE44" i="46"/>
  <c r="AI44" i="46" s="1"/>
  <c r="Y44" i="46"/>
  <c r="AC44" i="46" s="1"/>
  <c r="AR44" i="46" s="1"/>
  <c r="X44" i="46"/>
  <c r="AB44" i="46" s="1"/>
  <c r="AQ44" i="46" s="1"/>
  <c r="W44" i="46"/>
  <c r="AA44" i="46" s="1"/>
  <c r="AP44" i="46" s="1"/>
  <c r="V44" i="46"/>
  <c r="Z44" i="46" s="1"/>
  <c r="AH43" i="46"/>
  <c r="AG43" i="46"/>
  <c r="AF43" i="46"/>
  <c r="AE43" i="46"/>
  <c r="AI43" i="46" s="1"/>
  <c r="Y43" i="46"/>
  <c r="AC43" i="46" s="1"/>
  <c r="AR43" i="46" s="1"/>
  <c r="X43" i="46"/>
  <c r="AB43" i="46" s="1"/>
  <c r="AQ43" i="46" s="1"/>
  <c r="W43" i="46"/>
  <c r="AA43" i="46" s="1"/>
  <c r="AP43" i="46" s="1"/>
  <c r="V43" i="46"/>
  <c r="Z43" i="46" s="1"/>
  <c r="AH42" i="46"/>
  <c r="AG42" i="46"/>
  <c r="AF42" i="46"/>
  <c r="AE42" i="46"/>
  <c r="AI42" i="46" s="1"/>
  <c r="Y42" i="46"/>
  <c r="AC42" i="46" s="1"/>
  <c r="AR42" i="46" s="1"/>
  <c r="X42" i="46"/>
  <c r="AB42" i="46" s="1"/>
  <c r="AQ42" i="46" s="1"/>
  <c r="W42" i="46"/>
  <c r="AA42" i="46" s="1"/>
  <c r="AP42" i="46" s="1"/>
  <c r="V42" i="46"/>
  <c r="Z42" i="46" s="1"/>
  <c r="AH41" i="46"/>
  <c r="AG41" i="46"/>
  <c r="AF41" i="46"/>
  <c r="AE41" i="46"/>
  <c r="AI41" i="46" s="1"/>
  <c r="Y41" i="46"/>
  <c r="AC41" i="46" s="1"/>
  <c r="AR41" i="46" s="1"/>
  <c r="X41" i="46"/>
  <c r="AB41" i="46" s="1"/>
  <c r="AQ41" i="46" s="1"/>
  <c r="W41" i="46"/>
  <c r="AA41" i="46" s="1"/>
  <c r="AP41" i="46" s="1"/>
  <c r="V41" i="46"/>
  <c r="Z41" i="46" s="1"/>
  <c r="AH40" i="46"/>
  <c r="AG40" i="46"/>
  <c r="AF40" i="46"/>
  <c r="AE40" i="46"/>
  <c r="AI40" i="46" s="1"/>
  <c r="Y40" i="46"/>
  <c r="AC40" i="46" s="1"/>
  <c r="AR40" i="46" s="1"/>
  <c r="X40" i="46"/>
  <c r="AB40" i="46" s="1"/>
  <c r="AQ40" i="46" s="1"/>
  <c r="W40" i="46"/>
  <c r="AA40" i="46" s="1"/>
  <c r="AP40" i="46" s="1"/>
  <c r="V40" i="46"/>
  <c r="Z40" i="46" s="1"/>
  <c r="AH39" i="46"/>
  <c r="AG39" i="46"/>
  <c r="AF39" i="46"/>
  <c r="AE39" i="46"/>
  <c r="AI39" i="46" s="1"/>
  <c r="Y39" i="46"/>
  <c r="AC39" i="46" s="1"/>
  <c r="AR39" i="46" s="1"/>
  <c r="X39" i="46"/>
  <c r="AB39" i="46" s="1"/>
  <c r="AQ39" i="46" s="1"/>
  <c r="W39" i="46"/>
  <c r="AA39" i="46" s="1"/>
  <c r="AP39" i="46" s="1"/>
  <c r="V39" i="46"/>
  <c r="Z39" i="46" s="1"/>
  <c r="AH35" i="46"/>
  <c r="AG35" i="46"/>
  <c r="AF35" i="46"/>
  <c r="AE35" i="46"/>
  <c r="AI35" i="46" s="1"/>
  <c r="Y35" i="46"/>
  <c r="AC35" i="46" s="1"/>
  <c r="AR35" i="46" s="1"/>
  <c r="X35" i="46"/>
  <c r="AB35" i="46" s="1"/>
  <c r="AQ35" i="46" s="1"/>
  <c r="W35" i="46"/>
  <c r="AA35" i="46" s="1"/>
  <c r="AP35" i="46" s="1"/>
  <c r="V35" i="46"/>
  <c r="Z35" i="46" s="1"/>
  <c r="AH34" i="46"/>
  <c r="AG34" i="46"/>
  <c r="AF34" i="46"/>
  <c r="AE34" i="46"/>
  <c r="AI34" i="46" s="1"/>
  <c r="Y34" i="46"/>
  <c r="AC34" i="46" s="1"/>
  <c r="AR34" i="46" s="1"/>
  <c r="X34" i="46"/>
  <c r="AB34" i="46" s="1"/>
  <c r="AQ34" i="46" s="1"/>
  <c r="W34" i="46"/>
  <c r="AA34" i="46" s="1"/>
  <c r="AP34" i="46" s="1"/>
  <c r="V34" i="46"/>
  <c r="Z34" i="46" s="1"/>
  <c r="AH33" i="46"/>
  <c r="AG33" i="46"/>
  <c r="AF33" i="46"/>
  <c r="AE33" i="46"/>
  <c r="AI33" i="46" s="1"/>
  <c r="Y33" i="46"/>
  <c r="AC33" i="46" s="1"/>
  <c r="AR33" i="46" s="1"/>
  <c r="X33" i="46"/>
  <c r="AB33" i="46" s="1"/>
  <c r="AQ33" i="46" s="1"/>
  <c r="W33" i="46"/>
  <c r="AA33" i="46" s="1"/>
  <c r="AP33" i="46" s="1"/>
  <c r="V33" i="46"/>
  <c r="Z33" i="46" s="1"/>
  <c r="AH32" i="46"/>
  <c r="AG32" i="46"/>
  <c r="AF32" i="46"/>
  <c r="AE32" i="46"/>
  <c r="AI32" i="46" s="1"/>
  <c r="Y32" i="46"/>
  <c r="AC32" i="46" s="1"/>
  <c r="AR32" i="46" s="1"/>
  <c r="X32" i="46"/>
  <c r="AB32" i="46" s="1"/>
  <c r="AQ32" i="46" s="1"/>
  <c r="W32" i="46"/>
  <c r="AA32" i="46" s="1"/>
  <c r="AP32" i="46" s="1"/>
  <c r="V32" i="46"/>
  <c r="Z32" i="46" s="1"/>
  <c r="AH31" i="46"/>
  <c r="AG31" i="46"/>
  <c r="AF31" i="46"/>
  <c r="AE31" i="46"/>
  <c r="AI31" i="46" s="1"/>
  <c r="Y31" i="46"/>
  <c r="AC31" i="46" s="1"/>
  <c r="AR31" i="46" s="1"/>
  <c r="X31" i="46"/>
  <c r="AB31" i="46" s="1"/>
  <c r="AQ31" i="46" s="1"/>
  <c r="W31" i="46"/>
  <c r="AA31" i="46" s="1"/>
  <c r="AP31" i="46" s="1"/>
  <c r="V31" i="46"/>
  <c r="Z31" i="46" s="1"/>
  <c r="AH30" i="46"/>
  <c r="AG30" i="46"/>
  <c r="AF30" i="46"/>
  <c r="AE30" i="46"/>
  <c r="AI30" i="46" s="1"/>
  <c r="Y30" i="46"/>
  <c r="AC30" i="46" s="1"/>
  <c r="AR30" i="46" s="1"/>
  <c r="X30" i="46"/>
  <c r="AB30" i="46" s="1"/>
  <c r="AQ30" i="46" s="1"/>
  <c r="W30" i="46"/>
  <c r="AA30" i="46" s="1"/>
  <c r="AP30" i="46" s="1"/>
  <c r="V30" i="46"/>
  <c r="Z30" i="46" s="1"/>
  <c r="AH26" i="46"/>
  <c r="AG26" i="46"/>
  <c r="AF26" i="46"/>
  <c r="AE26" i="46"/>
  <c r="AI26" i="46" s="1"/>
  <c r="Y26" i="46"/>
  <c r="AC26" i="46" s="1"/>
  <c r="AR26" i="46" s="1"/>
  <c r="X26" i="46"/>
  <c r="AB26" i="46" s="1"/>
  <c r="AQ26" i="46" s="1"/>
  <c r="W26" i="46"/>
  <c r="AA26" i="46" s="1"/>
  <c r="AP26" i="46" s="1"/>
  <c r="V26" i="46"/>
  <c r="Z26" i="46" s="1"/>
  <c r="AH25" i="46"/>
  <c r="AG25" i="46"/>
  <c r="AF25" i="46"/>
  <c r="AE25" i="46"/>
  <c r="AI25" i="46" s="1"/>
  <c r="Y25" i="46"/>
  <c r="AC25" i="46" s="1"/>
  <c r="AR25" i="46" s="1"/>
  <c r="X25" i="46"/>
  <c r="AB25" i="46" s="1"/>
  <c r="AQ25" i="46" s="1"/>
  <c r="W25" i="46"/>
  <c r="AA25" i="46" s="1"/>
  <c r="AP25" i="46" s="1"/>
  <c r="V25" i="46"/>
  <c r="Z25" i="46" s="1"/>
  <c r="AH24" i="46"/>
  <c r="AG24" i="46"/>
  <c r="AF24" i="46"/>
  <c r="AE24" i="46"/>
  <c r="AI24" i="46" s="1"/>
  <c r="Y24" i="46"/>
  <c r="AC24" i="46" s="1"/>
  <c r="AR24" i="46" s="1"/>
  <c r="X24" i="46"/>
  <c r="AB24" i="46" s="1"/>
  <c r="AQ24" i="46" s="1"/>
  <c r="W24" i="46"/>
  <c r="AA24" i="46" s="1"/>
  <c r="AP24" i="46" s="1"/>
  <c r="V24" i="46"/>
  <c r="Z24" i="46" s="1"/>
  <c r="AH23" i="46"/>
  <c r="AG23" i="46"/>
  <c r="AF23" i="46"/>
  <c r="AE23" i="46"/>
  <c r="AI23" i="46" s="1"/>
  <c r="Y23" i="46"/>
  <c r="AC23" i="46" s="1"/>
  <c r="AR23" i="46" s="1"/>
  <c r="X23" i="46"/>
  <c r="AB23" i="46" s="1"/>
  <c r="AQ23" i="46" s="1"/>
  <c r="W23" i="46"/>
  <c r="AA23" i="46" s="1"/>
  <c r="AP23" i="46" s="1"/>
  <c r="V23" i="46"/>
  <c r="Z23" i="46" s="1"/>
  <c r="AH22" i="46"/>
  <c r="AG22" i="46"/>
  <c r="AF22" i="46"/>
  <c r="AE22" i="46"/>
  <c r="AI22" i="46" s="1"/>
  <c r="Y22" i="46"/>
  <c r="AC22" i="46" s="1"/>
  <c r="AR22" i="46" s="1"/>
  <c r="X22" i="46"/>
  <c r="AB22" i="46" s="1"/>
  <c r="AQ22" i="46" s="1"/>
  <c r="W22" i="46"/>
  <c r="AA22" i="46" s="1"/>
  <c r="AP22" i="46" s="1"/>
  <c r="V22" i="46"/>
  <c r="Z22" i="46" s="1"/>
  <c r="AH21" i="46"/>
  <c r="AG21" i="46"/>
  <c r="AF21" i="46"/>
  <c r="AE21" i="46"/>
  <c r="AI21" i="46" s="1"/>
  <c r="Y21" i="46"/>
  <c r="AC21" i="46" s="1"/>
  <c r="AR21" i="46" s="1"/>
  <c r="X21" i="46"/>
  <c r="AB21" i="46" s="1"/>
  <c r="AQ21" i="46" s="1"/>
  <c r="W21" i="46"/>
  <c r="AA21" i="46" s="1"/>
  <c r="AP21" i="46" s="1"/>
  <c r="V21" i="46"/>
  <c r="Z21" i="46" s="1"/>
  <c r="AH17" i="46"/>
  <c r="AG17" i="46"/>
  <c r="AF17" i="46"/>
  <c r="AE17" i="46"/>
  <c r="AI17" i="46" s="1"/>
  <c r="Y17" i="46"/>
  <c r="AC17" i="46" s="1"/>
  <c r="AR17" i="46" s="1"/>
  <c r="X17" i="46"/>
  <c r="AB17" i="46" s="1"/>
  <c r="AQ17" i="46" s="1"/>
  <c r="W17" i="46"/>
  <c r="AA17" i="46" s="1"/>
  <c r="AP17" i="46" s="1"/>
  <c r="V17" i="46"/>
  <c r="Z17" i="46" s="1"/>
  <c r="AH16" i="46"/>
  <c r="AG16" i="46"/>
  <c r="AF16" i="46"/>
  <c r="AE16" i="46"/>
  <c r="AI16" i="46" s="1"/>
  <c r="Y16" i="46"/>
  <c r="AC16" i="46" s="1"/>
  <c r="AR16" i="46" s="1"/>
  <c r="X16" i="46"/>
  <c r="AB16" i="46" s="1"/>
  <c r="AQ16" i="46" s="1"/>
  <c r="W16" i="46"/>
  <c r="AA16" i="46" s="1"/>
  <c r="AP16" i="46" s="1"/>
  <c r="V16" i="46"/>
  <c r="Z16" i="46" s="1"/>
  <c r="AH15" i="46"/>
  <c r="AG15" i="46"/>
  <c r="AF15" i="46"/>
  <c r="AE15" i="46"/>
  <c r="AI15" i="46" s="1"/>
  <c r="Y15" i="46"/>
  <c r="AC15" i="46" s="1"/>
  <c r="AR15" i="46" s="1"/>
  <c r="X15" i="46"/>
  <c r="AB15" i="46" s="1"/>
  <c r="AQ15" i="46" s="1"/>
  <c r="W15" i="46"/>
  <c r="AA15" i="46" s="1"/>
  <c r="AP15" i="46" s="1"/>
  <c r="V15" i="46"/>
  <c r="Z15" i="46" s="1"/>
  <c r="AH14" i="46"/>
  <c r="AG14" i="46"/>
  <c r="AF14" i="46"/>
  <c r="AE14" i="46"/>
  <c r="AI14" i="46" s="1"/>
  <c r="Y14" i="46"/>
  <c r="AC14" i="46" s="1"/>
  <c r="AR14" i="46" s="1"/>
  <c r="X14" i="46"/>
  <c r="AB14" i="46" s="1"/>
  <c r="AQ14" i="46" s="1"/>
  <c r="W14" i="46"/>
  <c r="AA14" i="46" s="1"/>
  <c r="AP14" i="46" s="1"/>
  <c r="V14" i="46"/>
  <c r="Z14" i="46" s="1"/>
  <c r="AH13" i="46"/>
  <c r="AG13" i="46"/>
  <c r="AF13" i="46"/>
  <c r="AE13" i="46"/>
  <c r="AI13" i="46" s="1"/>
  <c r="Y13" i="46"/>
  <c r="AC13" i="46" s="1"/>
  <c r="AR13" i="46" s="1"/>
  <c r="X13" i="46"/>
  <c r="AB13" i="46" s="1"/>
  <c r="AQ13" i="46" s="1"/>
  <c r="W13" i="46"/>
  <c r="AA13" i="46" s="1"/>
  <c r="AP13" i="46" s="1"/>
  <c r="V13" i="46"/>
  <c r="Z13" i="46" s="1"/>
  <c r="AH12" i="46"/>
  <c r="AG12" i="46"/>
  <c r="AF12" i="46"/>
  <c r="AE12" i="46"/>
  <c r="AI12" i="46" s="1"/>
  <c r="AU12" i="46" s="1"/>
  <c r="Y12" i="46"/>
  <c r="AC12" i="46" s="1"/>
  <c r="AR12" i="46" s="1"/>
  <c r="X12" i="46"/>
  <c r="AB12" i="46" s="1"/>
  <c r="AQ12" i="46" s="1"/>
  <c r="W12" i="46"/>
  <c r="AA12" i="46" s="1"/>
  <c r="AP12" i="46" s="1"/>
  <c r="H180" i="14"/>
  <c r="G180" i="14"/>
  <c r="F180" i="14"/>
  <c r="D180" i="14"/>
  <c r="H181" i="14" s="1"/>
  <c r="H171" i="14"/>
  <c r="G171" i="14"/>
  <c r="F171" i="14"/>
  <c r="D171" i="14"/>
  <c r="H162" i="14"/>
  <c r="G162" i="14"/>
  <c r="F162" i="14"/>
  <c r="D162" i="14"/>
  <c r="H163" i="14" s="1"/>
  <c r="H153" i="14"/>
  <c r="G153" i="14"/>
  <c r="F153" i="14"/>
  <c r="D153" i="14"/>
  <c r="H144" i="14"/>
  <c r="G144" i="14"/>
  <c r="F144" i="14"/>
  <c r="D144" i="14"/>
  <c r="H135" i="14"/>
  <c r="G135" i="14"/>
  <c r="F135" i="14"/>
  <c r="D135" i="14"/>
  <c r="H126" i="14"/>
  <c r="G126" i="14"/>
  <c r="F126" i="14"/>
  <c r="D126" i="14"/>
  <c r="H127" i="14" s="1"/>
  <c r="H117" i="14"/>
  <c r="G117" i="14"/>
  <c r="F117" i="14"/>
  <c r="D117" i="14"/>
  <c r="H108" i="14"/>
  <c r="G108" i="14"/>
  <c r="F108" i="14"/>
  <c r="D108" i="14"/>
  <c r="H99" i="14"/>
  <c r="G99" i="14"/>
  <c r="F99" i="14"/>
  <c r="D99" i="14"/>
  <c r="H90" i="14"/>
  <c r="G90" i="14"/>
  <c r="F90" i="14"/>
  <c r="D90" i="14"/>
  <c r="H81" i="14"/>
  <c r="G81" i="14"/>
  <c r="F81" i="14"/>
  <c r="D81" i="14"/>
  <c r="H72" i="14"/>
  <c r="G72" i="14"/>
  <c r="F72" i="14"/>
  <c r="D72" i="14"/>
  <c r="H63" i="14"/>
  <c r="G63" i="14"/>
  <c r="F63" i="14"/>
  <c r="D63" i="14"/>
  <c r="H54" i="14"/>
  <c r="G54" i="14"/>
  <c r="F54" i="14"/>
  <c r="D54" i="14"/>
  <c r="H45" i="14"/>
  <c r="G45" i="14"/>
  <c r="F45" i="14"/>
  <c r="D45" i="14"/>
  <c r="H36" i="14"/>
  <c r="G36" i="14"/>
  <c r="F36" i="14"/>
  <c r="D36" i="14"/>
  <c r="H27" i="14"/>
  <c r="G27" i="14"/>
  <c r="F27" i="14"/>
  <c r="D27" i="14"/>
  <c r="H18" i="14"/>
  <c r="G18" i="14"/>
  <c r="F18" i="14"/>
  <c r="D18" i="14"/>
  <c r="AJ169" i="46" l="1"/>
  <c r="AV169" i="46" s="1"/>
  <c r="AJ170" i="46"/>
  <c r="AV170" i="46" s="1"/>
  <c r="AJ12" i="46"/>
  <c r="AV12" i="46" s="1"/>
  <c r="AJ16" i="46"/>
  <c r="AV16" i="46" s="1"/>
  <c r="AJ23" i="46"/>
  <c r="AV23" i="46" s="1"/>
  <c r="AJ25" i="46"/>
  <c r="AV25" i="46" s="1"/>
  <c r="AJ30" i="46"/>
  <c r="AV30" i="46" s="1"/>
  <c r="AJ32" i="46"/>
  <c r="AV32" i="46" s="1"/>
  <c r="AJ34" i="46"/>
  <c r="AV34" i="46" s="1"/>
  <c r="AJ39" i="46"/>
  <c r="AV39" i="46" s="1"/>
  <c r="AJ40" i="46"/>
  <c r="AV40" i="46" s="1"/>
  <c r="AJ43" i="46"/>
  <c r="AV43" i="46" s="1"/>
  <c r="AJ49" i="46"/>
  <c r="AV49" i="46" s="1"/>
  <c r="AJ52" i="46"/>
  <c r="AV52" i="46" s="1"/>
  <c r="AJ57" i="46"/>
  <c r="AV57" i="46" s="1"/>
  <c r="AJ59" i="46"/>
  <c r="AV59" i="46" s="1"/>
  <c r="AJ60" i="46"/>
  <c r="AV60" i="46" s="1"/>
  <c r="AJ62" i="46"/>
  <c r="AV62" i="46" s="1"/>
  <c r="AJ68" i="46"/>
  <c r="AV68" i="46" s="1"/>
  <c r="AJ70" i="46"/>
  <c r="AJ75" i="46"/>
  <c r="AV75" i="46" s="1"/>
  <c r="AJ77" i="46"/>
  <c r="AV77" i="46" s="1"/>
  <c r="AJ79" i="46"/>
  <c r="AV79" i="46" s="1"/>
  <c r="AJ85" i="46"/>
  <c r="AV85" i="46" s="1"/>
  <c r="AJ88" i="46"/>
  <c r="AV88" i="46" s="1"/>
  <c r="AJ93" i="46"/>
  <c r="AV93" i="46" s="1"/>
  <c r="AJ95" i="46"/>
  <c r="AV95" i="46" s="1"/>
  <c r="AJ96" i="46"/>
  <c r="AV96" i="46" s="1"/>
  <c r="AJ98" i="46"/>
  <c r="AV98" i="46" s="1"/>
  <c r="AJ103" i="46"/>
  <c r="AV103" i="46" s="1"/>
  <c r="AJ106" i="46"/>
  <c r="AV106" i="46" s="1"/>
  <c r="AJ107" i="46"/>
  <c r="AV107" i="46" s="1"/>
  <c r="AJ112" i="46"/>
  <c r="AV112" i="46" s="1"/>
  <c r="AJ114" i="46"/>
  <c r="AV114" i="46" s="1"/>
  <c r="AJ116" i="46"/>
  <c r="AV116" i="46" s="1"/>
  <c r="AJ120" i="46"/>
  <c r="AV120" i="46" s="1"/>
  <c r="AJ121" i="46"/>
  <c r="AV121" i="46" s="1"/>
  <c r="AJ123" i="46"/>
  <c r="AV123" i="46" s="1"/>
  <c r="AJ125" i="46"/>
  <c r="AV125" i="46" s="1"/>
  <c r="AJ130" i="46"/>
  <c r="AV130" i="46" s="1"/>
  <c r="AJ133" i="46"/>
  <c r="AV133" i="46" s="1"/>
  <c r="AJ138" i="46"/>
  <c r="AV138" i="46" s="1"/>
  <c r="AJ140" i="46"/>
  <c r="AV140" i="46" s="1"/>
  <c r="AJ141" i="46"/>
  <c r="AV141" i="46" s="1"/>
  <c r="AJ143" i="46"/>
  <c r="AV143" i="46" s="1"/>
  <c r="AJ147" i="46"/>
  <c r="AV147" i="46" s="1"/>
  <c r="AJ149" i="46"/>
  <c r="AV149" i="46" s="1"/>
  <c r="AJ150" i="46"/>
  <c r="AV150" i="46" s="1"/>
  <c r="AJ151" i="46"/>
  <c r="AV151" i="46" s="1"/>
  <c r="AJ152" i="46"/>
  <c r="AV152" i="46" s="1"/>
  <c r="AJ166" i="46"/>
  <c r="AV166" i="46" s="1"/>
  <c r="AJ167" i="46"/>
  <c r="AK170" i="46"/>
  <c r="AW170" i="46" s="1"/>
  <c r="AK13" i="46"/>
  <c r="AW13" i="46" s="1"/>
  <c r="AK14" i="46"/>
  <c r="AW14" i="46" s="1"/>
  <c r="AK15" i="46"/>
  <c r="AW15" i="46" s="1"/>
  <c r="AK17" i="46"/>
  <c r="AW17" i="46" s="1"/>
  <c r="AK22" i="46"/>
  <c r="AW22" i="46" s="1"/>
  <c r="AK25" i="46"/>
  <c r="AW25" i="46" s="1"/>
  <c r="AK31" i="46"/>
  <c r="AW31" i="46" s="1"/>
  <c r="AK34" i="46"/>
  <c r="AW34" i="46" s="1"/>
  <c r="AK39" i="46"/>
  <c r="AW39" i="46" s="1"/>
  <c r="AK41" i="46"/>
  <c r="AW41" i="46" s="1"/>
  <c r="AK42" i="46"/>
  <c r="AW42" i="46" s="1"/>
  <c r="AK44" i="46"/>
  <c r="AW44" i="46" s="1"/>
  <c r="AK49" i="46"/>
  <c r="AW49" i="46" s="1"/>
  <c r="AK50" i="46"/>
  <c r="AW50" i="46" s="1"/>
  <c r="AK51" i="46"/>
  <c r="AW51" i="46" s="1"/>
  <c r="AK53" i="46"/>
  <c r="AW53" i="46" s="1"/>
  <c r="AK58" i="46"/>
  <c r="AW58" i="46" s="1"/>
  <c r="AK59" i="46"/>
  <c r="AW59" i="46" s="1"/>
  <c r="AK60" i="46"/>
  <c r="AW60" i="46" s="1"/>
  <c r="AK62" i="46"/>
  <c r="AW62" i="46" s="1"/>
  <c r="AK67" i="46"/>
  <c r="AW67" i="46" s="1"/>
  <c r="AK70" i="46"/>
  <c r="AW70" i="46" s="1"/>
  <c r="AK71" i="46"/>
  <c r="AW71" i="46" s="1"/>
  <c r="AK76" i="46"/>
  <c r="AW76" i="46" s="1"/>
  <c r="AK77" i="46"/>
  <c r="AW77" i="46" s="1"/>
  <c r="AK78" i="46"/>
  <c r="AW78" i="46" s="1"/>
  <c r="AK79" i="46"/>
  <c r="AW79" i="46" s="1"/>
  <c r="AK80" i="46"/>
  <c r="AW80" i="46" s="1"/>
  <c r="AK84" i="46"/>
  <c r="AW84" i="46" s="1"/>
  <c r="AK85" i="46"/>
  <c r="AW85" i="46" s="1"/>
  <c r="AK86" i="46"/>
  <c r="AW86" i="46" s="1"/>
  <c r="AK87" i="46"/>
  <c r="AW87" i="46" s="1"/>
  <c r="AK88" i="46"/>
  <c r="AW88" i="46" s="1"/>
  <c r="AK93" i="46"/>
  <c r="AW93" i="46" s="1"/>
  <c r="AK94" i="46"/>
  <c r="AW94" i="46" s="1"/>
  <c r="AK95" i="46"/>
  <c r="AW95" i="46" s="1"/>
  <c r="AK96" i="46"/>
  <c r="AW96" i="46" s="1"/>
  <c r="AK97" i="46"/>
  <c r="AW97" i="46" s="1"/>
  <c r="AK98" i="46"/>
  <c r="AW98" i="46" s="1"/>
  <c r="AK102" i="46"/>
  <c r="AW102" i="46" s="1"/>
  <c r="AK103" i="46"/>
  <c r="AW103" i="46" s="1"/>
  <c r="AK104" i="46"/>
  <c r="AW104" i="46" s="1"/>
  <c r="AK105" i="46"/>
  <c r="AW105" i="46" s="1"/>
  <c r="AK106" i="46"/>
  <c r="AW106" i="46" s="1"/>
  <c r="AK107" i="46"/>
  <c r="AW107" i="46" s="1"/>
  <c r="AK111" i="46"/>
  <c r="AW111" i="46" s="1"/>
  <c r="AK112" i="46"/>
  <c r="AW112" i="46" s="1"/>
  <c r="AK113" i="46"/>
  <c r="AW113" i="46" s="1"/>
  <c r="AK114" i="46"/>
  <c r="AW114" i="46" s="1"/>
  <c r="AK115" i="46"/>
  <c r="AW115" i="46" s="1"/>
  <c r="AK116" i="46"/>
  <c r="AW116" i="46" s="1"/>
  <c r="AK120" i="46"/>
  <c r="AW120" i="46" s="1"/>
  <c r="AK121" i="46"/>
  <c r="AW121" i="46" s="1"/>
  <c r="AK122" i="46"/>
  <c r="AW122" i="46" s="1"/>
  <c r="AK123" i="46"/>
  <c r="AW123" i="46" s="1"/>
  <c r="AK124" i="46"/>
  <c r="AW124" i="46" s="1"/>
  <c r="AK125" i="46"/>
  <c r="AW125" i="46" s="1"/>
  <c r="AK129" i="46"/>
  <c r="AW129" i="46" s="1"/>
  <c r="AK130" i="46"/>
  <c r="AW130" i="46" s="1"/>
  <c r="AK131" i="46"/>
  <c r="AW131" i="46" s="1"/>
  <c r="AK132" i="46"/>
  <c r="AW132" i="46" s="1"/>
  <c r="AK133" i="46"/>
  <c r="AW133" i="46" s="1"/>
  <c r="AK134" i="46"/>
  <c r="AW134" i="46" s="1"/>
  <c r="AK138" i="46"/>
  <c r="AW138" i="46" s="1"/>
  <c r="AK139" i="46"/>
  <c r="AW139" i="46" s="1"/>
  <c r="AK140" i="46"/>
  <c r="AW140" i="46" s="1"/>
  <c r="AK141" i="46"/>
  <c r="AW141" i="46" s="1"/>
  <c r="AK142" i="46"/>
  <c r="AW142" i="46" s="1"/>
  <c r="AK143" i="46"/>
  <c r="AW143" i="46" s="1"/>
  <c r="AK147" i="46"/>
  <c r="AW147" i="46" s="1"/>
  <c r="AK148" i="46"/>
  <c r="AW148" i="46" s="1"/>
  <c r="AK149" i="46"/>
  <c r="AW149" i="46" s="1"/>
  <c r="AK150" i="46"/>
  <c r="AW150" i="46" s="1"/>
  <c r="AK151" i="46"/>
  <c r="AW151" i="46" s="1"/>
  <c r="AK152" i="46"/>
  <c r="AW152" i="46" s="1"/>
  <c r="AK165" i="46"/>
  <c r="AW165" i="46" s="1"/>
  <c r="AK166" i="46"/>
  <c r="AW166" i="46" s="1"/>
  <c r="AK167" i="46"/>
  <c r="AW167" i="46" s="1"/>
  <c r="AL169" i="46"/>
  <c r="AX169" i="46" s="1"/>
  <c r="AL170" i="46"/>
  <c r="AX170" i="46" s="1"/>
  <c r="AL12" i="46"/>
  <c r="AX12" i="46" s="1"/>
  <c r="AL13" i="46"/>
  <c r="AX13" i="46" s="1"/>
  <c r="AL14" i="46"/>
  <c r="AX14" i="46" s="1"/>
  <c r="AL15" i="46"/>
  <c r="AX15" i="46" s="1"/>
  <c r="AL16" i="46"/>
  <c r="AX16" i="46" s="1"/>
  <c r="AL17" i="46"/>
  <c r="AX17" i="46" s="1"/>
  <c r="AL21" i="46"/>
  <c r="AX21" i="46" s="1"/>
  <c r="AL22" i="46"/>
  <c r="AX22" i="46" s="1"/>
  <c r="AL23" i="46"/>
  <c r="AX23" i="46" s="1"/>
  <c r="AL24" i="46"/>
  <c r="AX24" i="46" s="1"/>
  <c r="AL25" i="46"/>
  <c r="AX25" i="46" s="1"/>
  <c r="AL26" i="46"/>
  <c r="AX26" i="46" s="1"/>
  <c r="AL30" i="46"/>
  <c r="AX30" i="46" s="1"/>
  <c r="AL31" i="46"/>
  <c r="AX31" i="46" s="1"/>
  <c r="AL32" i="46"/>
  <c r="AX32" i="46" s="1"/>
  <c r="AL33" i="46"/>
  <c r="AX33" i="46" s="1"/>
  <c r="AL34" i="46"/>
  <c r="AX34" i="46" s="1"/>
  <c r="AL35" i="46"/>
  <c r="AX35" i="46" s="1"/>
  <c r="AL39" i="46"/>
  <c r="AX39" i="46" s="1"/>
  <c r="AL40" i="46"/>
  <c r="AX40" i="46" s="1"/>
  <c r="AL41" i="46"/>
  <c r="AX41" i="46" s="1"/>
  <c r="AL42" i="46"/>
  <c r="AX42" i="46" s="1"/>
  <c r="AL43" i="46"/>
  <c r="AX43" i="46" s="1"/>
  <c r="AL44" i="46"/>
  <c r="AX44" i="46" s="1"/>
  <c r="AL48" i="46"/>
  <c r="AX48" i="46" s="1"/>
  <c r="AL49" i="46"/>
  <c r="AX49" i="46" s="1"/>
  <c r="AL50" i="46"/>
  <c r="AX50" i="46" s="1"/>
  <c r="AL51" i="46"/>
  <c r="AX51" i="46" s="1"/>
  <c r="AL52" i="46"/>
  <c r="AX52" i="46" s="1"/>
  <c r="AL53" i="46"/>
  <c r="AX53" i="46" s="1"/>
  <c r="AL57" i="46"/>
  <c r="AX57" i="46" s="1"/>
  <c r="AL58" i="46"/>
  <c r="AX58" i="46" s="1"/>
  <c r="AL59" i="46"/>
  <c r="AX59" i="46" s="1"/>
  <c r="AL60" i="46"/>
  <c r="AX60" i="46" s="1"/>
  <c r="AL61" i="46"/>
  <c r="AX61" i="46" s="1"/>
  <c r="AL62" i="46"/>
  <c r="AX62" i="46" s="1"/>
  <c r="AL66" i="46"/>
  <c r="AX66" i="46" s="1"/>
  <c r="AL67" i="46"/>
  <c r="AX67" i="46" s="1"/>
  <c r="AL68" i="46"/>
  <c r="AX68" i="46" s="1"/>
  <c r="AL69" i="46"/>
  <c r="AX69" i="46" s="1"/>
  <c r="AL70" i="46"/>
  <c r="AX70" i="46" s="1"/>
  <c r="AL71" i="46"/>
  <c r="AX71" i="46" s="1"/>
  <c r="AL75" i="46"/>
  <c r="AX75" i="46" s="1"/>
  <c r="AL76" i="46"/>
  <c r="AX76" i="46" s="1"/>
  <c r="AL77" i="46"/>
  <c r="AX77" i="46" s="1"/>
  <c r="AL78" i="46"/>
  <c r="AX78" i="46" s="1"/>
  <c r="AL79" i="46"/>
  <c r="AX79" i="46" s="1"/>
  <c r="AL80" i="46"/>
  <c r="AX80" i="46" s="1"/>
  <c r="AL84" i="46"/>
  <c r="AX84" i="46" s="1"/>
  <c r="AL85" i="46"/>
  <c r="AX85" i="46" s="1"/>
  <c r="AL86" i="46"/>
  <c r="AX86" i="46" s="1"/>
  <c r="AL87" i="46"/>
  <c r="AX87" i="46" s="1"/>
  <c r="AL88" i="46"/>
  <c r="AX88" i="46" s="1"/>
  <c r="AL89" i="46"/>
  <c r="AX89" i="46" s="1"/>
  <c r="AL93" i="46"/>
  <c r="AX93" i="46" s="1"/>
  <c r="AL94" i="46"/>
  <c r="AX94" i="46" s="1"/>
  <c r="AL95" i="46"/>
  <c r="AX95" i="46" s="1"/>
  <c r="AL96" i="46"/>
  <c r="AX96" i="46" s="1"/>
  <c r="AL97" i="46"/>
  <c r="AX97" i="46" s="1"/>
  <c r="AL98" i="46"/>
  <c r="AX98" i="46" s="1"/>
  <c r="AL102" i="46"/>
  <c r="AX102" i="46" s="1"/>
  <c r="AL103" i="46"/>
  <c r="AX103" i="46" s="1"/>
  <c r="AL104" i="46"/>
  <c r="AX104" i="46" s="1"/>
  <c r="AL105" i="46"/>
  <c r="AX105" i="46" s="1"/>
  <c r="AL106" i="46"/>
  <c r="AX106" i="46" s="1"/>
  <c r="AL107" i="46"/>
  <c r="AX107" i="46" s="1"/>
  <c r="AL111" i="46"/>
  <c r="AX111" i="46" s="1"/>
  <c r="AL112" i="46"/>
  <c r="AX112" i="46" s="1"/>
  <c r="AL113" i="46"/>
  <c r="AX113" i="46" s="1"/>
  <c r="AL114" i="46"/>
  <c r="AX114" i="46" s="1"/>
  <c r="AL115" i="46"/>
  <c r="AX115" i="46" s="1"/>
  <c r="AL116" i="46"/>
  <c r="AX116" i="46" s="1"/>
  <c r="AL120" i="46"/>
  <c r="AX120" i="46" s="1"/>
  <c r="AL121" i="46"/>
  <c r="AX121" i="46" s="1"/>
  <c r="AL122" i="46"/>
  <c r="AX122" i="46" s="1"/>
  <c r="AL123" i="46"/>
  <c r="AX123" i="46" s="1"/>
  <c r="AL124" i="46"/>
  <c r="AX124" i="46" s="1"/>
  <c r="AL125" i="46"/>
  <c r="AX125" i="46" s="1"/>
  <c r="AL129" i="46"/>
  <c r="AX129" i="46" s="1"/>
  <c r="AL130" i="46"/>
  <c r="AX130" i="46" s="1"/>
  <c r="AL131" i="46"/>
  <c r="AX131" i="46" s="1"/>
  <c r="AL132" i="46"/>
  <c r="AX132" i="46" s="1"/>
  <c r="AL133" i="46"/>
  <c r="AX133" i="46" s="1"/>
  <c r="AL134" i="46"/>
  <c r="AX134" i="46" s="1"/>
  <c r="AL138" i="46"/>
  <c r="AX138" i="46" s="1"/>
  <c r="AL139" i="46"/>
  <c r="AX139" i="46" s="1"/>
  <c r="AL140" i="46"/>
  <c r="AX140" i="46" s="1"/>
  <c r="AL141" i="46"/>
  <c r="AX141" i="46" s="1"/>
  <c r="AL142" i="46"/>
  <c r="AX142" i="46" s="1"/>
  <c r="AL143" i="46"/>
  <c r="AX143" i="46" s="1"/>
  <c r="AL147" i="46"/>
  <c r="AL148" i="46"/>
  <c r="AX148" i="46" s="1"/>
  <c r="AL149" i="46"/>
  <c r="AX149" i="46" s="1"/>
  <c r="AL150" i="46"/>
  <c r="AX150" i="46" s="1"/>
  <c r="AL151" i="46"/>
  <c r="AX151" i="46" s="1"/>
  <c r="AL152" i="46"/>
  <c r="AX152" i="46" s="1"/>
  <c r="AL165" i="46"/>
  <c r="AX165" i="46" s="1"/>
  <c r="AL166" i="46"/>
  <c r="AX166" i="46" s="1"/>
  <c r="AL167" i="46"/>
  <c r="AX167" i="46" s="1"/>
  <c r="AJ13" i="46"/>
  <c r="AV13" i="46" s="1"/>
  <c r="AJ14" i="46"/>
  <c r="AV14" i="46" s="1"/>
  <c r="AJ15" i="46"/>
  <c r="AV15" i="46" s="1"/>
  <c r="AJ17" i="46"/>
  <c r="AV17" i="46" s="1"/>
  <c r="AJ21" i="46"/>
  <c r="AV21" i="46" s="1"/>
  <c r="AJ22" i="46"/>
  <c r="AV22" i="46" s="1"/>
  <c r="AJ24" i="46"/>
  <c r="AV24" i="46" s="1"/>
  <c r="AJ26" i="46"/>
  <c r="AV26" i="46" s="1"/>
  <c r="AJ31" i="46"/>
  <c r="AV31" i="46" s="1"/>
  <c r="AJ33" i="46"/>
  <c r="AV33" i="46" s="1"/>
  <c r="AJ35" i="46"/>
  <c r="AV35" i="46" s="1"/>
  <c r="AJ41" i="46"/>
  <c r="AV41" i="46" s="1"/>
  <c r="AJ42" i="46"/>
  <c r="AV42" i="46" s="1"/>
  <c r="AJ44" i="46"/>
  <c r="AV44" i="46" s="1"/>
  <c r="AJ48" i="46"/>
  <c r="AV48" i="46" s="1"/>
  <c r="AJ50" i="46"/>
  <c r="AV50" i="46" s="1"/>
  <c r="AJ51" i="46"/>
  <c r="AV51" i="46" s="1"/>
  <c r="AJ53" i="46"/>
  <c r="AV53" i="46" s="1"/>
  <c r="AJ58" i="46"/>
  <c r="AV58" i="46" s="1"/>
  <c r="AJ61" i="46"/>
  <c r="AV61" i="46" s="1"/>
  <c r="AJ66" i="46"/>
  <c r="AV66" i="46" s="1"/>
  <c r="AJ67" i="46"/>
  <c r="AV67" i="46" s="1"/>
  <c r="AJ69" i="46"/>
  <c r="AV69" i="46" s="1"/>
  <c r="AJ71" i="46"/>
  <c r="AV71" i="46" s="1"/>
  <c r="AJ76" i="46"/>
  <c r="AV76" i="46" s="1"/>
  <c r="AJ78" i="46"/>
  <c r="AV78" i="46" s="1"/>
  <c r="AJ80" i="46"/>
  <c r="AV80" i="46" s="1"/>
  <c r="AJ84" i="46"/>
  <c r="AV84" i="46" s="1"/>
  <c r="AJ86" i="46"/>
  <c r="AV86" i="46" s="1"/>
  <c r="AJ87" i="46"/>
  <c r="AV87" i="46" s="1"/>
  <c r="AJ89" i="46"/>
  <c r="AV89" i="46" s="1"/>
  <c r="AJ94" i="46"/>
  <c r="AV94" i="46" s="1"/>
  <c r="AJ97" i="46"/>
  <c r="AV97" i="46" s="1"/>
  <c r="AJ102" i="46"/>
  <c r="AV102" i="46" s="1"/>
  <c r="AJ104" i="46"/>
  <c r="AV104" i="46" s="1"/>
  <c r="AJ105" i="46"/>
  <c r="AV105" i="46" s="1"/>
  <c r="AJ111" i="46"/>
  <c r="AV111" i="46" s="1"/>
  <c r="AJ113" i="46"/>
  <c r="AV113" i="46" s="1"/>
  <c r="AJ115" i="46"/>
  <c r="AV115" i="46" s="1"/>
  <c r="AJ122" i="46"/>
  <c r="AV122" i="46" s="1"/>
  <c r="AJ124" i="46"/>
  <c r="AV124" i="46" s="1"/>
  <c r="AJ129" i="46"/>
  <c r="AV129" i="46" s="1"/>
  <c r="AJ131" i="46"/>
  <c r="AV131" i="46" s="1"/>
  <c r="AJ132" i="46"/>
  <c r="AV132" i="46" s="1"/>
  <c r="AJ134" i="46"/>
  <c r="AV134" i="46" s="1"/>
  <c r="AJ139" i="46"/>
  <c r="AV139" i="46" s="1"/>
  <c r="AJ142" i="46"/>
  <c r="AV142" i="46" s="1"/>
  <c r="AJ148" i="46"/>
  <c r="AV148" i="46" s="1"/>
  <c r="AJ165" i="46"/>
  <c r="AV165" i="46" s="1"/>
  <c r="AK169" i="46"/>
  <c r="AW169" i="46" s="1"/>
  <c r="AK12" i="46"/>
  <c r="AW12" i="46" s="1"/>
  <c r="AK16" i="46"/>
  <c r="AW16" i="46" s="1"/>
  <c r="AK21" i="46"/>
  <c r="AW21" i="46" s="1"/>
  <c r="AK23" i="46"/>
  <c r="AW23" i="46" s="1"/>
  <c r="AK24" i="46"/>
  <c r="AW24" i="46" s="1"/>
  <c r="AK26" i="46"/>
  <c r="AW26" i="46" s="1"/>
  <c r="AK30" i="46"/>
  <c r="AW30" i="46" s="1"/>
  <c r="AK32" i="46"/>
  <c r="AW32" i="46" s="1"/>
  <c r="AK33" i="46"/>
  <c r="AW33" i="46" s="1"/>
  <c r="AK35" i="46"/>
  <c r="AW35" i="46" s="1"/>
  <c r="AK40" i="46"/>
  <c r="AW40" i="46" s="1"/>
  <c r="AK43" i="46"/>
  <c r="AW43" i="46" s="1"/>
  <c r="AK48" i="46"/>
  <c r="AW48" i="46" s="1"/>
  <c r="AK52" i="46"/>
  <c r="AW52" i="46" s="1"/>
  <c r="AK57" i="46"/>
  <c r="AW57" i="46" s="1"/>
  <c r="AK61" i="46"/>
  <c r="AW61" i="46" s="1"/>
  <c r="AK66" i="46"/>
  <c r="AW66" i="46" s="1"/>
  <c r="AK68" i="46"/>
  <c r="AW68" i="46" s="1"/>
  <c r="AK69" i="46"/>
  <c r="AW69" i="46" s="1"/>
  <c r="AK75" i="46"/>
  <c r="AW75" i="46" s="1"/>
  <c r="AK89" i="46"/>
  <c r="AW89" i="46" s="1"/>
  <c r="H64" i="14"/>
  <c r="H118" i="14"/>
  <c r="H172" i="14"/>
  <c r="H19" i="46"/>
  <c r="H37" i="46"/>
  <c r="H55" i="46"/>
  <c r="H73" i="46"/>
  <c r="H91" i="46"/>
  <c r="H109" i="46"/>
  <c r="H127" i="46"/>
  <c r="H145" i="46"/>
  <c r="H163" i="46"/>
  <c r="H181" i="46"/>
  <c r="H28" i="15"/>
  <c r="H46" i="15"/>
  <c r="H64" i="15"/>
  <c r="H82" i="15"/>
  <c r="H100" i="15"/>
  <c r="H118" i="15"/>
  <c r="H136" i="15"/>
  <c r="H154" i="15"/>
  <c r="H172" i="15"/>
  <c r="H19" i="16"/>
  <c r="H37" i="16"/>
  <c r="H55" i="16"/>
  <c r="H73" i="16"/>
  <c r="H91" i="16"/>
  <c r="H109" i="16"/>
  <c r="H127" i="16"/>
  <c r="H145" i="16"/>
  <c r="H163" i="16"/>
  <c r="H181" i="16"/>
  <c r="H28" i="17"/>
  <c r="H46" i="17"/>
  <c r="H64" i="17"/>
  <c r="H82" i="17"/>
  <c r="H100" i="17"/>
  <c r="H118" i="17"/>
  <c r="H136" i="17"/>
  <c r="H154" i="17"/>
  <c r="H172" i="17"/>
  <c r="H19" i="18"/>
  <c r="H37" i="18"/>
  <c r="H55" i="18"/>
  <c r="H73" i="18"/>
  <c r="H91" i="18"/>
  <c r="H109" i="18"/>
  <c r="H127" i="18"/>
  <c r="H145" i="18"/>
  <c r="H163" i="18"/>
  <c r="H181" i="18"/>
  <c r="H28" i="19"/>
  <c r="H46" i="19"/>
  <c r="H64" i="19"/>
  <c r="H82" i="19"/>
  <c r="H100" i="19"/>
  <c r="H118" i="19"/>
  <c r="H136" i="19"/>
  <c r="H154" i="19"/>
  <c r="H172" i="19"/>
  <c r="H19" i="32"/>
  <c r="H37" i="32"/>
  <c r="H55" i="32"/>
  <c r="H73" i="32"/>
  <c r="H91" i="32"/>
  <c r="H109" i="32"/>
  <c r="H127" i="32"/>
  <c r="H145" i="32"/>
  <c r="H163" i="32"/>
  <c r="H181" i="32"/>
  <c r="H28" i="31"/>
  <c r="H46" i="31"/>
  <c r="H64" i="31"/>
  <c r="H82" i="31"/>
  <c r="H100" i="31"/>
  <c r="H118" i="31"/>
  <c r="H136" i="31"/>
  <c r="H154" i="31"/>
  <c r="H172" i="31"/>
  <c r="H19" i="30"/>
  <c r="H37" i="30"/>
  <c r="H55" i="30"/>
  <c r="H73" i="30"/>
  <c r="H91" i="30"/>
  <c r="H109" i="30"/>
  <c r="H127" i="30"/>
  <c r="H145" i="30"/>
  <c r="H163" i="30"/>
  <c r="H181" i="30"/>
  <c r="H28" i="29"/>
  <c r="H46" i="29"/>
  <c r="H64" i="29"/>
  <c r="H82" i="29"/>
  <c r="H100" i="29"/>
  <c r="H118" i="29"/>
  <c r="H136" i="29"/>
  <c r="H154" i="29"/>
  <c r="H172" i="29"/>
  <c r="H19" i="34"/>
  <c r="H37" i="34"/>
  <c r="H55" i="34"/>
  <c r="H73" i="34"/>
  <c r="H91" i="34"/>
  <c r="H109" i="34"/>
  <c r="H127" i="34"/>
  <c r="H145" i="34"/>
  <c r="H163" i="34"/>
  <c r="H181" i="34"/>
  <c r="H28" i="45"/>
  <c r="H46" i="45"/>
  <c r="H64" i="45"/>
  <c r="H82" i="45"/>
  <c r="H100" i="45"/>
  <c r="H118" i="45"/>
  <c r="H136" i="45"/>
  <c r="H154" i="45"/>
  <c r="H172" i="45"/>
  <c r="H154" i="14"/>
  <c r="H145" i="14"/>
  <c r="H136" i="14"/>
  <c r="H109" i="14"/>
  <c r="H100" i="14"/>
  <c r="H91" i="14"/>
  <c r="H82" i="14"/>
  <c r="H73" i="14"/>
  <c r="H55" i="14"/>
  <c r="H46" i="14"/>
  <c r="H37" i="14"/>
  <c r="H28" i="14"/>
  <c r="H19" i="14"/>
  <c r="AS12" i="46"/>
  <c r="AD12" i="46"/>
  <c r="AO13" i="46"/>
  <c r="AS13" i="46" s="1"/>
  <c r="AD13" i="46"/>
  <c r="AU13" i="46"/>
  <c r="AO14" i="46"/>
  <c r="AS14" i="46" s="1"/>
  <c r="AD14" i="46"/>
  <c r="AU14" i="46"/>
  <c r="AO15" i="46"/>
  <c r="AS15" i="46" s="1"/>
  <c r="AD15" i="46"/>
  <c r="AU15" i="46"/>
  <c r="AO16" i="46"/>
  <c r="AS16" i="46" s="1"/>
  <c r="AD16" i="46"/>
  <c r="AU16" i="46"/>
  <c r="AO17" i="46"/>
  <c r="AS17" i="46" s="1"/>
  <c r="AD17" i="46"/>
  <c r="AU17" i="46"/>
  <c r="AO21" i="46"/>
  <c r="AS21" i="46" s="1"/>
  <c r="AD21" i="46"/>
  <c r="AU21" i="46"/>
  <c r="AO30" i="46"/>
  <c r="AS30" i="46" s="1"/>
  <c r="AD30" i="46"/>
  <c r="AU30" i="46"/>
  <c r="AO31" i="46"/>
  <c r="AS31" i="46" s="1"/>
  <c r="AD31" i="46"/>
  <c r="AU31" i="46"/>
  <c r="AO32" i="46"/>
  <c r="AS32" i="46" s="1"/>
  <c r="AD32" i="46"/>
  <c r="AU32" i="46"/>
  <c r="AO33" i="46"/>
  <c r="AS33" i="46" s="1"/>
  <c r="AD33" i="46"/>
  <c r="AU33" i="46"/>
  <c r="AO34" i="46"/>
  <c r="AS34" i="46" s="1"/>
  <c r="AD34" i="46"/>
  <c r="AU34" i="46"/>
  <c r="AO35" i="46"/>
  <c r="AS35" i="46" s="1"/>
  <c r="AD35" i="46"/>
  <c r="AU35" i="46"/>
  <c r="AO48" i="46"/>
  <c r="AS48" i="46" s="1"/>
  <c r="AD48" i="46"/>
  <c r="AU48" i="46"/>
  <c r="AO49" i="46"/>
  <c r="AS49" i="46" s="1"/>
  <c r="AD49" i="46"/>
  <c r="AU49" i="46"/>
  <c r="AO50" i="46"/>
  <c r="AS50" i="46" s="1"/>
  <c r="AD50" i="46"/>
  <c r="AU50" i="46"/>
  <c r="AO51" i="46"/>
  <c r="AS51" i="46" s="1"/>
  <c r="AD51" i="46"/>
  <c r="AU51" i="46"/>
  <c r="AO52" i="46"/>
  <c r="AS52" i="46" s="1"/>
  <c r="AD52" i="46"/>
  <c r="AU52" i="46"/>
  <c r="AO53" i="46"/>
  <c r="AS53" i="46" s="1"/>
  <c r="AD53" i="46"/>
  <c r="AU53" i="46"/>
  <c r="AO66" i="46"/>
  <c r="AS66" i="46" s="1"/>
  <c r="AD66" i="46"/>
  <c r="AU66" i="46"/>
  <c r="AO67" i="46"/>
  <c r="AS67" i="46" s="1"/>
  <c r="AD67" i="46"/>
  <c r="AU67" i="46"/>
  <c r="AO68" i="46"/>
  <c r="AS68" i="46" s="1"/>
  <c r="AD68" i="46"/>
  <c r="AU68" i="46"/>
  <c r="AO69" i="46"/>
  <c r="AS69" i="46" s="1"/>
  <c r="AD69" i="46"/>
  <c r="AU69" i="46"/>
  <c r="AO70" i="46"/>
  <c r="AS70" i="46" s="1"/>
  <c r="AD70" i="46"/>
  <c r="AU70" i="46"/>
  <c r="AO71" i="46"/>
  <c r="AS71" i="46" s="1"/>
  <c r="AD71" i="46"/>
  <c r="AU71" i="46"/>
  <c r="AO84" i="46"/>
  <c r="AS84" i="46" s="1"/>
  <c r="AD84" i="46"/>
  <c r="AU84" i="46"/>
  <c r="AO85" i="46"/>
  <c r="AS85" i="46" s="1"/>
  <c r="AD85" i="46"/>
  <c r="AU85" i="46"/>
  <c r="AO86" i="46"/>
  <c r="AS86" i="46" s="1"/>
  <c r="AD86" i="46"/>
  <c r="AU86" i="46"/>
  <c r="AO87" i="46"/>
  <c r="AS87" i="46" s="1"/>
  <c r="AD87" i="46"/>
  <c r="AU87" i="46"/>
  <c r="AO88" i="46"/>
  <c r="AS88" i="46" s="1"/>
  <c r="AD88" i="46"/>
  <c r="AU88" i="46"/>
  <c r="AO89" i="46"/>
  <c r="AS89" i="46" s="1"/>
  <c r="AD89" i="46"/>
  <c r="AU89" i="46"/>
  <c r="AO22" i="46"/>
  <c r="AS22" i="46" s="1"/>
  <c r="AD22" i="46"/>
  <c r="AU22" i="46"/>
  <c r="AO23" i="46"/>
  <c r="AS23" i="46" s="1"/>
  <c r="AD23" i="46"/>
  <c r="AU23" i="46"/>
  <c r="AO24" i="46"/>
  <c r="AS24" i="46" s="1"/>
  <c r="AD24" i="46"/>
  <c r="AU24" i="46"/>
  <c r="AY24" i="46" s="1"/>
  <c r="AO25" i="46"/>
  <c r="AS25" i="46" s="1"/>
  <c r="AD25" i="46"/>
  <c r="AU25" i="46"/>
  <c r="AO26" i="46"/>
  <c r="AS26" i="46" s="1"/>
  <c r="AD26" i="46"/>
  <c r="AU26" i="46"/>
  <c r="AO39" i="46"/>
  <c r="AS39" i="46" s="1"/>
  <c r="AD39" i="46"/>
  <c r="AU39" i="46"/>
  <c r="AO40" i="46"/>
  <c r="AS40" i="46" s="1"/>
  <c r="AD40" i="46"/>
  <c r="AU40" i="46"/>
  <c r="AO41" i="46"/>
  <c r="AS41" i="46" s="1"/>
  <c r="AD41" i="46"/>
  <c r="AU41" i="46"/>
  <c r="AO42" i="46"/>
  <c r="AS42" i="46" s="1"/>
  <c r="AD42" i="46"/>
  <c r="AU42" i="46"/>
  <c r="AO43" i="46"/>
  <c r="AS43" i="46" s="1"/>
  <c r="AD43" i="46"/>
  <c r="AU43" i="46"/>
  <c r="AO44" i="46"/>
  <c r="AS44" i="46" s="1"/>
  <c r="AD44" i="46"/>
  <c r="AU44" i="46"/>
  <c r="AO57" i="46"/>
  <c r="AS57" i="46" s="1"/>
  <c r="AD57" i="46"/>
  <c r="AU57" i="46"/>
  <c r="AO58" i="46"/>
  <c r="AS58" i="46" s="1"/>
  <c r="AD58" i="46"/>
  <c r="AU58" i="46"/>
  <c r="AO59" i="46"/>
  <c r="AS59" i="46" s="1"/>
  <c r="AD59" i="46"/>
  <c r="AU59" i="46"/>
  <c r="AO60" i="46"/>
  <c r="AS60" i="46" s="1"/>
  <c r="AD60" i="46"/>
  <c r="AU60" i="46"/>
  <c r="AO61" i="46"/>
  <c r="AS61" i="46" s="1"/>
  <c r="AD61" i="46"/>
  <c r="AU61" i="46"/>
  <c r="AO62" i="46"/>
  <c r="AS62" i="46" s="1"/>
  <c r="AD62" i="46"/>
  <c r="AU62" i="46"/>
  <c r="AY62" i="46" s="1"/>
  <c r="AO75" i="46"/>
  <c r="AS75" i="46" s="1"/>
  <c r="AD75" i="46"/>
  <c r="AU75" i="46"/>
  <c r="AO76" i="46"/>
  <c r="AS76" i="46" s="1"/>
  <c r="AD76" i="46"/>
  <c r="AU76" i="46"/>
  <c r="AO77" i="46"/>
  <c r="AS77" i="46" s="1"/>
  <c r="AD77" i="46"/>
  <c r="AU77" i="46"/>
  <c r="AO78" i="46"/>
  <c r="AS78" i="46" s="1"/>
  <c r="AD78" i="46"/>
  <c r="AU78" i="46"/>
  <c r="AO79" i="46"/>
  <c r="AS79" i="46" s="1"/>
  <c r="AD79" i="46"/>
  <c r="AU79" i="46"/>
  <c r="AO80" i="46"/>
  <c r="AS80" i="46" s="1"/>
  <c r="AD80" i="46"/>
  <c r="AU80" i="46"/>
  <c r="AO93" i="46"/>
  <c r="AS93" i="46" s="1"/>
  <c r="AD93" i="46"/>
  <c r="AU93" i="46"/>
  <c r="AO94" i="46"/>
  <c r="AS94" i="46" s="1"/>
  <c r="AD94" i="46"/>
  <c r="AU94" i="46"/>
  <c r="AO95" i="46"/>
  <c r="AS95" i="46" s="1"/>
  <c r="AD95" i="46"/>
  <c r="AU95" i="46"/>
  <c r="AO96" i="46"/>
  <c r="AS96" i="46" s="1"/>
  <c r="AD96" i="46"/>
  <c r="AU96" i="46"/>
  <c r="AO102" i="46"/>
  <c r="AS102" i="46" s="1"/>
  <c r="AD102" i="46"/>
  <c r="AU102" i="46"/>
  <c r="AO103" i="46"/>
  <c r="AS103" i="46" s="1"/>
  <c r="AD103" i="46"/>
  <c r="AU103" i="46"/>
  <c r="AO104" i="46"/>
  <c r="AS104" i="46" s="1"/>
  <c r="AD104" i="46"/>
  <c r="AU104" i="46"/>
  <c r="AO105" i="46"/>
  <c r="AS105" i="46" s="1"/>
  <c r="AD105" i="46"/>
  <c r="AU105" i="46"/>
  <c r="AO106" i="46"/>
  <c r="AS106" i="46" s="1"/>
  <c r="AD106" i="46"/>
  <c r="AU106" i="46"/>
  <c r="AO107" i="46"/>
  <c r="AS107" i="46" s="1"/>
  <c r="AD107" i="46"/>
  <c r="AU107" i="46"/>
  <c r="AO120" i="46"/>
  <c r="AS120" i="46" s="1"/>
  <c r="AD120" i="46"/>
  <c r="AU120" i="46"/>
  <c r="AO121" i="46"/>
  <c r="AS121" i="46" s="1"/>
  <c r="AD121" i="46"/>
  <c r="AU121" i="46"/>
  <c r="AO122" i="46"/>
  <c r="AS122" i="46" s="1"/>
  <c r="AD122" i="46"/>
  <c r="AU122" i="46"/>
  <c r="AO123" i="46"/>
  <c r="AS123" i="46" s="1"/>
  <c r="AD123" i="46"/>
  <c r="AU123" i="46"/>
  <c r="AO124" i="46"/>
  <c r="AS124" i="46" s="1"/>
  <c r="AD124" i="46"/>
  <c r="AU124" i="46"/>
  <c r="AO125" i="46"/>
  <c r="AS125" i="46" s="1"/>
  <c r="AD125" i="46"/>
  <c r="AU125" i="46"/>
  <c r="AO97" i="46"/>
  <c r="AS97" i="46" s="1"/>
  <c r="AD97" i="46"/>
  <c r="AU97" i="46"/>
  <c r="AO98" i="46"/>
  <c r="AS98" i="46" s="1"/>
  <c r="AD98" i="46"/>
  <c r="AU98" i="46"/>
  <c r="AO111" i="46"/>
  <c r="AS111" i="46" s="1"/>
  <c r="AD111" i="46"/>
  <c r="AU111" i="46"/>
  <c r="AO112" i="46"/>
  <c r="AS112" i="46" s="1"/>
  <c r="AD112" i="46"/>
  <c r="AU112" i="46"/>
  <c r="AO113" i="46"/>
  <c r="AS113" i="46" s="1"/>
  <c r="AD113" i="46"/>
  <c r="AU113" i="46"/>
  <c r="AO114" i="46"/>
  <c r="AS114" i="46" s="1"/>
  <c r="AD114" i="46"/>
  <c r="AU114" i="46"/>
  <c r="AO115" i="46"/>
  <c r="AS115" i="46" s="1"/>
  <c r="AD115" i="46"/>
  <c r="AU115" i="46"/>
  <c r="AO116" i="46"/>
  <c r="AS116" i="46" s="1"/>
  <c r="AD116" i="46"/>
  <c r="AU116" i="46"/>
  <c r="AO129" i="46"/>
  <c r="AS129" i="46" s="1"/>
  <c r="AD129" i="46"/>
  <c r="AU129" i="46"/>
  <c r="AO130" i="46"/>
  <c r="AS130" i="46" s="1"/>
  <c r="AD130" i="46"/>
  <c r="AU130" i="46"/>
  <c r="AO131" i="46"/>
  <c r="AS131" i="46" s="1"/>
  <c r="AD131" i="46"/>
  <c r="AU131" i="46"/>
  <c r="AO132" i="46"/>
  <c r="AS132" i="46" s="1"/>
  <c r="AD132" i="46"/>
  <c r="AU132" i="46"/>
  <c r="AO133" i="46"/>
  <c r="AS133" i="46" s="1"/>
  <c r="AD133" i="46"/>
  <c r="AU133" i="46"/>
  <c r="AO138" i="46"/>
  <c r="AS138" i="46" s="1"/>
  <c r="AD138" i="46"/>
  <c r="AU138" i="46"/>
  <c r="AO139" i="46"/>
  <c r="AS139" i="46" s="1"/>
  <c r="AD139" i="46"/>
  <c r="AU139" i="46"/>
  <c r="AO140" i="46"/>
  <c r="AS140" i="46" s="1"/>
  <c r="AD140" i="46"/>
  <c r="AU140" i="46"/>
  <c r="AO141" i="46"/>
  <c r="AS141" i="46" s="1"/>
  <c r="AD141" i="46"/>
  <c r="AU141" i="46"/>
  <c r="AM141" i="46"/>
  <c r="AO142" i="46"/>
  <c r="AS142" i="46" s="1"/>
  <c r="AD142" i="46"/>
  <c r="AU142" i="46"/>
  <c r="AO143" i="46"/>
  <c r="AS143" i="46" s="1"/>
  <c r="AD143" i="46"/>
  <c r="AU143" i="46"/>
  <c r="AO156" i="46"/>
  <c r="AS156" i="46" s="1"/>
  <c r="AD156" i="46"/>
  <c r="AU156" i="46"/>
  <c r="AY156" i="46" s="1"/>
  <c r="AM156" i="46"/>
  <c r="AO157" i="46"/>
  <c r="AS157" i="46" s="1"/>
  <c r="AD157" i="46"/>
  <c r="AU157" i="46"/>
  <c r="AY157" i="46" s="1"/>
  <c r="AM157" i="46"/>
  <c r="AO158" i="46"/>
  <c r="AS158" i="46" s="1"/>
  <c r="AD158" i="46"/>
  <c r="AU158" i="46"/>
  <c r="AY158" i="46" s="1"/>
  <c r="AM158" i="46"/>
  <c r="AO159" i="46"/>
  <c r="AS159" i="46" s="1"/>
  <c r="AD159" i="46"/>
  <c r="AU159" i="46"/>
  <c r="AY159" i="46" s="1"/>
  <c r="AM159" i="46"/>
  <c r="AO160" i="46"/>
  <c r="AS160" i="46" s="1"/>
  <c r="AD160" i="46"/>
  <c r="AU160" i="46"/>
  <c r="AY160" i="46" s="1"/>
  <c r="AM160" i="46"/>
  <c r="AO161" i="46"/>
  <c r="AS161" i="46" s="1"/>
  <c r="AD161" i="46"/>
  <c r="AU161" i="46"/>
  <c r="AY161" i="46" s="1"/>
  <c r="AM161" i="46"/>
  <c r="AO134" i="46"/>
  <c r="AS134" i="46" s="1"/>
  <c r="AD134" i="46"/>
  <c r="AU134" i="46"/>
  <c r="AO147" i="46"/>
  <c r="AS147" i="46" s="1"/>
  <c r="AD147" i="46"/>
  <c r="AU147" i="46"/>
  <c r="AO148" i="46"/>
  <c r="AS148" i="46" s="1"/>
  <c r="AD148" i="46"/>
  <c r="AU148" i="46"/>
  <c r="AO149" i="46"/>
  <c r="AS149" i="46" s="1"/>
  <c r="AD149" i="46"/>
  <c r="AU149" i="46"/>
  <c r="AO150" i="46"/>
  <c r="AS150" i="46" s="1"/>
  <c r="AD150" i="46"/>
  <c r="AU150" i="46"/>
  <c r="AO151" i="46"/>
  <c r="AS151" i="46" s="1"/>
  <c r="AD151" i="46"/>
  <c r="AU151" i="46"/>
  <c r="AO152" i="46"/>
  <c r="AS152" i="46" s="1"/>
  <c r="AD152" i="46"/>
  <c r="AU152" i="46"/>
  <c r="AO165" i="46"/>
  <c r="AS165" i="46" s="1"/>
  <c r="AD165" i="46"/>
  <c r="AU165" i="46"/>
  <c r="AO166" i="46"/>
  <c r="AS166" i="46" s="1"/>
  <c r="AD166" i="46"/>
  <c r="AU166" i="46"/>
  <c r="AO167" i="46"/>
  <c r="AS167" i="46" s="1"/>
  <c r="AD167" i="46"/>
  <c r="AU167" i="46"/>
  <c r="AO169" i="46"/>
  <c r="AS169" i="46" s="1"/>
  <c r="AD169" i="46"/>
  <c r="AU169" i="46"/>
  <c r="AO170" i="46"/>
  <c r="AS170" i="46" s="1"/>
  <c r="AD170" i="46"/>
  <c r="AU170" i="46"/>
  <c r="AM170" i="46" l="1"/>
  <c r="AM88" i="46"/>
  <c r="AM22" i="46"/>
  <c r="AM131" i="46"/>
  <c r="AM51" i="46"/>
  <c r="AY133" i="46"/>
  <c r="AM120" i="46"/>
  <c r="AM84" i="46"/>
  <c r="AM67" i="46"/>
  <c r="AM33" i="46"/>
  <c r="AM98" i="46"/>
  <c r="AM60" i="46"/>
  <c r="AM43" i="46"/>
  <c r="AM78" i="46"/>
  <c r="AM104" i="46"/>
  <c r="AY115" i="46"/>
  <c r="AY111" i="46"/>
  <c r="AY116" i="46"/>
  <c r="AM129" i="46"/>
  <c r="AM21" i="46"/>
  <c r="AM86" i="46"/>
  <c r="AM31" i="46"/>
  <c r="AM134" i="46"/>
  <c r="AM35" i="46"/>
  <c r="AM148" i="46"/>
  <c r="AM130" i="46"/>
  <c r="AM96" i="46"/>
  <c r="AM62" i="46"/>
  <c r="AM24" i="46"/>
  <c r="AM49" i="46"/>
  <c r="AM105" i="46"/>
  <c r="AM57" i="46"/>
  <c r="AM152" i="46"/>
  <c r="AM59" i="46"/>
  <c r="AM40" i="46"/>
  <c r="AM150" i="46"/>
  <c r="AY104" i="46"/>
  <c r="AY170" i="46"/>
  <c r="AM94" i="46"/>
  <c r="AM69" i="46"/>
  <c r="AM15" i="46"/>
  <c r="AM13" i="46"/>
  <c r="AM167" i="46"/>
  <c r="AM143" i="46"/>
  <c r="AM132" i="46"/>
  <c r="AM116" i="46"/>
  <c r="AM58" i="46"/>
  <c r="AM44" i="46"/>
  <c r="AM42" i="46"/>
  <c r="AY40" i="46"/>
  <c r="AY69" i="46"/>
  <c r="AM32" i="46"/>
  <c r="AM30" i="46"/>
  <c r="AM17" i="46"/>
  <c r="AY13" i="46"/>
  <c r="AM147" i="46"/>
  <c r="AM70" i="46"/>
  <c r="AM124" i="46"/>
  <c r="AY80" i="46"/>
  <c r="AM53" i="46"/>
  <c r="AM169" i="46"/>
  <c r="AM149" i="46"/>
  <c r="AM107" i="46"/>
  <c r="AM87" i="46"/>
  <c r="AM48" i="46"/>
  <c r="AY169" i="46"/>
  <c r="AY151" i="46"/>
  <c r="AY149" i="46"/>
  <c r="AM123" i="46"/>
  <c r="AM66" i="46"/>
  <c r="AY48" i="46"/>
  <c r="AY78" i="46"/>
  <c r="AM114" i="46"/>
  <c r="AM26" i="46"/>
  <c r="AM138" i="46"/>
  <c r="AM121" i="46"/>
  <c r="AM89" i="46"/>
  <c r="AM85" i="46"/>
  <c r="AM50" i="46"/>
  <c r="AY113" i="46"/>
  <c r="AM102" i="46"/>
  <c r="AM95" i="46"/>
  <c r="AY76" i="46"/>
  <c r="AM39" i="46"/>
  <c r="AM14" i="46"/>
  <c r="AY12" i="46"/>
  <c r="AV167" i="46"/>
  <c r="AY167" i="46" s="1"/>
  <c r="AM166" i="46"/>
  <c r="AY166" i="46"/>
  <c r="AM165" i="46"/>
  <c r="AY165" i="46"/>
  <c r="AM151" i="46"/>
  <c r="AM142" i="46"/>
  <c r="AY142" i="46"/>
  <c r="AM140" i="46"/>
  <c r="AY140" i="46"/>
  <c r="AM133" i="46"/>
  <c r="AM125" i="46"/>
  <c r="AY124" i="46"/>
  <c r="AY125" i="46"/>
  <c r="AY122" i="46"/>
  <c r="AM122" i="46"/>
  <c r="AM112" i="46"/>
  <c r="AY112" i="46"/>
  <c r="AY114" i="46"/>
  <c r="AM115" i="46"/>
  <c r="AM113" i="46"/>
  <c r="AM111" i="46"/>
  <c r="AM106" i="46"/>
  <c r="AY106" i="46"/>
  <c r="AY103" i="46"/>
  <c r="AM103" i="46"/>
  <c r="AM97" i="46"/>
  <c r="AY97" i="46"/>
  <c r="AY95" i="46"/>
  <c r="AY88" i="46"/>
  <c r="AM75" i="46"/>
  <c r="AY79" i="46"/>
  <c r="AY77" i="46"/>
  <c r="AY75" i="46"/>
  <c r="AM79" i="46"/>
  <c r="AM77" i="46"/>
  <c r="AM80" i="46"/>
  <c r="AM76" i="46"/>
  <c r="AY71" i="46"/>
  <c r="AV70" i="46"/>
  <c r="AY70" i="46" s="1"/>
  <c r="AM71" i="46"/>
  <c r="AM68" i="46"/>
  <c r="AY68" i="46"/>
  <c r="AM61" i="46"/>
  <c r="AY61" i="46"/>
  <c r="AM52" i="46"/>
  <c r="AY52" i="46"/>
  <c r="AY43" i="46"/>
  <c r="AM41" i="46"/>
  <c r="AY41" i="46"/>
  <c r="AM34" i="46"/>
  <c r="AY34" i="46"/>
  <c r="AY25" i="46"/>
  <c r="AM25" i="46"/>
  <c r="AY23" i="46"/>
  <c r="AM23" i="46"/>
  <c r="AM16" i="46"/>
  <c r="AY16" i="46"/>
  <c r="AY134" i="46"/>
  <c r="AY138" i="46"/>
  <c r="AY107" i="46"/>
  <c r="AY94" i="46"/>
  <c r="AY60" i="46"/>
  <c r="AY58" i="46"/>
  <c r="AY44" i="46"/>
  <c r="AY42" i="46"/>
  <c r="AY26" i="46"/>
  <c r="AY22" i="46"/>
  <c r="AY86" i="46"/>
  <c r="AY84" i="46"/>
  <c r="AY66" i="46"/>
  <c r="AY50" i="46"/>
  <c r="AY32" i="46"/>
  <c r="AY30" i="46"/>
  <c r="AY17" i="46"/>
  <c r="AY15" i="46"/>
  <c r="AX147" i="46"/>
  <c r="AY147" i="46" s="1"/>
  <c r="AY150" i="46"/>
  <c r="AY130" i="46"/>
  <c r="AY123" i="46"/>
  <c r="AY105" i="46"/>
  <c r="AM139" i="46"/>
  <c r="AM93" i="46"/>
  <c r="AM12" i="46"/>
  <c r="AY141" i="46"/>
  <c r="AY131" i="46"/>
  <c r="AY120" i="46"/>
  <c r="AY59" i="46"/>
  <c r="AY39" i="46"/>
  <c r="AY87" i="46"/>
  <c r="AY67" i="46"/>
  <c r="AY51" i="46"/>
  <c r="AY35" i="46"/>
  <c r="AY33" i="46"/>
  <c r="AY21" i="46"/>
  <c r="AY14" i="46"/>
  <c r="AY152" i="46"/>
  <c r="AY148" i="46"/>
  <c r="AY132" i="46"/>
  <c r="AY98" i="46"/>
  <c r="AY121" i="46"/>
  <c r="AY96" i="46"/>
  <c r="AY143" i="46"/>
  <c r="AY139" i="46"/>
  <c r="AY129" i="46"/>
  <c r="AY102" i="46"/>
  <c r="AY93" i="46"/>
  <c r="AY57" i="46"/>
  <c r="AY89" i="46"/>
  <c r="AY85" i="46"/>
  <c r="AY53" i="46"/>
  <c r="AY49" i="46"/>
  <c r="AY31" i="46"/>
  <c r="N24" i="2"/>
  <c r="N30" i="2" s="1"/>
  <c r="N35" i="2" s="1"/>
  <c r="AU23" i="2"/>
  <c r="N23" i="2"/>
  <c r="N18" i="2"/>
  <c r="N14" i="2"/>
  <c r="N19" i="2"/>
  <c r="N22" i="2"/>
  <c r="N21" i="2"/>
  <c r="N20" i="2"/>
  <c r="N17" i="2"/>
  <c r="N16" i="2"/>
  <c r="N12" i="2"/>
  <c r="N10" i="2"/>
  <c r="N15" i="2"/>
  <c r="N13" i="2"/>
  <c r="N11" i="2"/>
  <c r="N9" i="2"/>
  <c r="N8" i="2"/>
  <c r="V12" i="32"/>
  <c r="AF71" i="2"/>
  <c r="AE71" i="2"/>
  <c r="AD71" i="2"/>
  <c r="AC71" i="2"/>
  <c r="AF70" i="2"/>
  <c r="AE70" i="2"/>
  <c r="AD70" i="2"/>
  <c r="AC70" i="2"/>
  <c r="AF55" i="2"/>
  <c r="BJ55" i="2" s="1"/>
  <c r="AE55" i="2"/>
  <c r="AD55" i="2"/>
  <c r="AC55" i="2"/>
  <c r="AF52" i="2"/>
  <c r="BJ52" i="2" s="1"/>
  <c r="AE52" i="2"/>
  <c r="AD52" i="2"/>
  <c r="AC52" i="2"/>
  <c r="AF173" i="2"/>
  <c r="AE173" i="2"/>
  <c r="AD173" i="2"/>
  <c r="AC173" i="2"/>
  <c r="AF155" i="2"/>
  <c r="AE155" i="2"/>
  <c r="AD155" i="2"/>
  <c r="AC155" i="2"/>
  <c r="N25" i="2" l="1"/>
  <c r="AU15" i="2"/>
  <c r="AU18" i="2"/>
  <c r="AU19" i="2"/>
  <c r="AU16" i="2"/>
  <c r="AU20" i="2"/>
  <c r="AU11" i="2"/>
  <c r="AU17" i="2"/>
  <c r="AU22" i="2"/>
  <c r="AU9" i="2"/>
  <c r="AU14" i="2"/>
  <c r="AU8" i="2"/>
  <c r="AU13" i="2"/>
  <c r="AU21" i="2"/>
  <c r="AU12" i="2"/>
  <c r="AU24" i="2"/>
  <c r="AU30" i="2" s="1"/>
  <c r="AU10" i="2"/>
  <c r="AZ27" i="46"/>
  <c r="AU7" i="2"/>
  <c r="N31" i="2"/>
  <c r="AD131" i="2"/>
  <c r="AF131" i="2"/>
  <c r="AD132" i="2"/>
  <c r="AF132" i="2"/>
  <c r="AD133" i="2"/>
  <c r="AF133" i="2"/>
  <c r="AD134" i="2"/>
  <c r="AF134" i="2"/>
  <c r="AD141" i="2"/>
  <c r="AF141" i="2"/>
  <c r="AD145" i="2"/>
  <c r="AF145" i="2"/>
  <c r="BK83" i="2" s="1"/>
  <c r="AD146" i="2"/>
  <c r="AF146" i="2"/>
  <c r="BK106" i="2" s="1"/>
  <c r="AD147" i="2"/>
  <c r="AF147" i="2"/>
  <c r="BK108" i="2" s="1"/>
  <c r="AD148" i="2"/>
  <c r="AF148" i="2"/>
  <c r="BK110" i="2" s="1"/>
  <c r="AD157" i="2"/>
  <c r="AF157" i="2"/>
  <c r="AD164" i="2"/>
  <c r="AF164" i="2"/>
  <c r="AD166" i="2"/>
  <c r="AF166" i="2"/>
  <c r="AC131" i="2"/>
  <c r="AE131" i="2"/>
  <c r="AC132" i="2"/>
  <c r="AE132" i="2"/>
  <c r="AC133" i="2"/>
  <c r="AE133" i="2"/>
  <c r="AC134" i="2"/>
  <c r="AE134" i="2"/>
  <c r="AC141" i="2"/>
  <c r="AE141" i="2"/>
  <c r="AC145" i="2"/>
  <c r="AE145" i="2"/>
  <c r="AC146" i="2"/>
  <c r="AE146" i="2"/>
  <c r="AC147" i="2"/>
  <c r="AE147" i="2"/>
  <c r="AC148" i="2"/>
  <c r="AE148" i="2"/>
  <c r="AC157" i="2"/>
  <c r="AE157" i="2"/>
  <c r="AC164" i="2"/>
  <c r="AE164" i="2"/>
  <c r="AC166" i="2"/>
  <c r="AE166" i="2"/>
  <c r="AU25" i="2" l="1"/>
  <c r="BD6" i="1"/>
  <c r="Z69" i="2"/>
  <c r="BG34" i="2" l="1"/>
  <c r="BG42" i="2" s="1"/>
  <c r="BG38" i="2"/>
  <c r="BG46" i="2" s="1"/>
  <c r="BG39" i="2"/>
  <c r="Z34" i="2"/>
  <c r="Z38" i="2"/>
  <c r="Z46" i="2" s="1"/>
  <c r="Z39" i="2"/>
  <c r="Z42" i="2"/>
  <c r="AH170" i="45"/>
  <c r="AL170" i="45" s="1"/>
  <c r="AX170" i="45" s="1"/>
  <c r="AG170" i="45"/>
  <c r="AK170" i="45" s="1"/>
  <c r="AW170" i="45" s="1"/>
  <c r="AF170" i="45"/>
  <c r="AJ170" i="45" s="1"/>
  <c r="AV170" i="45" s="1"/>
  <c r="AE170" i="45"/>
  <c r="AI170" i="45" s="1"/>
  <c r="Y170" i="45"/>
  <c r="X170" i="45"/>
  <c r="W170" i="45"/>
  <c r="V170" i="45"/>
  <c r="Z170" i="45" s="1"/>
  <c r="AH169" i="45"/>
  <c r="AL169" i="45" s="1"/>
  <c r="AX169" i="45" s="1"/>
  <c r="AG169" i="45"/>
  <c r="AK169" i="45" s="1"/>
  <c r="AW169" i="45" s="1"/>
  <c r="AF169" i="45"/>
  <c r="AJ169" i="45" s="1"/>
  <c r="AV169" i="45" s="1"/>
  <c r="AE169" i="45"/>
  <c r="AI169" i="45" s="1"/>
  <c r="Y169" i="45"/>
  <c r="X169" i="45"/>
  <c r="W169" i="45"/>
  <c r="V169" i="45"/>
  <c r="Z169" i="45" s="1"/>
  <c r="AH168" i="45"/>
  <c r="AL168" i="45" s="1"/>
  <c r="AX168" i="45" s="1"/>
  <c r="AG168" i="45"/>
  <c r="AK168" i="45" s="1"/>
  <c r="AW168" i="45" s="1"/>
  <c r="AF168" i="45"/>
  <c r="AJ168" i="45" s="1"/>
  <c r="AV168" i="45" s="1"/>
  <c r="AE168" i="45"/>
  <c r="AI168" i="45" s="1"/>
  <c r="Y168" i="45"/>
  <c r="X168" i="45"/>
  <c r="W168" i="45"/>
  <c r="V168" i="45"/>
  <c r="Z168" i="45" s="1"/>
  <c r="AH167" i="45"/>
  <c r="AL167" i="45" s="1"/>
  <c r="AX167" i="45" s="1"/>
  <c r="AG167" i="45"/>
  <c r="AK167" i="45" s="1"/>
  <c r="AW167" i="45" s="1"/>
  <c r="AF167" i="45"/>
  <c r="AJ167" i="45" s="1"/>
  <c r="AV167" i="45" s="1"/>
  <c r="AE167" i="45"/>
  <c r="AI167" i="45" s="1"/>
  <c r="Y167" i="45"/>
  <c r="X167" i="45"/>
  <c r="W167" i="45"/>
  <c r="V167" i="45"/>
  <c r="Z167" i="45" s="1"/>
  <c r="AH166" i="45"/>
  <c r="AL166" i="45" s="1"/>
  <c r="AX166" i="45" s="1"/>
  <c r="AG166" i="45"/>
  <c r="AK166" i="45" s="1"/>
  <c r="AW166" i="45" s="1"/>
  <c r="AF166" i="45"/>
  <c r="AJ166" i="45" s="1"/>
  <c r="AV166" i="45" s="1"/>
  <c r="AE166" i="45"/>
  <c r="AI166" i="45" s="1"/>
  <c r="Y166" i="45"/>
  <c r="X166" i="45"/>
  <c r="W166" i="45"/>
  <c r="V166" i="45"/>
  <c r="Z166" i="45" s="1"/>
  <c r="AH165" i="45"/>
  <c r="AL165" i="45" s="1"/>
  <c r="AX165" i="45" s="1"/>
  <c r="AG165" i="45"/>
  <c r="AK165" i="45" s="1"/>
  <c r="AW165" i="45" s="1"/>
  <c r="AF165" i="45"/>
  <c r="AJ165" i="45" s="1"/>
  <c r="AV165" i="45" s="1"/>
  <c r="AE165" i="45"/>
  <c r="AI165" i="45" s="1"/>
  <c r="Y165" i="45"/>
  <c r="X165" i="45"/>
  <c r="W165" i="45"/>
  <c r="V165" i="45"/>
  <c r="Z165" i="45" s="1"/>
  <c r="AH161" i="45"/>
  <c r="AL161" i="45" s="1"/>
  <c r="AX161" i="45" s="1"/>
  <c r="AG161" i="45"/>
  <c r="AK161" i="45" s="1"/>
  <c r="AW161" i="45" s="1"/>
  <c r="AF161" i="45"/>
  <c r="AJ161" i="45" s="1"/>
  <c r="AV161" i="45" s="1"/>
  <c r="AE161" i="45"/>
  <c r="AI161" i="45" s="1"/>
  <c r="Y161" i="45"/>
  <c r="X161" i="45"/>
  <c r="W161" i="45"/>
  <c r="V161" i="45"/>
  <c r="Z161" i="45" s="1"/>
  <c r="AH160" i="45"/>
  <c r="AL160" i="45" s="1"/>
  <c r="AX160" i="45" s="1"/>
  <c r="AG160" i="45"/>
  <c r="AK160" i="45" s="1"/>
  <c r="AW160" i="45" s="1"/>
  <c r="AF160" i="45"/>
  <c r="AJ160" i="45" s="1"/>
  <c r="AV160" i="45" s="1"/>
  <c r="AE160" i="45"/>
  <c r="AI160" i="45" s="1"/>
  <c r="Y160" i="45"/>
  <c r="X160" i="45"/>
  <c r="W160" i="45"/>
  <c r="V160" i="45"/>
  <c r="Z160" i="45" s="1"/>
  <c r="AH159" i="45"/>
  <c r="AL159" i="45" s="1"/>
  <c r="AX159" i="45" s="1"/>
  <c r="AG159" i="45"/>
  <c r="AK159" i="45" s="1"/>
  <c r="AW159" i="45" s="1"/>
  <c r="AF159" i="45"/>
  <c r="AJ159" i="45" s="1"/>
  <c r="AV159" i="45" s="1"/>
  <c r="AE159" i="45"/>
  <c r="AI159" i="45" s="1"/>
  <c r="Y159" i="45"/>
  <c r="X159" i="45"/>
  <c r="W159" i="45"/>
  <c r="V159" i="45"/>
  <c r="Z159" i="45" s="1"/>
  <c r="AH158" i="45"/>
  <c r="AL158" i="45" s="1"/>
  <c r="AX158" i="45" s="1"/>
  <c r="AG158" i="45"/>
  <c r="AK158" i="45" s="1"/>
  <c r="AW158" i="45" s="1"/>
  <c r="AF158" i="45"/>
  <c r="AJ158" i="45" s="1"/>
  <c r="AV158" i="45" s="1"/>
  <c r="AE158" i="45"/>
  <c r="AI158" i="45" s="1"/>
  <c r="Y158" i="45"/>
  <c r="X158" i="45"/>
  <c r="W158" i="45"/>
  <c r="V158" i="45"/>
  <c r="Z158" i="45" s="1"/>
  <c r="AH157" i="45"/>
  <c r="AL157" i="45" s="1"/>
  <c r="AX157" i="45" s="1"/>
  <c r="AG157" i="45"/>
  <c r="AK157" i="45" s="1"/>
  <c r="AW157" i="45" s="1"/>
  <c r="AF157" i="45"/>
  <c r="AJ157" i="45" s="1"/>
  <c r="AV157" i="45" s="1"/>
  <c r="AE157" i="45"/>
  <c r="AI157" i="45" s="1"/>
  <c r="Y157" i="45"/>
  <c r="X157" i="45"/>
  <c r="W157" i="45"/>
  <c r="V157" i="45"/>
  <c r="Z157" i="45" s="1"/>
  <c r="AH156" i="45"/>
  <c r="AL156" i="45" s="1"/>
  <c r="AX156" i="45" s="1"/>
  <c r="AG156" i="45"/>
  <c r="AK156" i="45" s="1"/>
  <c r="AW156" i="45" s="1"/>
  <c r="AF156" i="45"/>
  <c r="AJ156" i="45" s="1"/>
  <c r="AV156" i="45" s="1"/>
  <c r="AE156" i="45"/>
  <c r="AI156" i="45" s="1"/>
  <c r="Y156" i="45"/>
  <c r="X156" i="45"/>
  <c r="W156" i="45"/>
  <c r="V156" i="45"/>
  <c r="Z156" i="45" s="1"/>
  <c r="AH152" i="45"/>
  <c r="AL152" i="45" s="1"/>
  <c r="AX152" i="45" s="1"/>
  <c r="AG152" i="45"/>
  <c r="AK152" i="45" s="1"/>
  <c r="AW152" i="45" s="1"/>
  <c r="AF152" i="45"/>
  <c r="AJ152" i="45" s="1"/>
  <c r="AV152" i="45" s="1"/>
  <c r="AE152" i="45"/>
  <c r="AI152" i="45" s="1"/>
  <c r="Y152" i="45"/>
  <c r="X152" i="45"/>
  <c r="W152" i="45"/>
  <c r="V152" i="45"/>
  <c r="Z152" i="45" s="1"/>
  <c r="AH151" i="45"/>
  <c r="AL151" i="45" s="1"/>
  <c r="AX151" i="45" s="1"/>
  <c r="AG151" i="45"/>
  <c r="AK151" i="45" s="1"/>
  <c r="AW151" i="45" s="1"/>
  <c r="AF151" i="45"/>
  <c r="AJ151" i="45" s="1"/>
  <c r="AV151" i="45" s="1"/>
  <c r="AE151" i="45"/>
  <c r="AI151" i="45" s="1"/>
  <c r="Y151" i="45"/>
  <c r="X151" i="45"/>
  <c r="W151" i="45"/>
  <c r="V151" i="45"/>
  <c r="Z151" i="45" s="1"/>
  <c r="AH150" i="45"/>
  <c r="AL150" i="45" s="1"/>
  <c r="AX150" i="45" s="1"/>
  <c r="AG150" i="45"/>
  <c r="AK150" i="45" s="1"/>
  <c r="AW150" i="45" s="1"/>
  <c r="AF150" i="45"/>
  <c r="AJ150" i="45" s="1"/>
  <c r="AV150" i="45" s="1"/>
  <c r="AE150" i="45"/>
  <c r="AI150" i="45" s="1"/>
  <c r="Y150" i="45"/>
  <c r="X150" i="45"/>
  <c r="W150" i="45"/>
  <c r="V150" i="45"/>
  <c r="Z150" i="45" s="1"/>
  <c r="AH149" i="45"/>
  <c r="AL149" i="45" s="1"/>
  <c r="AX149" i="45" s="1"/>
  <c r="AG149" i="45"/>
  <c r="AK149" i="45" s="1"/>
  <c r="AW149" i="45" s="1"/>
  <c r="AF149" i="45"/>
  <c r="AJ149" i="45" s="1"/>
  <c r="AV149" i="45" s="1"/>
  <c r="AE149" i="45"/>
  <c r="AI149" i="45" s="1"/>
  <c r="Y149" i="45"/>
  <c r="X149" i="45"/>
  <c r="W149" i="45"/>
  <c r="V149" i="45"/>
  <c r="Z149" i="45" s="1"/>
  <c r="AH148" i="45"/>
  <c r="AL148" i="45" s="1"/>
  <c r="AX148" i="45" s="1"/>
  <c r="AG148" i="45"/>
  <c r="AK148" i="45" s="1"/>
  <c r="AW148" i="45" s="1"/>
  <c r="AF148" i="45"/>
  <c r="AJ148" i="45" s="1"/>
  <c r="AV148" i="45" s="1"/>
  <c r="AE148" i="45"/>
  <c r="AI148" i="45" s="1"/>
  <c r="Y148" i="45"/>
  <c r="X148" i="45"/>
  <c r="W148" i="45"/>
  <c r="V148" i="45"/>
  <c r="Z148" i="45" s="1"/>
  <c r="AH147" i="45"/>
  <c r="AL147" i="45" s="1"/>
  <c r="AX147" i="45" s="1"/>
  <c r="AG147" i="45"/>
  <c r="AK147" i="45" s="1"/>
  <c r="AW147" i="45" s="1"/>
  <c r="AF147" i="45"/>
  <c r="AJ147" i="45" s="1"/>
  <c r="AV147" i="45" s="1"/>
  <c r="AE147" i="45"/>
  <c r="AI147" i="45" s="1"/>
  <c r="Y147" i="45"/>
  <c r="X147" i="45"/>
  <c r="W147" i="45"/>
  <c r="V147" i="45"/>
  <c r="Z147" i="45" s="1"/>
  <c r="AH143" i="45"/>
  <c r="AL143" i="45" s="1"/>
  <c r="AX143" i="45" s="1"/>
  <c r="AG143" i="45"/>
  <c r="AK143" i="45" s="1"/>
  <c r="AW143" i="45" s="1"/>
  <c r="AF143" i="45"/>
  <c r="AJ143" i="45" s="1"/>
  <c r="AV143" i="45" s="1"/>
  <c r="AE143" i="45"/>
  <c r="AI143" i="45" s="1"/>
  <c r="Y143" i="45"/>
  <c r="X143" i="45"/>
  <c r="W143" i="45"/>
  <c r="V143" i="45"/>
  <c r="Z143" i="45" s="1"/>
  <c r="AH142" i="45"/>
  <c r="AL142" i="45" s="1"/>
  <c r="AX142" i="45" s="1"/>
  <c r="AG142" i="45"/>
  <c r="AK142" i="45" s="1"/>
  <c r="AW142" i="45" s="1"/>
  <c r="AF142" i="45"/>
  <c r="AJ142" i="45" s="1"/>
  <c r="AV142" i="45" s="1"/>
  <c r="AE142" i="45"/>
  <c r="AI142" i="45" s="1"/>
  <c r="Y142" i="45"/>
  <c r="X142" i="45"/>
  <c r="W142" i="45"/>
  <c r="V142" i="45"/>
  <c r="Z142" i="45" s="1"/>
  <c r="AH141" i="45"/>
  <c r="AL141" i="45" s="1"/>
  <c r="AX141" i="45" s="1"/>
  <c r="AG141" i="45"/>
  <c r="AK141" i="45" s="1"/>
  <c r="AW141" i="45" s="1"/>
  <c r="AF141" i="45"/>
  <c r="AJ141" i="45" s="1"/>
  <c r="AV141" i="45" s="1"/>
  <c r="AE141" i="45"/>
  <c r="AI141" i="45" s="1"/>
  <c r="Y141" i="45"/>
  <c r="X141" i="45"/>
  <c r="W141" i="45"/>
  <c r="V141" i="45"/>
  <c r="Z141" i="45" s="1"/>
  <c r="AH140" i="45"/>
  <c r="AL140" i="45" s="1"/>
  <c r="AX140" i="45" s="1"/>
  <c r="AG140" i="45"/>
  <c r="AK140" i="45" s="1"/>
  <c r="AW140" i="45" s="1"/>
  <c r="AF140" i="45"/>
  <c r="AJ140" i="45" s="1"/>
  <c r="AV140" i="45" s="1"/>
  <c r="AE140" i="45"/>
  <c r="AI140" i="45" s="1"/>
  <c r="Y140" i="45"/>
  <c r="X140" i="45"/>
  <c r="W140" i="45"/>
  <c r="V140" i="45"/>
  <c r="Z140" i="45" s="1"/>
  <c r="AH139" i="45"/>
  <c r="AL139" i="45" s="1"/>
  <c r="AX139" i="45" s="1"/>
  <c r="AG139" i="45"/>
  <c r="AK139" i="45" s="1"/>
  <c r="AW139" i="45" s="1"/>
  <c r="AF139" i="45"/>
  <c r="AJ139" i="45" s="1"/>
  <c r="AV139" i="45" s="1"/>
  <c r="AE139" i="45"/>
  <c r="AI139" i="45" s="1"/>
  <c r="Y139" i="45"/>
  <c r="X139" i="45"/>
  <c r="W139" i="45"/>
  <c r="V139" i="45"/>
  <c r="Z139" i="45" s="1"/>
  <c r="AH138" i="45"/>
  <c r="AL138" i="45" s="1"/>
  <c r="AX138" i="45" s="1"/>
  <c r="AG138" i="45"/>
  <c r="AK138" i="45" s="1"/>
  <c r="AW138" i="45" s="1"/>
  <c r="AF138" i="45"/>
  <c r="AJ138" i="45" s="1"/>
  <c r="AV138" i="45" s="1"/>
  <c r="AE138" i="45"/>
  <c r="AI138" i="45" s="1"/>
  <c r="Y138" i="45"/>
  <c r="X138" i="45"/>
  <c r="W138" i="45"/>
  <c r="V138" i="45"/>
  <c r="Z138" i="45" s="1"/>
  <c r="AH134" i="45"/>
  <c r="AL134" i="45" s="1"/>
  <c r="AX134" i="45" s="1"/>
  <c r="AG134" i="45"/>
  <c r="AK134" i="45" s="1"/>
  <c r="AW134" i="45" s="1"/>
  <c r="AF134" i="45"/>
  <c r="AJ134" i="45" s="1"/>
  <c r="AV134" i="45" s="1"/>
  <c r="AE134" i="45"/>
  <c r="AI134" i="45" s="1"/>
  <c r="Y134" i="45"/>
  <c r="X134" i="45"/>
  <c r="W134" i="45"/>
  <c r="V134" i="45"/>
  <c r="Z134" i="45" s="1"/>
  <c r="AH133" i="45"/>
  <c r="AL133" i="45" s="1"/>
  <c r="AX133" i="45" s="1"/>
  <c r="AG133" i="45"/>
  <c r="AK133" i="45" s="1"/>
  <c r="AW133" i="45" s="1"/>
  <c r="AF133" i="45"/>
  <c r="AJ133" i="45" s="1"/>
  <c r="AV133" i="45" s="1"/>
  <c r="AE133" i="45"/>
  <c r="AI133" i="45" s="1"/>
  <c r="Y133" i="45"/>
  <c r="X133" i="45"/>
  <c r="W133" i="45"/>
  <c r="V133" i="45"/>
  <c r="Z133" i="45" s="1"/>
  <c r="AH132" i="45"/>
  <c r="AL132" i="45" s="1"/>
  <c r="AX132" i="45" s="1"/>
  <c r="AG132" i="45"/>
  <c r="AK132" i="45" s="1"/>
  <c r="AW132" i="45" s="1"/>
  <c r="AF132" i="45"/>
  <c r="AJ132" i="45" s="1"/>
  <c r="AV132" i="45" s="1"/>
  <c r="AE132" i="45"/>
  <c r="AI132" i="45" s="1"/>
  <c r="Y132" i="45"/>
  <c r="X132" i="45"/>
  <c r="W132" i="45"/>
  <c r="V132" i="45"/>
  <c r="Z132" i="45" s="1"/>
  <c r="AH131" i="45"/>
  <c r="AL131" i="45" s="1"/>
  <c r="AX131" i="45" s="1"/>
  <c r="AG131" i="45"/>
  <c r="AK131" i="45" s="1"/>
  <c r="AW131" i="45" s="1"/>
  <c r="AF131" i="45"/>
  <c r="AJ131" i="45" s="1"/>
  <c r="AV131" i="45" s="1"/>
  <c r="AE131" i="45"/>
  <c r="AI131" i="45" s="1"/>
  <c r="Y131" i="45"/>
  <c r="X131" i="45"/>
  <c r="W131" i="45"/>
  <c r="V131" i="45"/>
  <c r="Z131" i="45" s="1"/>
  <c r="AH130" i="45"/>
  <c r="AL130" i="45" s="1"/>
  <c r="AX130" i="45" s="1"/>
  <c r="AG130" i="45"/>
  <c r="AK130" i="45" s="1"/>
  <c r="AW130" i="45" s="1"/>
  <c r="AF130" i="45"/>
  <c r="AJ130" i="45" s="1"/>
  <c r="AV130" i="45" s="1"/>
  <c r="AE130" i="45"/>
  <c r="AI130" i="45" s="1"/>
  <c r="Y130" i="45"/>
  <c r="X130" i="45"/>
  <c r="W130" i="45"/>
  <c r="V130" i="45"/>
  <c r="Z130" i="45" s="1"/>
  <c r="AH129" i="45"/>
  <c r="AL129" i="45" s="1"/>
  <c r="AX129" i="45" s="1"/>
  <c r="AG129" i="45"/>
  <c r="AK129" i="45" s="1"/>
  <c r="AW129" i="45" s="1"/>
  <c r="AF129" i="45"/>
  <c r="AJ129" i="45" s="1"/>
  <c r="AV129" i="45" s="1"/>
  <c r="AE129" i="45"/>
  <c r="AI129" i="45" s="1"/>
  <c r="Y129" i="45"/>
  <c r="X129" i="45"/>
  <c r="W129" i="45"/>
  <c r="V129" i="45"/>
  <c r="Z129" i="45" s="1"/>
  <c r="AH125" i="45"/>
  <c r="AL125" i="45" s="1"/>
  <c r="AX125" i="45" s="1"/>
  <c r="AG125" i="45"/>
  <c r="AK125" i="45" s="1"/>
  <c r="AW125" i="45" s="1"/>
  <c r="AF125" i="45"/>
  <c r="AJ125" i="45" s="1"/>
  <c r="AV125" i="45" s="1"/>
  <c r="AE125" i="45"/>
  <c r="AI125" i="45" s="1"/>
  <c r="Y125" i="45"/>
  <c r="X125" i="45"/>
  <c r="W125" i="45"/>
  <c r="V125" i="45"/>
  <c r="Z125" i="45" s="1"/>
  <c r="AH124" i="45"/>
  <c r="AL124" i="45" s="1"/>
  <c r="AX124" i="45" s="1"/>
  <c r="AG124" i="45"/>
  <c r="AK124" i="45" s="1"/>
  <c r="AW124" i="45" s="1"/>
  <c r="AF124" i="45"/>
  <c r="AJ124" i="45" s="1"/>
  <c r="AV124" i="45" s="1"/>
  <c r="AE124" i="45"/>
  <c r="AI124" i="45" s="1"/>
  <c r="Y124" i="45"/>
  <c r="X124" i="45"/>
  <c r="W124" i="45"/>
  <c r="V124" i="45"/>
  <c r="Z124" i="45" s="1"/>
  <c r="AH123" i="45"/>
  <c r="AL123" i="45" s="1"/>
  <c r="AX123" i="45" s="1"/>
  <c r="AG123" i="45"/>
  <c r="AK123" i="45" s="1"/>
  <c r="AW123" i="45" s="1"/>
  <c r="AF123" i="45"/>
  <c r="AJ123" i="45" s="1"/>
  <c r="AV123" i="45" s="1"/>
  <c r="AE123" i="45"/>
  <c r="AI123" i="45" s="1"/>
  <c r="Y123" i="45"/>
  <c r="X123" i="45"/>
  <c r="W123" i="45"/>
  <c r="AH122" i="45"/>
  <c r="AL122" i="45" s="1"/>
  <c r="AX122" i="45" s="1"/>
  <c r="AG122" i="45"/>
  <c r="AK122" i="45" s="1"/>
  <c r="AW122" i="45" s="1"/>
  <c r="AF122" i="45"/>
  <c r="AJ122" i="45" s="1"/>
  <c r="AV122" i="45" s="1"/>
  <c r="AE122" i="45"/>
  <c r="AI122" i="45" s="1"/>
  <c r="Y122" i="45"/>
  <c r="X122" i="45"/>
  <c r="W122" i="45"/>
  <c r="V122" i="45"/>
  <c r="Z122" i="45" s="1"/>
  <c r="AH121" i="45"/>
  <c r="AL121" i="45" s="1"/>
  <c r="AX121" i="45" s="1"/>
  <c r="AG121" i="45"/>
  <c r="AK121" i="45" s="1"/>
  <c r="AW121" i="45" s="1"/>
  <c r="AF121" i="45"/>
  <c r="AJ121" i="45" s="1"/>
  <c r="AV121" i="45" s="1"/>
  <c r="AE121" i="45"/>
  <c r="AI121" i="45" s="1"/>
  <c r="Y121" i="45"/>
  <c r="X121" i="45"/>
  <c r="W121" i="45"/>
  <c r="V121" i="45"/>
  <c r="Z121" i="45" s="1"/>
  <c r="AH120" i="45"/>
  <c r="AL120" i="45" s="1"/>
  <c r="AX120" i="45" s="1"/>
  <c r="AG120" i="45"/>
  <c r="AK120" i="45" s="1"/>
  <c r="AW120" i="45" s="1"/>
  <c r="AF120" i="45"/>
  <c r="AJ120" i="45" s="1"/>
  <c r="AV120" i="45" s="1"/>
  <c r="AE120" i="45"/>
  <c r="AI120" i="45" s="1"/>
  <c r="Y120" i="45"/>
  <c r="X120" i="45"/>
  <c r="W120" i="45"/>
  <c r="V120" i="45"/>
  <c r="Z120" i="45" s="1"/>
  <c r="AH116" i="45"/>
  <c r="AL116" i="45" s="1"/>
  <c r="AX116" i="45" s="1"/>
  <c r="AG116" i="45"/>
  <c r="AK116" i="45" s="1"/>
  <c r="AW116" i="45" s="1"/>
  <c r="AF116" i="45"/>
  <c r="AJ116" i="45" s="1"/>
  <c r="AV116" i="45" s="1"/>
  <c r="AE116" i="45"/>
  <c r="AI116" i="45" s="1"/>
  <c r="Y116" i="45"/>
  <c r="X116" i="45"/>
  <c r="W116" i="45"/>
  <c r="V116" i="45"/>
  <c r="Z116" i="45" s="1"/>
  <c r="AH115" i="45"/>
  <c r="AL115" i="45" s="1"/>
  <c r="AX115" i="45" s="1"/>
  <c r="AG115" i="45"/>
  <c r="AK115" i="45" s="1"/>
  <c r="AW115" i="45" s="1"/>
  <c r="AF115" i="45"/>
  <c r="AJ115" i="45" s="1"/>
  <c r="AV115" i="45" s="1"/>
  <c r="AE115" i="45"/>
  <c r="AI115" i="45" s="1"/>
  <c r="Y115" i="45"/>
  <c r="X115" i="45"/>
  <c r="W115" i="45"/>
  <c r="V115" i="45"/>
  <c r="Z115" i="45" s="1"/>
  <c r="AH114" i="45"/>
  <c r="AL114" i="45" s="1"/>
  <c r="AX114" i="45" s="1"/>
  <c r="AG114" i="45"/>
  <c r="AK114" i="45" s="1"/>
  <c r="AW114" i="45" s="1"/>
  <c r="AF114" i="45"/>
  <c r="AJ114" i="45" s="1"/>
  <c r="AV114" i="45" s="1"/>
  <c r="AE114" i="45"/>
  <c r="AI114" i="45" s="1"/>
  <c r="Y114" i="45"/>
  <c r="X114" i="45"/>
  <c r="W114" i="45"/>
  <c r="V114" i="45"/>
  <c r="Z114" i="45" s="1"/>
  <c r="AH113" i="45"/>
  <c r="AL113" i="45" s="1"/>
  <c r="AX113" i="45" s="1"/>
  <c r="AG113" i="45"/>
  <c r="AK113" i="45" s="1"/>
  <c r="AW113" i="45" s="1"/>
  <c r="AF113" i="45"/>
  <c r="AJ113" i="45" s="1"/>
  <c r="AV113" i="45" s="1"/>
  <c r="AE113" i="45"/>
  <c r="AI113" i="45" s="1"/>
  <c r="Y113" i="45"/>
  <c r="X113" i="45"/>
  <c r="W113" i="45"/>
  <c r="V113" i="45"/>
  <c r="Z113" i="45" s="1"/>
  <c r="AH112" i="45"/>
  <c r="AL112" i="45" s="1"/>
  <c r="AX112" i="45" s="1"/>
  <c r="AG112" i="45"/>
  <c r="AK112" i="45" s="1"/>
  <c r="AW112" i="45" s="1"/>
  <c r="AF112" i="45"/>
  <c r="AJ112" i="45" s="1"/>
  <c r="AV112" i="45" s="1"/>
  <c r="AE112" i="45"/>
  <c r="AI112" i="45" s="1"/>
  <c r="Y112" i="45"/>
  <c r="X112" i="45"/>
  <c r="W112" i="45"/>
  <c r="V112" i="45"/>
  <c r="Z112" i="45" s="1"/>
  <c r="AH111" i="45"/>
  <c r="AL111" i="45" s="1"/>
  <c r="AX111" i="45" s="1"/>
  <c r="AG111" i="45"/>
  <c r="AK111" i="45" s="1"/>
  <c r="AW111" i="45" s="1"/>
  <c r="AF111" i="45"/>
  <c r="AJ111" i="45" s="1"/>
  <c r="AV111" i="45" s="1"/>
  <c r="AE111" i="45"/>
  <c r="AI111" i="45" s="1"/>
  <c r="Y111" i="45"/>
  <c r="X111" i="45"/>
  <c r="W111" i="45"/>
  <c r="V111" i="45"/>
  <c r="Z111" i="45" s="1"/>
  <c r="AH107" i="45"/>
  <c r="AL107" i="45" s="1"/>
  <c r="AX107" i="45" s="1"/>
  <c r="AG107" i="45"/>
  <c r="AK107" i="45" s="1"/>
  <c r="AW107" i="45" s="1"/>
  <c r="AF107" i="45"/>
  <c r="AJ107" i="45" s="1"/>
  <c r="AV107" i="45" s="1"/>
  <c r="AE107" i="45"/>
  <c r="AI107" i="45" s="1"/>
  <c r="Y107" i="45"/>
  <c r="X107" i="45"/>
  <c r="W107" i="45"/>
  <c r="V107" i="45"/>
  <c r="Z107" i="45" s="1"/>
  <c r="AH106" i="45"/>
  <c r="AL106" i="45" s="1"/>
  <c r="AX106" i="45" s="1"/>
  <c r="AG106" i="45"/>
  <c r="AK106" i="45" s="1"/>
  <c r="AW106" i="45" s="1"/>
  <c r="AF106" i="45"/>
  <c r="AJ106" i="45" s="1"/>
  <c r="AV106" i="45" s="1"/>
  <c r="AE106" i="45"/>
  <c r="AI106" i="45" s="1"/>
  <c r="Y106" i="45"/>
  <c r="X106" i="45"/>
  <c r="W106" i="45"/>
  <c r="V106" i="45"/>
  <c r="Z106" i="45" s="1"/>
  <c r="AH105" i="45"/>
  <c r="AL105" i="45" s="1"/>
  <c r="AX105" i="45" s="1"/>
  <c r="AG105" i="45"/>
  <c r="AK105" i="45" s="1"/>
  <c r="AW105" i="45" s="1"/>
  <c r="AF105" i="45"/>
  <c r="AJ105" i="45" s="1"/>
  <c r="AV105" i="45" s="1"/>
  <c r="AE105" i="45"/>
  <c r="AI105" i="45" s="1"/>
  <c r="Y105" i="45"/>
  <c r="X105" i="45"/>
  <c r="W105" i="45"/>
  <c r="V105" i="45"/>
  <c r="Z105" i="45" s="1"/>
  <c r="AH104" i="45"/>
  <c r="AL104" i="45" s="1"/>
  <c r="AX104" i="45" s="1"/>
  <c r="AG104" i="45"/>
  <c r="AK104" i="45" s="1"/>
  <c r="AW104" i="45" s="1"/>
  <c r="AF104" i="45"/>
  <c r="AJ104" i="45" s="1"/>
  <c r="AV104" i="45" s="1"/>
  <c r="AE104" i="45"/>
  <c r="AI104" i="45" s="1"/>
  <c r="Y104" i="45"/>
  <c r="X104" i="45"/>
  <c r="W104" i="45"/>
  <c r="V104" i="45"/>
  <c r="Z104" i="45" s="1"/>
  <c r="AH103" i="45"/>
  <c r="AL103" i="45" s="1"/>
  <c r="AX103" i="45" s="1"/>
  <c r="AG103" i="45"/>
  <c r="AK103" i="45" s="1"/>
  <c r="AW103" i="45" s="1"/>
  <c r="AF103" i="45"/>
  <c r="AJ103" i="45" s="1"/>
  <c r="AV103" i="45" s="1"/>
  <c r="AE103" i="45"/>
  <c r="AI103" i="45" s="1"/>
  <c r="Y103" i="45"/>
  <c r="X103" i="45"/>
  <c r="W103" i="45"/>
  <c r="V103" i="45"/>
  <c r="Z103" i="45" s="1"/>
  <c r="AH102" i="45"/>
  <c r="AL102" i="45" s="1"/>
  <c r="AX102" i="45" s="1"/>
  <c r="AG102" i="45"/>
  <c r="AK102" i="45" s="1"/>
  <c r="AW102" i="45" s="1"/>
  <c r="AF102" i="45"/>
  <c r="AJ102" i="45" s="1"/>
  <c r="AV102" i="45" s="1"/>
  <c r="AE102" i="45"/>
  <c r="AI102" i="45" s="1"/>
  <c r="Y102" i="45"/>
  <c r="X102" i="45"/>
  <c r="W102" i="45"/>
  <c r="V102" i="45"/>
  <c r="Z102" i="45" s="1"/>
  <c r="AH98" i="45"/>
  <c r="AL98" i="45" s="1"/>
  <c r="AX98" i="45" s="1"/>
  <c r="AG98" i="45"/>
  <c r="AK98" i="45" s="1"/>
  <c r="AW98" i="45" s="1"/>
  <c r="AF98" i="45"/>
  <c r="AJ98" i="45" s="1"/>
  <c r="AV98" i="45" s="1"/>
  <c r="AE98" i="45"/>
  <c r="AI98" i="45" s="1"/>
  <c r="Y98" i="45"/>
  <c r="X98" i="45"/>
  <c r="W98" i="45"/>
  <c r="V98" i="45"/>
  <c r="Z98" i="45" s="1"/>
  <c r="AH97" i="45"/>
  <c r="AL97" i="45" s="1"/>
  <c r="AX97" i="45" s="1"/>
  <c r="AG97" i="45"/>
  <c r="AK97" i="45" s="1"/>
  <c r="AW97" i="45" s="1"/>
  <c r="AF97" i="45"/>
  <c r="AJ97" i="45" s="1"/>
  <c r="AV97" i="45" s="1"/>
  <c r="AE97" i="45"/>
  <c r="AI97" i="45" s="1"/>
  <c r="Y97" i="45"/>
  <c r="X97" i="45"/>
  <c r="W97" i="45"/>
  <c r="V97" i="45"/>
  <c r="Z97" i="45" s="1"/>
  <c r="AH96" i="45"/>
  <c r="AL96" i="45" s="1"/>
  <c r="AX96" i="45" s="1"/>
  <c r="AG96" i="45"/>
  <c r="AK96" i="45" s="1"/>
  <c r="AW96" i="45" s="1"/>
  <c r="AF96" i="45"/>
  <c r="AJ96" i="45" s="1"/>
  <c r="AV96" i="45" s="1"/>
  <c r="AE96" i="45"/>
  <c r="AI96" i="45" s="1"/>
  <c r="Y96" i="45"/>
  <c r="X96" i="45"/>
  <c r="W96" i="45"/>
  <c r="V96" i="45"/>
  <c r="Z96" i="45" s="1"/>
  <c r="AH95" i="45"/>
  <c r="AL95" i="45" s="1"/>
  <c r="AX95" i="45" s="1"/>
  <c r="AG95" i="45"/>
  <c r="AK95" i="45" s="1"/>
  <c r="AW95" i="45" s="1"/>
  <c r="AF95" i="45"/>
  <c r="AJ95" i="45" s="1"/>
  <c r="AV95" i="45" s="1"/>
  <c r="AE95" i="45"/>
  <c r="AI95" i="45" s="1"/>
  <c r="Y95" i="45"/>
  <c r="X95" i="45"/>
  <c r="W95" i="45"/>
  <c r="V95" i="45"/>
  <c r="Z95" i="45" s="1"/>
  <c r="AH94" i="45"/>
  <c r="AL94" i="45" s="1"/>
  <c r="AX94" i="45" s="1"/>
  <c r="AG94" i="45"/>
  <c r="AK94" i="45" s="1"/>
  <c r="AW94" i="45" s="1"/>
  <c r="AF94" i="45"/>
  <c r="AJ94" i="45" s="1"/>
  <c r="AV94" i="45" s="1"/>
  <c r="AE94" i="45"/>
  <c r="AI94" i="45" s="1"/>
  <c r="Y94" i="45"/>
  <c r="X94" i="45"/>
  <c r="W94" i="45"/>
  <c r="V94" i="45"/>
  <c r="Z94" i="45" s="1"/>
  <c r="AH93" i="45"/>
  <c r="AL93" i="45" s="1"/>
  <c r="AX93" i="45" s="1"/>
  <c r="AG93" i="45"/>
  <c r="AK93" i="45" s="1"/>
  <c r="AW93" i="45" s="1"/>
  <c r="AF93" i="45"/>
  <c r="AJ93" i="45" s="1"/>
  <c r="AV93" i="45" s="1"/>
  <c r="AE93" i="45"/>
  <c r="AI93" i="45" s="1"/>
  <c r="Y93" i="45"/>
  <c r="X93" i="45"/>
  <c r="W93" i="45"/>
  <c r="V93" i="45"/>
  <c r="Z93" i="45" s="1"/>
  <c r="AH89" i="45"/>
  <c r="AL89" i="45" s="1"/>
  <c r="AX89" i="45" s="1"/>
  <c r="AG89" i="45"/>
  <c r="AK89" i="45" s="1"/>
  <c r="AW89" i="45" s="1"/>
  <c r="AF89" i="45"/>
  <c r="AJ89" i="45" s="1"/>
  <c r="AV89" i="45" s="1"/>
  <c r="AE89" i="45"/>
  <c r="AI89" i="45" s="1"/>
  <c r="Y89" i="45"/>
  <c r="X89" i="45"/>
  <c r="W89" i="45"/>
  <c r="V89" i="45"/>
  <c r="Z89" i="45" s="1"/>
  <c r="AH88" i="45"/>
  <c r="AL88" i="45" s="1"/>
  <c r="AX88" i="45" s="1"/>
  <c r="AG88" i="45"/>
  <c r="AK88" i="45" s="1"/>
  <c r="AW88" i="45" s="1"/>
  <c r="AF88" i="45"/>
  <c r="AJ88" i="45" s="1"/>
  <c r="AV88" i="45" s="1"/>
  <c r="AE88" i="45"/>
  <c r="AI88" i="45" s="1"/>
  <c r="Y88" i="45"/>
  <c r="X88" i="45"/>
  <c r="W88" i="45"/>
  <c r="V88" i="45"/>
  <c r="Z88" i="45" s="1"/>
  <c r="AH87" i="45"/>
  <c r="AL87" i="45" s="1"/>
  <c r="AX87" i="45" s="1"/>
  <c r="AG87" i="45"/>
  <c r="AK87" i="45" s="1"/>
  <c r="AW87" i="45" s="1"/>
  <c r="AF87" i="45"/>
  <c r="AJ87" i="45" s="1"/>
  <c r="AV87" i="45" s="1"/>
  <c r="AE87" i="45"/>
  <c r="AI87" i="45" s="1"/>
  <c r="Y87" i="45"/>
  <c r="X87" i="45"/>
  <c r="W87" i="45"/>
  <c r="V87" i="45"/>
  <c r="Z87" i="45" s="1"/>
  <c r="AH86" i="45"/>
  <c r="AL86" i="45" s="1"/>
  <c r="AX86" i="45" s="1"/>
  <c r="AG86" i="45"/>
  <c r="AK86" i="45" s="1"/>
  <c r="AW86" i="45" s="1"/>
  <c r="AF86" i="45"/>
  <c r="AJ86" i="45" s="1"/>
  <c r="AV86" i="45" s="1"/>
  <c r="AE86" i="45"/>
  <c r="AI86" i="45" s="1"/>
  <c r="Y86" i="45"/>
  <c r="X86" i="45"/>
  <c r="W86" i="45"/>
  <c r="V86" i="45"/>
  <c r="Z86" i="45" s="1"/>
  <c r="AH85" i="45"/>
  <c r="AL85" i="45" s="1"/>
  <c r="AX85" i="45" s="1"/>
  <c r="AG85" i="45"/>
  <c r="AK85" i="45" s="1"/>
  <c r="AW85" i="45" s="1"/>
  <c r="AF85" i="45"/>
  <c r="AJ85" i="45" s="1"/>
  <c r="AV85" i="45" s="1"/>
  <c r="AE85" i="45"/>
  <c r="AI85" i="45" s="1"/>
  <c r="Y85" i="45"/>
  <c r="X85" i="45"/>
  <c r="W85" i="45"/>
  <c r="V85" i="45"/>
  <c r="Z85" i="45" s="1"/>
  <c r="AH84" i="45"/>
  <c r="AL84" i="45" s="1"/>
  <c r="AX84" i="45" s="1"/>
  <c r="AG84" i="45"/>
  <c r="AK84" i="45" s="1"/>
  <c r="AW84" i="45" s="1"/>
  <c r="AF84" i="45"/>
  <c r="AJ84" i="45" s="1"/>
  <c r="AV84" i="45" s="1"/>
  <c r="AE84" i="45"/>
  <c r="AI84" i="45" s="1"/>
  <c r="Y84" i="45"/>
  <c r="X84" i="45"/>
  <c r="W84" i="45"/>
  <c r="V84" i="45"/>
  <c r="Z84" i="45" s="1"/>
  <c r="AH80" i="45"/>
  <c r="AL80" i="45" s="1"/>
  <c r="AX80" i="45" s="1"/>
  <c r="AG80" i="45"/>
  <c r="AK80" i="45" s="1"/>
  <c r="AW80" i="45" s="1"/>
  <c r="AF80" i="45"/>
  <c r="AJ80" i="45" s="1"/>
  <c r="AV80" i="45" s="1"/>
  <c r="AE80" i="45"/>
  <c r="AI80" i="45" s="1"/>
  <c r="Y80" i="45"/>
  <c r="X80" i="45"/>
  <c r="W80" i="45"/>
  <c r="V80" i="45"/>
  <c r="Z80" i="45" s="1"/>
  <c r="AH79" i="45"/>
  <c r="AL79" i="45" s="1"/>
  <c r="AX79" i="45" s="1"/>
  <c r="AG79" i="45"/>
  <c r="AK79" i="45" s="1"/>
  <c r="AW79" i="45" s="1"/>
  <c r="AF79" i="45"/>
  <c r="AJ79" i="45" s="1"/>
  <c r="AV79" i="45" s="1"/>
  <c r="AE79" i="45"/>
  <c r="AI79" i="45" s="1"/>
  <c r="Y79" i="45"/>
  <c r="X79" i="45"/>
  <c r="W79" i="45"/>
  <c r="V79" i="45"/>
  <c r="Z79" i="45" s="1"/>
  <c r="AH78" i="45"/>
  <c r="AL78" i="45" s="1"/>
  <c r="AX78" i="45" s="1"/>
  <c r="AG78" i="45"/>
  <c r="AK78" i="45" s="1"/>
  <c r="AW78" i="45" s="1"/>
  <c r="AF78" i="45"/>
  <c r="AJ78" i="45" s="1"/>
  <c r="AV78" i="45" s="1"/>
  <c r="AE78" i="45"/>
  <c r="AI78" i="45" s="1"/>
  <c r="Y78" i="45"/>
  <c r="X78" i="45"/>
  <c r="W78" i="45"/>
  <c r="V78" i="45"/>
  <c r="Z78" i="45" s="1"/>
  <c r="AH77" i="45"/>
  <c r="AL77" i="45" s="1"/>
  <c r="AX77" i="45" s="1"/>
  <c r="AG77" i="45"/>
  <c r="AK77" i="45" s="1"/>
  <c r="AW77" i="45" s="1"/>
  <c r="AF77" i="45"/>
  <c r="AJ77" i="45" s="1"/>
  <c r="AV77" i="45" s="1"/>
  <c r="AE77" i="45"/>
  <c r="AI77" i="45" s="1"/>
  <c r="Y77" i="45"/>
  <c r="X77" i="45"/>
  <c r="W77" i="45"/>
  <c r="V77" i="45"/>
  <c r="Z77" i="45" s="1"/>
  <c r="AH76" i="45"/>
  <c r="AL76" i="45" s="1"/>
  <c r="AX76" i="45" s="1"/>
  <c r="AG76" i="45"/>
  <c r="AK76" i="45" s="1"/>
  <c r="AW76" i="45" s="1"/>
  <c r="AF76" i="45"/>
  <c r="AJ76" i="45" s="1"/>
  <c r="AV76" i="45" s="1"/>
  <c r="AE76" i="45"/>
  <c r="AI76" i="45" s="1"/>
  <c r="Y76" i="45"/>
  <c r="X76" i="45"/>
  <c r="W76" i="45"/>
  <c r="V76" i="45"/>
  <c r="Z76" i="45" s="1"/>
  <c r="AH75" i="45"/>
  <c r="AL75" i="45" s="1"/>
  <c r="AX75" i="45" s="1"/>
  <c r="AG75" i="45"/>
  <c r="AK75" i="45" s="1"/>
  <c r="AW75" i="45" s="1"/>
  <c r="AF75" i="45"/>
  <c r="AJ75" i="45" s="1"/>
  <c r="AV75" i="45" s="1"/>
  <c r="AE75" i="45"/>
  <c r="AI75" i="45" s="1"/>
  <c r="Y75" i="45"/>
  <c r="X75" i="45"/>
  <c r="W75" i="45"/>
  <c r="V75" i="45"/>
  <c r="Z75" i="45" s="1"/>
  <c r="AH71" i="45"/>
  <c r="AL71" i="45" s="1"/>
  <c r="AX71" i="45" s="1"/>
  <c r="AG71" i="45"/>
  <c r="AK71" i="45" s="1"/>
  <c r="AW71" i="45" s="1"/>
  <c r="AF71" i="45"/>
  <c r="AJ71" i="45" s="1"/>
  <c r="AV71" i="45" s="1"/>
  <c r="AE71" i="45"/>
  <c r="AI71" i="45" s="1"/>
  <c r="Y71" i="45"/>
  <c r="X71" i="45"/>
  <c r="W71" i="45"/>
  <c r="V71" i="45"/>
  <c r="Z71" i="45" s="1"/>
  <c r="AH70" i="45"/>
  <c r="AL70" i="45" s="1"/>
  <c r="AX70" i="45" s="1"/>
  <c r="AG70" i="45"/>
  <c r="AK70" i="45" s="1"/>
  <c r="AW70" i="45" s="1"/>
  <c r="AF70" i="45"/>
  <c r="AJ70" i="45" s="1"/>
  <c r="AV70" i="45" s="1"/>
  <c r="AE70" i="45"/>
  <c r="AI70" i="45" s="1"/>
  <c r="Y70" i="45"/>
  <c r="X70" i="45"/>
  <c r="W70" i="45"/>
  <c r="V70" i="45"/>
  <c r="Z70" i="45" s="1"/>
  <c r="AH69" i="45"/>
  <c r="AL69" i="45" s="1"/>
  <c r="AX69" i="45" s="1"/>
  <c r="AG69" i="45"/>
  <c r="AK69" i="45" s="1"/>
  <c r="AW69" i="45" s="1"/>
  <c r="AF69" i="45"/>
  <c r="AJ69" i="45" s="1"/>
  <c r="AV69" i="45" s="1"/>
  <c r="AE69" i="45"/>
  <c r="AI69" i="45" s="1"/>
  <c r="Y69" i="45"/>
  <c r="X69" i="45"/>
  <c r="W69" i="45"/>
  <c r="V69" i="45"/>
  <c r="Z69" i="45" s="1"/>
  <c r="AH68" i="45"/>
  <c r="AL68" i="45" s="1"/>
  <c r="AX68" i="45" s="1"/>
  <c r="AG68" i="45"/>
  <c r="AK68" i="45" s="1"/>
  <c r="AW68" i="45" s="1"/>
  <c r="AF68" i="45"/>
  <c r="AJ68" i="45" s="1"/>
  <c r="AV68" i="45" s="1"/>
  <c r="AE68" i="45"/>
  <c r="AI68" i="45" s="1"/>
  <c r="Y68" i="45"/>
  <c r="X68" i="45"/>
  <c r="W68" i="45"/>
  <c r="V68" i="45"/>
  <c r="Z68" i="45" s="1"/>
  <c r="AH67" i="45"/>
  <c r="AL67" i="45" s="1"/>
  <c r="AX67" i="45" s="1"/>
  <c r="AG67" i="45"/>
  <c r="AK67" i="45" s="1"/>
  <c r="AW67" i="45" s="1"/>
  <c r="AF67" i="45"/>
  <c r="AJ67" i="45" s="1"/>
  <c r="AV67" i="45" s="1"/>
  <c r="AE67" i="45"/>
  <c r="AI67" i="45" s="1"/>
  <c r="Y67" i="45"/>
  <c r="X67" i="45"/>
  <c r="W67" i="45"/>
  <c r="V67" i="45"/>
  <c r="Z67" i="45" s="1"/>
  <c r="AH66" i="45"/>
  <c r="AL66" i="45" s="1"/>
  <c r="AX66" i="45" s="1"/>
  <c r="AG66" i="45"/>
  <c r="AK66" i="45" s="1"/>
  <c r="AW66" i="45" s="1"/>
  <c r="AF66" i="45"/>
  <c r="AJ66" i="45" s="1"/>
  <c r="AV66" i="45" s="1"/>
  <c r="AE66" i="45"/>
  <c r="AI66" i="45" s="1"/>
  <c r="Y66" i="45"/>
  <c r="X66" i="45"/>
  <c r="W66" i="45"/>
  <c r="V66" i="45"/>
  <c r="Z66" i="45" s="1"/>
  <c r="AH62" i="45"/>
  <c r="AL62" i="45" s="1"/>
  <c r="AX62" i="45" s="1"/>
  <c r="AG62" i="45"/>
  <c r="AK62" i="45" s="1"/>
  <c r="AW62" i="45" s="1"/>
  <c r="AF62" i="45"/>
  <c r="AJ62" i="45" s="1"/>
  <c r="AV62" i="45" s="1"/>
  <c r="AE62" i="45"/>
  <c r="AI62" i="45" s="1"/>
  <c r="Y62" i="45"/>
  <c r="X62" i="45"/>
  <c r="W62" i="45"/>
  <c r="V62" i="45"/>
  <c r="Z62" i="45" s="1"/>
  <c r="AH61" i="45"/>
  <c r="AL61" i="45" s="1"/>
  <c r="AX61" i="45" s="1"/>
  <c r="AG61" i="45"/>
  <c r="AK61" i="45" s="1"/>
  <c r="AW61" i="45" s="1"/>
  <c r="AF61" i="45"/>
  <c r="AJ61" i="45" s="1"/>
  <c r="AV61" i="45" s="1"/>
  <c r="AE61" i="45"/>
  <c r="AI61" i="45" s="1"/>
  <c r="Y61" i="45"/>
  <c r="X61" i="45"/>
  <c r="W61" i="45"/>
  <c r="V61" i="45"/>
  <c r="Z61" i="45" s="1"/>
  <c r="AH60" i="45"/>
  <c r="AL60" i="45" s="1"/>
  <c r="AX60" i="45" s="1"/>
  <c r="AG60" i="45"/>
  <c r="AK60" i="45" s="1"/>
  <c r="AW60" i="45" s="1"/>
  <c r="AF60" i="45"/>
  <c r="AJ60" i="45" s="1"/>
  <c r="AV60" i="45" s="1"/>
  <c r="AE60" i="45"/>
  <c r="AI60" i="45" s="1"/>
  <c r="Y60" i="45"/>
  <c r="X60" i="45"/>
  <c r="W60" i="45"/>
  <c r="V60" i="45"/>
  <c r="Z60" i="45" s="1"/>
  <c r="AH59" i="45"/>
  <c r="AL59" i="45" s="1"/>
  <c r="AX59" i="45" s="1"/>
  <c r="AG59" i="45"/>
  <c r="AK59" i="45" s="1"/>
  <c r="AW59" i="45" s="1"/>
  <c r="AF59" i="45"/>
  <c r="AJ59" i="45" s="1"/>
  <c r="AV59" i="45" s="1"/>
  <c r="AE59" i="45"/>
  <c r="AI59" i="45" s="1"/>
  <c r="Y59" i="45"/>
  <c r="X59" i="45"/>
  <c r="W59" i="45"/>
  <c r="V59" i="45"/>
  <c r="Z59" i="45" s="1"/>
  <c r="AH58" i="45"/>
  <c r="AL58" i="45" s="1"/>
  <c r="AX58" i="45" s="1"/>
  <c r="AG58" i="45"/>
  <c r="AK58" i="45" s="1"/>
  <c r="AW58" i="45" s="1"/>
  <c r="AF58" i="45"/>
  <c r="AJ58" i="45" s="1"/>
  <c r="AV58" i="45" s="1"/>
  <c r="AE58" i="45"/>
  <c r="AI58" i="45" s="1"/>
  <c r="Y58" i="45"/>
  <c r="X58" i="45"/>
  <c r="W58" i="45"/>
  <c r="V58" i="45"/>
  <c r="Z58" i="45" s="1"/>
  <c r="AH57" i="45"/>
  <c r="AL57" i="45" s="1"/>
  <c r="AX57" i="45" s="1"/>
  <c r="AG57" i="45"/>
  <c r="AK57" i="45" s="1"/>
  <c r="AW57" i="45" s="1"/>
  <c r="AF57" i="45"/>
  <c r="AJ57" i="45" s="1"/>
  <c r="AV57" i="45" s="1"/>
  <c r="AE57" i="45"/>
  <c r="AI57" i="45" s="1"/>
  <c r="Y57" i="45"/>
  <c r="X57" i="45"/>
  <c r="W57" i="45"/>
  <c r="V57" i="45"/>
  <c r="Z57" i="45" s="1"/>
  <c r="AH53" i="45"/>
  <c r="AL53" i="45" s="1"/>
  <c r="AX53" i="45" s="1"/>
  <c r="AG53" i="45"/>
  <c r="AK53" i="45" s="1"/>
  <c r="AW53" i="45" s="1"/>
  <c r="AF53" i="45"/>
  <c r="AJ53" i="45" s="1"/>
  <c r="AV53" i="45" s="1"/>
  <c r="AE53" i="45"/>
  <c r="AI53" i="45" s="1"/>
  <c r="Y53" i="45"/>
  <c r="X53" i="45"/>
  <c r="W53" i="45"/>
  <c r="V53" i="45"/>
  <c r="Z53" i="45" s="1"/>
  <c r="AH52" i="45"/>
  <c r="AL52" i="45" s="1"/>
  <c r="AX52" i="45" s="1"/>
  <c r="AG52" i="45"/>
  <c r="AK52" i="45" s="1"/>
  <c r="AW52" i="45" s="1"/>
  <c r="AF52" i="45"/>
  <c r="AJ52" i="45" s="1"/>
  <c r="AV52" i="45" s="1"/>
  <c r="AE52" i="45"/>
  <c r="AI52" i="45" s="1"/>
  <c r="Y52" i="45"/>
  <c r="X52" i="45"/>
  <c r="W52" i="45"/>
  <c r="V52" i="45"/>
  <c r="Z52" i="45" s="1"/>
  <c r="AH51" i="45"/>
  <c r="AL51" i="45" s="1"/>
  <c r="AX51" i="45" s="1"/>
  <c r="AG51" i="45"/>
  <c r="AK51" i="45" s="1"/>
  <c r="AW51" i="45" s="1"/>
  <c r="AF51" i="45"/>
  <c r="AJ51" i="45" s="1"/>
  <c r="AV51" i="45" s="1"/>
  <c r="AE51" i="45"/>
  <c r="AI51" i="45" s="1"/>
  <c r="Y51" i="45"/>
  <c r="X51" i="45"/>
  <c r="W51" i="45"/>
  <c r="V51" i="45"/>
  <c r="Z51" i="45" s="1"/>
  <c r="AH50" i="45"/>
  <c r="AL50" i="45" s="1"/>
  <c r="AX50" i="45" s="1"/>
  <c r="AG50" i="45"/>
  <c r="AK50" i="45" s="1"/>
  <c r="AW50" i="45" s="1"/>
  <c r="AF50" i="45"/>
  <c r="AJ50" i="45" s="1"/>
  <c r="AV50" i="45" s="1"/>
  <c r="AE50" i="45"/>
  <c r="AI50" i="45" s="1"/>
  <c r="Y50" i="45"/>
  <c r="X50" i="45"/>
  <c r="W50" i="45"/>
  <c r="V50" i="45"/>
  <c r="Z50" i="45" s="1"/>
  <c r="AH49" i="45"/>
  <c r="AL49" i="45" s="1"/>
  <c r="AX49" i="45" s="1"/>
  <c r="AG49" i="45"/>
  <c r="AK49" i="45" s="1"/>
  <c r="AW49" i="45" s="1"/>
  <c r="AF49" i="45"/>
  <c r="AJ49" i="45" s="1"/>
  <c r="AV49" i="45" s="1"/>
  <c r="AE49" i="45"/>
  <c r="AI49" i="45" s="1"/>
  <c r="Y49" i="45"/>
  <c r="X49" i="45"/>
  <c r="W49" i="45"/>
  <c r="V49" i="45"/>
  <c r="Z49" i="45" s="1"/>
  <c r="AH48" i="45"/>
  <c r="AL48" i="45" s="1"/>
  <c r="AX48" i="45" s="1"/>
  <c r="AG48" i="45"/>
  <c r="AK48" i="45" s="1"/>
  <c r="AW48" i="45" s="1"/>
  <c r="AF48" i="45"/>
  <c r="AJ48" i="45" s="1"/>
  <c r="AV48" i="45" s="1"/>
  <c r="AE48" i="45"/>
  <c r="AI48" i="45" s="1"/>
  <c r="Y48" i="45"/>
  <c r="X48" i="45"/>
  <c r="W48" i="45"/>
  <c r="V48" i="45"/>
  <c r="Z48" i="45" s="1"/>
  <c r="AH44" i="45"/>
  <c r="AL44" i="45" s="1"/>
  <c r="AX44" i="45" s="1"/>
  <c r="AG44" i="45"/>
  <c r="AK44" i="45" s="1"/>
  <c r="AW44" i="45" s="1"/>
  <c r="AF44" i="45"/>
  <c r="AJ44" i="45" s="1"/>
  <c r="AV44" i="45" s="1"/>
  <c r="AE44" i="45"/>
  <c r="AI44" i="45" s="1"/>
  <c r="Y44" i="45"/>
  <c r="X44" i="45"/>
  <c r="W44" i="45"/>
  <c r="V44" i="45"/>
  <c r="Z44" i="45" s="1"/>
  <c r="AH43" i="45"/>
  <c r="AL43" i="45" s="1"/>
  <c r="AX43" i="45" s="1"/>
  <c r="AG43" i="45"/>
  <c r="AK43" i="45" s="1"/>
  <c r="AW43" i="45" s="1"/>
  <c r="AF43" i="45"/>
  <c r="AJ43" i="45" s="1"/>
  <c r="AV43" i="45" s="1"/>
  <c r="AE43" i="45"/>
  <c r="AI43" i="45" s="1"/>
  <c r="Y43" i="45"/>
  <c r="X43" i="45"/>
  <c r="W43" i="45"/>
  <c r="V43" i="45"/>
  <c r="Z43" i="45" s="1"/>
  <c r="AH42" i="45"/>
  <c r="AL42" i="45" s="1"/>
  <c r="AX42" i="45" s="1"/>
  <c r="AG42" i="45"/>
  <c r="AK42" i="45" s="1"/>
  <c r="AW42" i="45" s="1"/>
  <c r="AF42" i="45"/>
  <c r="AJ42" i="45" s="1"/>
  <c r="AV42" i="45" s="1"/>
  <c r="AE42" i="45"/>
  <c r="AI42" i="45" s="1"/>
  <c r="Y42" i="45"/>
  <c r="X42" i="45"/>
  <c r="W42" i="45"/>
  <c r="V42" i="45"/>
  <c r="Z42" i="45" s="1"/>
  <c r="AH41" i="45"/>
  <c r="AL41" i="45" s="1"/>
  <c r="AX41" i="45" s="1"/>
  <c r="AG41" i="45"/>
  <c r="AK41" i="45" s="1"/>
  <c r="AW41" i="45" s="1"/>
  <c r="AF41" i="45"/>
  <c r="AJ41" i="45" s="1"/>
  <c r="AV41" i="45" s="1"/>
  <c r="AE41" i="45"/>
  <c r="AI41" i="45" s="1"/>
  <c r="Y41" i="45"/>
  <c r="X41" i="45"/>
  <c r="W41" i="45"/>
  <c r="V41" i="45"/>
  <c r="Z41" i="45" s="1"/>
  <c r="AH40" i="45"/>
  <c r="AL40" i="45" s="1"/>
  <c r="AX40" i="45" s="1"/>
  <c r="AG40" i="45"/>
  <c r="AK40" i="45" s="1"/>
  <c r="AW40" i="45" s="1"/>
  <c r="AF40" i="45"/>
  <c r="AJ40" i="45" s="1"/>
  <c r="AV40" i="45" s="1"/>
  <c r="AE40" i="45"/>
  <c r="AI40" i="45" s="1"/>
  <c r="Y40" i="45"/>
  <c r="X40" i="45"/>
  <c r="W40" i="45"/>
  <c r="V40" i="45"/>
  <c r="Z40" i="45" s="1"/>
  <c r="AH39" i="45"/>
  <c r="AL39" i="45" s="1"/>
  <c r="AX39" i="45" s="1"/>
  <c r="AG39" i="45"/>
  <c r="AK39" i="45" s="1"/>
  <c r="AW39" i="45" s="1"/>
  <c r="AF39" i="45"/>
  <c r="AJ39" i="45" s="1"/>
  <c r="AV39" i="45" s="1"/>
  <c r="AE39" i="45"/>
  <c r="AI39" i="45" s="1"/>
  <c r="Y39" i="45"/>
  <c r="X39" i="45"/>
  <c r="W39" i="45"/>
  <c r="V39" i="45"/>
  <c r="Z39" i="45" s="1"/>
  <c r="AH35" i="45"/>
  <c r="AL35" i="45" s="1"/>
  <c r="AX35" i="45" s="1"/>
  <c r="AG35" i="45"/>
  <c r="AK35" i="45" s="1"/>
  <c r="AW35" i="45" s="1"/>
  <c r="AF35" i="45"/>
  <c r="AJ35" i="45" s="1"/>
  <c r="AV35" i="45" s="1"/>
  <c r="AE35" i="45"/>
  <c r="AI35" i="45" s="1"/>
  <c r="Y35" i="45"/>
  <c r="X35" i="45"/>
  <c r="W35" i="45"/>
  <c r="V35" i="45"/>
  <c r="Z35" i="45" s="1"/>
  <c r="AH34" i="45"/>
  <c r="AL34" i="45" s="1"/>
  <c r="AX34" i="45" s="1"/>
  <c r="AG34" i="45"/>
  <c r="AK34" i="45" s="1"/>
  <c r="AW34" i="45" s="1"/>
  <c r="AF34" i="45"/>
  <c r="AJ34" i="45" s="1"/>
  <c r="AV34" i="45" s="1"/>
  <c r="AE34" i="45"/>
  <c r="AI34" i="45" s="1"/>
  <c r="Y34" i="45"/>
  <c r="X34" i="45"/>
  <c r="W34" i="45"/>
  <c r="V34" i="45"/>
  <c r="Z34" i="45" s="1"/>
  <c r="AH33" i="45"/>
  <c r="AL33" i="45" s="1"/>
  <c r="AX33" i="45" s="1"/>
  <c r="AG33" i="45"/>
  <c r="AK33" i="45" s="1"/>
  <c r="AW33" i="45" s="1"/>
  <c r="AF33" i="45"/>
  <c r="AJ33" i="45" s="1"/>
  <c r="AV33" i="45" s="1"/>
  <c r="AE33" i="45"/>
  <c r="AI33" i="45" s="1"/>
  <c r="Y33" i="45"/>
  <c r="X33" i="45"/>
  <c r="W33" i="45"/>
  <c r="V33" i="45"/>
  <c r="Z33" i="45" s="1"/>
  <c r="AH32" i="45"/>
  <c r="AL32" i="45" s="1"/>
  <c r="AX32" i="45" s="1"/>
  <c r="AG32" i="45"/>
  <c r="AK32" i="45" s="1"/>
  <c r="AW32" i="45" s="1"/>
  <c r="AF32" i="45"/>
  <c r="AJ32" i="45" s="1"/>
  <c r="AV32" i="45" s="1"/>
  <c r="AE32" i="45"/>
  <c r="AI32" i="45" s="1"/>
  <c r="Y32" i="45"/>
  <c r="X32" i="45"/>
  <c r="W32" i="45"/>
  <c r="V32" i="45"/>
  <c r="Z32" i="45" s="1"/>
  <c r="AH31" i="45"/>
  <c r="AL31" i="45" s="1"/>
  <c r="AX31" i="45" s="1"/>
  <c r="AG31" i="45"/>
  <c r="AK31" i="45" s="1"/>
  <c r="AW31" i="45" s="1"/>
  <c r="AF31" i="45"/>
  <c r="AJ31" i="45" s="1"/>
  <c r="AV31" i="45" s="1"/>
  <c r="AE31" i="45"/>
  <c r="AI31" i="45" s="1"/>
  <c r="Y31" i="45"/>
  <c r="X31" i="45"/>
  <c r="W31" i="45"/>
  <c r="V31" i="45"/>
  <c r="Z31" i="45" s="1"/>
  <c r="AH30" i="45"/>
  <c r="AL30" i="45" s="1"/>
  <c r="AX30" i="45" s="1"/>
  <c r="AG30" i="45"/>
  <c r="AK30" i="45" s="1"/>
  <c r="AW30" i="45" s="1"/>
  <c r="AF30" i="45"/>
  <c r="AJ30" i="45" s="1"/>
  <c r="AV30" i="45" s="1"/>
  <c r="AE30" i="45"/>
  <c r="AI30" i="45" s="1"/>
  <c r="Y30" i="45"/>
  <c r="X30" i="45"/>
  <c r="W30" i="45"/>
  <c r="V30" i="45"/>
  <c r="Z30" i="45" s="1"/>
  <c r="AH26" i="45"/>
  <c r="AL26" i="45" s="1"/>
  <c r="AX26" i="45" s="1"/>
  <c r="AG26" i="45"/>
  <c r="AK26" i="45" s="1"/>
  <c r="AW26" i="45" s="1"/>
  <c r="AF26" i="45"/>
  <c r="AJ26" i="45" s="1"/>
  <c r="AV26" i="45" s="1"/>
  <c r="AE26" i="45"/>
  <c r="AI26" i="45" s="1"/>
  <c r="Y26" i="45"/>
  <c r="X26" i="45"/>
  <c r="W26" i="45"/>
  <c r="V26" i="45"/>
  <c r="Z26" i="45" s="1"/>
  <c r="AH25" i="45"/>
  <c r="AL25" i="45" s="1"/>
  <c r="AX25" i="45" s="1"/>
  <c r="AG25" i="45"/>
  <c r="AK25" i="45" s="1"/>
  <c r="AW25" i="45" s="1"/>
  <c r="AF25" i="45"/>
  <c r="AJ25" i="45" s="1"/>
  <c r="AV25" i="45" s="1"/>
  <c r="AE25" i="45"/>
  <c r="AI25" i="45" s="1"/>
  <c r="Y25" i="45"/>
  <c r="X25" i="45"/>
  <c r="W25" i="45"/>
  <c r="V25" i="45"/>
  <c r="Z25" i="45" s="1"/>
  <c r="AH24" i="45"/>
  <c r="AL24" i="45" s="1"/>
  <c r="AX24" i="45" s="1"/>
  <c r="AG24" i="45"/>
  <c r="AK24" i="45" s="1"/>
  <c r="AW24" i="45" s="1"/>
  <c r="AF24" i="45"/>
  <c r="AJ24" i="45" s="1"/>
  <c r="AV24" i="45" s="1"/>
  <c r="AE24" i="45"/>
  <c r="AI24" i="45" s="1"/>
  <c r="Y24" i="45"/>
  <c r="X24" i="45"/>
  <c r="W24" i="45"/>
  <c r="V24" i="45"/>
  <c r="Z24" i="45" s="1"/>
  <c r="AH23" i="45"/>
  <c r="AL23" i="45" s="1"/>
  <c r="AX23" i="45" s="1"/>
  <c r="AG23" i="45"/>
  <c r="AK23" i="45" s="1"/>
  <c r="AW23" i="45" s="1"/>
  <c r="AF23" i="45"/>
  <c r="AJ23" i="45" s="1"/>
  <c r="AV23" i="45" s="1"/>
  <c r="AE23" i="45"/>
  <c r="AI23" i="45" s="1"/>
  <c r="Y23" i="45"/>
  <c r="X23" i="45"/>
  <c r="W23" i="45"/>
  <c r="V23" i="45"/>
  <c r="Z23" i="45" s="1"/>
  <c r="AH22" i="45"/>
  <c r="AL22" i="45" s="1"/>
  <c r="AX22" i="45" s="1"/>
  <c r="AG22" i="45"/>
  <c r="AK22" i="45" s="1"/>
  <c r="AW22" i="45" s="1"/>
  <c r="AF22" i="45"/>
  <c r="AJ22" i="45" s="1"/>
  <c r="AV22" i="45" s="1"/>
  <c r="AE22" i="45"/>
  <c r="AI22" i="45" s="1"/>
  <c r="Y22" i="45"/>
  <c r="X22" i="45"/>
  <c r="W22" i="45"/>
  <c r="V22" i="45"/>
  <c r="Z22" i="45" s="1"/>
  <c r="AH21" i="45"/>
  <c r="AL21" i="45" s="1"/>
  <c r="AX21" i="45" s="1"/>
  <c r="AG21" i="45"/>
  <c r="AK21" i="45" s="1"/>
  <c r="AW21" i="45" s="1"/>
  <c r="AF21" i="45"/>
  <c r="AJ21" i="45" s="1"/>
  <c r="AV21" i="45" s="1"/>
  <c r="AE21" i="45"/>
  <c r="AI21" i="45" s="1"/>
  <c r="Y21" i="45"/>
  <c r="X21" i="45"/>
  <c r="W21" i="45"/>
  <c r="V21" i="45"/>
  <c r="Z21" i="45" s="1"/>
  <c r="AH17" i="45"/>
  <c r="AL17" i="45" s="1"/>
  <c r="AX17" i="45" s="1"/>
  <c r="AG17" i="45"/>
  <c r="AK17" i="45" s="1"/>
  <c r="AW17" i="45" s="1"/>
  <c r="AF17" i="45"/>
  <c r="AJ17" i="45" s="1"/>
  <c r="AV17" i="45" s="1"/>
  <c r="AE17" i="45"/>
  <c r="AI17" i="45" s="1"/>
  <c r="Y17" i="45"/>
  <c r="X17" i="45"/>
  <c r="W17" i="45"/>
  <c r="V17" i="45"/>
  <c r="Z17" i="45" s="1"/>
  <c r="AH16" i="45"/>
  <c r="AL16" i="45" s="1"/>
  <c r="AX16" i="45" s="1"/>
  <c r="AG16" i="45"/>
  <c r="AK16" i="45" s="1"/>
  <c r="AW16" i="45" s="1"/>
  <c r="AF16" i="45"/>
  <c r="AJ16" i="45" s="1"/>
  <c r="AV16" i="45" s="1"/>
  <c r="AE16" i="45"/>
  <c r="AI16" i="45" s="1"/>
  <c r="Y16" i="45"/>
  <c r="X16" i="45"/>
  <c r="W16" i="45"/>
  <c r="V16" i="45"/>
  <c r="Z16" i="45" s="1"/>
  <c r="AH15" i="45"/>
  <c r="AL15" i="45" s="1"/>
  <c r="AX15" i="45" s="1"/>
  <c r="AG15" i="45"/>
  <c r="AK15" i="45" s="1"/>
  <c r="AW15" i="45" s="1"/>
  <c r="AF15" i="45"/>
  <c r="AJ15" i="45" s="1"/>
  <c r="AV15" i="45" s="1"/>
  <c r="AE15" i="45"/>
  <c r="AI15" i="45" s="1"/>
  <c r="Y15" i="45"/>
  <c r="X15" i="45"/>
  <c r="W15" i="45"/>
  <c r="V15" i="45"/>
  <c r="Z15" i="45" s="1"/>
  <c r="AH14" i="45"/>
  <c r="AL14" i="45" s="1"/>
  <c r="AX14" i="45" s="1"/>
  <c r="AG14" i="45"/>
  <c r="AK14" i="45" s="1"/>
  <c r="AW14" i="45" s="1"/>
  <c r="AF14" i="45"/>
  <c r="AJ14" i="45" s="1"/>
  <c r="AV14" i="45" s="1"/>
  <c r="AE14" i="45"/>
  <c r="AI14" i="45" s="1"/>
  <c r="Y14" i="45"/>
  <c r="X14" i="45"/>
  <c r="W14" i="45"/>
  <c r="V14" i="45"/>
  <c r="Z14" i="45" s="1"/>
  <c r="AH13" i="45"/>
  <c r="AL13" i="45" s="1"/>
  <c r="AX13" i="45" s="1"/>
  <c r="AG13" i="45"/>
  <c r="AK13" i="45" s="1"/>
  <c r="AW13" i="45" s="1"/>
  <c r="AF13" i="45"/>
  <c r="AJ13" i="45" s="1"/>
  <c r="AV13" i="45" s="1"/>
  <c r="AE13" i="45"/>
  <c r="AI13" i="45" s="1"/>
  <c r="Y13" i="45"/>
  <c r="X13" i="45"/>
  <c r="W13" i="45"/>
  <c r="V13" i="45"/>
  <c r="Z13" i="45" s="1"/>
  <c r="AH12" i="45"/>
  <c r="AL12" i="45" s="1"/>
  <c r="AX12" i="45" s="1"/>
  <c r="AG12" i="45"/>
  <c r="AK12" i="45" s="1"/>
  <c r="AW12" i="45" s="1"/>
  <c r="AF12" i="45"/>
  <c r="AJ12" i="45" s="1"/>
  <c r="AV12" i="45" s="1"/>
  <c r="AE12" i="45"/>
  <c r="AI12" i="45" s="1"/>
  <c r="AU12" i="45" s="1"/>
  <c r="Y12" i="45"/>
  <c r="X12" i="45"/>
  <c r="W12" i="45"/>
  <c r="AH70" i="2"/>
  <c r="AH71" i="2"/>
  <c r="AH74" i="2"/>
  <c r="AH75" i="2"/>
  <c r="AA123" i="45" l="1"/>
  <c r="AP123" i="45" s="1"/>
  <c r="AA124" i="45"/>
  <c r="AP124" i="45" s="1"/>
  <c r="AA125" i="45"/>
  <c r="AP125" i="45" s="1"/>
  <c r="AA129" i="45"/>
  <c r="AP129" i="45" s="1"/>
  <c r="AA130" i="45"/>
  <c r="AP130" i="45" s="1"/>
  <c r="AA131" i="45"/>
  <c r="AP131" i="45" s="1"/>
  <c r="AA132" i="45"/>
  <c r="AP132" i="45" s="1"/>
  <c r="AA133" i="45"/>
  <c r="AP133" i="45" s="1"/>
  <c r="AA134" i="45"/>
  <c r="AP134" i="45" s="1"/>
  <c r="AA138" i="45"/>
  <c r="AA139" i="45"/>
  <c r="AP139" i="45" s="1"/>
  <c r="AA140" i="45"/>
  <c r="AP140" i="45" s="1"/>
  <c r="AA141" i="45"/>
  <c r="AP141" i="45" s="1"/>
  <c r="AA142" i="45"/>
  <c r="AP142" i="45" s="1"/>
  <c r="AA143" i="45"/>
  <c r="AP143" i="45" s="1"/>
  <c r="AA147" i="45"/>
  <c r="AP147" i="45" s="1"/>
  <c r="AA148" i="45"/>
  <c r="AP148" i="45" s="1"/>
  <c r="AA149" i="45"/>
  <c r="AP149" i="45" s="1"/>
  <c r="AA150" i="45"/>
  <c r="AA151" i="45"/>
  <c r="AP151" i="45" s="1"/>
  <c r="AA152" i="45"/>
  <c r="AP152" i="45" s="1"/>
  <c r="AA156" i="45"/>
  <c r="AP156" i="45" s="1"/>
  <c r="AA157" i="45"/>
  <c r="AA158" i="45"/>
  <c r="AP158" i="45" s="1"/>
  <c r="AA159" i="45"/>
  <c r="AP159" i="45" s="1"/>
  <c r="AA160" i="45"/>
  <c r="AP160" i="45" s="1"/>
  <c r="AA161" i="45"/>
  <c r="AP161" i="45" s="1"/>
  <c r="AA165" i="45"/>
  <c r="AP165" i="45" s="1"/>
  <c r="AA166" i="45"/>
  <c r="AP166" i="45" s="1"/>
  <c r="AA167" i="45"/>
  <c r="AP167" i="45" s="1"/>
  <c r="AA168" i="45"/>
  <c r="AP168" i="45" s="1"/>
  <c r="AA169" i="45"/>
  <c r="AP169" i="45" s="1"/>
  <c r="AA170" i="45"/>
  <c r="AP170" i="45" s="1"/>
  <c r="AA12" i="45"/>
  <c r="AA13" i="45"/>
  <c r="AP13" i="45" s="1"/>
  <c r="AA14" i="45"/>
  <c r="AP14" i="45" s="1"/>
  <c r="AA15" i="45"/>
  <c r="AA16" i="45"/>
  <c r="AP16" i="45" s="1"/>
  <c r="AA17" i="45"/>
  <c r="AP17" i="45" s="1"/>
  <c r="AA21" i="45"/>
  <c r="AP21" i="45" s="1"/>
  <c r="AA22" i="45"/>
  <c r="AA23" i="45"/>
  <c r="AP23" i="45" s="1"/>
  <c r="AA24" i="45"/>
  <c r="AP24" i="45" s="1"/>
  <c r="AA25" i="45"/>
  <c r="AP25" i="45" s="1"/>
  <c r="AA26" i="45"/>
  <c r="AA30" i="45"/>
  <c r="AA31" i="45"/>
  <c r="AP31" i="45" s="1"/>
  <c r="AA32" i="45"/>
  <c r="AA33" i="45"/>
  <c r="AP33" i="45" s="1"/>
  <c r="AA34" i="45"/>
  <c r="AP34" i="45" s="1"/>
  <c r="AA35" i="45"/>
  <c r="AP35" i="45" s="1"/>
  <c r="AA39" i="45"/>
  <c r="AP39" i="45" s="1"/>
  <c r="AA40" i="45"/>
  <c r="AA41" i="45"/>
  <c r="AP41" i="45" s="1"/>
  <c r="AA42" i="45"/>
  <c r="AP42" i="45" s="1"/>
  <c r="AA43" i="45"/>
  <c r="AP43" i="45" s="1"/>
  <c r="AA44" i="45"/>
  <c r="AA48" i="45"/>
  <c r="AA49" i="45"/>
  <c r="AP49" i="45" s="1"/>
  <c r="AA50" i="45"/>
  <c r="AA51" i="45"/>
  <c r="AP51" i="45" s="1"/>
  <c r="AA52" i="45"/>
  <c r="AP52" i="45" s="1"/>
  <c r="AA53" i="45"/>
  <c r="AP53" i="45" s="1"/>
  <c r="AA57" i="45"/>
  <c r="AP57" i="45" s="1"/>
  <c r="AA58" i="45"/>
  <c r="AA59" i="45"/>
  <c r="AP59" i="45" s="1"/>
  <c r="AA60" i="45"/>
  <c r="AP60" i="45" s="1"/>
  <c r="AA61" i="45"/>
  <c r="AP61" i="45" s="1"/>
  <c r="AA62" i="45"/>
  <c r="AA66" i="45"/>
  <c r="AA67" i="45"/>
  <c r="AA68" i="45"/>
  <c r="AP68" i="45" s="1"/>
  <c r="AA69" i="45"/>
  <c r="AP69" i="45" s="1"/>
  <c r="AA70" i="45"/>
  <c r="AP70" i="45" s="1"/>
  <c r="AA71" i="45"/>
  <c r="AP71" i="45" s="1"/>
  <c r="AA75" i="45"/>
  <c r="AP75" i="45" s="1"/>
  <c r="AA76" i="45"/>
  <c r="AP76" i="45" s="1"/>
  <c r="AA77" i="45"/>
  <c r="AP77" i="45" s="1"/>
  <c r="AA78" i="45"/>
  <c r="AP78" i="45" s="1"/>
  <c r="AA79" i="45"/>
  <c r="AP79" i="45" s="1"/>
  <c r="AA80" i="45"/>
  <c r="AP80" i="45" s="1"/>
  <c r="AA84" i="45"/>
  <c r="AA85" i="45"/>
  <c r="AP85" i="45" s="1"/>
  <c r="AA86" i="45"/>
  <c r="AA87" i="45"/>
  <c r="AP87" i="45" s="1"/>
  <c r="AA88" i="45"/>
  <c r="AP88" i="45" s="1"/>
  <c r="AA89" i="45"/>
  <c r="AP89" i="45" s="1"/>
  <c r="AA93" i="45"/>
  <c r="AP93" i="45" s="1"/>
  <c r="AA94" i="45"/>
  <c r="AA95" i="45"/>
  <c r="AP95" i="45" s="1"/>
  <c r="AA96" i="45"/>
  <c r="AP96" i="45" s="1"/>
  <c r="AA97" i="45"/>
  <c r="AP97" i="45" s="1"/>
  <c r="AA98" i="45"/>
  <c r="AA102" i="45"/>
  <c r="AP102" i="45" s="1"/>
  <c r="AA103" i="45"/>
  <c r="AP103" i="45" s="1"/>
  <c r="AA104" i="45"/>
  <c r="AP104" i="45" s="1"/>
  <c r="AA105" i="45"/>
  <c r="AA106" i="45"/>
  <c r="AP106" i="45" s="1"/>
  <c r="AA107" i="45"/>
  <c r="AP107" i="45" s="1"/>
  <c r="AA111" i="45"/>
  <c r="AP111" i="45" s="1"/>
  <c r="AA112" i="45"/>
  <c r="AP112" i="45" s="1"/>
  <c r="AA113" i="45"/>
  <c r="AP113" i="45" s="1"/>
  <c r="AA114" i="45"/>
  <c r="AP114" i="45" s="1"/>
  <c r="AA115" i="45"/>
  <c r="AP115" i="45" s="1"/>
  <c r="AA116" i="45"/>
  <c r="AP116" i="45" s="1"/>
  <c r="AA120" i="45"/>
  <c r="AP120" i="45" s="1"/>
  <c r="AA121" i="45"/>
  <c r="AP121" i="45" s="1"/>
  <c r="AA122" i="45"/>
  <c r="AP122" i="45" s="1"/>
  <c r="AB123" i="45"/>
  <c r="AQ123" i="45" s="1"/>
  <c r="AB124" i="45"/>
  <c r="AQ124" i="45" s="1"/>
  <c r="AB125" i="45"/>
  <c r="AQ125" i="45" s="1"/>
  <c r="AB129" i="45"/>
  <c r="AQ129" i="45" s="1"/>
  <c r="AB130" i="45"/>
  <c r="AQ130" i="45" s="1"/>
  <c r="AB131" i="45"/>
  <c r="AQ131" i="45" s="1"/>
  <c r="AB132" i="45"/>
  <c r="AQ132" i="45" s="1"/>
  <c r="AB133" i="45"/>
  <c r="AQ133" i="45" s="1"/>
  <c r="AB134" i="45"/>
  <c r="AQ134" i="45" s="1"/>
  <c r="AB138" i="45"/>
  <c r="AQ138" i="45" s="1"/>
  <c r="AB139" i="45"/>
  <c r="AB140" i="45"/>
  <c r="AQ140" i="45" s="1"/>
  <c r="AB141" i="45"/>
  <c r="AQ141" i="45" s="1"/>
  <c r="AB142" i="45"/>
  <c r="AQ142" i="45" s="1"/>
  <c r="AB143" i="45"/>
  <c r="AQ143" i="45" s="1"/>
  <c r="AB147" i="45"/>
  <c r="AQ147" i="45" s="1"/>
  <c r="AB148" i="45"/>
  <c r="AQ148" i="45" s="1"/>
  <c r="AB149" i="45"/>
  <c r="AQ149" i="45" s="1"/>
  <c r="AB150" i="45"/>
  <c r="AQ150" i="45" s="1"/>
  <c r="AB151" i="45"/>
  <c r="AQ151" i="45" s="1"/>
  <c r="AB152" i="45"/>
  <c r="AQ152" i="45" s="1"/>
  <c r="AB156" i="45"/>
  <c r="AQ156" i="45" s="1"/>
  <c r="AB157" i="45"/>
  <c r="AQ157" i="45" s="1"/>
  <c r="AB158" i="45"/>
  <c r="AQ158" i="45" s="1"/>
  <c r="AB159" i="45"/>
  <c r="AQ159" i="45" s="1"/>
  <c r="AB160" i="45"/>
  <c r="AQ160" i="45" s="1"/>
  <c r="AB161" i="45"/>
  <c r="AB165" i="45"/>
  <c r="AQ165" i="45" s="1"/>
  <c r="AB166" i="45"/>
  <c r="AQ166" i="45" s="1"/>
  <c r="AB167" i="45"/>
  <c r="AQ167" i="45" s="1"/>
  <c r="AB168" i="45"/>
  <c r="AQ168" i="45" s="1"/>
  <c r="AB169" i="45"/>
  <c r="AQ169" i="45" s="1"/>
  <c r="AB170" i="45"/>
  <c r="AQ170" i="45" s="1"/>
  <c r="AB14" i="45"/>
  <c r="AQ14" i="45" s="1"/>
  <c r="AB12" i="45"/>
  <c r="AQ12" i="45" s="1"/>
  <c r="AB13" i="45"/>
  <c r="AB15" i="45"/>
  <c r="AQ15" i="45" s="1"/>
  <c r="AB16" i="45"/>
  <c r="AQ16" i="45" s="1"/>
  <c r="AB17" i="45"/>
  <c r="AQ17" i="45" s="1"/>
  <c r="AB21" i="45"/>
  <c r="AQ21" i="45" s="1"/>
  <c r="AB22" i="45"/>
  <c r="AQ22" i="45" s="1"/>
  <c r="AB23" i="45"/>
  <c r="AQ23" i="45" s="1"/>
  <c r="AB24" i="45"/>
  <c r="AB25" i="45"/>
  <c r="AQ25" i="45" s="1"/>
  <c r="AB26" i="45"/>
  <c r="AQ26" i="45" s="1"/>
  <c r="AB30" i="45"/>
  <c r="AQ30" i="45" s="1"/>
  <c r="AB31" i="45"/>
  <c r="AQ31" i="45" s="1"/>
  <c r="AB32" i="45"/>
  <c r="AQ32" i="45" s="1"/>
  <c r="AB33" i="45"/>
  <c r="AQ33" i="45" s="1"/>
  <c r="AB34" i="45"/>
  <c r="AQ34" i="45" s="1"/>
  <c r="AQ35" i="45"/>
  <c r="AB35" i="45"/>
  <c r="AB39" i="45"/>
  <c r="AQ39" i="45" s="1"/>
  <c r="AB40" i="45"/>
  <c r="AQ40" i="45" s="1"/>
  <c r="AB41" i="45"/>
  <c r="AQ41" i="45" s="1"/>
  <c r="AB42" i="45"/>
  <c r="AQ42" i="45" s="1"/>
  <c r="AB43" i="45"/>
  <c r="AQ43" i="45" s="1"/>
  <c r="AB44" i="45"/>
  <c r="AQ44" i="45" s="1"/>
  <c r="AB48" i="45"/>
  <c r="AQ48" i="45" s="1"/>
  <c r="AB49" i="45"/>
  <c r="AQ49" i="45" s="1"/>
  <c r="AB50" i="45"/>
  <c r="AQ50" i="45" s="1"/>
  <c r="AB51" i="45"/>
  <c r="AQ51" i="45" s="1"/>
  <c r="AB52" i="45"/>
  <c r="AQ52" i="45" s="1"/>
  <c r="AB53" i="45"/>
  <c r="AQ53" i="45" s="1"/>
  <c r="AB57" i="45"/>
  <c r="AQ57" i="45" s="1"/>
  <c r="AB58" i="45"/>
  <c r="AQ58" i="45" s="1"/>
  <c r="AB59" i="45"/>
  <c r="AQ59" i="45" s="1"/>
  <c r="AB60" i="45"/>
  <c r="AQ60" i="45" s="1"/>
  <c r="AB61" i="45"/>
  <c r="AQ61" i="45" s="1"/>
  <c r="AB62" i="45"/>
  <c r="AQ62" i="45" s="1"/>
  <c r="AB66" i="45"/>
  <c r="AQ66" i="45" s="1"/>
  <c r="AB67" i="45"/>
  <c r="AQ67" i="45" s="1"/>
  <c r="AB68" i="45"/>
  <c r="AQ68" i="45" s="1"/>
  <c r="AB69" i="45"/>
  <c r="AQ69" i="45" s="1"/>
  <c r="AB70" i="45"/>
  <c r="AQ70" i="45" s="1"/>
  <c r="AB71" i="45"/>
  <c r="AQ71" i="45" s="1"/>
  <c r="AB75" i="45"/>
  <c r="AQ75" i="45" s="1"/>
  <c r="AB76" i="45"/>
  <c r="AQ76" i="45" s="1"/>
  <c r="AB77" i="45"/>
  <c r="AQ77" i="45" s="1"/>
  <c r="AB78" i="45"/>
  <c r="AQ78" i="45" s="1"/>
  <c r="AB79" i="45"/>
  <c r="AQ79" i="45" s="1"/>
  <c r="AB80" i="45"/>
  <c r="AQ80" i="45" s="1"/>
  <c r="AB84" i="45"/>
  <c r="AQ84" i="45" s="1"/>
  <c r="AB85" i="45"/>
  <c r="AQ85" i="45" s="1"/>
  <c r="AB86" i="45"/>
  <c r="AQ86" i="45" s="1"/>
  <c r="AB87" i="45"/>
  <c r="AQ87" i="45" s="1"/>
  <c r="AB88" i="45"/>
  <c r="AQ88" i="45" s="1"/>
  <c r="AB89" i="45"/>
  <c r="AQ89" i="45" s="1"/>
  <c r="AB93" i="45"/>
  <c r="AQ93" i="45" s="1"/>
  <c r="AB94" i="45"/>
  <c r="AQ94" i="45" s="1"/>
  <c r="AB95" i="45"/>
  <c r="AQ95" i="45" s="1"/>
  <c r="AB96" i="45"/>
  <c r="AQ96" i="45" s="1"/>
  <c r="AB97" i="45"/>
  <c r="AQ97" i="45" s="1"/>
  <c r="AB98" i="45"/>
  <c r="AQ98" i="45" s="1"/>
  <c r="AB102" i="45"/>
  <c r="AQ102" i="45" s="1"/>
  <c r="AB103" i="45"/>
  <c r="AB104" i="45"/>
  <c r="AQ104" i="45" s="1"/>
  <c r="AB105" i="45"/>
  <c r="AQ105" i="45" s="1"/>
  <c r="AB106" i="45"/>
  <c r="AQ106" i="45" s="1"/>
  <c r="AB107" i="45"/>
  <c r="AQ107" i="45" s="1"/>
  <c r="AB111" i="45"/>
  <c r="AQ111" i="45" s="1"/>
  <c r="AB112" i="45"/>
  <c r="AQ112" i="45" s="1"/>
  <c r="AB113" i="45"/>
  <c r="AQ113" i="45" s="1"/>
  <c r="AB114" i="45"/>
  <c r="AQ114" i="45" s="1"/>
  <c r="AB115" i="45"/>
  <c r="AQ115" i="45" s="1"/>
  <c r="AB116" i="45"/>
  <c r="AQ116" i="45" s="1"/>
  <c r="AB120" i="45"/>
  <c r="AQ120" i="45" s="1"/>
  <c r="AB121" i="45"/>
  <c r="AB122" i="45"/>
  <c r="AQ122" i="45" s="1"/>
  <c r="AC123" i="45"/>
  <c r="AR123" i="45" s="1"/>
  <c r="AC124" i="45"/>
  <c r="AR124" i="45" s="1"/>
  <c r="AC125" i="45"/>
  <c r="AC129" i="45"/>
  <c r="AR129" i="45" s="1"/>
  <c r="AC130" i="45"/>
  <c r="AR130" i="45" s="1"/>
  <c r="AC131" i="45"/>
  <c r="AR131" i="45" s="1"/>
  <c r="AC132" i="45"/>
  <c r="AR132" i="45" s="1"/>
  <c r="AC133" i="45"/>
  <c r="AR133" i="45" s="1"/>
  <c r="AC134" i="45"/>
  <c r="AR134" i="45" s="1"/>
  <c r="AC138" i="45"/>
  <c r="AR138" i="45" s="1"/>
  <c r="AC139" i="45"/>
  <c r="AR139" i="45" s="1"/>
  <c r="AC140" i="45"/>
  <c r="AR140" i="45" s="1"/>
  <c r="AC141" i="45"/>
  <c r="AR141" i="45" s="1"/>
  <c r="AC142" i="45"/>
  <c r="AR142" i="45" s="1"/>
  <c r="AC143" i="45"/>
  <c r="AR143" i="45" s="1"/>
  <c r="AC147" i="45"/>
  <c r="AR147" i="45" s="1"/>
  <c r="AC148" i="45"/>
  <c r="AR148" i="45" s="1"/>
  <c r="AC149" i="45"/>
  <c r="AR149" i="45" s="1"/>
  <c r="AC150" i="45"/>
  <c r="AR150" i="45" s="1"/>
  <c r="AC151" i="45"/>
  <c r="AR151" i="45" s="1"/>
  <c r="AC152" i="45"/>
  <c r="AR152" i="45" s="1"/>
  <c r="AC156" i="45"/>
  <c r="AR156" i="45" s="1"/>
  <c r="AC157" i="45"/>
  <c r="AR157" i="45" s="1"/>
  <c r="AC158" i="45"/>
  <c r="AR158" i="45" s="1"/>
  <c r="AC159" i="45"/>
  <c r="AR159" i="45" s="1"/>
  <c r="AC160" i="45"/>
  <c r="AR160" i="45" s="1"/>
  <c r="AC161" i="45"/>
  <c r="AR161" i="45" s="1"/>
  <c r="AC165" i="45"/>
  <c r="AR165" i="45" s="1"/>
  <c r="AC166" i="45"/>
  <c r="AR166" i="45" s="1"/>
  <c r="AC167" i="45"/>
  <c r="AR167" i="45" s="1"/>
  <c r="AC168" i="45"/>
  <c r="AR168" i="45" s="1"/>
  <c r="AC169" i="45"/>
  <c r="AR169" i="45" s="1"/>
  <c r="AC170" i="45"/>
  <c r="AR170" i="45" s="1"/>
  <c r="AC12" i="45"/>
  <c r="AR12" i="45" s="1"/>
  <c r="AC13" i="45"/>
  <c r="AR13" i="45" s="1"/>
  <c r="AC14" i="45"/>
  <c r="AR14" i="45" s="1"/>
  <c r="AC15" i="45"/>
  <c r="AR15" i="45" s="1"/>
  <c r="AC16" i="45"/>
  <c r="AR16" i="45" s="1"/>
  <c r="AC17" i="45"/>
  <c r="AR17" i="45" s="1"/>
  <c r="AC21" i="45"/>
  <c r="AR21" i="45" s="1"/>
  <c r="AC22" i="45"/>
  <c r="AR22" i="45" s="1"/>
  <c r="AC23" i="45"/>
  <c r="AR23" i="45" s="1"/>
  <c r="AC24" i="45"/>
  <c r="AR24" i="45" s="1"/>
  <c r="AC25" i="45"/>
  <c r="AR25" i="45" s="1"/>
  <c r="AC26" i="45"/>
  <c r="AR26" i="45" s="1"/>
  <c r="AC30" i="45"/>
  <c r="AR30" i="45" s="1"/>
  <c r="AC31" i="45"/>
  <c r="AR31" i="45" s="1"/>
  <c r="AC32" i="45"/>
  <c r="AR32" i="45" s="1"/>
  <c r="AC33" i="45"/>
  <c r="AR33" i="45" s="1"/>
  <c r="AC34" i="45"/>
  <c r="AR34" i="45" s="1"/>
  <c r="AC35" i="45"/>
  <c r="AR35" i="45" s="1"/>
  <c r="AC39" i="45"/>
  <c r="AR39" i="45" s="1"/>
  <c r="AC40" i="45"/>
  <c r="AR40" i="45" s="1"/>
  <c r="AC41" i="45"/>
  <c r="AR41" i="45" s="1"/>
  <c r="AC42" i="45"/>
  <c r="AR42" i="45" s="1"/>
  <c r="AC43" i="45"/>
  <c r="AR43" i="45" s="1"/>
  <c r="AC44" i="45"/>
  <c r="AR44" i="45" s="1"/>
  <c r="AC48" i="45"/>
  <c r="AR48" i="45" s="1"/>
  <c r="AC49" i="45"/>
  <c r="AR49" i="45" s="1"/>
  <c r="AC50" i="45"/>
  <c r="AR50" i="45" s="1"/>
  <c r="AC51" i="45"/>
  <c r="AR51" i="45" s="1"/>
  <c r="AC52" i="45"/>
  <c r="AR52" i="45" s="1"/>
  <c r="AC53" i="45"/>
  <c r="AR53" i="45" s="1"/>
  <c r="AC57" i="45"/>
  <c r="AR57" i="45" s="1"/>
  <c r="AC58" i="45"/>
  <c r="AR58" i="45" s="1"/>
  <c r="AC59" i="45"/>
  <c r="AR59" i="45" s="1"/>
  <c r="AC60" i="45"/>
  <c r="AR60" i="45" s="1"/>
  <c r="AC61" i="45"/>
  <c r="AR61" i="45" s="1"/>
  <c r="AC62" i="45"/>
  <c r="AR62" i="45" s="1"/>
  <c r="AC66" i="45"/>
  <c r="AR66" i="45" s="1"/>
  <c r="AC67" i="45"/>
  <c r="AR67" i="45" s="1"/>
  <c r="AC68" i="45"/>
  <c r="AR68" i="45" s="1"/>
  <c r="AC69" i="45"/>
  <c r="AR69" i="45" s="1"/>
  <c r="AC70" i="45"/>
  <c r="AR70" i="45" s="1"/>
  <c r="AC71" i="45"/>
  <c r="AR71" i="45" s="1"/>
  <c r="AC75" i="45"/>
  <c r="AR75" i="45" s="1"/>
  <c r="AC76" i="45"/>
  <c r="AR76" i="45" s="1"/>
  <c r="AC77" i="45"/>
  <c r="AR77" i="45" s="1"/>
  <c r="AC78" i="45"/>
  <c r="AR78" i="45" s="1"/>
  <c r="AC79" i="45"/>
  <c r="AR79" i="45" s="1"/>
  <c r="AC80" i="45"/>
  <c r="AR80" i="45" s="1"/>
  <c r="AC84" i="45"/>
  <c r="AR84" i="45" s="1"/>
  <c r="AC85" i="45"/>
  <c r="AR85" i="45" s="1"/>
  <c r="AC86" i="45"/>
  <c r="AR86" i="45" s="1"/>
  <c r="AC87" i="45"/>
  <c r="AR87" i="45" s="1"/>
  <c r="AC88" i="45"/>
  <c r="AR88" i="45" s="1"/>
  <c r="AC89" i="45"/>
  <c r="AR89" i="45" s="1"/>
  <c r="AC93" i="45"/>
  <c r="AR93" i="45" s="1"/>
  <c r="AC94" i="45"/>
  <c r="AR94" i="45" s="1"/>
  <c r="AC95" i="45"/>
  <c r="AR95" i="45" s="1"/>
  <c r="AC96" i="45"/>
  <c r="AR96" i="45" s="1"/>
  <c r="AC97" i="45"/>
  <c r="AR97" i="45" s="1"/>
  <c r="AC98" i="45"/>
  <c r="AR98" i="45" s="1"/>
  <c r="AC102" i="45"/>
  <c r="AR102" i="45" s="1"/>
  <c r="AC103" i="45"/>
  <c r="AR103" i="45" s="1"/>
  <c r="AC104" i="45"/>
  <c r="AR104" i="45" s="1"/>
  <c r="AC105" i="45"/>
  <c r="AR105" i="45" s="1"/>
  <c r="AC106" i="45"/>
  <c r="AR106" i="45" s="1"/>
  <c r="AC107" i="45"/>
  <c r="AR107" i="45" s="1"/>
  <c r="AC111" i="45"/>
  <c r="AR111" i="45" s="1"/>
  <c r="AC112" i="45"/>
  <c r="AR112" i="45" s="1"/>
  <c r="AC113" i="45"/>
  <c r="AR113" i="45" s="1"/>
  <c r="AC114" i="45"/>
  <c r="AC115" i="45"/>
  <c r="AR115" i="45" s="1"/>
  <c r="AC116" i="45"/>
  <c r="AR116" i="45" s="1"/>
  <c r="AC120" i="45"/>
  <c r="AR120" i="45" s="1"/>
  <c r="AC121" i="45"/>
  <c r="AR121" i="45" s="1"/>
  <c r="AC122" i="45"/>
  <c r="AR122" i="45" s="1"/>
  <c r="AY12" i="45"/>
  <c r="AM12" i="45"/>
  <c r="AO13" i="45"/>
  <c r="AU13" i="45"/>
  <c r="AY13" i="45" s="1"/>
  <c r="AM13" i="45"/>
  <c r="AO14" i="45"/>
  <c r="AU14" i="45"/>
  <c r="AY14" i="45" s="1"/>
  <c r="AM14" i="45"/>
  <c r="AO15" i="45"/>
  <c r="AU15" i="45"/>
  <c r="AY15" i="45" s="1"/>
  <c r="AM15" i="45"/>
  <c r="AO16" i="45"/>
  <c r="AU16" i="45"/>
  <c r="AY16" i="45" s="1"/>
  <c r="AM16" i="45"/>
  <c r="AO17" i="45"/>
  <c r="AU17" i="45"/>
  <c r="AY17" i="45" s="1"/>
  <c r="AM17" i="45"/>
  <c r="AO21" i="45"/>
  <c r="AU21" i="45"/>
  <c r="AY21" i="45" s="1"/>
  <c r="AM21" i="45"/>
  <c r="AO30" i="45"/>
  <c r="AU30" i="45"/>
  <c r="AY30" i="45" s="1"/>
  <c r="AM30" i="45"/>
  <c r="AO31" i="45"/>
  <c r="AU31" i="45"/>
  <c r="AY31" i="45" s="1"/>
  <c r="AM31" i="45"/>
  <c r="AO32" i="45"/>
  <c r="AU32" i="45"/>
  <c r="AY32" i="45" s="1"/>
  <c r="AM32" i="45"/>
  <c r="AO33" i="45"/>
  <c r="AU33" i="45"/>
  <c r="AY33" i="45" s="1"/>
  <c r="AM33" i="45"/>
  <c r="AO34" i="45"/>
  <c r="AU34" i="45"/>
  <c r="AY34" i="45" s="1"/>
  <c r="AM34" i="45"/>
  <c r="AO35" i="45"/>
  <c r="AU35" i="45"/>
  <c r="AY35" i="45" s="1"/>
  <c r="AM35" i="45"/>
  <c r="AO48" i="45"/>
  <c r="AU48" i="45"/>
  <c r="AY48" i="45" s="1"/>
  <c r="AM48" i="45"/>
  <c r="AO49" i="45"/>
  <c r="AU49" i="45"/>
  <c r="AY49" i="45" s="1"/>
  <c r="AM49" i="45"/>
  <c r="AO50" i="45"/>
  <c r="AU50" i="45"/>
  <c r="AY50" i="45" s="1"/>
  <c r="AM50" i="45"/>
  <c r="AO51" i="45"/>
  <c r="AU51" i="45"/>
  <c r="AY51" i="45" s="1"/>
  <c r="AM51" i="45"/>
  <c r="AO52" i="45"/>
  <c r="AU52" i="45"/>
  <c r="AY52" i="45" s="1"/>
  <c r="AM52" i="45"/>
  <c r="AO53" i="45"/>
  <c r="AU53" i="45"/>
  <c r="AY53" i="45" s="1"/>
  <c r="AM53" i="45"/>
  <c r="AO66" i="45"/>
  <c r="AU66" i="45"/>
  <c r="AY66" i="45" s="1"/>
  <c r="AM66" i="45"/>
  <c r="AO67" i="45"/>
  <c r="AU67" i="45"/>
  <c r="AY67" i="45" s="1"/>
  <c r="AM67" i="45"/>
  <c r="AO68" i="45"/>
  <c r="AU68" i="45"/>
  <c r="AY68" i="45" s="1"/>
  <c r="AM68" i="45"/>
  <c r="AO69" i="45"/>
  <c r="AU69" i="45"/>
  <c r="AY69" i="45" s="1"/>
  <c r="AM69" i="45"/>
  <c r="AO70" i="45"/>
  <c r="AU70" i="45"/>
  <c r="AY70" i="45" s="1"/>
  <c r="AM70" i="45"/>
  <c r="AO71" i="45"/>
  <c r="AU71" i="45"/>
  <c r="AY71" i="45" s="1"/>
  <c r="AM71" i="45"/>
  <c r="AO84" i="45"/>
  <c r="AU84" i="45"/>
  <c r="AY84" i="45" s="1"/>
  <c r="AM84" i="45"/>
  <c r="AO85" i="45"/>
  <c r="AU85" i="45"/>
  <c r="AY85" i="45" s="1"/>
  <c r="AM85" i="45"/>
  <c r="AO86" i="45"/>
  <c r="AU86" i="45"/>
  <c r="AY86" i="45" s="1"/>
  <c r="AM86" i="45"/>
  <c r="AO87" i="45"/>
  <c r="AU87" i="45"/>
  <c r="AY87" i="45" s="1"/>
  <c r="AM87" i="45"/>
  <c r="AO88" i="45"/>
  <c r="AU88" i="45"/>
  <c r="AY88" i="45" s="1"/>
  <c r="AM88" i="45"/>
  <c r="AO89" i="45"/>
  <c r="AD89" i="45"/>
  <c r="AU89" i="45"/>
  <c r="AY89" i="45" s="1"/>
  <c r="AM89" i="45"/>
  <c r="AO22" i="45"/>
  <c r="AU22" i="45"/>
  <c r="AY22" i="45" s="1"/>
  <c r="AM22" i="45"/>
  <c r="AO23" i="45"/>
  <c r="AU23" i="45"/>
  <c r="AY23" i="45" s="1"/>
  <c r="AM23" i="45"/>
  <c r="AO24" i="45"/>
  <c r="AU24" i="45"/>
  <c r="AY24" i="45" s="1"/>
  <c r="AM24" i="45"/>
  <c r="AO25" i="45"/>
  <c r="AU25" i="45"/>
  <c r="AY25" i="45" s="1"/>
  <c r="AM25" i="45"/>
  <c r="AO26" i="45"/>
  <c r="AU26" i="45"/>
  <c r="AY26" i="45" s="1"/>
  <c r="AM26" i="45"/>
  <c r="AO39" i="45"/>
  <c r="AU39" i="45"/>
  <c r="AY39" i="45" s="1"/>
  <c r="AM39" i="45"/>
  <c r="AO40" i="45"/>
  <c r="AU40" i="45"/>
  <c r="AY40" i="45" s="1"/>
  <c r="AM40" i="45"/>
  <c r="AO41" i="45"/>
  <c r="AU41" i="45"/>
  <c r="AY41" i="45" s="1"/>
  <c r="AM41" i="45"/>
  <c r="AO42" i="45"/>
  <c r="AD42" i="45"/>
  <c r="AU42" i="45"/>
  <c r="AY42" i="45" s="1"/>
  <c r="AM42" i="45"/>
  <c r="AO43" i="45"/>
  <c r="AU43" i="45"/>
  <c r="AY43" i="45" s="1"/>
  <c r="AM43" i="45"/>
  <c r="AO44" i="45"/>
  <c r="AU44" i="45"/>
  <c r="AY44" i="45" s="1"/>
  <c r="AM44" i="45"/>
  <c r="AO57" i="45"/>
  <c r="AU57" i="45"/>
  <c r="AY57" i="45" s="1"/>
  <c r="AM57" i="45"/>
  <c r="AO58" i="45"/>
  <c r="AU58" i="45"/>
  <c r="AY58" i="45" s="1"/>
  <c r="AM58" i="45"/>
  <c r="AO59" i="45"/>
  <c r="AU59" i="45"/>
  <c r="AY59" i="45" s="1"/>
  <c r="AM59" i="45"/>
  <c r="AO60" i="45"/>
  <c r="AU60" i="45"/>
  <c r="AY60" i="45" s="1"/>
  <c r="AM60" i="45"/>
  <c r="AO61" i="45"/>
  <c r="AU61" i="45"/>
  <c r="AY61" i="45" s="1"/>
  <c r="AM61" i="45"/>
  <c r="AO62" i="45"/>
  <c r="AU62" i="45"/>
  <c r="AY62" i="45" s="1"/>
  <c r="AM62" i="45"/>
  <c r="AO75" i="45"/>
  <c r="AU75" i="45"/>
  <c r="AY75" i="45" s="1"/>
  <c r="AM75" i="45"/>
  <c r="AO76" i="45"/>
  <c r="AU76" i="45"/>
  <c r="AY76" i="45" s="1"/>
  <c r="AM76" i="45"/>
  <c r="AO77" i="45"/>
  <c r="AU77" i="45"/>
  <c r="AY77" i="45" s="1"/>
  <c r="AM77" i="45"/>
  <c r="AO78" i="45"/>
  <c r="AU78" i="45"/>
  <c r="AY78" i="45" s="1"/>
  <c r="AM78" i="45"/>
  <c r="AO79" i="45"/>
  <c r="AU79" i="45"/>
  <c r="AY79" i="45" s="1"/>
  <c r="AM79" i="45"/>
  <c r="AO80" i="45"/>
  <c r="AU80" i="45"/>
  <c r="AY80" i="45" s="1"/>
  <c r="AM80" i="45"/>
  <c r="AO93" i="45"/>
  <c r="AU93" i="45"/>
  <c r="AY93" i="45" s="1"/>
  <c r="AM93" i="45"/>
  <c r="AO94" i="45"/>
  <c r="AU94" i="45"/>
  <c r="AY94" i="45" s="1"/>
  <c r="AM94" i="45"/>
  <c r="AO95" i="45"/>
  <c r="AU95" i="45"/>
  <c r="AY95" i="45" s="1"/>
  <c r="AM95" i="45"/>
  <c r="AO96" i="45"/>
  <c r="AU96" i="45"/>
  <c r="AY96" i="45" s="1"/>
  <c r="AM96" i="45"/>
  <c r="AO102" i="45"/>
  <c r="AU102" i="45"/>
  <c r="AY102" i="45" s="1"/>
  <c r="AM102" i="45"/>
  <c r="AO103" i="45"/>
  <c r="AU103" i="45"/>
  <c r="AY103" i="45" s="1"/>
  <c r="AM103" i="45"/>
  <c r="AO104" i="45"/>
  <c r="AU104" i="45"/>
  <c r="AY104" i="45" s="1"/>
  <c r="AM104" i="45"/>
  <c r="AO105" i="45"/>
  <c r="AU105" i="45"/>
  <c r="AY105" i="45" s="1"/>
  <c r="AM105" i="45"/>
  <c r="AO106" i="45"/>
  <c r="AU106" i="45"/>
  <c r="AY106" i="45" s="1"/>
  <c r="AM106" i="45"/>
  <c r="AO107" i="45"/>
  <c r="AU107" i="45"/>
  <c r="AY107" i="45" s="1"/>
  <c r="AM107" i="45"/>
  <c r="AO120" i="45"/>
  <c r="AU120" i="45"/>
  <c r="AY120" i="45" s="1"/>
  <c r="AM120" i="45"/>
  <c r="AO121" i="45"/>
  <c r="AU121" i="45"/>
  <c r="AY121" i="45" s="1"/>
  <c r="AM121" i="45"/>
  <c r="AO122" i="45"/>
  <c r="AU122" i="45"/>
  <c r="AY122" i="45" s="1"/>
  <c r="AM122" i="45"/>
  <c r="AO123" i="45"/>
  <c r="AU123" i="45"/>
  <c r="AY123" i="45" s="1"/>
  <c r="AM123" i="45"/>
  <c r="AO124" i="45"/>
  <c r="AU124" i="45"/>
  <c r="AY124" i="45" s="1"/>
  <c r="AM124" i="45"/>
  <c r="AO125" i="45"/>
  <c r="AU125" i="45"/>
  <c r="AY125" i="45" s="1"/>
  <c r="AM125" i="45"/>
  <c r="AO97" i="45"/>
  <c r="AU97" i="45"/>
  <c r="AY97" i="45" s="1"/>
  <c r="AM97" i="45"/>
  <c r="AO98" i="45"/>
  <c r="AU98" i="45"/>
  <c r="AY98" i="45" s="1"/>
  <c r="AM98" i="45"/>
  <c r="AO111" i="45"/>
  <c r="AU111" i="45"/>
  <c r="AY111" i="45" s="1"/>
  <c r="AM111" i="45"/>
  <c r="AO112" i="45"/>
  <c r="AU112" i="45"/>
  <c r="AY112" i="45" s="1"/>
  <c r="AM112" i="45"/>
  <c r="AO113" i="45"/>
  <c r="AU113" i="45"/>
  <c r="AY113" i="45" s="1"/>
  <c r="AM113" i="45"/>
  <c r="AO114" i="45"/>
  <c r="AU114" i="45"/>
  <c r="AY114" i="45" s="1"/>
  <c r="AM114" i="45"/>
  <c r="AO115" i="45"/>
  <c r="AU115" i="45"/>
  <c r="AY115" i="45" s="1"/>
  <c r="AM115" i="45"/>
  <c r="AO116" i="45"/>
  <c r="AU116" i="45"/>
  <c r="AY116" i="45" s="1"/>
  <c r="AM116" i="45"/>
  <c r="AO129" i="45"/>
  <c r="AU129" i="45"/>
  <c r="AY129" i="45" s="1"/>
  <c r="AM129" i="45"/>
  <c r="AO130" i="45"/>
  <c r="AU130" i="45"/>
  <c r="AY130" i="45" s="1"/>
  <c r="AM130" i="45"/>
  <c r="AO131" i="45"/>
  <c r="AU131" i="45"/>
  <c r="AY131" i="45" s="1"/>
  <c r="AM131" i="45"/>
  <c r="AO132" i="45"/>
  <c r="AU132" i="45"/>
  <c r="AY132" i="45" s="1"/>
  <c r="AM132" i="45"/>
  <c r="AO133" i="45"/>
  <c r="AU133" i="45"/>
  <c r="AY133" i="45" s="1"/>
  <c r="AM133" i="45"/>
  <c r="AO138" i="45"/>
  <c r="AU138" i="45"/>
  <c r="AY138" i="45" s="1"/>
  <c r="AM138" i="45"/>
  <c r="AO139" i="45"/>
  <c r="AU139" i="45"/>
  <c r="AY139" i="45" s="1"/>
  <c r="AM139" i="45"/>
  <c r="AO140" i="45"/>
  <c r="AU140" i="45"/>
  <c r="AY140" i="45" s="1"/>
  <c r="AM140" i="45"/>
  <c r="AO141" i="45"/>
  <c r="AU141" i="45"/>
  <c r="AY141" i="45" s="1"/>
  <c r="AM141" i="45"/>
  <c r="AO142" i="45"/>
  <c r="AU142" i="45"/>
  <c r="AY142" i="45" s="1"/>
  <c r="AM142" i="45"/>
  <c r="AO143" i="45"/>
  <c r="AU143" i="45"/>
  <c r="AY143" i="45" s="1"/>
  <c r="AM143" i="45"/>
  <c r="AO156" i="45"/>
  <c r="AU156" i="45"/>
  <c r="AY156" i="45" s="1"/>
  <c r="AM156" i="45"/>
  <c r="AO157" i="45"/>
  <c r="AU157" i="45"/>
  <c r="AY157" i="45" s="1"/>
  <c r="AM157" i="45"/>
  <c r="AO158" i="45"/>
  <c r="AU158" i="45"/>
  <c r="AY158" i="45" s="1"/>
  <c r="AM158" i="45"/>
  <c r="AO159" i="45"/>
  <c r="AU159" i="45"/>
  <c r="AY159" i="45" s="1"/>
  <c r="AM159" i="45"/>
  <c r="AO160" i="45"/>
  <c r="AU160" i="45"/>
  <c r="AY160" i="45" s="1"/>
  <c r="AM160" i="45"/>
  <c r="AO161" i="45"/>
  <c r="AU161" i="45"/>
  <c r="AY161" i="45" s="1"/>
  <c r="AM161" i="45"/>
  <c r="AO134" i="45"/>
  <c r="AS134" i="45" s="1"/>
  <c r="AU134" i="45"/>
  <c r="AY134" i="45" s="1"/>
  <c r="AM134" i="45"/>
  <c r="AO147" i="45"/>
  <c r="AU147" i="45"/>
  <c r="AY147" i="45" s="1"/>
  <c r="AM147" i="45"/>
  <c r="AO148" i="45"/>
  <c r="AU148" i="45"/>
  <c r="AY148" i="45" s="1"/>
  <c r="AM148" i="45"/>
  <c r="AO149" i="45"/>
  <c r="AU149" i="45"/>
  <c r="AY149" i="45" s="1"/>
  <c r="AM149" i="45"/>
  <c r="AO150" i="45"/>
  <c r="AU150" i="45"/>
  <c r="AY150" i="45" s="1"/>
  <c r="AM150" i="45"/>
  <c r="AO151" i="45"/>
  <c r="AU151" i="45"/>
  <c r="AY151" i="45" s="1"/>
  <c r="AM151" i="45"/>
  <c r="AO152" i="45"/>
  <c r="AU152" i="45"/>
  <c r="AY152" i="45" s="1"/>
  <c r="AM152" i="45"/>
  <c r="AO165" i="45"/>
  <c r="AU165" i="45"/>
  <c r="AY165" i="45" s="1"/>
  <c r="AM165" i="45"/>
  <c r="AO166" i="45"/>
  <c r="AU166" i="45"/>
  <c r="AY166" i="45" s="1"/>
  <c r="AM166" i="45"/>
  <c r="AO167" i="45"/>
  <c r="AU167" i="45"/>
  <c r="AY167" i="45" s="1"/>
  <c r="AM167" i="45"/>
  <c r="AO168" i="45"/>
  <c r="AU168" i="45"/>
  <c r="AY168" i="45" s="1"/>
  <c r="AM168" i="45"/>
  <c r="AO169" i="45"/>
  <c r="AU169" i="45"/>
  <c r="AY169" i="45" s="1"/>
  <c r="AM169" i="45"/>
  <c r="AO170" i="45"/>
  <c r="AU170" i="45"/>
  <c r="AY170" i="45" s="1"/>
  <c r="AM170" i="45"/>
  <c r="BH29" i="2"/>
  <c r="BH28" i="2"/>
  <c r="BH27" i="2"/>
  <c r="AH55" i="2"/>
  <c r="AH54" i="2"/>
  <c r="AF11" i="4" s="1"/>
  <c r="AH52" i="2"/>
  <c r="AF9" i="4" s="1"/>
  <c r="AH29" i="2"/>
  <c r="AH28" i="2"/>
  <c r="AH27" i="2"/>
  <c r="AA31" i="8"/>
  <c r="AB31" i="8"/>
  <c r="U31" i="8"/>
  <c r="V31" i="8"/>
  <c r="J31" i="8"/>
  <c r="L31" i="8" s="1"/>
  <c r="K31" i="8"/>
  <c r="M31" i="8" s="1"/>
  <c r="AD168" i="45" l="1"/>
  <c r="AD35" i="45"/>
  <c r="AD114" i="45"/>
  <c r="AS113" i="45"/>
  <c r="AD121" i="45"/>
  <c r="AS156" i="45"/>
  <c r="AD107" i="45"/>
  <c r="AD132" i="45"/>
  <c r="AD59" i="45"/>
  <c r="AD31" i="45"/>
  <c r="AD24" i="45"/>
  <c r="AD139" i="45"/>
  <c r="AD149" i="45"/>
  <c r="AS160" i="45"/>
  <c r="AD61" i="45"/>
  <c r="AD143" i="45"/>
  <c r="AD150" i="45"/>
  <c r="AS166" i="45"/>
  <c r="AS61" i="45"/>
  <c r="AD103" i="45"/>
  <c r="AD67" i="45"/>
  <c r="AP67" i="45"/>
  <c r="AP150" i="45"/>
  <c r="AD85" i="45"/>
  <c r="AD49" i="45"/>
  <c r="AD17" i="45"/>
  <c r="AQ121" i="45"/>
  <c r="AS121" i="45" s="1"/>
  <c r="AS167" i="45"/>
  <c r="AS148" i="45"/>
  <c r="AS142" i="45"/>
  <c r="AD133" i="45"/>
  <c r="AD112" i="45"/>
  <c r="AD60" i="45"/>
  <c r="AS41" i="45"/>
  <c r="AD51" i="45"/>
  <c r="AD96" i="45"/>
  <c r="AD77" i="45"/>
  <c r="AS88" i="45"/>
  <c r="AR114" i="45"/>
  <c r="AS114" i="45" s="1"/>
  <c r="AQ24" i="45"/>
  <c r="AS24" i="45" s="1"/>
  <c r="AD122" i="45"/>
  <c r="AS112" i="45"/>
  <c r="AS60" i="45"/>
  <c r="AS43" i="45"/>
  <c r="AD53" i="45"/>
  <c r="AD161" i="45"/>
  <c r="AD116" i="45"/>
  <c r="AD97" i="45"/>
  <c r="AD78" i="45"/>
  <c r="AD76" i="45"/>
  <c r="AD34" i="45"/>
  <c r="AD125" i="45"/>
  <c r="AQ161" i="45"/>
  <c r="AS161" i="45" s="1"/>
  <c r="AS151" i="45"/>
  <c r="AS104" i="45"/>
  <c r="AD88" i="45"/>
  <c r="AQ139" i="45"/>
  <c r="AS139" i="45" s="1"/>
  <c r="AD129" i="45"/>
  <c r="AD106" i="45"/>
  <c r="AQ103" i="45"/>
  <c r="AS103" i="45" s="1"/>
  <c r="AD157" i="45"/>
  <c r="AD166" i="45"/>
  <c r="AD147" i="45"/>
  <c r="AS158" i="45"/>
  <c r="AS116" i="45"/>
  <c r="AS107" i="45"/>
  <c r="AD80" i="45"/>
  <c r="AS78" i="45"/>
  <c r="AS76" i="45"/>
  <c r="AD21" i="45"/>
  <c r="AD16" i="45"/>
  <c r="AS16" i="45"/>
  <c r="AD23" i="45"/>
  <c r="AS23" i="45"/>
  <c r="AD25" i="45"/>
  <c r="AS25" i="45"/>
  <c r="AS34" i="45"/>
  <c r="AD41" i="45"/>
  <c r="AD43" i="45"/>
  <c r="AD52" i="45"/>
  <c r="AS52" i="45"/>
  <c r="AS68" i="45"/>
  <c r="AD68" i="45"/>
  <c r="AD71" i="45"/>
  <c r="AS71" i="45"/>
  <c r="AD70" i="45"/>
  <c r="AS70" i="45"/>
  <c r="AS77" i="45"/>
  <c r="AD79" i="45"/>
  <c r="AS79" i="45"/>
  <c r="AS80" i="45"/>
  <c r="AS97" i="45"/>
  <c r="AD95" i="45"/>
  <c r="AS95" i="45"/>
  <c r="AD104" i="45"/>
  <c r="AS106" i="45"/>
  <c r="AD115" i="45"/>
  <c r="AD113" i="45"/>
  <c r="AD111" i="45"/>
  <c r="AS111" i="45"/>
  <c r="AS115" i="45"/>
  <c r="AS122" i="45"/>
  <c r="AD124" i="45"/>
  <c r="AR125" i="45"/>
  <c r="AS125" i="45" s="1"/>
  <c r="AS124" i="45"/>
  <c r="AS133" i="45"/>
  <c r="AD142" i="45"/>
  <c r="AD140" i="45"/>
  <c r="AS140" i="45"/>
  <c r="AD170" i="45"/>
  <c r="AS170" i="45"/>
  <c r="AD169" i="45"/>
  <c r="AS169" i="45"/>
  <c r="AD167" i="45"/>
  <c r="AD165" i="45"/>
  <c r="AS165" i="45"/>
  <c r="AD151" i="45"/>
  <c r="AS149" i="45"/>
  <c r="AD160" i="45"/>
  <c r="AD158" i="45"/>
  <c r="AD156" i="45"/>
  <c r="AP157" i="45"/>
  <c r="AS157" i="45" s="1"/>
  <c r="AD159" i="45"/>
  <c r="AS159" i="45"/>
  <c r="AP48" i="45"/>
  <c r="AD48" i="45"/>
  <c r="AS152" i="45"/>
  <c r="AD33" i="45"/>
  <c r="AP62" i="45"/>
  <c r="AS62" i="45" s="1"/>
  <c r="AD62" i="45"/>
  <c r="AS168" i="45"/>
  <c r="AS96" i="45"/>
  <c r="AD13" i="45"/>
  <c r="AQ13" i="45"/>
  <c r="AS13" i="45" s="1"/>
  <c r="AP98" i="45"/>
  <c r="AS98" i="45" s="1"/>
  <c r="AD98" i="45"/>
  <c r="AD69" i="45"/>
  <c r="AS17" i="45"/>
  <c r="AD50" i="45"/>
  <c r="AP50" i="45"/>
  <c r="AS50" i="45" s="1"/>
  <c r="AP22" i="45"/>
  <c r="AS22" i="45" s="1"/>
  <c r="AD22" i="45"/>
  <c r="AS130" i="45"/>
  <c r="AD102" i="45"/>
  <c r="AP40" i="45"/>
  <c r="AS40" i="45" s="1"/>
  <c r="AD40" i="45"/>
  <c r="AD12" i="45"/>
  <c r="AP12" i="45"/>
  <c r="AS12" i="45" s="1"/>
  <c r="AP26" i="45"/>
  <c r="AS26" i="45" s="1"/>
  <c r="AD26" i="45"/>
  <c r="AD39" i="45"/>
  <c r="AP94" i="45"/>
  <c r="AD94" i="45"/>
  <c r="AP66" i="45"/>
  <c r="AS66" i="45" s="1"/>
  <c r="AD66" i="45"/>
  <c r="AP44" i="45"/>
  <c r="AS44" i="45" s="1"/>
  <c r="AD44" i="45"/>
  <c r="AS150" i="45"/>
  <c r="AD131" i="45"/>
  <c r="AS94" i="45"/>
  <c r="AP84" i="45"/>
  <c r="AS84" i="45" s="1"/>
  <c r="AD84" i="45"/>
  <c r="AP15" i="45"/>
  <c r="AS15" i="45" s="1"/>
  <c r="AD15" i="45"/>
  <c r="AD141" i="45"/>
  <c r="AD57" i="45"/>
  <c r="AS123" i="45"/>
  <c r="AD32" i="45"/>
  <c r="AP32" i="45"/>
  <c r="AS32" i="45" s="1"/>
  <c r="AP138" i="45"/>
  <c r="AS138" i="45" s="1"/>
  <c r="AD138" i="45"/>
  <c r="AD93" i="45"/>
  <c r="AD75" i="45"/>
  <c r="AS132" i="45"/>
  <c r="AD120" i="45"/>
  <c r="AS42" i="45"/>
  <c r="AD87" i="45"/>
  <c r="AS48" i="45"/>
  <c r="AD14" i="45"/>
  <c r="AP105" i="45"/>
  <c r="AS105" i="45" s="1"/>
  <c r="AD105" i="45"/>
  <c r="AD86" i="45"/>
  <c r="AP86" i="45"/>
  <c r="AS86" i="45" s="1"/>
  <c r="AP58" i="45"/>
  <c r="AS58" i="45" s="1"/>
  <c r="AD58" i="45"/>
  <c r="AP30" i="45"/>
  <c r="AS30" i="45" s="1"/>
  <c r="AD30" i="45"/>
  <c r="AD152" i="45"/>
  <c r="AD148" i="45"/>
  <c r="AD134" i="45"/>
  <c r="AD130" i="45"/>
  <c r="AD123" i="45"/>
  <c r="AS147" i="45"/>
  <c r="AS143" i="45"/>
  <c r="AS141" i="45"/>
  <c r="AS131" i="45"/>
  <c r="AS129" i="45"/>
  <c r="AS120" i="45"/>
  <c r="AS102" i="45"/>
  <c r="AS93" i="45"/>
  <c r="AS75" i="45"/>
  <c r="AS59" i="45"/>
  <c r="AS57" i="45"/>
  <c r="AS39" i="45"/>
  <c r="AS89" i="45"/>
  <c r="AS87" i="45"/>
  <c r="AS85" i="45"/>
  <c r="AS69" i="45"/>
  <c r="AS67" i="45"/>
  <c r="AS53" i="45"/>
  <c r="AS51" i="45"/>
  <c r="AS49" i="45"/>
  <c r="AS35" i="45"/>
  <c r="AS33" i="45"/>
  <c r="AS31" i="45"/>
  <c r="AS21" i="45"/>
  <c r="AS14" i="45"/>
  <c r="AF16" i="4"/>
  <c r="AH57" i="2"/>
  <c r="BG23" i="2"/>
  <c r="BG24" i="2"/>
  <c r="BG30" i="2" s="1"/>
  <c r="BG35" i="2" s="1"/>
  <c r="BG18" i="2"/>
  <c r="BG22" i="2"/>
  <c r="BG20" i="2"/>
  <c r="BG17" i="2"/>
  <c r="BG14" i="2"/>
  <c r="BG12" i="2"/>
  <c r="BG10" i="2"/>
  <c r="BG15" i="2"/>
  <c r="BG13" i="2"/>
  <c r="BG11" i="2"/>
  <c r="BG9" i="2"/>
  <c r="BG8" i="2"/>
  <c r="BG7" i="2"/>
  <c r="BG21" i="2"/>
  <c r="BG19" i="2"/>
  <c r="BG16" i="2"/>
  <c r="Y72" i="2"/>
  <c r="Y73" i="2"/>
  <c r="Y57" i="2"/>
  <c r="BG25" i="2" l="1"/>
  <c r="Z14" i="2"/>
  <c r="Z12" i="2"/>
  <c r="Z11" i="2"/>
  <c r="Z9" i="2"/>
  <c r="Z8" i="2"/>
  <c r="Z18" i="2"/>
  <c r="Z24" i="2"/>
  <c r="Z30" i="2" s="1"/>
  <c r="Z35" i="2" s="1"/>
  <c r="Z23" i="2"/>
  <c r="Z22" i="2"/>
  <c r="Z16" i="2"/>
  <c r="Z15" i="2"/>
  <c r="Z10" i="2"/>
  <c r="Z7" i="2"/>
  <c r="Z13" i="2"/>
  <c r="Z17" i="2"/>
  <c r="Z19" i="2"/>
  <c r="Z20" i="2"/>
  <c r="Z21" i="2"/>
  <c r="BG33" i="2"/>
  <c r="BG43" i="2" s="1"/>
  <c r="BG36" i="2"/>
  <c r="BG44" i="2" s="1"/>
  <c r="BG37" i="2"/>
  <c r="BG45" i="2" s="1"/>
  <c r="BG31" i="2"/>
  <c r="Y53" i="2"/>
  <c r="X73" i="2"/>
  <c r="W73" i="2"/>
  <c r="V73" i="2"/>
  <c r="U73" i="2"/>
  <c r="X72" i="2"/>
  <c r="W72" i="2"/>
  <c r="V72" i="2"/>
  <c r="U72" i="2"/>
  <c r="Y69" i="2"/>
  <c r="X69" i="2"/>
  <c r="W69" i="2"/>
  <c r="V69" i="2"/>
  <c r="U69" i="2"/>
  <c r="X57" i="2"/>
  <c r="W57" i="2"/>
  <c r="V57" i="2"/>
  <c r="U57" i="2"/>
  <c r="X53" i="2"/>
  <c r="W53" i="2"/>
  <c r="V53" i="2"/>
  <c r="U53" i="2"/>
  <c r="Z25" i="2" l="1"/>
  <c r="Z37" i="2"/>
  <c r="Z45" i="2" s="1"/>
  <c r="Z36" i="2"/>
  <c r="Z44" i="2" s="1"/>
  <c r="Z31" i="2"/>
  <c r="Z33" i="2"/>
  <c r="Z43" i="2" s="1"/>
  <c r="BG47" i="2"/>
  <c r="BG40" i="2"/>
  <c r="M18" i="35"/>
  <c r="D23" i="35" s="1"/>
  <c r="L18" i="35"/>
  <c r="E14" i="35"/>
  <c r="L14" i="35" s="1"/>
  <c r="L9" i="35"/>
  <c r="L12" i="35"/>
  <c r="Z47" i="2" l="1"/>
  <c r="Z40" i="2"/>
  <c r="C24" i="35"/>
  <c r="C23" i="35"/>
  <c r="D24" i="35"/>
  <c r="D25" i="35"/>
  <c r="C25" i="35"/>
  <c r="M12" i="35"/>
  <c r="M13" i="35"/>
  <c r="M15" i="35"/>
  <c r="M8" i="35"/>
  <c r="M7" i="35"/>
  <c r="L10" i="35"/>
  <c r="L11" i="35"/>
  <c r="L15" i="35"/>
  <c r="L8" i="35"/>
  <c r="L7" i="35"/>
  <c r="BF39" i="2" l="1"/>
  <c r="BE39" i="2"/>
  <c r="BD39" i="2"/>
  <c r="BC39" i="2"/>
  <c r="BB39" i="2"/>
  <c r="BF38" i="2"/>
  <c r="BF46" i="2" s="1"/>
  <c r="BE38" i="2"/>
  <c r="BE46" i="2" s="1"/>
  <c r="BD38" i="2"/>
  <c r="BD46" i="2" s="1"/>
  <c r="BC38" i="2"/>
  <c r="BC46" i="2" s="1"/>
  <c r="BB38" i="2"/>
  <c r="BB46" i="2" s="1"/>
  <c r="BF34" i="2"/>
  <c r="BF42" i="2" s="1"/>
  <c r="BE34" i="2"/>
  <c r="BE42" i="2" s="1"/>
  <c r="BD34" i="2"/>
  <c r="BD42" i="2" s="1"/>
  <c r="BC34" i="2"/>
  <c r="BC42" i="2" s="1"/>
  <c r="BB34" i="2"/>
  <c r="BB42" i="2" s="1"/>
  <c r="Y39" i="2" l="1"/>
  <c r="Y38" i="2"/>
  <c r="Y46" i="2" s="1"/>
  <c r="Y34" i="2"/>
  <c r="Y42" i="2" s="1"/>
  <c r="AH170" i="34" l="1"/>
  <c r="AG170" i="34"/>
  <c r="AF170" i="34"/>
  <c r="AE170" i="34"/>
  <c r="AI170" i="34" s="1"/>
  <c r="Y170" i="34"/>
  <c r="AC170" i="34" s="1"/>
  <c r="AR170" i="34" s="1"/>
  <c r="X170" i="34"/>
  <c r="AB170" i="34" s="1"/>
  <c r="AQ170" i="34" s="1"/>
  <c r="W170" i="34"/>
  <c r="AA170" i="34" s="1"/>
  <c r="AP170" i="34" s="1"/>
  <c r="V170" i="34"/>
  <c r="Z170" i="34" s="1"/>
  <c r="AH169" i="34"/>
  <c r="AG169" i="34"/>
  <c r="AF169" i="34"/>
  <c r="AE169" i="34"/>
  <c r="AI169" i="34" s="1"/>
  <c r="Y169" i="34"/>
  <c r="AC169" i="34" s="1"/>
  <c r="AR169" i="34" s="1"/>
  <c r="X169" i="34"/>
  <c r="AB169" i="34" s="1"/>
  <c r="AQ169" i="34" s="1"/>
  <c r="W169" i="34"/>
  <c r="AA169" i="34" s="1"/>
  <c r="AP169" i="34" s="1"/>
  <c r="V169" i="34"/>
  <c r="Z169" i="34" s="1"/>
  <c r="AH168" i="34"/>
  <c r="AG168" i="34"/>
  <c r="AF168" i="34"/>
  <c r="AE168" i="34"/>
  <c r="AI168" i="34" s="1"/>
  <c r="Y168" i="34"/>
  <c r="AC168" i="34" s="1"/>
  <c r="AR168" i="34" s="1"/>
  <c r="X168" i="34"/>
  <c r="AB168" i="34" s="1"/>
  <c r="AQ168" i="34" s="1"/>
  <c r="W168" i="34"/>
  <c r="AA168" i="34" s="1"/>
  <c r="AP168" i="34" s="1"/>
  <c r="V168" i="34"/>
  <c r="Z168" i="34" s="1"/>
  <c r="AH167" i="34"/>
  <c r="AG167" i="34"/>
  <c r="AF167" i="34"/>
  <c r="AE167" i="34"/>
  <c r="AI167" i="34" s="1"/>
  <c r="Y167" i="34"/>
  <c r="AC167" i="34" s="1"/>
  <c r="AR167" i="34" s="1"/>
  <c r="X167" i="34"/>
  <c r="AB167" i="34" s="1"/>
  <c r="AQ167" i="34" s="1"/>
  <c r="W167" i="34"/>
  <c r="AA167" i="34" s="1"/>
  <c r="AP167" i="34" s="1"/>
  <c r="V167" i="34"/>
  <c r="Z167" i="34" s="1"/>
  <c r="AH166" i="34"/>
  <c r="AG166" i="34"/>
  <c r="AF166" i="34"/>
  <c r="AE166" i="34"/>
  <c r="AI166" i="34" s="1"/>
  <c r="Y166" i="34"/>
  <c r="AC166" i="34" s="1"/>
  <c r="AR166" i="34" s="1"/>
  <c r="X166" i="34"/>
  <c r="AB166" i="34" s="1"/>
  <c r="AQ166" i="34" s="1"/>
  <c r="W166" i="34"/>
  <c r="AA166" i="34" s="1"/>
  <c r="AP166" i="34" s="1"/>
  <c r="V166" i="34"/>
  <c r="Z166" i="34" s="1"/>
  <c r="AH165" i="34"/>
  <c r="AG165" i="34"/>
  <c r="AF165" i="34"/>
  <c r="AE165" i="34"/>
  <c r="AI165" i="34" s="1"/>
  <c r="Y165" i="34"/>
  <c r="AC165" i="34" s="1"/>
  <c r="AR165" i="34" s="1"/>
  <c r="X165" i="34"/>
  <c r="AB165" i="34" s="1"/>
  <c r="AQ165" i="34" s="1"/>
  <c r="W165" i="34"/>
  <c r="AA165" i="34" s="1"/>
  <c r="AP165" i="34" s="1"/>
  <c r="V165" i="34"/>
  <c r="Z165" i="34" s="1"/>
  <c r="AH161" i="34"/>
  <c r="AG161" i="34"/>
  <c r="AF161" i="34"/>
  <c r="AE161" i="34"/>
  <c r="AI161" i="34" s="1"/>
  <c r="Y161" i="34"/>
  <c r="AC161" i="34" s="1"/>
  <c r="AR161" i="34" s="1"/>
  <c r="X161" i="34"/>
  <c r="AB161" i="34" s="1"/>
  <c r="AQ161" i="34" s="1"/>
  <c r="W161" i="34"/>
  <c r="AA161" i="34" s="1"/>
  <c r="AP161" i="34" s="1"/>
  <c r="V161" i="34"/>
  <c r="Z161" i="34" s="1"/>
  <c r="AH160" i="34"/>
  <c r="AG160" i="34"/>
  <c r="AF160" i="34"/>
  <c r="AE160" i="34"/>
  <c r="AI160" i="34" s="1"/>
  <c r="Y160" i="34"/>
  <c r="AC160" i="34" s="1"/>
  <c r="AR160" i="34" s="1"/>
  <c r="X160" i="34"/>
  <c r="AB160" i="34" s="1"/>
  <c r="AQ160" i="34" s="1"/>
  <c r="W160" i="34"/>
  <c r="AA160" i="34" s="1"/>
  <c r="AP160" i="34" s="1"/>
  <c r="V160" i="34"/>
  <c r="Z160" i="34" s="1"/>
  <c r="AH159" i="34"/>
  <c r="AG159" i="34"/>
  <c r="AF159" i="34"/>
  <c r="AE159" i="34"/>
  <c r="AI159" i="34" s="1"/>
  <c r="Y159" i="34"/>
  <c r="AC159" i="34" s="1"/>
  <c r="AR159" i="34" s="1"/>
  <c r="X159" i="34"/>
  <c r="AB159" i="34" s="1"/>
  <c r="AQ159" i="34" s="1"/>
  <c r="W159" i="34"/>
  <c r="AA159" i="34" s="1"/>
  <c r="AP159" i="34" s="1"/>
  <c r="V159" i="34"/>
  <c r="Z159" i="34" s="1"/>
  <c r="AH158" i="34"/>
  <c r="AG158" i="34"/>
  <c r="AF158" i="34"/>
  <c r="AE158" i="34"/>
  <c r="AI158" i="34" s="1"/>
  <c r="Y158" i="34"/>
  <c r="AC158" i="34" s="1"/>
  <c r="AR158" i="34" s="1"/>
  <c r="X158" i="34"/>
  <c r="AB158" i="34" s="1"/>
  <c r="AQ158" i="34" s="1"/>
  <c r="W158" i="34"/>
  <c r="AA158" i="34" s="1"/>
  <c r="AP158" i="34" s="1"/>
  <c r="V158" i="34"/>
  <c r="Z158" i="34" s="1"/>
  <c r="AH157" i="34"/>
  <c r="AG157" i="34"/>
  <c r="AF157" i="34"/>
  <c r="AE157" i="34"/>
  <c r="AI157" i="34" s="1"/>
  <c r="Y157" i="34"/>
  <c r="AC157" i="34" s="1"/>
  <c r="AR157" i="34" s="1"/>
  <c r="X157" i="34"/>
  <c r="AB157" i="34" s="1"/>
  <c r="AQ157" i="34" s="1"/>
  <c r="W157" i="34"/>
  <c r="AA157" i="34" s="1"/>
  <c r="AP157" i="34" s="1"/>
  <c r="V157" i="34"/>
  <c r="Z157" i="34" s="1"/>
  <c r="AH156" i="34"/>
  <c r="AG156" i="34"/>
  <c r="AF156" i="34"/>
  <c r="AE156" i="34"/>
  <c r="AI156" i="34" s="1"/>
  <c r="Y156" i="34"/>
  <c r="AC156" i="34" s="1"/>
  <c r="AR156" i="34" s="1"/>
  <c r="X156" i="34"/>
  <c r="AB156" i="34" s="1"/>
  <c r="AQ156" i="34" s="1"/>
  <c r="W156" i="34"/>
  <c r="AA156" i="34" s="1"/>
  <c r="AP156" i="34" s="1"/>
  <c r="V156" i="34"/>
  <c r="Z156" i="34" s="1"/>
  <c r="AH152" i="34"/>
  <c r="AG152" i="34"/>
  <c r="AF152" i="34"/>
  <c r="AE152" i="34"/>
  <c r="AI152" i="34" s="1"/>
  <c r="Y152" i="34"/>
  <c r="AC152" i="34" s="1"/>
  <c r="AR152" i="34" s="1"/>
  <c r="X152" i="34"/>
  <c r="AB152" i="34" s="1"/>
  <c r="AQ152" i="34" s="1"/>
  <c r="W152" i="34"/>
  <c r="AA152" i="34" s="1"/>
  <c r="AP152" i="34" s="1"/>
  <c r="V152" i="34"/>
  <c r="Z152" i="34" s="1"/>
  <c r="AH151" i="34"/>
  <c r="AG151" i="34"/>
  <c r="AF151" i="34"/>
  <c r="AE151" i="34"/>
  <c r="AI151" i="34" s="1"/>
  <c r="Y151" i="34"/>
  <c r="AC151" i="34" s="1"/>
  <c r="AR151" i="34" s="1"/>
  <c r="X151" i="34"/>
  <c r="AB151" i="34" s="1"/>
  <c r="AQ151" i="34" s="1"/>
  <c r="W151" i="34"/>
  <c r="AA151" i="34" s="1"/>
  <c r="AP151" i="34" s="1"/>
  <c r="V151" i="34"/>
  <c r="Z151" i="34" s="1"/>
  <c r="AH150" i="34"/>
  <c r="AG150" i="34"/>
  <c r="AF150" i="34"/>
  <c r="AE150" i="34"/>
  <c r="AI150" i="34" s="1"/>
  <c r="Y150" i="34"/>
  <c r="AC150" i="34" s="1"/>
  <c r="AR150" i="34" s="1"/>
  <c r="X150" i="34"/>
  <c r="AB150" i="34" s="1"/>
  <c r="AQ150" i="34" s="1"/>
  <c r="W150" i="34"/>
  <c r="AA150" i="34" s="1"/>
  <c r="AP150" i="34" s="1"/>
  <c r="V150" i="34"/>
  <c r="Z150" i="34" s="1"/>
  <c r="AH149" i="34"/>
  <c r="AG149" i="34"/>
  <c r="AF149" i="34"/>
  <c r="AE149" i="34"/>
  <c r="AI149" i="34" s="1"/>
  <c r="Y149" i="34"/>
  <c r="AC149" i="34" s="1"/>
  <c r="AR149" i="34" s="1"/>
  <c r="X149" i="34"/>
  <c r="AB149" i="34" s="1"/>
  <c r="AQ149" i="34" s="1"/>
  <c r="W149" i="34"/>
  <c r="AA149" i="34" s="1"/>
  <c r="AP149" i="34" s="1"/>
  <c r="V149" i="34"/>
  <c r="Z149" i="34" s="1"/>
  <c r="AH148" i="34"/>
  <c r="AG148" i="34"/>
  <c r="AF148" i="34"/>
  <c r="AE148" i="34"/>
  <c r="AI148" i="34" s="1"/>
  <c r="Y148" i="34"/>
  <c r="AC148" i="34" s="1"/>
  <c r="AR148" i="34" s="1"/>
  <c r="X148" i="34"/>
  <c r="AB148" i="34" s="1"/>
  <c r="AQ148" i="34" s="1"/>
  <c r="W148" i="34"/>
  <c r="AA148" i="34" s="1"/>
  <c r="AP148" i="34" s="1"/>
  <c r="V148" i="34"/>
  <c r="Z148" i="34" s="1"/>
  <c r="AH147" i="34"/>
  <c r="AG147" i="34"/>
  <c r="AF147" i="34"/>
  <c r="AE147" i="34"/>
  <c r="AI147" i="34" s="1"/>
  <c r="Y147" i="34"/>
  <c r="AC147" i="34" s="1"/>
  <c r="AR147" i="34" s="1"/>
  <c r="X147" i="34"/>
  <c r="AB147" i="34" s="1"/>
  <c r="AQ147" i="34" s="1"/>
  <c r="W147" i="34"/>
  <c r="AA147" i="34" s="1"/>
  <c r="AP147" i="34" s="1"/>
  <c r="V147" i="34"/>
  <c r="Z147" i="34" s="1"/>
  <c r="AH143" i="34"/>
  <c r="AG143" i="34"/>
  <c r="AF143" i="34"/>
  <c r="AE143" i="34"/>
  <c r="AI143" i="34" s="1"/>
  <c r="Y143" i="34"/>
  <c r="AC143" i="34" s="1"/>
  <c r="AR143" i="34" s="1"/>
  <c r="X143" i="34"/>
  <c r="AB143" i="34" s="1"/>
  <c r="AQ143" i="34" s="1"/>
  <c r="W143" i="34"/>
  <c r="AA143" i="34" s="1"/>
  <c r="AP143" i="34" s="1"/>
  <c r="V143" i="34"/>
  <c r="Z143" i="34" s="1"/>
  <c r="AH142" i="34"/>
  <c r="AG142" i="34"/>
  <c r="AF142" i="34"/>
  <c r="AE142" i="34"/>
  <c r="AI142" i="34" s="1"/>
  <c r="Y142" i="34"/>
  <c r="AC142" i="34" s="1"/>
  <c r="AR142" i="34" s="1"/>
  <c r="X142" i="34"/>
  <c r="AB142" i="34" s="1"/>
  <c r="AQ142" i="34" s="1"/>
  <c r="W142" i="34"/>
  <c r="AA142" i="34" s="1"/>
  <c r="AP142" i="34" s="1"/>
  <c r="V142" i="34"/>
  <c r="Z142" i="34" s="1"/>
  <c r="AH141" i="34"/>
  <c r="AG141" i="34"/>
  <c r="AF141" i="34"/>
  <c r="AE141" i="34"/>
  <c r="AI141" i="34" s="1"/>
  <c r="Y141" i="34"/>
  <c r="AC141" i="34" s="1"/>
  <c r="AR141" i="34" s="1"/>
  <c r="X141" i="34"/>
  <c r="AB141" i="34" s="1"/>
  <c r="AQ141" i="34" s="1"/>
  <c r="W141" i="34"/>
  <c r="AA141" i="34" s="1"/>
  <c r="AP141" i="34" s="1"/>
  <c r="V141" i="34"/>
  <c r="Z141" i="34" s="1"/>
  <c r="AH140" i="34"/>
  <c r="AG140" i="34"/>
  <c r="AF140" i="34"/>
  <c r="AE140" i="34"/>
  <c r="AI140" i="34" s="1"/>
  <c r="Y140" i="34"/>
  <c r="AC140" i="34" s="1"/>
  <c r="AR140" i="34" s="1"/>
  <c r="X140" i="34"/>
  <c r="AB140" i="34" s="1"/>
  <c r="AQ140" i="34" s="1"/>
  <c r="W140" i="34"/>
  <c r="AA140" i="34" s="1"/>
  <c r="AP140" i="34" s="1"/>
  <c r="V140" i="34"/>
  <c r="Z140" i="34" s="1"/>
  <c r="AH139" i="34"/>
  <c r="AG139" i="34"/>
  <c r="AF139" i="34"/>
  <c r="AE139" i="34"/>
  <c r="AI139" i="34" s="1"/>
  <c r="Y139" i="34"/>
  <c r="AC139" i="34" s="1"/>
  <c r="AR139" i="34" s="1"/>
  <c r="X139" i="34"/>
  <c r="AB139" i="34" s="1"/>
  <c r="AQ139" i="34" s="1"/>
  <c r="W139" i="34"/>
  <c r="AA139" i="34" s="1"/>
  <c r="AP139" i="34" s="1"/>
  <c r="V139" i="34"/>
  <c r="Z139" i="34" s="1"/>
  <c r="AH138" i="34"/>
  <c r="AG138" i="34"/>
  <c r="AF138" i="34"/>
  <c r="AE138" i="34"/>
  <c r="AI138" i="34" s="1"/>
  <c r="Y138" i="34"/>
  <c r="AC138" i="34" s="1"/>
  <c r="AR138" i="34" s="1"/>
  <c r="X138" i="34"/>
  <c r="AB138" i="34" s="1"/>
  <c r="AQ138" i="34" s="1"/>
  <c r="W138" i="34"/>
  <c r="AA138" i="34" s="1"/>
  <c r="AP138" i="34" s="1"/>
  <c r="V138" i="34"/>
  <c r="Z138" i="34" s="1"/>
  <c r="AH134" i="34"/>
  <c r="AG134" i="34"/>
  <c r="AF134" i="34"/>
  <c r="AE134" i="34"/>
  <c r="AI134" i="34" s="1"/>
  <c r="Y134" i="34"/>
  <c r="AC134" i="34" s="1"/>
  <c r="AR134" i="34" s="1"/>
  <c r="X134" i="34"/>
  <c r="AB134" i="34" s="1"/>
  <c r="AQ134" i="34" s="1"/>
  <c r="W134" i="34"/>
  <c r="AA134" i="34" s="1"/>
  <c r="AP134" i="34" s="1"/>
  <c r="V134" i="34"/>
  <c r="Z134" i="34" s="1"/>
  <c r="AH133" i="34"/>
  <c r="AG133" i="34"/>
  <c r="AF133" i="34"/>
  <c r="AE133" i="34"/>
  <c r="AI133" i="34" s="1"/>
  <c r="Y133" i="34"/>
  <c r="AC133" i="34" s="1"/>
  <c r="AR133" i="34" s="1"/>
  <c r="X133" i="34"/>
  <c r="AB133" i="34" s="1"/>
  <c r="AQ133" i="34" s="1"/>
  <c r="W133" i="34"/>
  <c r="AA133" i="34" s="1"/>
  <c r="AP133" i="34" s="1"/>
  <c r="V133" i="34"/>
  <c r="Z133" i="34" s="1"/>
  <c r="AH132" i="34"/>
  <c r="AG132" i="34"/>
  <c r="AF132" i="34"/>
  <c r="AE132" i="34"/>
  <c r="AI132" i="34" s="1"/>
  <c r="Y132" i="34"/>
  <c r="AC132" i="34" s="1"/>
  <c r="AR132" i="34" s="1"/>
  <c r="X132" i="34"/>
  <c r="AB132" i="34" s="1"/>
  <c r="AQ132" i="34" s="1"/>
  <c r="W132" i="34"/>
  <c r="AA132" i="34" s="1"/>
  <c r="AP132" i="34" s="1"/>
  <c r="V132" i="34"/>
  <c r="Z132" i="34" s="1"/>
  <c r="AH131" i="34"/>
  <c r="AG131" i="34"/>
  <c r="AF131" i="34"/>
  <c r="AE131" i="34"/>
  <c r="AI131" i="34" s="1"/>
  <c r="Y131" i="34"/>
  <c r="AC131" i="34" s="1"/>
  <c r="AR131" i="34" s="1"/>
  <c r="X131" i="34"/>
  <c r="AB131" i="34" s="1"/>
  <c r="AQ131" i="34" s="1"/>
  <c r="W131" i="34"/>
  <c r="AA131" i="34" s="1"/>
  <c r="AP131" i="34" s="1"/>
  <c r="V131" i="34"/>
  <c r="Z131" i="34" s="1"/>
  <c r="AH130" i="34"/>
  <c r="AG130" i="34"/>
  <c r="AF130" i="34"/>
  <c r="AE130" i="34"/>
  <c r="AI130" i="34" s="1"/>
  <c r="Y130" i="34"/>
  <c r="AC130" i="34" s="1"/>
  <c r="AR130" i="34" s="1"/>
  <c r="X130" i="34"/>
  <c r="AB130" i="34" s="1"/>
  <c r="AQ130" i="34" s="1"/>
  <c r="W130" i="34"/>
  <c r="AA130" i="34" s="1"/>
  <c r="AP130" i="34" s="1"/>
  <c r="V130" i="34"/>
  <c r="Z130" i="34" s="1"/>
  <c r="AH129" i="34"/>
  <c r="AG129" i="34"/>
  <c r="AF129" i="34"/>
  <c r="AE129" i="34"/>
  <c r="AI129" i="34" s="1"/>
  <c r="Y129" i="34"/>
  <c r="AC129" i="34" s="1"/>
  <c r="AR129" i="34" s="1"/>
  <c r="X129" i="34"/>
  <c r="AB129" i="34" s="1"/>
  <c r="AQ129" i="34" s="1"/>
  <c r="W129" i="34"/>
  <c r="AA129" i="34" s="1"/>
  <c r="AP129" i="34" s="1"/>
  <c r="V129" i="34"/>
  <c r="Z129" i="34" s="1"/>
  <c r="AH125" i="34"/>
  <c r="AG125" i="34"/>
  <c r="AF125" i="34"/>
  <c r="AE125" i="34"/>
  <c r="AI125" i="34" s="1"/>
  <c r="Y125" i="34"/>
  <c r="AC125" i="34" s="1"/>
  <c r="AR125" i="34" s="1"/>
  <c r="X125" i="34"/>
  <c r="AB125" i="34" s="1"/>
  <c r="AQ125" i="34" s="1"/>
  <c r="W125" i="34"/>
  <c r="AA125" i="34" s="1"/>
  <c r="AP125" i="34" s="1"/>
  <c r="V125" i="34"/>
  <c r="Z125" i="34" s="1"/>
  <c r="AH124" i="34"/>
  <c r="AG124" i="34"/>
  <c r="AF124" i="34"/>
  <c r="AE124" i="34"/>
  <c r="AI124" i="34" s="1"/>
  <c r="Y124" i="34"/>
  <c r="AC124" i="34" s="1"/>
  <c r="AR124" i="34" s="1"/>
  <c r="X124" i="34"/>
  <c r="AB124" i="34" s="1"/>
  <c r="AQ124" i="34" s="1"/>
  <c r="W124" i="34"/>
  <c r="AA124" i="34" s="1"/>
  <c r="AP124" i="34" s="1"/>
  <c r="V124" i="34"/>
  <c r="Z124" i="34" s="1"/>
  <c r="AH123" i="34"/>
  <c r="AG123" i="34"/>
  <c r="AF123" i="34"/>
  <c r="AE123" i="34"/>
  <c r="AI123" i="34" s="1"/>
  <c r="Y123" i="34"/>
  <c r="AC123" i="34" s="1"/>
  <c r="AR123" i="34" s="1"/>
  <c r="X123" i="34"/>
  <c r="AB123" i="34" s="1"/>
  <c r="AQ123" i="34" s="1"/>
  <c r="W123" i="34"/>
  <c r="AA123" i="34" s="1"/>
  <c r="AP123" i="34" s="1"/>
  <c r="V123" i="34"/>
  <c r="Z123" i="34" s="1"/>
  <c r="AH122" i="34"/>
  <c r="AG122" i="34"/>
  <c r="AF122" i="34"/>
  <c r="AE122" i="34"/>
  <c r="AI122" i="34" s="1"/>
  <c r="Y122" i="34"/>
  <c r="AC122" i="34" s="1"/>
  <c r="AR122" i="34" s="1"/>
  <c r="X122" i="34"/>
  <c r="AB122" i="34" s="1"/>
  <c r="AQ122" i="34" s="1"/>
  <c r="W122" i="34"/>
  <c r="AA122" i="34" s="1"/>
  <c r="AP122" i="34" s="1"/>
  <c r="V122" i="34"/>
  <c r="Z122" i="34" s="1"/>
  <c r="AH121" i="34"/>
  <c r="AG121" i="34"/>
  <c r="AF121" i="34"/>
  <c r="AE121" i="34"/>
  <c r="AI121" i="34" s="1"/>
  <c r="Y121" i="34"/>
  <c r="AC121" i="34" s="1"/>
  <c r="AR121" i="34" s="1"/>
  <c r="X121" i="34"/>
  <c r="AB121" i="34" s="1"/>
  <c r="AQ121" i="34" s="1"/>
  <c r="W121" i="34"/>
  <c r="AA121" i="34" s="1"/>
  <c r="AP121" i="34" s="1"/>
  <c r="V121" i="34"/>
  <c r="Z121" i="34" s="1"/>
  <c r="AH120" i="34"/>
  <c r="AG120" i="34"/>
  <c r="AF120" i="34"/>
  <c r="AE120" i="34"/>
  <c r="AI120" i="34" s="1"/>
  <c r="Y120" i="34"/>
  <c r="AC120" i="34" s="1"/>
  <c r="AR120" i="34" s="1"/>
  <c r="X120" i="34"/>
  <c r="AB120" i="34" s="1"/>
  <c r="AQ120" i="34" s="1"/>
  <c r="W120" i="34"/>
  <c r="AA120" i="34" s="1"/>
  <c r="AP120" i="34" s="1"/>
  <c r="V120" i="34"/>
  <c r="Z120" i="34" s="1"/>
  <c r="AH116" i="34"/>
  <c r="AG116" i="34"/>
  <c r="AF116" i="34"/>
  <c r="AE116" i="34"/>
  <c r="AI116" i="34" s="1"/>
  <c r="Y116" i="34"/>
  <c r="AC116" i="34" s="1"/>
  <c r="AR116" i="34" s="1"/>
  <c r="X116" i="34"/>
  <c r="AB116" i="34" s="1"/>
  <c r="AQ116" i="34" s="1"/>
  <c r="W116" i="34"/>
  <c r="AA116" i="34" s="1"/>
  <c r="AP116" i="34" s="1"/>
  <c r="V116" i="34"/>
  <c r="Z116" i="34" s="1"/>
  <c r="AH115" i="34"/>
  <c r="AG115" i="34"/>
  <c r="AF115" i="34"/>
  <c r="AE115" i="34"/>
  <c r="AI115" i="34" s="1"/>
  <c r="Y115" i="34"/>
  <c r="AC115" i="34" s="1"/>
  <c r="AR115" i="34" s="1"/>
  <c r="X115" i="34"/>
  <c r="AB115" i="34" s="1"/>
  <c r="AQ115" i="34" s="1"/>
  <c r="W115" i="34"/>
  <c r="AA115" i="34" s="1"/>
  <c r="AP115" i="34" s="1"/>
  <c r="V115" i="34"/>
  <c r="Z115" i="34" s="1"/>
  <c r="AH114" i="34"/>
  <c r="AG114" i="34"/>
  <c r="AF114" i="34"/>
  <c r="AE114" i="34"/>
  <c r="AI114" i="34" s="1"/>
  <c r="Y114" i="34"/>
  <c r="AC114" i="34" s="1"/>
  <c r="AR114" i="34" s="1"/>
  <c r="X114" i="34"/>
  <c r="AB114" i="34" s="1"/>
  <c r="AQ114" i="34" s="1"/>
  <c r="W114" i="34"/>
  <c r="AA114" i="34" s="1"/>
  <c r="AP114" i="34" s="1"/>
  <c r="V114" i="34"/>
  <c r="Z114" i="34" s="1"/>
  <c r="AH113" i="34"/>
  <c r="AG113" i="34"/>
  <c r="AF113" i="34"/>
  <c r="AE113" i="34"/>
  <c r="AI113" i="34" s="1"/>
  <c r="Y113" i="34"/>
  <c r="AC113" i="34" s="1"/>
  <c r="AR113" i="34" s="1"/>
  <c r="X113" i="34"/>
  <c r="AB113" i="34" s="1"/>
  <c r="AQ113" i="34" s="1"/>
  <c r="W113" i="34"/>
  <c r="AA113" i="34" s="1"/>
  <c r="AP113" i="34" s="1"/>
  <c r="V113" i="34"/>
  <c r="Z113" i="34" s="1"/>
  <c r="AH112" i="34"/>
  <c r="AG112" i="34"/>
  <c r="AF112" i="34"/>
  <c r="AE112" i="34"/>
  <c r="AI112" i="34" s="1"/>
  <c r="Y112" i="34"/>
  <c r="AC112" i="34" s="1"/>
  <c r="AR112" i="34" s="1"/>
  <c r="X112" i="34"/>
  <c r="AB112" i="34" s="1"/>
  <c r="AQ112" i="34" s="1"/>
  <c r="W112" i="34"/>
  <c r="AA112" i="34" s="1"/>
  <c r="AP112" i="34" s="1"/>
  <c r="V112" i="34"/>
  <c r="Z112" i="34" s="1"/>
  <c r="AH111" i="34"/>
  <c r="AG111" i="34"/>
  <c r="AF111" i="34"/>
  <c r="AE111" i="34"/>
  <c r="AI111" i="34" s="1"/>
  <c r="Y111" i="34"/>
  <c r="AC111" i="34" s="1"/>
  <c r="AR111" i="34" s="1"/>
  <c r="X111" i="34"/>
  <c r="AB111" i="34" s="1"/>
  <c r="AQ111" i="34" s="1"/>
  <c r="W111" i="34"/>
  <c r="AA111" i="34" s="1"/>
  <c r="AP111" i="34" s="1"/>
  <c r="V111" i="34"/>
  <c r="Z111" i="34" s="1"/>
  <c r="AH107" i="34"/>
  <c r="AG107" i="34"/>
  <c r="AF107" i="34"/>
  <c r="AE107" i="34"/>
  <c r="AI107" i="34" s="1"/>
  <c r="Y107" i="34"/>
  <c r="AC107" i="34" s="1"/>
  <c r="AR107" i="34" s="1"/>
  <c r="X107" i="34"/>
  <c r="AB107" i="34" s="1"/>
  <c r="AQ107" i="34" s="1"/>
  <c r="W107" i="34"/>
  <c r="AA107" i="34" s="1"/>
  <c r="AP107" i="34" s="1"/>
  <c r="V107" i="34"/>
  <c r="Z107" i="34" s="1"/>
  <c r="AH106" i="34"/>
  <c r="AG106" i="34"/>
  <c r="AF106" i="34"/>
  <c r="AE106" i="34"/>
  <c r="AI106" i="34" s="1"/>
  <c r="Y106" i="34"/>
  <c r="AC106" i="34" s="1"/>
  <c r="AR106" i="34" s="1"/>
  <c r="X106" i="34"/>
  <c r="AB106" i="34" s="1"/>
  <c r="AQ106" i="34" s="1"/>
  <c r="W106" i="34"/>
  <c r="AA106" i="34" s="1"/>
  <c r="AP106" i="34" s="1"/>
  <c r="V106" i="34"/>
  <c r="Z106" i="34" s="1"/>
  <c r="AH105" i="34"/>
  <c r="AG105" i="34"/>
  <c r="AF105" i="34"/>
  <c r="AE105" i="34"/>
  <c r="AI105" i="34" s="1"/>
  <c r="Y105" i="34"/>
  <c r="AC105" i="34" s="1"/>
  <c r="AR105" i="34" s="1"/>
  <c r="X105" i="34"/>
  <c r="AB105" i="34" s="1"/>
  <c r="AQ105" i="34" s="1"/>
  <c r="W105" i="34"/>
  <c r="AA105" i="34" s="1"/>
  <c r="AP105" i="34" s="1"/>
  <c r="V105" i="34"/>
  <c r="Z105" i="34" s="1"/>
  <c r="AH104" i="34"/>
  <c r="AG104" i="34"/>
  <c r="AF104" i="34"/>
  <c r="AE104" i="34"/>
  <c r="AI104" i="34" s="1"/>
  <c r="Y104" i="34"/>
  <c r="AC104" i="34" s="1"/>
  <c r="AR104" i="34" s="1"/>
  <c r="X104" i="34"/>
  <c r="AB104" i="34" s="1"/>
  <c r="AQ104" i="34" s="1"/>
  <c r="W104" i="34"/>
  <c r="AA104" i="34" s="1"/>
  <c r="AP104" i="34" s="1"/>
  <c r="V104" i="34"/>
  <c r="Z104" i="34" s="1"/>
  <c r="AH103" i="34"/>
  <c r="AG103" i="34"/>
  <c r="AF103" i="34"/>
  <c r="AE103" i="34"/>
  <c r="AI103" i="34" s="1"/>
  <c r="Y103" i="34"/>
  <c r="AC103" i="34" s="1"/>
  <c r="AR103" i="34" s="1"/>
  <c r="X103" i="34"/>
  <c r="AB103" i="34" s="1"/>
  <c r="AQ103" i="34" s="1"/>
  <c r="W103" i="34"/>
  <c r="AA103" i="34" s="1"/>
  <c r="AP103" i="34" s="1"/>
  <c r="V103" i="34"/>
  <c r="Z103" i="34" s="1"/>
  <c r="AH102" i="34"/>
  <c r="AG102" i="34"/>
  <c r="AF102" i="34"/>
  <c r="AE102" i="34"/>
  <c r="AI102" i="34" s="1"/>
  <c r="Y102" i="34"/>
  <c r="AC102" i="34" s="1"/>
  <c r="AR102" i="34" s="1"/>
  <c r="X102" i="34"/>
  <c r="AB102" i="34" s="1"/>
  <c r="AQ102" i="34" s="1"/>
  <c r="W102" i="34"/>
  <c r="AA102" i="34" s="1"/>
  <c r="AP102" i="34" s="1"/>
  <c r="V102" i="34"/>
  <c r="Z102" i="34" s="1"/>
  <c r="AH98" i="34"/>
  <c r="AG98" i="34"/>
  <c r="AF98" i="34"/>
  <c r="AE98" i="34"/>
  <c r="AI98" i="34" s="1"/>
  <c r="Y98" i="34"/>
  <c r="AC98" i="34" s="1"/>
  <c r="AR98" i="34" s="1"/>
  <c r="X98" i="34"/>
  <c r="AB98" i="34" s="1"/>
  <c r="AQ98" i="34" s="1"/>
  <c r="W98" i="34"/>
  <c r="AA98" i="34" s="1"/>
  <c r="AP98" i="34" s="1"/>
  <c r="V98" i="34"/>
  <c r="Z98" i="34" s="1"/>
  <c r="AH97" i="34"/>
  <c r="AG97" i="34"/>
  <c r="AF97" i="34"/>
  <c r="AE97" i="34"/>
  <c r="AI97" i="34" s="1"/>
  <c r="Y97" i="34"/>
  <c r="AC97" i="34" s="1"/>
  <c r="AR97" i="34" s="1"/>
  <c r="X97" i="34"/>
  <c r="AB97" i="34" s="1"/>
  <c r="AQ97" i="34" s="1"/>
  <c r="W97" i="34"/>
  <c r="AA97" i="34" s="1"/>
  <c r="AP97" i="34" s="1"/>
  <c r="V97" i="34"/>
  <c r="Z97" i="34" s="1"/>
  <c r="AH96" i="34"/>
  <c r="AG96" i="34"/>
  <c r="AF96" i="34"/>
  <c r="AE96" i="34"/>
  <c r="AI96" i="34" s="1"/>
  <c r="Y96" i="34"/>
  <c r="AC96" i="34" s="1"/>
  <c r="AR96" i="34" s="1"/>
  <c r="X96" i="34"/>
  <c r="AB96" i="34" s="1"/>
  <c r="AQ96" i="34" s="1"/>
  <c r="W96" i="34"/>
  <c r="AA96" i="34" s="1"/>
  <c r="AP96" i="34" s="1"/>
  <c r="V96" i="34"/>
  <c r="Z96" i="34" s="1"/>
  <c r="AH95" i="34"/>
  <c r="AG95" i="34"/>
  <c r="AF95" i="34"/>
  <c r="AE95" i="34"/>
  <c r="AI95" i="34" s="1"/>
  <c r="Y95" i="34"/>
  <c r="AC95" i="34" s="1"/>
  <c r="AR95" i="34" s="1"/>
  <c r="X95" i="34"/>
  <c r="AB95" i="34" s="1"/>
  <c r="AQ95" i="34" s="1"/>
  <c r="W95" i="34"/>
  <c r="AA95" i="34" s="1"/>
  <c r="AP95" i="34" s="1"/>
  <c r="V95" i="34"/>
  <c r="Z95" i="34" s="1"/>
  <c r="AH94" i="34"/>
  <c r="AG94" i="34"/>
  <c r="AF94" i="34"/>
  <c r="AE94" i="34"/>
  <c r="AI94" i="34" s="1"/>
  <c r="Y94" i="34"/>
  <c r="AC94" i="34" s="1"/>
  <c r="AR94" i="34" s="1"/>
  <c r="X94" i="34"/>
  <c r="AB94" i="34" s="1"/>
  <c r="AQ94" i="34" s="1"/>
  <c r="W94" i="34"/>
  <c r="AA94" i="34" s="1"/>
  <c r="AP94" i="34" s="1"/>
  <c r="V94" i="34"/>
  <c r="Z94" i="34" s="1"/>
  <c r="AH93" i="34"/>
  <c r="AG93" i="34"/>
  <c r="AF93" i="34"/>
  <c r="AE93" i="34"/>
  <c r="AI93" i="34" s="1"/>
  <c r="Y93" i="34"/>
  <c r="AC93" i="34" s="1"/>
  <c r="AR93" i="34" s="1"/>
  <c r="X93" i="34"/>
  <c r="AB93" i="34" s="1"/>
  <c r="AQ93" i="34" s="1"/>
  <c r="W93" i="34"/>
  <c r="AA93" i="34" s="1"/>
  <c r="AP93" i="34" s="1"/>
  <c r="V93" i="34"/>
  <c r="Z93" i="34" s="1"/>
  <c r="AH89" i="34"/>
  <c r="AG89" i="34"/>
  <c r="AF89" i="34"/>
  <c r="AE89" i="34"/>
  <c r="AI89" i="34" s="1"/>
  <c r="Y89" i="34"/>
  <c r="AC89" i="34" s="1"/>
  <c r="AR89" i="34" s="1"/>
  <c r="X89" i="34"/>
  <c r="AB89" i="34" s="1"/>
  <c r="AQ89" i="34" s="1"/>
  <c r="W89" i="34"/>
  <c r="AA89" i="34" s="1"/>
  <c r="AP89" i="34" s="1"/>
  <c r="V89" i="34"/>
  <c r="Z89" i="34" s="1"/>
  <c r="AH88" i="34"/>
  <c r="AG88" i="34"/>
  <c r="AF88" i="34"/>
  <c r="AE88" i="34"/>
  <c r="AI88" i="34" s="1"/>
  <c r="Y88" i="34"/>
  <c r="AC88" i="34" s="1"/>
  <c r="AR88" i="34" s="1"/>
  <c r="X88" i="34"/>
  <c r="AB88" i="34" s="1"/>
  <c r="AQ88" i="34" s="1"/>
  <c r="W88" i="34"/>
  <c r="AA88" i="34" s="1"/>
  <c r="AP88" i="34" s="1"/>
  <c r="V88" i="34"/>
  <c r="Z88" i="34" s="1"/>
  <c r="AH87" i="34"/>
  <c r="AG87" i="34"/>
  <c r="AF87" i="34"/>
  <c r="AE87" i="34"/>
  <c r="AI87" i="34" s="1"/>
  <c r="Y87" i="34"/>
  <c r="AC87" i="34" s="1"/>
  <c r="AR87" i="34" s="1"/>
  <c r="X87" i="34"/>
  <c r="AB87" i="34" s="1"/>
  <c r="AQ87" i="34" s="1"/>
  <c r="W87" i="34"/>
  <c r="AA87" i="34" s="1"/>
  <c r="AP87" i="34" s="1"/>
  <c r="V87" i="34"/>
  <c r="Z87" i="34" s="1"/>
  <c r="AH86" i="34"/>
  <c r="AG86" i="34"/>
  <c r="AF86" i="34"/>
  <c r="AE86" i="34"/>
  <c r="AI86" i="34" s="1"/>
  <c r="Y86" i="34"/>
  <c r="AC86" i="34" s="1"/>
  <c r="AR86" i="34" s="1"/>
  <c r="X86" i="34"/>
  <c r="AB86" i="34" s="1"/>
  <c r="AQ86" i="34" s="1"/>
  <c r="W86" i="34"/>
  <c r="AA86" i="34" s="1"/>
  <c r="AP86" i="34" s="1"/>
  <c r="V86" i="34"/>
  <c r="Z86" i="34" s="1"/>
  <c r="AH85" i="34"/>
  <c r="AG85" i="34"/>
  <c r="AF85" i="34"/>
  <c r="AE85" i="34"/>
  <c r="AI85" i="34" s="1"/>
  <c r="Y85" i="34"/>
  <c r="AC85" i="34" s="1"/>
  <c r="AR85" i="34" s="1"/>
  <c r="X85" i="34"/>
  <c r="AB85" i="34" s="1"/>
  <c r="AQ85" i="34" s="1"/>
  <c r="W85" i="34"/>
  <c r="AA85" i="34" s="1"/>
  <c r="AP85" i="34" s="1"/>
  <c r="V85" i="34"/>
  <c r="Z85" i="34" s="1"/>
  <c r="AH84" i="34"/>
  <c r="AG84" i="34"/>
  <c r="AF84" i="34"/>
  <c r="AE84" i="34"/>
  <c r="AI84" i="34" s="1"/>
  <c r="Y84" i="34"/>
  <c r="AC84" i="34" s="1"/>
  <c r="AR84" i="34" s="1"/>
  <c r="X84" i="34"/>
  <c r="AB84" i="34" s="1"/>
  <c r="AQ84" i="34" s="1"/>
  <c r="W84" i="34"/>
  <c r="AA84" i="34" s="1"/>
  <c r="AP84" i="34" s="1"/>
  <c r="V84" i="34"/>
  <c r="Z84" i="34" s="1"/>
  <c r="AH80" i="34"/>
  <c r="AG80" i="34"/>
  <c r="AF80" i="34"/>
  <c r="AE80" i="34"/>
  <c r="AI80" i="34" s="1"/>
  <c r="Y80" i="34"/>
  <c r="AC80" i="34" s="1"/>
  <c r="AR80" i="34" s="1"/>
  <c r="X80" i="34"/>
  <c r="AB80" i="34" s="1"/>
  <c r="AQ80" i="34" s="1"/>
  <c r="W80" i="34"/>
  <c r="AA80" i="34" s="1"/>
  <c r="AP80" i="34" s="1"/>
  <c r="V80" i="34"/>
  <c r="Z80" i="34" s="1"/>
  <c r="AH79" i="34"/>
  <c r="AG79" i="34"/>
  <c r="AF79" i="34"/>
  <c r="AE79" i="34"/>
  <c r="AI79" i="34" s="1"/>
  <c r="Y79" i="34"/>
  <c r="AC79" i="34" s="1"/>
  <c r="AR79" i="34" s="1"/>
  <c r="X79" i="34"/>
  <c r="AB79" i="34" s="1"/>
  <c r="AQ79" i="34" s="1"/>
  <c r="W79" i="34"/>
  <c r="AA79" i="34" s="1"/>
  <c r="AP79" i="34" s="1"/>
  <c r="V79" i="34"/>
  <c r="Z79" i="34" s="1"/>
  <c r="AH78" i="34"/>
  <c r="AG78" i="34"/>
  <c r="AF78" i="34"/>
  <c r="AE78" i="34"/>
  <c r="AI78" i="34" s="1"/>
  <c r="Y78" i="34"/>
  <c r="AC78" i="34" s="1"/>
  <c r="AR78" i="34" s="1"/>
  <c r="X78" i="34"/>
  <c r="AB78" i="34" s="1"/>
  <c r="AQ78" i="34" s="1"/>
  <c r="W78" i="34"/>
  <c r="AA78" i="34" s="1"/>
  <c r="AP78" i="34" s="1"/>
  <c r="V78" i="34"/>
  <c r="Z78" i="34" s="1"/>
  <c r="AH77" i="34"/>
  <c r="AG77" i="34"/>
  <c r="AF77" i="34"/>
  <c r="AE77" i="34"/>
  <c r="AI77" i="34" s="1"/>
  <c r="Y77" i="34"/>
  <c r="AC77" i="34" s="1"/>
  <c r="AR77" i="34" s="1"/>
  <c r="X77" i="34"/>
  <c r="AB77" i="34" s="1"/>
  <c r="AQ77" i="34" s="1"/>
  <c r="W77" i="34"/>
  <c r="AA77" i="34" s="1"/>
  <c r="AP77" i="34" s="1"/>
  <c r="V77" i="34"/>
  <c r="Z77" i="34" s="1"/>
  <c r="AH76" i="34"/>
  <c r="AG76" i="34"/>
  <c r="AF76" i="34"/>
  <c r="AE76" i="34"/>
  <c r="AI76" i="34" s="1"/>
  <c r="Y76" i="34"/>
  <c r="AC76" i="34" s="1"/>
  <c r="AR76" i="34" s="1"/>
  <c r="X76" i="34"/>
  <c r="AB76" i="34" s="1"/>
  <c r="AQ76" i="34" s="1"/>
  <c r="W76" i="34"/>
  <c r="AA76" i="34" s="1"/>
  <c r="AP76" i="34" s="1"/>
  <c r="V76" i="34"/>
  <c r="Z76" i="34" s="1"/>
  <c r="AH75" i="34"/>
  <c r="AG75" i="34"/>
  <c r="AF75" i="34"/>
  <c r="AE75" i="34"/>
  <c r="AI75" i="34" s="1"/>
  <c r="Y75" i="34"/>
  <c r="AC75" i="34" s="1"/>
  <c r="AR75" i="34" s="1"/>
  <c r="X75" i="34"/>
  <c r="AB75" i="34" s="1"/>
  <c r="AQ75" i="34" s="1"/>
  <c r="W75" i="34"/>
  <c r="AA75" i="34" s="1"/>
  <c r="AP75" i="34" s="1"/>
  <c r="V75" i="34"/>
  <c r="Z75" i="34" s="1"/>
  <c r="AH71" i="34"/>
  <c r="AG71" i="34"/>
  <c r="AF71" i="34"/>
  <c r="AE71" i="34"/>
  <c r="AI71" i="34" s="1"/>
  <c r="Y71" i="34"/>
  <c r="AC71" i="34" s="1"/>
  <c r="AR71" i="34" s="1"/>
  <c r="X71" i="34"/>
  <c r="AB71" i="34" s="1"/>
  <c r="AQ71" i="34" s="1"/>
  <c r="W71" i="34"/>
  <c r="AA71" i="34" s="1"/>
  <c r="AP71" i="34" s="1"/>
  <c r="V71" i="34"/>
  <c r="Z71" i="34" s="1"/>
  <c r="AH70" i="34"/>
  <c r="AG70" i="34"/>
  <c r="AF70" i="34"/>
  <c r="AE70" i="34"/>
  <c r="AI70" i="34" s="1"/>
  <c r="Y70" i="34"/>
  <c r="AC70" i="34" s="1"/>
  <c r="AR70" i="34" s="1"/>
  <c r="X70" i="34"/>
  <c r="AB70" i="34" s="1"/>
  <c r="AQ70" i="34" s="1"/>
  <c r="W70" i="34"/>
  <c r="AA70" i="34" s="1"/>
  <c r="AP70" i="34" s="1"/>
  <c r="V70" i="34"/>
  <c r="Z70" i="34" s="1"/>
  <c r="AH69" i="34"/>
  <c r="AG69" i="34"/>
  <c r="AF69" i="34"/>
  <c r="AE69" i="34"/>
  <c r="AI69" i="34" s="1"/>
  <c r="Y69" i="34"/>
  <c r="AC69" i="34" s="1"/>
  <c r="AR69" i="34" s="1"/>
  <c r="X69" i="34"/>
  <c r="AB69" i="34" s="1"/>
  <c r="AQ69" i="34" s="1"/>
  <c r="W69" i="34"/>
  <c r="AA69" i="34" s="1"/>
  <c r="AP69" i="34" s="1"/>
  <c r="V69" i="34"/>
  <c r="Z69" i="34" s="1"/>
  <c r="AH68" i="34"/>
  <c r="AG68" i="34"/>
  <c r="AF68" i="34"/>
  <c r="AE68" i="34"/>
  <c r="AI68" i="34" s="1"/>
  <c r="Y68" i="34"/>
  <c r="AC68" i="34" s="1"/>
  <c r="AR68" i="34" s="1"/>
  <c r="X68" i="34"/>
  <c r="AB68" i="34" s="1"/>
  <c r="AQ68" i="34" s="1"/>
  <c r="W68" i="34"/>
  <c r="AA68" i="34" s="1"/>
  <c r="AP68" i="34" s="1"/>
  <c r="V68" i="34"/>
  <c r="Z68" i="34" s="1"/>
  <c r="AH67" i="34"/>
  <c r="AG67" i="34"/>
  <c r="AF67" i="34"/>
  <c r="AE67" i="34"/>
  <c r="AI67" i="34" s="1"/>
  <c r="Y67" i="34"/>
  <c r="AC67" i="34" s="1"/>
  <c r="AR67" i="34" s="1"/>
  <c r="X67" i="34"/>
  <c r="AB67" i="34" s="1"/>
  <c r="AQ67" i="34" s="1"/>
  <c r="W67" i="34"/>
  <c r="AA67" i="34" s="1"/>
  <c r="AP67" i="34" s="1"/>
  <c r="V67" i="34"/>
  <c r="Z67" i="34" s="1"/>
  <c r="AH66" i="34"/>
  <c r="AG66" i="34"/>
  <c r="AF66" i="34"/>
  <c r="AE66" i="34"/>
  <c r="AI66" i="34" s="1"/>
  <c r="Y66" i="34"/>
  <c r="AC66" i="34" s="1"/>
  <c r="AR66" i="34" s="1"/>
  <c r="X66" i="34"/>
  <c r="AB66" i="34" s="1"/>
  <c r="AQ66" i="34" s="1"/>
  <c r="W66" i="34"/>
  <c r="AA66" i="34" s="1"/>
  <c r="AP66" i="34" s="1"/>
  <c r="V66" i="34"/>
  <c r="Z66" i="34" s="1"/>
  <c r="AH62" i="34"/>
  <c r="AG62" i="34"/>
  <c r="AF62" i="34"/>
  <c r="AE62" i="34"/>
  <c r="AI62" i="34" s="1"/>
  <c r="Y62" i="34"/>
  <c r="AC62" i="34" s="1"/>
  <c r="AR62" i="34" s="1"/>
  <c r="X62" i="34"/>
  <c r="AB62" i="34" s="1"/>
  <c r="AQ62" i="34" s="1"/>
  <c r="W62" i="34"/>
  <c r="AA62" i="34" s="1"/>
  <c r="AP62" i="34" s="1"/>
  <c r="V62" i="34"/>
  <c r="Z62" i="34" s="1"/>
  <c r="AH61" i="34"/>
  <c r="AG61" i="34"/>
  <c r="AF61" i="34"/>
  <c r="AE61" i="34"/>
  <c r="AI61" i="34" s="1"/>
  <c r="Y61" i="34"/>
  <c r="AC61" i="34" s="1"/>
  <c r="AR61" i="34" s="1"/>
  <c r="X61" i="34"/>
  <c r="AB61" i="34" s="1"/>
  <c r="AQ61" i="34" s="1"/>
  <c r="W61" i="34"/>
  <c r="AA61" i="34" s="1"/>
  <c r="AP61" i="34" s="1"/>
  <c r="V61" i="34"/>
  <c r="Z61" i="34" s="1"/>
  <c r="AH60" i="34"/>
  <c r="AG60" i="34"/>
  <c r="AF60" i="34"/>
  <c r="AE60" i="34"/>
  <c r="AI60" i="34" s="1"/>
  <c r="Y60" i="34"/>
  <c r="AC60" i="34" s="1"/>
  <c r="AR60" i="34" s="1"/>
  <c r="X60" i="34"/>
  <c r="AB60" i="34" s="1"/>
  <c r="AQ60" i="34" s="1"/>
  <c r="W60" i="34"/>
  <c r="AA60" i="34" s="1"/>
  <c r="AP60" i="34" s="1"/>
  <c r="V60" i="34"/>
  <c r="Z60" i="34" s="1"/>
  <c r="AH59" i="34"/>
  <c r="AG59" i="34"/>
  <c r="AF59" i="34"/>
  <c r="AE59" i="34"/>
  <c r="AI59" i="34" s="1"/>
  <c r="Y59" i="34"/>
  <c r="AC59" i="34" s="1"/>
  <c r="AR59" i="34" s="1"/>
  <c r="X59" i="34"/>
  <c r="AB59" i="34" s="1"/>
  <c r="AQ59" i="34" s="1"/>
  <c r="W59" i="34"/>
  <c r="AA59" i="34" s="1"/>
  <c r="AP59" i="34" s="1"/>
  <c r="V59" i="34"/>
  <c r="Z59" i="34" s="1"/>
  <c r="AH58" i="34"/>
  <c r="AG58" i="34"/>
  <c r="AF58" i="34"/>
  <c r="AE58" i="34"/>
  <c r="AI58" i="34" s="1"/>
  <c r="Y58" i="34"/>
  <c r="AC58" i="34" s="1"/>
  <c r="AR58" i="34" s="1"/>
  <c r="X58" i="34"/>
  <c r="AB58" i="34" s="1"/>
  <c r="AQ58" i="34" s="1"/>
  <c r="W58" i="34"/>
  <c r="AA58" i="34" s="1"/>
  <c r="AP58" i="34" s="1"/>
  <c r="V58" i="34"/>
  <c r="Z58" i="34" s="1"/>
  <c r="AH57" i="34"/>
  <c r="AG57" i="34"/>
  <c r="AF57" i="34"/>
  <c r="AE57" i="34"/>
  <c r="AI57" i="34" s="1"/>
  <c r="Y57" i="34"/>
  <c r="AC57" i="34" s="1"/>
  <c r="AR57" i="34" s="1"/>
  <c r="X57" i="34"/>
  <c r="AB57" i="34" s="1"/>
  <c r="AQ57" i="34" s="1"/>
  <c r="W57" i="34"/>
  <c r="AA57" i="34" s="1"/>
  <c r="AP57" i="34" s="1"/>
  <c r="V57" i="34"/>
  <c r="Z57" i="34" s="1"/>
  <c r="AH53" i="34"/>
  <c r="AG53" i="34"/>
  <c r="AF53" i="34"/>
  <c r="AE53" i="34"/>
  <c r="AI53" i="34" s="1"/>
  <c r="Y53" i="34"/>
  <c r="AC53" i="34" s="1"/>
  <c r="AR53" i="34" s="1"/>
  <c r="X53" i="34"/>
  <c r="AB53" i="34" s="1"/>
  <c r="AQ53" i="34" s="1"/>
  <c r="W53" i="34"/>
  <c r="AA53" i="34" s="1"/>
  <c r="AP53" i="34" s="1"/>
  <c r="V53" i="34"/>
  <c r="Z53" i="34" s="1"/>
  <c r="AH52" i="34"/>
  <c r="AG52" i="34"/>
  <c r="AF52" i="34"/>
  <c r="AE52" i="34"/>
  <c r="AI52" i="34" s="1"/>
  <c r="Y52" i="34"/>
  <c r="AC52" i="34" s="1"/>
  <c r="AR52" i="34" s="1"/>
  <c r="X52" i="34"/>
  <c r="AB52" i="34" s="1"/>
  <c r="AQ52" i="34" s="1"/>
  <c r="W52" i="34"/>
  <c r="AA52" i="34" s="1"/>
  <c r="AP52" i="34" s="1"/>
  <c r="V52" i="34"/>
  <c r="Z52" i="34" s="1"/>
  <c r="AH51" i="34"/>
  <c r="AG51" i="34"/>
  <c r="AF51" i="34"/>
  <c r="AE51" i="34"/>
  <c r="AI51" i="34" s="1"/>
  <c r="Y51" i="34"/>
  <c r="AC51" i="34" s="1"/>
  <c r="AR51" i="34" s="1"/>
  <c r="X51" i="34"/>
  <c r="AB51" i="34" s="1"/>
  <c r="AQ51" i="34" s="1"/>
  <c r="W51" i="34"/>
  <c r="AA51" i="34" s="1"/>
  <c r="AP51" i="34" s="1"/>
  <c r="V51" i="34"/>
  <c r="Z51" i="34" s="1"/>
  <c r="AH50" i="34"/>
  <c r="AG50" i="34"/>
  <c r="AF50" i="34"/>
  <c r="AE50" i="34"/>
  <c r="AI50" i="34" s="1"/>
  <c r="Y50" i="34"/>
  <c r="AC50" i="34" s="1"/>
  <c r="AR50" i="34" s="1"/>
  <c r="X50" i="34"/>
  <c r="AB50" i="34" s="1"/>
  <c r="AQ50" i="34" s="1"/>
  <c r="W50" i="34"/>
  <c r="AA50" i="34" s="1"/>
  <c r="AP50" i="34" s="1"/>
  <c r="V50" i="34"/>
  <c r="Z50" i="34" s="1"/>
  <c r="AH49" i="34"/>
  <c r="AG49" i="34"/>
  <c r="AF49" i="34"/>
  <c r="AE49" i="34"/>
  <c r="AI49" i="34" s="1"/>
  <c r="Y49" i="34"/>
  <c r="AC49" i="34" s="1"/>
  <c r="AR49" i="34" s="1"/>
  <c r="X49" i="34"/>
  <c r="AB49" i="34" s="1"/>
  <c r="AQ49" i="34" s="1"/>
  <c r="W49" i="34"/>
  <c r="AA49" i="34" s="1"/>
  <c r="AP49" i="34" s="1"/>
  <c r="V49" i="34"/>
  <c r="Z49" i="34" s="1"/>
  <c r="AH48" i="34"/>
  <c r="AG48" i="34"/>
  <c r="AF48" i="34"/>
  <c r="AE48" i="34"/>
  <c r="AI48" i="34" s="1"/>
  <c r="Y48" i="34"/>
  <c r="AC48" i="34" s="1"/>
  <c r="AR48" i="34" s="1"/>
  <c r="X48" i="34"/>
  <c r="AB48" i="34" s="1"/>
  <c r="AQ48" i="34" s="1"/>
  <c r="W48" i="34"/>
  <c r="AA48" i="34" s="1"/>
  <c r="AP48" i="34" s="1"/>
  <c r="V48" i="34"/>
  <c r="Z48" i="34" s="1"/>
  <c r="AH44" i="34"/>
  <c r="AG44" i="34"/>
  <c r="AF44" i="34"/>
  <c r="AE44" i="34"/>
  <c r="AI44" i="34" s="1"/>
  <c r="Y44" i="34"/>
  <c r="AC44" i="34" s="1"/>
  <c r="AR44" i="34" s="1"/>
  <c r="X44" i="34"/>
  <c r="AB44" i="34" s="1"/>
  <c r="AQ44" i="34" s="1"/>
  <c r="W44" i="34"/>
  <c r="AA44" i="34" s="1"/>
  <c r="AP44" i="34" s="1"/>
  <c r="V44" i="34"/>
  <c r="Z44" i="34" s="1"/>
  <c r="AH43" i="34"/>
  <c r="AG43" i="34"/>
  <c r="AF43" i="34"/>
  <c r="AE43" i="34"/>
  <c r="AI43" i="34" s="1"/>
  <c r="Y43" i="34"/>
  <c r="AC43" i="34" s="1"/>
  <c r="AR43" i="34" s="1"/>
  <c r="X43" i="34"/>
  <c r="AB43" i="34" s="1"/>
  <c r="AQ43" i="34" s="1"/>
  <c r="W43" i="34"/>
  <c r="AA43" i="34" s="1"/>
  <c r="AP43" i="34" s="1"/>
  <c r="V43" i="34"/>
  <c r="Z43" i="34" s="1"/>
  <c r="AH42" i="34"/>
  <c r="AG42" i="34"/>
  <c r="AF42" i="34"/>
  <c r="AE42" i="34"/>
  <c r="AI42" i="34" s="1"/>
  <c r="Y42" i="34"/>
  <c r="AC42" i="34" s="1"/>
  <c r="AR42" i="34" s="1"/>
  <c r="X42" i="34"/>
  <c r="AB42" i="34" s="1"/>
  <c r="AQ42" i="34" s="1"/>
  <c r="W42" i="34"/>
  <c r="AA42" i="34" s="1"/>
  <c r="AP42" i="34" s="1"/>
  <c r="V42" i="34"/>
  <c r="Z42" i="34" s="1"/>
  <c r="AH41" i="34"/>
  <c r="AG41" i="34"/>
  <c r="AF41" i="34"/>
  <c r="AE41" i="34"/>
  <c r="AI41" i="34" s="1"/>
  <c r="Y41" i="34"/>
  <c r="AC41" i="34" s="1"/>
  <c r="AR41" i="34" s="1"/>
  <c r="X41" i="34"/>
  <c r="AB41" i="34" s="1"/>
  <c r="AQ41" i="34" s="1"/>
  <c r="W41" i="34"/>
  <c r="AA41" i="34" s="1"/>
  <c r="AP41" i="34" s="1"/>
  <c r="V41" i="34"/>
  <c r="Z41" i="34" s="1"/>
  <c r="AH40" i="34"/>
  <c r="AG40" i="34"/>
  <c r="AF40" i="34"/>
  <c r="AE40" i="34"/>
  <c r="AI40" i="34" s="1"/>
  <c r="Y40" i="34"/>
  <c r="AC40" i="34" s="1"/>
  <c r="AR40" i="34" s="1"/>
  <c r="X40" i="34"/>
  <c r="AB40" i="34" s="1"/>
  <c r="AQ40" i="34" s="1"/>
  <c r="W40" i="34"/>
  <c r="AA40" i="34" s="1"/>
  <c r="AP40" i="34" s="1"/>
  <c r="V40" i="34"/>
  <c r="Z40" i="34" s="1"/>
  <c r="AH39" i="34"/>
  <c r="AG39" i="34"/>
  <c r="AF39" i="34"/>
  <c r="AE39" i="34"/>
  <c r="AI39" i="34" s="1"/>
  <c r="Y39" i="34"/>
  <c r="AC39" i="34" s="1"/>
  <c r="AR39" i="34" s="1"/>
  <c r="X39" i="34"/>
  <c r="AB39" i="34" s="1"/>
  <c r="AQ39" i="34" s="1"/>
  <c r="W39" i="34"/>
  <c r="AA39" i="34" s="1"/>
  <c r="AP39" i="34" s="1"/>
  <c r="V39" i="34"/>
  <c r="Z39" i="34" s="1"/>
  <c r="AH35" i="34"/>
  <c r="AG35" i="34"/>
  <c r="AF35" i="34"/>
  <c r="AE35" i="34"/>
  <c r="AI35" i="34" s="1"/>
  <c r="Y35" i="34"/>
  <c r="AC35" i="34" s="1"/>
  <c r="AR35" i="34" s="1"/>
  <c r="X35" i="34"/>
  <c r="AB35" i="34" s="1"/>
  <c r="AQ35" i="34" s="1"/>
  <c r="W35" i="34"/>
  <c r="AA35" i="34" s="1"/>
  <c r="AP35" i="34" s="1"/>
  <c r="V35" i="34"/>
  <c r="Z35" i="34" s="1"/>
  <c r="AH34" i="34"/>
  <c r="AG34" i="34"/>
  <c r="AF34" i="34"/>
  <c r="AE34" i="34"/>
  <c r="AI34" i="34" s="1"/>
  <c r="Y34" i="34"/>
  <c r="AC34" i="34" s="1"/>
  <c r="AR34" i="34" s="1"/>
  <c r="X34" i="34"/>
  <c r="AB34" i="34" s="1"/>
  <c r="AQ34" i="34" s="1"/>
  <c r="W34" i="34"/>
  <c r="AA34" i="34" s="1"/>
  <c r="AP34" i="34" s="1"/>
  <c r="V34" i="34"/>
  <c r="Z34" i="34" s="1"/>
  <c r="AH33" i="34"/>
  <c r="AG33" i="34"/>
  <c r="AF33" i="34"/>
  <c r="AE33" i="34"/>
  <c r="AI33" i="34" s="1"/>
  <c r="Y33" i="34"/>
  <c r="AC33" i="34" s="1"/>
  <c r="AR33" i="34" s="1"/>
  <c r="X33" i="34"/>
  <c r="AB33" i="34" s="1"/>
  <c r="AQ33" i="34" s="1"/>
  <c r="W33" i="34"/>
  <c r="AA33" i="34" s="1"/>
  <c r="AP33" i="34" s="1"/>
  <c r="V33" i="34"/>
  <c r="Z33" i="34" s="1"/>
  <c r="AH32" i="34"/>
  <c r="AG32" i="34"/>
  <c r="AF32" i="34"/>
  <c r="AE32" i="34"/>
  <c r="AI32" i="34" s="1"/>
  <c r="Y32" i="34"/>
  <c r="AC32" i="34" s="1"/>
  <c r="AR32" i="34" s="1"/>
  <c r="X32" i="34"/>
  <c r="AB32" i="34" s="1"/>
  <c r="AQ32" i="34" s="1"/>
  <c r="W32" i="34"/>
  <c r="AA32" i="34" s="1"/>
  <c r="AP32" i="34" s="1"/>
  <c r="V32" i="34"/>
  <c r="Z32" i="34" s="1"/>
  <c r="AH31" i="34"/>
  <c r="AG31" i="34"/>
  <c r="AF31" i="34"/>
  <c r="AE31" i="34"/>
  <c r="AI31" i="34" s="1"/>
  <c r="Y31" i="34"/>
  <c r="AC31" i="34" s="1"/>
  <c r="AR31" i="34" s="1"/>
  <c r="X31" i="34"/>
  <c r="AB31" i="34" s="1"/>
  <c r="AQ31" i="34" s="1"/>
  <c r="W31" i="34"/>
  <c r="AA31" i="34" s="1"/>
  <c r="AP31" i="34" s="1"/>
  <c r="V31" i="34"/>
  <c r="Z31" i="34" s="1"/>
  <c r="AH30" i="34"/>
  <c r="AG30" i="34"/>
  <c r="AF30" i="34"/>
  <c r="AE30" i="34"/>
  <c r="AI30" i="34" s="1"/>
  <c r="Y30" i="34"/>
  <c r="AC30" i="34" s="1"/>
  <c r="AR30" i="34" s="1"/>
  <c r="X30" i="34"/>
  <c r="AB30" i="34" s="1"/>
  <c r="AQ30" i="34" s="1"/>
  <c r="W30" i="34"/>
  <c r="AA30" i="34" s="1"/>
  <c r="AP30" i="34" s="1"/>
  <c r="V30" i="34"/>
  <c r="Z30" i="34" s="1"/>
  <c r="AH26" i="34"/>
  <c r="AG26" i="34"/>
  <c r="AF26" i="34"/>
  <c r="AE26" i="34"/>
  <c r="AI26" i="34" s="1"/>
  <c r="Y26" i="34"/>
  <c r="AC26" i="34" s="1"/>
  <c r="AR26" i="34" s="1"/>
  <c r="X26" i="34"/>
  <c r="AB26" i="34" s="1"/>
  <c r="AQ26" i="34" s="1"/>
  <c r="W26" i="34"/>
  <c r="AA26" i="34" s="1"/>
  <c r="AP26" i="34" s="1"/>
  <c r="V26" i="34"/>
  <c r="Z26" i="34" s="1"/>
  <c r="AH25" i="34"/>
  <c r="AG25" i="34"/>
  <c r="AF25" i="34"/>
  <c r="AE25" i="34"/>
  <c r="AI25" i="34" s="1"/>
  <c r="Y25" i="34"/>
  <c r="AC25" i="34" s="1"/>
  <c r="AR25" i="34" s="1"/>
  <c r="X25" i="34"/>
  <c r="AB25" i="34" s="1"/>
  <c r="AQ25" i="34" s="1"/>
  <c r="W25" i="34"/>
  <c r="AA25" i="34" s="1"/>
  <c r="AP25" i="34" s="1"/>
  <c r="V25" i="34"/>
  <c r="Z25" i="34" s="1"/>
  <c r="AH24" i="34"/>
  <c r="AG24" i="34"/>
  <c r="AF24" i="34"/>
  <c r="AE24" i="34"/>
  <c r="AI24" i="34" s="1"/>
  <c r="Y24" i="34"/>
  <c r="AC24" i="34" s="1"/>
  <c r="AR24" i="34" s="1"/>
  <c r="X24" i="34"/>
  <c r="AB24" i="34" s="1"/>
  <c r="AQ24" i="34" s="1"/>
  <c r="W24" i="34"/>
  <c r="AA24" i="34" s="1"/>
  <c r="AP24" i="34" s="1"/>
  <c r="V24" i="34"/>
  <c r="Z24" i="34" s="1"/>
  <c r="AH23" i="34"/>
  <c r="AG23" i="34"/>
  <c r="AF23" i="34"/>
  <c r="AE23" i="34"/>
  <c r="AI23" i="34" s="1"/>
  <c r="Y23" i="34"/>
  <c r="AC23" i="34" s="1"/>
  <c r="AR23" i="34" s="1"/>
  <c r="X23" i="34"/>
  <c r="AB23" i="34" s="1"/>
  <c r="AQ23" i="34" s="1"/>
  <c r="W23" i="34"/>
  <c r="AA23" i="34" s="1"/>
  <c r="AP23" i="34" s="1"/>
  <c r="V23" i="34"/>
  <c r="Z23" i="34" s="1"/>
  <c r="AH22" i="34"/>
  <c r="AG22" i="34"/>
  <c r="AF22" i="34"/>
  <c r="AE22" i="34"/>
  <c r="AI22" i="34" s="1"/>
  <c r="Y22" i="34"/>
  <c r="AC22" i="34" s="1"/>
  <c r="AR22" i="34" s="1"/>
  <c r="X22" i="34"/>
  <c r="AB22" i="34" s="1"/>
  <c r="AQ22" i="34" s="1"/>
  <c r="W22" i="34"/>
  <c r="AA22" i="34" s="1"/>
  <c r="AP22" i="34" s="1"/>
  <c r="V22" i="34"/>
  <c r="Z22" i="34" s="1"/>
  <c r="AH21" i="34"/>
  <c r="AG21" i="34"/>
  <c r="AF21" i="34"/>
  <c r="AE21" i="34"/>
  <c r="AI21" i="34" s="1"/>
  <c r="Y21" i="34"/>
  <c r="AC21" i="34" s="1"/>
  <c r="AR21" i="34" s="1"/>
  <c r="X21" i="34"/>
  <c r="AB21" i="34" s="1"/>
  <c r="AQ21" i="34" s="1"/>
  <c r="W21" i="34"/>
  <c r="AA21" i="34" s="1"/>
  <c r="AP21" i="34" s="1"/>
  <c r="V21" i="34"/>
  <c r="Z21" i="34" s="1"/>
  <c r="AH17" i="34"/>
  <c r="AG17" i="34"/>
  <c r="AF17" i="34"/>
  <c r="AE17" i="34"/>
  <c r="AI17" i="34" s="1"/>
  <c r="Y17" i="34"/>
  <c r="AC17" i="34" s="1"/>
  <c r="AR17" i="34" s="1"/>
  <c r="X17" i="34"/>
  <c r="AB17" i="34" s="1"/>
  <c r="AQ17" i="34" s="1"/>
  <c r="W17" i="34"/>
  <c r="AA17" i="34" s="1"/>
  <c r="AP17" i="34" s="1"/>
  <c r="V17" i="34"/>
  <c r="Z17" i="34" s="1"/>
  <c r="AH16" i="34"/>
  <c r="AG16" i="34"/>
  <c r="AF16" i="34"/>
  <c r="AE16" i="34"/>
  <c r="AI16" i="34" s="1"/>
  <c r="Y16" i="34"/>
  <c r="AC16" i="34" s="1"/>
  <c r="AR16" i="34" s="1"/>
  <c r="X16" i="34"/>
  <c r="AB16" i="34" s="1"/>
  <c r="AQ16" i="34" s="1"/>
  <c r="W16" i="34"/>
  <c r="AA16" i="34" s="1"/>
  <c r="AP16" i="34" s="1"/>
  <c r="V16" i="34"/>
  <c r="Z16" i="34" s="1"/>
  <c r="AH15" i="34"/>
  <c r="AG15" i="34"/>
  <c r="AF15" i="34"/>
  <c r="AE15" i="34"/>
  <c r="AI15" i="34" s="1"/>
  <c r="Y15" i="34"/>
  <c r="AC15" i="34" s="1"/>
  <c r="AR15" i="34" s="1"/>
  <c r="X15" i="34"/>
  <c r="AB15" i="34" s="1"/>
  <c r="AQ15" i="34" s="1"/>
  <c r="W15" i="34"/>
  <c r="AA15" i="34" s="1"/>
  <c r="AP15" i="34" s="1"/>
  <c r="V15" i="34"/>
  <c r="Z15" i="34" s="1"/>
  <c r="AH14" i="34"/>
  <c r="AG14" i="34"/>
  <c r="AF14" i="34"/>
  <c r="AE14" i="34"/>
  <c r="AI14" i="34" s="1"/>
  <c r="Y14" i="34"/>
  <c r="AC14" i="34" s="1"/>
  <c r="AR14" i="34" s="1"/>
  <c r="X14" i="34"/>
  <c r="AB14" i="34" s="1"/>
  <c r="AQ14" i="34" s="1"/>
  <c r="W14" i="34"/>
  <c r="AA14" i="34" s="1"/>
  <c r="AP14" i="34" s="1"/>
  <c r="V14" i="34"/>
  <c r="Z14" i="34" s="1"/>
  <c r="AH13" i="34"/>
  <c r="AG13" i="34"/>
  <c r="AF13" i="34"/>
  <c r="AE13" i="34"/>
  <c r="AI13" i="34" s="1"/>
  <c r="Y13" i="34"/>
  <c r="AC13" i="34" s="1"/>
  <c r="AR13" i="34" s="1"/>
  <c r="X13" i="34"/>
  <c r="AB13" i="34" s="1"/>
  <c r="AQ13" i="34" s="1"/>
  <c r="W13" i="34"/>
  <c r="AA13" i="34" s="1"/>
  <c r="AP13" i="34" s="1"/>
  <c r="V13" i="34"/>
  <c r="Z13" i="34" s="1"/>
  <c r="AH12" i="34"/>
  <c r="AG12" i="34"/>
  <c r="AF12" i="34"/>
  <c r="AE12" i="34"/>
  <c r="AI12" i="34" s="1"/>
  <c r="Y12" i="34"/>
  <c r="AC12" i="34" s="1"/>
  <c r="AR12" i="34" s="1"/>
  <c r="X12" i="34"/>
  <c r="AB12" i="34" s="1"/>
  <c r="AQ12" i="34" s="1"/>
  <c r="W12" i="34"/>
  <c r="AA12" i="34" s="1"/>
  <c r="AP12" i="34" s="1"/>
  <c r="V12" i="34"/>
  <c r="Z12" i="34" s="1"/>
  <c r="AJ12" i="34" l="1"/>
  <c r="AV12" i="34" s="1"/>
  <c r="AJ13" i="34"/>
  <c r="AV13" i="34" s="1"/>
  <c r="AJ14" i="34"/>
  <c r="AJ15" i="34"/>
  <c r="AV15" i="34" s="1"/>
  <c r="AJ16" i="34"/>
  <c r="AV16" i="34" s="1"/>
  <c r="AJ17" i="34"/>
  <c r="AV17" i="34" s="1"/>
  <c r="AJ21" i="34"/>
  <c r="AV21" i="34" s="1"/>
  <c r="AJ22" i="34"/>
  <c r="AV22" i="34" s="1"/>
  <c r="AJ23" i="34"/>
  <c r="AV23" i="34" s="1"/>
  <c r="AJ24" i="34"/>
  <c r="AV24" i="34" s="1"/>
  <c r="AJ25" i="34"/>
  <c r="AJ26" i="34"/>
  <c r="AV26" i="34" s="1"/>
  <c r="AJ30" i="34"/>
  <c r="AV30" i="34" s="1"/>
  <c r="AJ31" i="34"/>
  <c r="AV31" i="34" s="1"/>
  <c r="AJ32" i="34"/>
  <c r="AV32" i="34" s="1"/>
  <c r="AJ33" i="34"/>
  <c r="AV33" i="34" s="1"/>
  <c r="AJ34" i="34"/>
  <c r="AV34" i="34" s="1"/>
  <c r="AJ35" i="34"/>
  <c r="AV35" i="34" s="1"/>
  <c r="AJ39" i="34"/>
  <c r="AJ40" i="34"/>
  <c r="AV40" i="34" s="1"/>
  <c r="AJ41" i="34"/>
  <c r="AJ42" i="34"/>
  <c r="AV42" i="34" s="1"/>
  <c r="AJ43" i="34"/>
  <c r="AV43" i="34" s="1"/>
  <c r="AJ44" i="34"/>
  <c r="AV44" i="34" s="1"/>
  <c r="AJ48" i="34"/>
  <c r="AV48" i="34" s="1"/>
  <c r="AJ49" i="34"/>
  <c r="AV49" i="34" s="1"/>
  <c r="AJ50" i="34"/>
  <c r="AV50" i="34" s="1"/>
  <c r="AJ51" i="34"/>
  <c r="AV51" i="34" s="1"/>
  <c r="AJ52" i="34"/>
  <c r="AV52" i="34" s="1"/>
  <c r="AJ53" i="34"/>
  <c r="AV53" i="34" s="1"/>
  <c r="AJ57" i="34"/>
  <c r="AV57" i="34" s="1"/>
  <c r="AJ58" i="34"/>
  <c r="AV58" i="34" s="1"/>
  <c r="AJ59" i="34"/>
  <c r="AJ60" i="34"/>
  <c r="AV60" i="34" s="1"/>
  <c r="AJ61" i="34"/>
  <c r="AV61" i="34" s="1"/>
  <c r="AJ62" i="34"/>
  <c r="AV62" i="34" s="1"/>
  <c r="AJ66" i="34"/>
  <c r="AV66" i="34" s="1"/>
  <c r="AJ67" i="34"/>
  <c r="AV67" i="34" s="1"/>
  <c r="AJ68" i="34"/>
  <c r="AV68" i="34" s="1"/>
  <c r="AJ69" i="34"/>
  <c r="AV69" i="34" s="1"/>
  <c r="AJ70" i="34"/>
  <c r="AV70" i="34" s="1"/>
  <c r="AJ71" i="34"/>
  <c r="AV71" i="34" s="1"/>
  <c r="AJ75" i="34"/>
  <c r="AV75" i="34" s="1"/>
  <c r="AJ76" i="34"/>
  <c r="AV76" i="34" s="1"/>
  <c r="AJ77" i="34"/>
  <c r="AV77" i="34" s="1"/>
  <c r="AJ78" i="34"/>
  <c r="AV78" i="34" s="1"/>
  <c r="AJ79" i="34"/>
  <c r="AJ80" i="34"/>
  <c r="AV80" i="34" s="1"/>
  <c r="AJ84" i="34"/>
  <c r="AV84" i="34" s="1"/>
  <c r="AJ85" i="34"/>
  <c r="AV85" i="34" s="1"/>
  <c r="AJ86" i="34"/>
  <c r="AJ87" i="34"/>
  <c r="AV87" i="34" s="1"/>
  <c r="AJ88" i="34"/>
  <c r="AJ89" i="34"/>
  <c r="AV89" i="34" s="1"/>
  <c r="AJ93" i="34"/>
  <c r="AV93" i="34" s="1"/>
  <c r="AJ94" i="34"/>
  <c r="AV94" i="34" s="1"/>
  <c r="AJ95" i="34"/>
  <c r="AJ96" i="34"/>
  <c r="AV96" i="34" s="1"/>
  <c r="AJ97" i="34"/>
  <c r="AJ98" i="34"/>
  <c r="AV98" i="34" s="1"/>
  <c r="AJ102" i="34"/>
  <c r="AV102" i="34" s="1"/>
  <c r="AJ103" i="34"/>
  <c r="AV103" i="34" s="1"/>
  <c r="AJ104" i="34"/>
  <c r="AV104" i="34" s="1"/>
  <c r="AJ105" i="34"/>
  <c r="AV105" i="34" s="1"/>
  <c r="AJ106" i="34"/>
  <c r="AJ107" i="34"/>
  <c r="AV107" i="34" s="1"/>
  <c r="AJ111" i="34"/>
  <c r="AV111" i="34" s="1"/>
  <c r="AJ112" i="34"/>
  <c r="AV112" i="34" s="1"/>
  <c r="AJ113" i="34"/>
  <c r="AV113" i="34" s="1"/>
  <c r="AJ114" i="34"/>
  <c r="AV114" i="34" s="1"/>
  <c r="AJ115" i="34"/>
  <c r="AV115" i="34" s="1"/>
  <c r="AJ116" i="34"/>
  <c r="AV116" i="34" s="1"/>
  <c r="AV120" i="34"/>
  <c r="AJ120" i="34"/>
  <c r="AJ121" i="34"/>
  <c r="AV121" i="34" s="1"/>
  <c r="AJ122" i="34"/>
  <c r="AV122" i="34" s="1"/>
  <c r="AJ123" i="34"/>
  <c r="AV123" i="34" s="1"/>
  <c r="AJ124" i="34"/>
  <c r="AV124" i="34" s="1"/>
  <c r="AJ125" i="34"/>
  <c r="AV125" i="34" s="1"/>
  <c r="AJ129" i="34"/>
  <c r="AV129" i="34" s="1"/>
  <c r="AJ130" i="34"/>
  <c r="AJ131" i="34"/>
  <c r="AV131" i="34" s="1"/>
  <c r="AJ132" i="34"/>
  <c r="AJ133" i="34"/>
  <c r="AV133" i="34" s="1"/>
  <c r="AJ134" i="34"/>
  <c r="AV134" i="34" s="1"/>
  <c r="AJ138" i="34"/>
  <c r="AV138" i="34" s="1"/>
  <c r="AJ139" i="34"/>
  <c r="AV139" i="34" s="1"/>
  <c r="AJ140" i="34"/>
  <c r="AV140" i="34" s="1"/>
  <c r="AJ141" i="34"/>
  <c r="AV141" i="34" s="1"/>
  <c r="AJ142" i="34"/>
  <c r="AV142" i="34" s="1"/>
  <c r="AJ143" i="34"/>
  <c r="AV143" i="34" s="1"/>
  <c r="AJ147" i="34"/>
  <c r="AJ148" i="34"/>
  <c r="AV148" i="34" s="1"/>
  <c r="AJ149" i="34"/>
  <c r="AV149" i="34" s="1"/>
  <c r="AJ150" i="34"/>
  <c r="AV150" i="34" s="1"/>
  <c r="AJ151" i="34"/>
  <c r="AJ152" i="34"/>
  <c r="AV152" i="34" s="1"/>
  <c r="AJ156" i="34"/>
  <c r="AV156" i="34" s="1"/>
  <c r="AJ157" i="34"/>
  <c r="AV157" i="34" s="1"/>
  <c r="AJ158" i="34"/>
  <c r="AJ159" i="34"/>
  <c r="AV159" i="34" s="1"/>
  <c r="AJ160" i="34"/>
  <c r="AJ161" i="34"/>
  <c r="AV161" i="34" s="1"/>
  <c r="AJ165" i="34"/>
  <c r="AV165" i="34" s="1"/>
  <c r="AJ166" i="34"/>
  <c r="AV166" i="34" s="1"/>
  <c r="AJ167" i="34"/>
  <c r="AV167" i="34" s="1"/>
  <c r="AJ168" i="34"/>
  <c r="AV168" i="34" s="1"/>
  <c r="AJ169" i="34"/>
  <c r="AJ170" i="34"/>
  <c r="AV170" i="34" s="1"/>
  <c r="AK12" i="34"/>
  <c r="AW12" i="34" s="1"/>
  <c r="AK13" i="34"/>
  <c r="AW13" i="34" s="1"/>
  <c r="AK14" i="34"/>
  <c r="AW14" i="34" s="1"/>
  <c r="AK15" i="34"/>
  <c r="AW15" i="34" s="1"/>
  <c r="AK16" i="34"/>
  <c r="AW16" i="34" s="1"/>
  <c r="AK17" i="34"/>
  <c r="AW17" i="34" s="1"/>
  <c r="AK21" i="34"/>
  <c r="AW21" i="34" s="1"/>
  <c r="AK22" i="34"/>
  <c r="AW22" i="34" s="1"/>
  <c r="AK23" i="34"/>
  <c r="AK24" i="34"/>
  <c r="AW24" i="34" s="1"/>
  <c r="AK25" i="34"/>
  <c r="AW25" i="34" s="1"/>
  <c r="AK26" i="34"/>
  <c r="AW26" i="34" s="1"/>
  <c r="AK30" i="34"/>
  <c r="AW30" i="34" s="1"/>
  <c r="AK31" i="34"/>
  <c r="AW31" i="34" s="1"/>
  <c r="AK32" i="34"/>
  <c r="AW32" i="34" s="1"/>
  <c r="AK33" i="34"/>
  <c r="AW33" i="34" s="1"/>
  <c r="AK34" i="34"/>
  <c r="AW34" i="34" s="1"/>
  <c r="AK35" i="34"/>
  <c r="AW35" i="34" s="1"/>
  <c r="AK39" i="34"/>
  <c r="AW39" i="34" s="1"/>
  <c r="AK40" i="34"/>
  <c r="AW40" i="34" s="1"/>
  <c r="AK41" i="34"/>
  <c r="AW41" i="34" s="1"/>
  <c r="AK42" i="34"/>
  <c r="AW42" i="34" s="1"/>
  <c r="AK43" i="34"/>
  <c r="AW43" i="34" s="1"/>
  <c r="AK44" i="34"/>
  <c r="AW44" i="34" s="1"/>
  <c r="AK48" i="34"/>
  <c r="AW48" i="34" s="1"/>
  <c r="AK49" i="34"/>
  <c r="AW49" i="34" s="1"/>
  <c r="AK50" i="34"/>
  <c r="AK51" i="34"/>
  <c r="AW51" i="34" s="1"/>
  <c r="AK52" i="34"/>
  <c r="AW52" i="34" s="1"/>
  <c r="AK53" i="34"/>
  <c r="AW53" i="34" s="1"/>
  <c r="AK57" i="34"/>
  <c r="AW57" i="34" s="1"/>
  <c r="AK58" i="34"/>
  <c r="AW58" i="34" s="1"/>
  <c r="AK59" i="34"/>
  <c r="AW59" i="34" s="1"/>
  <c r="AK60" i="34"/>
  <c r="AW60" i="34" s="1"/>
  <c r="AK61" i="34"/>
  <c r="AW61" i="34" s="1"/>
  <c r="AK62" i="34"/>
  <c r="AW62" i="34" s="1"/>
  <c r="AK66" i="34"/>
  <c r="AW66" i="34" s="1"/>
  <c r="AK67" i="34"/>
  <c r="AW67" i="34" s="1"/>
  <c r="AK68" i="34"/>
  <c r="AW68" i="34" s="1"/>
  <c r="AK69" i="34"/>
  <c r="AW69" i="34" s="1"/>
  <c r="AK70" i="34"/>
  <c r="AW70" i="34" s="1"/>
  <c r="AK71" i="34"/>
  <c r="AW71" i="34" s="1"/>
  <c r="AK75" i="34"/>
  <c r="AW75" i="34" s="1"/>
  <c r="AK76" i="34"/>
  <c r="AW76" i="34" s="1"/>
  <c r="AK77" i="34"/>
  <c r="AW77" i="34" s="1"/>
  <c r="AK78" i="34"/>
  <c r="AW78" i="34" s="1"/>
  <c r="AK79" i="34"/>
  <c r="AW79" i="34" s="1"/>
  <c r="AK80" i="34"/>
  <c r="AW80" i="34" s="1"/>
  <c r="AK84" i="34"/>
  <c r="AW84" i="34" s="1"/>
  <c r="AK85" i="34"/>
  <c r="AW85" i="34" s="1"/>
  <c r="AK86" i="34"/>
  <c r="AW86" i="34" s="1"/>
  <c r="AK87" i="34"/>
  <c r="AW87" i="34" s="1"/>
  <c r="AK88" i="34"/>
  <c r="AW88" i="34" s="1"/>
  <c r="AK89" i="34"/>
  <c r="AW89" i="34" s="1"/>
  <c r="AK93" i="34"/>
  <c r="AW93" i="34" s="1"/>
  <c r="AK94" i="34"/>
  <c r="AW94" i="34" s="1"/>
  <c r="AK95" i="34"/>
  <c r="AW95" i="34" s="1"/>
  <c r="AK96" i="34"/>
  <c r="AW96" i="34" s="1"/>
  <c r="AK97" i="34"/>
  <c r="AW97" i="34" s="1"/>
  <c r="AK98" i="34"/>
  <c r="AW98" i="34" s="1"/>
  <c r="AK102" i="34"/>
  <c r="AW102" i="34" s="1"/>
  <c r="AK103" i="34"/>
  <c r="AW103" i="34" s="1"/>
  <c r="AK104" i="34"/>
  <c r="AW104" i="34" s="1"/>
  <c r="AK105" i="34"/>
  <c r="AW105" i="34" s="1"/>
  <c r="AK106" i="34"/>
  <c r="AW106" i="34" s="1"/>
  <c r="AK107" i="34"/>
  <c r="AW107" i="34" s="1"/>
  <c r="AK111" i="34"/>
  <c r="AW111" i="34" s="1"/>
  <c r="AK112" i="34"/>
  <c r="AW112" i="34" s="1"/>
  <c r="AK113" i="34"/>
  <c r="AW113" i="34" s="1"/>
  <c r="AK114" i="34"/>
  <c r="AW114" i="34" s="1"/>
  <c r="AK115" i="34"/>
  <c r="AK116" i="34"/>
  <c r="AW116" i="34" s="1"/>
  <c r="AK120" i="34"/>
  <c r="AW120" i="34" s="1"/>
  <c r="AK121" i="34"/>
  <c r="AW121" i="34" s="1"/>
  <c r="AK122" i="34"/>
  <c r="AW122" i="34" s="1"/>
  <c r="AK123" i="34"/>
  <c r="AW123" i="34" s="1"/>
  <c r="AK124" i="34"/>
  <c r="AW124" i="34" s="1"/>
  <c r="AK125" i="34"/>
  <c r="AW125" i="34" s="1"/>
  <c r="AK129" i="34"/>
  <c r="AW129" i="34" s="1"/>
  <c r="AK130" i="34"/>
  <c r="AW130" i="34" s="1"/>
  <c r="AK131" i="34"/>
  <c r="AW131" i="34" s="1"/>
  <c r="AK132" i="34"/>
  <c r="AW132" i="34" s="1"/>
  <c r="AK133" i="34"/>
  <c r="AK134" i="34"/>
  <c r="AW134" i="34" s="1"/>
  <c r="AK138" i="34"/>
  <c r="AW138" i="34" s="1"/>
  <c r="AK139" i="34"/>
  <c r="AW139" i="34" s="1"/>
  <c r="AK140" i="34"/>
  <c r="AW140" i="34" s="1"/>
  <c r="AK141" i="34"/>
  <c r="AW141" i="34" s="1"/>
  <c r="AK142" i="34"/>
  <c r="AW142" i="34" s="1"/>
  <c r="AK143" i="34"/>
  <c r="AW143" i="34" s="1"/>
  <c r="AK147" i="34"/>
  <c r="AW147" i="34" s="1"/>
  <c r="AK148" i="34"/>
  <c r="AW148" i="34" s="1"/>
  <c r="AK149" i="34"/>
  <c r="AW149" i="34" s="1"/>
  <c r="AK150" i="34"/>
  <c r="AW150" i="34" s="1"/>
  <c r="AK151" i="34"/>
  <c r="AW151" i="34" s="1"/>
  <c r="AK152" i="34"/>
  <c r="AW152" i="34" s="1"/>
  <c r="AK156" i="34"/>
  <c r="AW156" i="34" s="1"/>
  <c r="AK157" i="34"/>
  <c r="AW157" i="34" s="1"/>
  <c r="AK158" i="34"/>
  <c r="AW158" i="34" s="1"/>
  <c r="AK159" i="34"/>
  <c r="AW159" i="34" s="1"/>
  <c r="AK160" i="34"/>
  <c r="AW160" i="34" s="1"/>
  <c r="AK161" i="34"/>
  <c r="AW161" i="34" s="1"/>
  <c r="AK165" i="34"/>
  <c r="AW165" i="34" s="1"/>
  <c r="AK166" i="34"/>
  <c r="AW166" i="34" s="1"/>
  <c r="AK167" i="34"/>
  <c r="AW167" i="34" s="1"/>
  <c r="AK168" i="34"/>
  <c r="AW168" i="34" s="1"/>
  <c r="AK169" i="34"/>
  <c r="AW169" i="34" s="1"/>
  <c r="AK170" i="34"/>
  <c r="AW170" i="34" s="1"/>
  <c r="AL12" i="34"/>
  <c r="AX12" i="34" s="1"/>
  <c r="AL13" i="34"/>
  <c r="AX13" i="34" s="1"/>
  <c r="AL14" i="34"/>
  <c r="AX14" i="34" s="1"/>
  <c r="AL15" i="34"/>
  <c r="AX15" i="34" s="1"/>
  <c r="AL16" i="34"/>
  <c r="AX16" i="34" s="1"/>
  <c r="AL17" i="34"/>
  <c r="AX17" i="34" s="1"/>
  <c r="AL21" i="34"/>
  <c r="AX21" i="34" s="1"/>
  <c r="AL22" i="34"/>
  <c r="AX22" i="34" s="1"/>
  <c r="AL23" i="34"/>
  <c r="AX23" i="34" s="1"/>
  <c r="AL24" i="34"/>
  <c r="AX24" i="34" s="1"/>
  <c r="AL25" i="34"/>
  <c r="AX25" i="34" s="1"/>
  <c r="AL26" i="34"/>
  <c r="AX26" i="34" s="1"/>
  <c r="AL30" i="34"/>
  <c r="AX30" i="34" s="1"/>
  <c r="AL31" i="34"/>
  <c r="AX31" i="34" s="1"/>
  <c r="AL32" i="34"/>
  <c r="AX32" i="34" s="1"/>
  <c r="AL33" i="34"/>
  <c r="AX33" i="34" s="1"/>
  <c r="AL34" i="34"/>
  <c r="AX34" i="34" s="1"/>
  <c r="AL35" i="34"/>
  <c r="AX35" i="34" s="1"/>
  <c r="AL39" i="34"/>
  <c r="AX39" i="34" s="1"/>
  <c r="AL40" i="34"/>
  <c r="AX40" i="34" s="1"/>
  <c r="AL41" i="34"/>
  <c r="AX41" i="34" s="1"/>
  <c r="AL42" i="34"/>
  <c r="AX42" i="34" s="1"/>
  <c r="AL43" i="34"/>
  <c r="AX43" i="34" s="1"/>
  <c r="AL44" i="34"/>
  <c r="AX44" i="34" s="1"/>
  <c r="AL48" i="34"/>
  <c r="AX48" i="34" s="1"/>
  <c r="AL49" i="34"/>
  <c r="AX49" i="34" s="1"/>
  <c r="AL50" i="34"/>
  <c r="AX50" i="34" s="1"/>
  <c r="AL51" i="34"/>
  <c r="AX51" i="34" s="1"/>
  <c r="AL52" i="34"/>
  <c r="AX52" i="34" s="1"/>
  <c r="AL53" i="34"/>
  <c r="AX53" i="34" s="1"/>
  <c r="AL57" i="34"/>
  <c r="AX57" i="34" s="1"/>
  <c r="AL58" i="34"/>
  <c r="AX58" i="34" s="1"/>
  <c r="AL59" i="34"/>
  <c r="AX59" i="34" s="1"/>
  <c r="AL60" i="34"/>
  <c r="AX60" i="34" s="1"/>
  <c r="AL61" i="34"/>
  <c r="AX61" i="34" s="1"/>
  <c r="AL62" i="34"/>
  <c r="AX62" i="34" s="1"/>
  <c r="AL66" i="34"/>
  <c r="AX66" i="34" s="1"/>
  <c r="AL67" i="34"/>
  <c r="AX67" i="34" s="1"/>
  <c r="AL68" i="34"/>
  <c r="AX68" i="34" s="1"/>
  <c r="AL69" i="34"/>
  <c r="AX69" i="34" s="1"/>
  <c r="AL70" i="34"/>
  <c r="AX70" i="34" s="1"/>
  <c r="AL71" i="34"/>
  <c r="AX71" i="34" s="1"/>
  <c r="AL75" i="34"/>
  <c r="AX75" i="34" s="1"/>
  <c r="AL76" i="34"/>
  <c r="AX76" i="34" s="1"/>
  <c r="AL77" i="34"/>
  <c r="AX77" i="34" s="1"/>
  <c r="AL78" i="34"/>
  <c r="AX78" i="34" s="1"/>
  <c r="AL79" i="34"/>
  <c r="AX79" i="34" s="1"/>
  <c r="AL80" i="34"/>
  <c r="AX80" i="34" s="1"/>
  <c r="AL84" i="34"/>
  <c r="AX84" i="34" s="1"/>
  <c r="AL85" i="34"/>
  <c r="AX85" i="34" s="1"/>
  <c r="AL86" i="34"/>
  <c r="AX86" i="34" s="1"/>
  <c r="AL87" i="34"/>
  <c r="AX87" i="34" s="1"/>
  <c r="AL88" i="34"/>
  <c r="AX88" i="34" s="1"/>
  <c r="AL89" i="34"/>
  <c r="AX89" i="34" s="1"/>
  <c r="AL93" i="34"/>
  <c r="AX93" i="34" s="1"/>
  <c r="AL94" i="34"/>
  <c r="AX94" i="34" s="1"/>
  <c r="AL95" i="34"/>
  <c r="AX95" i="34" s="1"/>
  <c r="AL96" i="34"/>
  <c r="AX96" i="34" s="1"/>
  <c r="AL97" i="34"/>
  <c r="AX97" i="34" s="1"/>
  <c r="AL98" i="34"/>
  <c r="AX98" i="34" s="1"/>
  <c r="AL102" i="34"/>
  <c r="AX102" i="34" s="1"/>
  <c r="AL103" i="34"/>
  <c r="AX103" i="34" s="1"/>
  <c r="AL104" i="34"/>
  <c r="AX104" i="34" s="1"/>
  <c r="AL105" i="34"/>
  <c r="AX105" i="34" s="1"/>
  <c r="AL106" i="34"/>
  <c r="AX106" i="34" s="1"/>
  <c r="AL107" i="34"/>
  <c r="AX107" i="34" s="1"/>
  <c r="AL111" i="34"/>
  <c r="AL112" i="34"/>
  <c r="AX112" i="34" s="1"/>
  <c r="AL113" i="34"/>
  <c r="AX113" i="34" s="1"/>
  <c r="AL114" i="34"/>
  <c r="AX114" i="34" s="1"/>
  <c r="AL115" i="34"/>
  <c r="AX115" i="34" s="1"/>
  <c r="AL116" i="34"/>
  <c r="AX116" i="34" s="1"/>
  <c r="AL120" i="34"/>
  <c r="AX120" i="34" s="1"/>
  <c r="AL121" i="34"/>
  <c r="AX121" i="34" s="1"/>
  <c r="AL122" i="34"/>
  <c r="AX122" i="34" s="1"/>
  <c r="AL123" i="34"/>
  <c r="AX123" i="34" s="1"/>
  <c r="AL124" i="34"/>
  <c r="AX124" i="34" s="1"/>
  <c r="AL125" i="34"/>
  <c r="AX125" i="34" s="1"/>
  <c r="AL129" i="34"/>
  <c r="AX129" i="34" s="1"/>
  <c r="AL130" i="34"/>
  <c r="AX130" i="34" s="1"/>
  <c r="AL131" i="34"/>
  <c r="AX131" i="34" s="1"/>
  <c r="AL132" i="34"/>
  <c r="AX132" i="34" s="1"/>
  <c r="AL133" i="34"/>
  <c r="AX133" i="34" s="1"/>
  <c r="AL134" i="34"/>
  <c r="AX134" i="34" s="1"/>
  <c r="AL138" i="34"/>
  <c r="AX138" i="34" s="1"/>
  <c r="AL139" i="34"/>
  <c r="AX139" i="34" s="1"/>
  <c r="AL140" i="34"/>
  <c r="AX140" i="34" s="1"/>
  <c r="AL141" i="34"/>
  <c r="AX141" i="34" s="1"/>
  <c r="AL142" i="34"/>
  <c r="AX142" i="34" s="1"/>
  <c r="AL143" i="34"/>
  <c r="AX143" i="34" s="1"/>
  <c r="AL147" i="34"/>
  <c r="AX147" i="34" s="1"/>
  <c r="AL148" i="34"/>
  <c r="AX148" i="34" s="1"/>
  <c r="AL149" i="34"/>
  <c r="AX149" i="34" s="1"/>
  <c r="AL150" i="34"/>
  <c r="AX150" i="34" s="1"/>
  <c r="AL151" i="34"/>
  <c r="AX151" i="34" s="1"/>
  <c r="AL152" i="34"/>
  <c r="AX152" i="34" s="1"/>
  <c r="AL156" i="34"/>
  <c r="AX156" i="34" s="1"/>
  <c r="AL157" i="34"/>
  <c r="AX157" i="34" s="1"/>
  <c r="AL158" i="34"/>
  <c r="AX158" i="34" s="1"/>
  <c r="AL159" i="34"/>
  <c r="AX159" i="34" s="1"/>
  <c r="AL160" i="34"/>
  <c r="AX160" i="34" s="1"/>
  <c r="AL161" i="34"/>
  <c r="AX161" i="34" s="1"/>
  <c r="AL165" i="34"/>
  <c r="AX165" i="34" s="1"/>
  <c r="AL166" i="34"/>
  <c r="AX166" i="34" s="1"/>
  <c r="AL167" i="34"/>
  <c r="AX167" i="34" s="1"/>
  <c r="AL168" i="34"/>
  <c r="AX168" i="34" s="1"/>
  <c r="AL169" i="34"/>
  <c r="AX169" i="34" s="1"/>
  <c r="AL170" i="34"/>
  <c r="AX170" i="34" s="1"/>
  <c r="AO12" i="34"/>
  <c r="AS12" i="34" s="1"/>
  <c r="AD12" i="34"/>
  <c r="AU12" i="34"/>
  <c r="AO13" i="34"/>
  <c r="AS13" i="34" s="1"/>
  <c r="AD13" i="34"/>
  <c r="AU13" i="34"/>
  <c r="AO14" i="34"/>
  <c r="AS14" i="34" s="1"/>
  <c r="AD14" i="34"/>
  <c r="AU14" i="34"/>
  <c r="AO15" i="34"/>
  <c r="AS15" i="34" s="1"/>
  <c r="AD15" i="34"/>
  <c r="AU15" i="34"/>
  <c r="AO16" i="34"/>
  <c r="AS16" i="34" s="1"/>
  <c r="AD16" i="34"/>
  <c r="AU16" i="34"/>
  <c r="AO17" i="34"/>
  <c r="AS17" i="34" s="1"/>
  <c r="AD17" i="34"/>
  <c r="AU17" i="34"/>
  <c r="AO21" i="34"/>
  <c r="AS21" i="34" s="1"/>
  <c r="AD21" i="34"/>
  <c r="AU21" i="34"/>
  <c r="AO22" i="34"/>
  <c r="AS22" i="34" s="1"/>
  <c r="AD22" i="34"/>
  <c r="AU22" i="34"/>
  <c r="AO23" i="34"/>
  <c r="AS23" i="34" s="1"/>
  <c r="AD23" i="34"/>
  <c r="AU23" i="34"/>
  <c r="AO24" i="34"/>
  <c r="AS24" i="34" s="1"/>
  <c r="AD24" i="34"/>
  <c r="AU24" i="34"/>
  <c r="AO30" i="34"/>
  <c r="AS30" i="34" s="1"/>
  <c r="AD30" i="34"/>
  <c r="AU30" i="34"/>
  <c r="AO31" i="34"/>
  <c r="AS31" i="34" s="1"/>
  <c r="AD31" i="34"/>
  <c r="AU31" i="34"/>
  <c r="AO32" i="34"/>
  <c r="AS32" i="34" s="1"/>
  <c r="AD32" i="34"/>
  <c r="AU32" i="34"/>
  <c r="AO33" i="34"/>
  <c r="AS33" i="34" s="1"/>
  <c r="AD33" i="34"/>
  <c r="AU33" i="34"/>
  <c r="AO34" i="34"/>
  <c r="AS34" i="34" s="1"/>
  <c r="AD34" i="34"/>
  <c r="AU34" i="34"/>
  <c r="AO35" i="34"/>
  <c r="AS35" i="34" s="1"/>
  <c r="AD35" i="34"/>
  <c r="AU35" i="34"/>
  <c r="AO48" i="34"/>
  <c r="AS48" i="34" s="1"/>
  <c r="AD48" i="34"/>
  <c r="AU48" i="34"/>
  <c r="AO49" i="34"/>
  <c r="AS49" i="34" s="1"/>
  <c r="AD49" i="34"/>
  <c r="AU49" i="34"/>
  <c r="AO50" i="34"/>
  <c r="AS50" i="34" s="1"/>
  <c r="AD50" i="34"/>
  <c r="AU50" i="34"/>
  <c r="AO51" i="34"/>
  <c r="AS51" i="34" s="1"/>
  <c r="AD51" i="34"/>
  <c r="AU51" i="34"/>
  <c r="AO52" i="34"/>
  <c r="AS52" i="34" s="1"/>
  <c r="AD52" i="34"/>
  <c r="AU52" i="34"/>
  <c r="AO53" i="34"/>
  <c r="AS53" i="34" s="1"/>
  <c r="AD53" i="34"/>
  <c r="AU53" i="34"/>
  <c r="AO66" i="34"/>
  <c r="AS66" i="34" s="1"/>
  <c r="AD66" i="34"/>
  <c r="AU66" i="34"/>
  <c r="AO67" i="34"/>
  <c r="AS67" i="34" s="1"/>
  <c r="AD67" i="34"/>
  <c r="AU67" i="34"/>
  <c r="AO68" i="34"/>
  <c r="AS68" i="34" s="1"/>
  <c r="AD68" i="34"/>
  <c r="AU68" i="34"/>
  <c r="AO69" i="34"/>
  <c r="AS69" i="34" s="1"/>
  <c r="AD69" i="34"/>
  <c r="AU69" i="34"/>
  <c r="AO70" i="34"/>
  <c r="AS70" i="34" s="1"/>
  <c r="AD70" i="34"/>
  <c r="AU70" i="34"/>
  <c r="AO71" i="34"/>
  <c r="AS71" i="34" s="1"/>
  <c r="AD71" i="34"/>
  <c r="AU71" i="34"/>
  <c r="AO84" i="34"/>
  <c r="AS84" i="34" s="1"/>
  <c r="AD84" i="34"/>
  <c r="AU84" i="34"/>
  <c r="AO85" i="34"/>
  <c r="AS85" i="34" s="1"/>
  <c r="AD85" i="34"/>
  <c r="AU85" i="34"/>
  <c r="AO86" i="34"/>
  <c r="AS86" i="34" s="1"/>
  <c r="AD86" i="34"/>
  <c r="AU86" i="34"/>
  <c r="AO87" i="34"/>
  <c r="AS87" i="34" s="1"/>
  <c r="AD87" i="34"/>
  <c r="AU87" i="34"/>
  <c r="AO88" i="34"/>
  <c r="AS88" i="34" s="1"/>
  <c r="AD88" i="34"/>
  <c r="AU88" i="34"/>
  <c r="AO89" i="34"/>
  <c r="AS89" i="34" s="1"/>
  <c r="AD89" i="34"/>
  <c r="AU89" i="34"/>
  <c r="AO25" i="34"/>
  <c r="AS25" i="34" s="1"/>
  <c r="AD25" i="34"/>
  <c r="AU25" i="34"/>
  <c r="AO26" i="34"/>
  <c r="AS26" i="34" s="1"/>
  <c r="AD26" i="34"/>
  <c r="AU26" i="34"/>
  <c r="AO39" i="34"/>
  <c r="AS39" i="34" s="1"/>
  <c r="AD39" i="34"/>
  <c r="AU39" i="34"/>
  <c r="AO40" i="34"/>
  <c r="AS40" i="34" s="1"/>
  <c r="AD40" i="34"/>
  <c r="AU40" i="34"/>
  <c r="AO41" i="34"/>
  <c r="AS41" i="34" s="1"/>
  <c r="AD41" i="34"/>
  <c r="AU41" i="34"/>
  <c r="AO42" i="34"/>
  <c r="AS42" i="34" s="1"/>
  <c r="AD42" i="34"/>
  <c r="AU42" i="34"/>
  <c r="AO43" i="34"/>
  <c r="AS43" i="34" s="1"/>
  <c r="AD43" i="34"/>
  <c r="AU43" i="34"/>
  <c r="AO44" i="34"/>
  <c r="AS44" i="34" s="1"/>
  <c r="AD44" i="34"/>
  <c r="AU44" i="34"/>
  <c r="AO57" i="34"/>
  <c r="AS57" i="34" s="1"/>
  <c r="AD57" i="34"/>
  <c r="AU57" i="34"/>
  <c r="AO58" i="34"/>
  <c r="AS58" i="34" s="1"/>
  <c r="AD58" i="34"/>
  <c r="AU58" i="34"/>
  <c r="AO59" i="34"/>
  <c r="AS59" i="34" s="1"/>
  <c r="AD59" i="34"/>
  <c r="AU59" i="34"/>
  <c r="AO60" i="34"/>
  <c r="AS60" i="34" s="1"/>
  <c r="AD60" i="34"/>
  <c r="AU60" i="34"/>
  <c r="AO61" i="34"/>
  <c r="AS61" i="34" s="1"/>
  <c r="AD61" i="34"/>
  <c r="AU61" i="34"/>
  <c r="AO62" i="34"/>
  <c r="AS62" i="34" s="1"/>
  <c r="AD62" i="34"/>
  <c r="AU62" i="34"/>
  <c r="AO75" i="34"/>
  <c r="AS75" i="34" s="1"/>
  <c r="AD75" i="34"/>
  <c r="AU75" i="34"/>
  <c r="AO76" i="34"/>
  <c r="AS76" i="34" s="1"/>
  <c r="AD76" i="34"/>
  <c r="AU76" i="34"/>
  <c r="AM76" i="34"/>
  <c r="AO77" i="34"/>
  <c r="AS77" i="34" s="1"/>
  <c r="AD77" i="34"/>
  <c r="AU77" i="34"/>
  <c r="AO78" i="34"/>
  <c r="AS78" i="34" s="1"/>
  <c r="AD78" i="34"/>
  <c r="AU78" i="34"/>
  <c r="AO79" i="34"/>
  <c r="AS79" i="34" s="1"/>
  <c r="AD79" i="34"/>
  <c r="AU79" i="34"/>
  <c r="AO80" i="34"/>
  <c r="AS80" i="34" s="1"/>
  <c r="AD80" i="34"/>
  <c r="AU80" i="34"/>
  <c r="AO93" i="34"/>
  <c r="AS93" i="34" s="1"/>
  <c r="AD93" i="34"/>
  <c r="AU93" i="34"/>
  <c r="AO94" i="34"/>
  <c r="AS94" i="34" s="1"/>
  <c r="AD94" i="34"/>
  <c r="AU94" i="34"/>
  <c r="AO95" i="34"/>
  <c r="AS95" i="34" s="1"/>
  <c r="AD95" i="34"/>
  <c r="AU95" i="34"/>
  <c r="AO96" i="34"/>
  <c r="AS96" i="34" s="1"/>
  <c r="AD96" i="34"/>
  <c r="AU96" i="34"/>
  <c r="AO97" i="34"/>
  <c r="AS97" i="34" s="1"/>
  <c r="AD97" i="34"/>
  <c r="AU97" i="34"/>
  <c r="AO98" i="34"/>
  <c r="AS98" i="34" s="1"/>
  <c r="AD98" i="34"/>
  <c r="AU98" i="34"/>
  <c r="AO102" i="34"/>
  <c r="AS102" i="34" s="1"/>
  <c r="AD102" i="34"/>
  <c r="AU102" i="34"/>
  <c r="AO103" i="34"/>
  <c r="AS103" i="34" s="1"/>
  <c r="AD103" i="34"/>
  <c r="AU103" i="34"/>
  <c r="AO104" i="34"/>
  <c r="AS104" i="34" s="1"/>
  <c r="AD104" i="34"/>
  <c r="AU104" i="34"/>
  <c r="AO105" i="34"/>
  <c r="AS105" i="34" s="1"/>
  <c r="AD105" i="34"/>
  <c r="AU105" i="34"/>
  <c r="AO106" i="34"/>
  <c r="AS106" i="34" s="1"/>
  <c r="AD106" i="34"/>
  <c r="AU106" i="34"/>
  <c r="AO107" i="34"/>
  <c r="AS107" i="34" s="1"/>
  <c r="AD107" i="34"/>
  <c r="AU107" i="34"/>
  <c r="AO120" i="34"/>
  <c r="AS120" i="34" s="1"/>
  <c r="AD120" i="34"/>
  <c r="AU120" i="34"/>
  <c r="AO121" i="34"/>
  <c r="AS121" i="34" s="1"/>
  <c r="AD121" i="34"/>
  <c r="AU121" i="34"/>
  <c r="AO122" i="34"/>
  <c r="AS122" i="34" s="1"/>
  <c r="AD122" i="34"/>
  <c r="AU122" i="34"/>
  <c r="AO123" i="34"/>
  <c r="AS123" i="34" s="1"/>
  <c r="AD123" i="34"/>
  <c r="AU123" i="34"/>
  <c r="AO124" i="34"/>
  <c r="AS124" i="34" s="1"/>
  <c r="AD124" i="34"/>
  <c r="AU124" i="34"/>
  <c r="AO125" i="34"/>
  <c r="AS125" i="34" s="1"/>
  <c r="AD125" i="34"/>
  <c r="AU125" i="34"/>
  <c r="AU138" i="34"/>
  <c r="AU139" i="34"/>
  <c r="AU140" i="34"/>
  <c r="AU141" i="34"/>
  <c r="AU142" i="34"/>
  <c r="AO111" i="34"/>
  <c r="AS111" i="34" s="1"/>
  <c r="AD111" i="34"/>
  <c r="AU111" i="34"/>
  <c r="AO112" i="34"/>
  <c r="AS112" i="34" s="1"/>
  <c r="AD112" i="34"/>
  <c r="AU112" i="34"/>
  <c r="AO113" i="34"/>
  <c r="AS113" i="34" s="1"/>
  <c r="AD113" i="34"/>
  <c r="AU113" i="34"/>
  <c r="AO114" i="34"/>
  <c r="AS114" i="34" s="1"/>
  <c r="AD114" i="34"/>
  <c r="AU114" i="34"/>
  <c r="AO115" i="34"/>
  <c r="AS115" i="34" s="1"/>
  <c r="AD115" i="34"/>
  <c r="AU115" i="34"/>
  <c r="AO116" i="34"/>
  <c r="AS116" i="34" s="1"/>
  <c r="AD116" i="34"/>
  <c r="AU116" i="34"/>
  <c r="AO129" i="34"/>
  <c r="AS129" i="34" s="1"/>
  <c r="AD129" i="34"/>
  <c r="AU129" i="34"/>
  <c r="AM129" i="34"/>
  <c r="AO130" i="34"/>
  <c r="AS130" i="34" s="1"/>
  <c r="AD130" i="34"/>
  <c r="AU130" i="34"/>
  <c r="AO131" i="34"/>
  <c r="AS131" i="34" s="1"/>
  <c r="AD131" i="34"/>
  <c r="AU131" i="34"/>
  <c r="AO132" i="34"/>
  <c r="AS132" i="34" s="1"/>
  <c r="AD132" i="34"/>
  <c r="AU132" i="34"/>
  <c r="AO133" i="34"/>
  <c r="AS133" i="34" s="1"/>
  <c r="AD133" i="34"/>
  <c r="AU133" i="34"/>
  <c r="AU134" i="34"/>
  <c r="AM134" i="34"/>
  <c r="AO134" i="34"/>
  <c r="AS134" i="34" s="1"/>
  <c r="AD134" i="34"/>
  <c r="AO138" i="34"/>
  <c r="AS138" i="34" s="1"/>
  <c r="AD138" i="34"/>
  <c r="AO139" i="34"/>
  <c r="AS139" i="34" s="1"/>
  <c r="AD139" i="34"/>
  <c r="AO140" i="34"/>
  <c r="AS140" i="34" s="1"/>
  <c r="AD140" i="34"/>
  <c r="AO141" i="34"/>
  <c r="AS141" i="34" s="1"/>
  <c r="AD141" i="34"/>
  <c r="AO142" i="34"/>
  <c r="AS142" i="34" s="1"/>
  <c r="AD142" i="34"/>
  <c r="AO143" i="34"/>
  <c r="AS143" i="34" s="1"/>
  <c r="AD143" i="34"/>
  <c r="AU143" i="34"/>
  <c r="AO156" i="34"/>
  <c r="AS156" i="34" s="1"/>
  <c r="AD156" i="34"/>
  <c r="AU156" i="34"/>
  <c r="AO157" i="34"/>
  <c r="AS157" i="34" s="1"/>
  <c r="AD157" i="34"/>
  <c r="AU157" i="34"/>
  <c r="AO158" i="34"/>
  <c r="AS158" i="34" s="1"/>
  <c r="AD158" i="34"/>
  <c r="AU158" i="34"/>
  <c r="AO159" i="34"/>
  <c r="AS159" i="34" s="1"/>
  <c r="AD159" i="34"/>
  <c r="AU159" i="34"/>
  <c r="AO160" i="34"/>
  <c r="AS160" i="34" s="1"/>
  <c r="AD160" i="34"/>
  <c r="AU160" i="34"/>
  <c r="AO161" i="34"/>
  <c r="AS161" i="34" s="1"/>
  <c r="AD161" i="34"/>
  <c r="AU161" i="34"/>
  <c r="AO147" i="34"/>
  <c r="AS147" i="34" s="1"/>
  <c r="AD147" i="34"/>
  <c r="AU147" i="34"/>
  <c r="AO148" i="34"/>
  <c r="AS148" i="34" s="1"/>
  <c r="AD148" i="34"/>
  <c r="AU148" i="34"/>
  <c r="AO149" i="34"/>
  <c r="AS149" i="34" s="1"/>
  <c r="AD149" i="34"/>
  <c r="AU149" i="34"/>
  <c r="AM149" i="34"/>
  <c r="AO150" i="34"/>
  <c r="AS150" i="34" s="1"/>
  <c r="AD150" i="34"/>
  <c r="AU150" i="34"/>
  <c r="AO151" i="34"/>
  <c r="AS151" i="34" s="1"/>
  <c r="AD151" i="34"/>
  <c r="AU151" i="34"/>
  <c r="AO152" i="34"/>
  <c r="AS152" i="34" s="1"/>
  <c r="AD152" i="34"/>
  <c r="AU152" i="34"/>
  <c r="AO165" i="34"/>
  <c r="AS165" i="34" s="1"/>
  <c r="AD165" i="34"/>
  <c r="AU165" i="34"/>
  <c r="AO166" i="34"/>
  <c r="AS166" i="34" s="1"/>
  <c r="AD166" i="34"/>
  <c r="AU166" i="34"/>
  <c r="AO167" i="34"/>
  <c r="AS167" i="34" s="1"/>
  <c r="AD167" i="34"/>
  <c r="AU167" i="34"/>
  <c r="AO168" i="34"/>
  <c r="AS168" i="34" s="1"/>
  <c r="AD168" i="34"/>
  <c r="AU168" i="34"/>
  <c r="AO169" i="34"/>
  <c r="AS169" i="34" s="1"/>
  <c r="AD169" i="34"/>
  <c r="AU169" i="34"/>
  <c r="AO170" i="34"/>
  <c r="AS170" i="34" s="1"/>
  <c r="AD170" i="34"/>
  <c r="AU170" i="34"/>
  <c r="AM115" i="34" l="1"/>
  <c r="AM26" i="34"/>
  <c r="AM105" i="34"/>
  <c r="AM94" i="34"/>
  <c r="AM86" i="34"/>
  <c r="AM107" i="34"/>
  <c r="AM121" i="34"/>
  <c r="AM88" i="34"/>
  <c r="AM123" i="34"/>
  <c r="AM62" i="34"/>
  <c r="AM66" i="34"/>
  <c r="AM23" i="34"/>
  <c r="AM97" i="34"/>
  <c r="AM41" i="34"/>
  <c r="AM106" i="34"/>
  <c r="AM32" i="34"/>
  <c r="AM95" i="34"/>
  <c r="AM14" i="34"/>
  <c r="AM44" i="34"/>
  <c r="AM87" i="34"/>
  <c r="AM133" i="34"/>
  <c r="AM169" i="34"/>
  <c r="AM33" i="34"/>
  <c r="AM143" i="34"/>
  <c r="AM30" i="34"/>
  <c r="AM85" i="34"/>
  <c r="AM39" i="34"/>
  <c r="AM25" i="34"/>
  <c r="AM53" i="34"/>
  <c r="AM48" i="34"/>
  <c r="AM111" i="34"/>
  <c r="AM50" i="34"/>
  <c r="AM147" i="34"/>
  <c r="AM59" i="34"/>
  <c r="AM168" i="34"/>
  <c r="AM131" i="34"/>
  <c r="AX111" i="34"/>
  <c r="AY111" i="34" s="1"/>
  <c r="AW50" i="34"/>
  <c r="AY50" i="34" s="1"/>
  <c r="AV106" i="34"/>
  <c r="AY106" i="34" s="1"/>
  <c r="AV97" i="34"/>
  <c r="AY97" i="34" s="1"/>
  <c r="AM93" i="34"/>
  <c r="AM42" i="34"/>
  <c r="AV59" i="34"/>
  <c r="AV14" i="34"/>
  <c r="AY14" i="34" s="1"/>
  <c r="AM140" i="34"/>
  <c r="AM102" i="34"/>
  <c r="AM58" i="34"/>
  <c r="AM22" i="34"/>
  <c r="AM15" i="34"/>
  <c r="AM151" i="34"/>
  <c r="AM132" i="34"/>
  <c r="AV86" i="34"/>
  <c r="AY86" i="34" s="1"/>
  <c r="AM150" i="34"/>
  <c r="AM148" i="34"/>
  <c r="AM67" i="34"/>
  <c r="AM130" i="34"/>
  <c r="AM152" i="34"/>
  <c r="AM142" i="34"/>
  <c r="AM138" i="34"/>
  <c r="AM98" i="34"/>
  <c r="AM96" i="34"/>
  <c r="AM75" i="34"/>
  <c r="AM61" i="34"/>
  <c r="AM57" i="34"/>
  <c r="AM69" i="34"/>
  <c r="AM21" i="34"/>
  <c r="AM16" i="34"/>
  <c r="AM12" i="34"/>
  <c r="AV169" i="34"/>
  <c r="AY169" i="34" s="1"/>
  <c r="AM158" i="34"/>
  <c r="AV25" i="34"/>
  <c r="AY25" i="34" s="1"/>
  <c r="AM79" i="34"/>
  <c r="AY129" i="34"/>
  <c r="AM141" i="34"/>
  <c r="AM40" i="34"/>
  <c r="AM89" i="34"/>
  <c r="AV147" i="34"/>
  <c r="AY147" i="34" s="1"/>
  <c r="AM60" i="34"/>
  <c r="AM70" i="34"/>
  <c r="AM17" i="34"/>
  <c r="AM13" i="34"/>
  <c r="AM159" i="34"/>
  <c r="AM124" i="34"/>
  <c r="AM122" i="34"/>
  <c r="AM120" i="34"/>
  <c r="AM104" i="34"/>
  <c r="AM78" i="34"/>
  <c r="AM84" i="34"/>
  <c r="AM31" i="34"/>
  <c r="AM24" i="34"/>
  <c r="AV39" i="34"/>
  <c r="AY39" i="34" s="1"/>
  <c r="AM167" i="34"/>
  <c r="AM139" i="34"/>
  <c r="AM51" i="34"/>
  <c r="AM49" i="34"/>
  <c r="AM35" i="34"/>
  <c r="AM160" i="34"/>
  <c r="AY16" i="34"/>
  <c r="AW23" i="34"/>
  <c r="AY23" i="34" s="1"/>
  <c r="AM34" i="34"/>
  <c r="AY34" i="34"/>
  <c r="AV41" i="34"/>
  <c r="AY41" i="34" s="1"/>
  <c r="AM43" i="34"/>
  <c r="AY43" i="34"/>
  <c r="AY52" i="34"/>
  <c r="AM52" i="34"/>
  <c r="AY61" i="34"/>
  <c r="AM68" i="34"/>
  <c r="AY68" i="34"/>
  <c r="AY70" i="34"/>
  <c r="AM71" i="34"/>
  <c r="AY71" i="34"/>
  <c r="AM77" i="34"/>
  <c r="AY77" i="34"/>
  <c r="AY76" i="34"/>
  <c r="AV79" i="34"/>
  <c r="AY79" i="34" s="1"/>
  <c r="AM80" i="34"/>
  <c r="AY80" i="34"/>
  <c r="AV88" i="34"/>
  <c r="AY88" i="34" s="1"/>
  <c r="AV95" i="34"/>
  <c r="AY95" i="34" s="1"/>
  <c r="AY104" i="34"/>
  <c r="AM103" i="34"/>
  <c r="AY103" i="34"/>
  <c r="AM113" i="34"/>
  <c r="AW115" i="34"/>
  <c r="AY115" i="34"/>
  <c r="AY113" i="34"/>
  <c r="AM116" i="34"/>
  <c r="AM114" i="34"/>
  <c r="AM112" i="34"/>
  <c r="AY116" i="34"/>
  <c r="AY114" i="34"/>
  <c r="AY112" i="34"/>
  <c r="AY122" i="34"/>
  <c r="AY124" i="34"/>
  <c r="AY125" i="34"/>
  <c r="AM125" i="34"/>
  <c r="AW133" i="34"/>
  <c r="AY133" i="34" s="1"/>
  <c r="AY140" i="34"/>
  <c r="AY142" i="34"/>
  <c r="AY149" i="34"/>
  <c r="AV151" i="34"/>
  <c r="AY151" i="34"/>
  <c r="AM161" i="34"/>
  <c r="AM157" i="34"/>
  <c r="AV160" i="34"/>
  <c r="AY160" i="34" s="1"/>
  <c r="AY161" i="34"/>
  <c r="AY159" i="34"/>
  <c r="AY157" i="34"/>
  <c r="AV158" i="34"/>
  <c r="AY158" i="34" s="1"/>
  <c r="AM156" i="34"/>
  <c r="AY156" i="34"/>
  <c r="AM165" i="34"/>
  <c r="AY167" i="34"/>
  <c r="AY165" i="34"/>
  <c r="AM166" i="34"/>
  <c r="AY166" i="34"/>
  <c r="AM170" i="34"/>
  <c r="AY170" i="34"/>
  <c r="AY168" i="34"/>
  <c r="AY152" i="34"/>
  <c r="AY150" i="34"/>
  <c r="AY148" i="34"/>
  <c r="AY143" i="34"/>
  <c r="AY134" i="34"/>
  <c r="AY141" i="34"/>
  <c r="AY123" i="34"/>
  <c r="AY121" i="34"/>
  <c r="AY107" i="34"/>
  <c r="AY105" i="34"/>
  <c r="AY98" i="34"/>
  <c r="AY96" i="34"/>
  <c r="AY94" i="34"/>
  <c r="AY78" i="34"/>
  <c r="AY62" i="34"/>
  <c r="AY60" i="34"/>
  <c r="AY58" i="34"/>
  <c r="AY44" i="34"/>
  <c r="AY42" i="34"/>
  <c r="AY40" i="34"/>
  <c r="AY26" i="34"/>
  <c r="AY89" i="34"/>
  <c r="AY87" i="34"/>
  <c r="AY85" i="34"/>
  <c r="AY69" i="34"/>
  <c r="AY67" i="34"/>
  <c r="AY53" i="34"/>
  <c r="AY51" i="34"/>
  <c r="AY49" i="34"/>
  <c r="AY35" i="34"/>
  <c r="AY33" i="34"/>
  <c r="AY31" i="34"/>
  <c r="AY24" i="34"/>
  <c r="AY22" i="34"/>
  <c r="AY17" i="34"/>
  <c r="AY15" i="34"/>
  <c r="AY13" i="34"/>
  <c r="AV130" i="34"/>
  <c r="AY130" i="34" s="1"/>
  <c r="AY131" i="34"/>
  <c r="AY120" i="34"/>
  <c r="AY93" i="34"/>
  <c r="AY59" i="34"/>
  <c r="AY66" i="34"/>
  <c r="AY30" i="34"/>
  <c r="AY21" i="34"/>
  <c r="AY12" i="34"/>
  <c r="AV132" i="34"/>
  <c r="AY132" i="34" s="1"/>
  <c r="AY139" i="34"/>
  <c r="AY102" i="34"/>
  <c r="AY75" i="34"/>
  <c r="AY57" i="34"/>
  <c r="AY84" i="34"/>
  <c r="AY48" i="34"/>
  <c r="AY32" i="34"/>
  <c r="AY138" i="34"/>
  <c r="Y20" i="2"/>
  <c r="Y16" i="2"/>
  <c r="Y14" i="2"/>
  <c r="Y12" i="2"/>
  <c r="Y10" i="2"/>
  <c r="Y15" i="2"/>
  <c r="Y13" i="2"/>
  <c r="Y11" i="2"/>
  <c r="Y9" i="2"/>
  <c r="Y8" i="2"/>
  <c r="Y7" i="2"/>
  <c r="Y24" i="2"/>
  <c r="Y30" i="2" s="1"/>
  <c r="Y35" i="2" s="1"/>
  <c r="Y22" i="2"/>
  <c r="Y23" i="2"/>
  <c r="Y21" i="2"/>
  <c r="Y18" i="2"/>
  <c r="Y19" i="2"/>
  <c r="Y17" i="2"/>
  <c r="H180" i="33"/>
  <c r="G180" i="33"/>
  <c r="F180" i="33"/>
  <c r="E180" i="33"/>
  <c r="D180" i="33"/>
  <c r="H171" i="33"/>
  <c r="G171" i="33"/>
  <c r="F171" i="33"/>
  <c r="E171" i="33"/>
  <c r="D171" i="33"/>
  <c r="AH170" i="33"/>
  <c r="AL170" i="33" s="1"/>
  <c r="AX170" i="33" s="1"/>
  <c r="AG170" i="33"/>
  <c r="AK170" i="33" s="1"/>
  <c r="AW170" i="33" s="1"/>
  <c r="AF170" i="33"/>
  <c r="AJ170" i="33" s="1"/>
  <c r="AV170" i="33" s="1"/>
  <c r="AE170" i="33"/>
  <c r="AI170" i="33" s="1"/>
  <c r="Y170" i="33"/>
  <c r="AC170" i="33" s="1"/>
  <c r="AR170" i="33" s="1"/>
  <c r="X170" i="33"/>
  <c r="AB170" i="33" s="1"/>
  <c r="AQ170" i="33" s="1"/>
  <c r="W170" i="33"/>
  <c r="AA170" i="33" s="1"/>
  <c r="AP170" i="33" s="1"/>
  <c r="V170" i="33"/>
  <c r="Z170" i="33" s="1"/>
  <c r="AH169" i="33"/>
  <c r="AL169" i="33" s="1"/>
  <c r="AX169" i="33" s="1"/>
  <c r="AG169" i="33"/>
  <c r="AK169" i="33" s="1"/>
  <c r="AW169" i="33" s="1"/>
  <c r="AF169" i="33"/>
  <c r="AJ169" i="33" s="1"/>
  <c r="AV169" i="33" s="1"/>
  <c r="AE169" i="33"/>
  <c r="AI169" i="33" s="1"/>
  <c r="Y169" i="33"/>
  <c r="AC169" i="33" s="1"/>
  <c r="AR169" i="33" s="1"/>
  <c r="X169" i="33"/>
  <c r="AB169" i="33" s="1"/>
  <c r="AQ169" i="33" s="1"/>
  <c r="W169" i="33"/>
  <c r="AA169" i="33" s="1"/>
  <c r="AP169" i="33" s="1"/>
  <c r="V169" i="33"/>
  <c r="Z169" i="33" s="1"/>
  <c r="AH168" i="33"/>
  <c r="AL168" i="33" s="1"/>
  <c r="AX168" i="33" s="1"/>
  <c r="AG168" i="33"/>
  <c r="AK168" i="33" s="1"/>
  <c r="AW168" i="33" s="1"/>
  <c r="AF168" i="33"/>
  <c r="AJ168" i="33" s="1"/>
  <c r="AV168" i="33" s="1"/>
  <c r="AE168" i="33"/>
  <c r="AI168" i="33" s="1"/>
  <c r="Y168" i="33"/>
  <c r="AC168" i="33" s="1"/>
  <c r="AR168" i="33" s="1"/>
  <c r="X168" i="33"/>
  <c r="AB168" i="33" s="1"/>
  <c r="AQ168" i="33" s="1"/>
  <c r="W168" i="33"/>
  <c r="AA168" i="33" s="1"/>
  <c r="AP168" i="33" s="1"/>
  <c r="V168" i="33"/>
  <c r="Z168" i="33" s="1"/>
  <c r="AH167" i="33"/>
  <c r="AL167" i="33" s="1"/>
  <c r="AX167" i="33" s="1"/>
  <c r="AG167" i="33"/>
  <c r="AK167" i="33" s="1"/>
  <c r="AW167" i="33" s="1"/>
  <c r="AF167" i="33"/>
  <c r="AJ167" i="33" s="1"/>
  <c r="AV167" i="33" s="1"/>
  <c r="AE167" i="33"/>
  <c r="AI167" i="33" s="1"/>
  <c r="Y167" i="33"/>
  <c r="AC167" i="33" s="1"/>
  <c r="AR167" i="33" s="1"/>
  <c r="X167" i="33"/>
  <c r="AB167" i="33" s="1"/>
  <c r="AQ167" i="33" s="1"/>
  <c r="W167" i="33"/>
  <c r="AA167" i="33" s="1"/>
  <c r="AP167" i="33" s="1"/>
  <c r="V167" i="33"/>
  <c r="Z167" i="33" s="1"/>
  <c r="AH166" i="33"/>
  <c r="AL166" i="33" s="1"/>
  <c r="AX166" i="33" s="1"/>
  <c r="AG166" i="33"/>
  <c r="AK166" i="33" s="1"/>
  <c r="AW166" i="33" s="1"/>
  <c r="AF166" i="33"/>
  <c r="AJ166" i="33" s="1"/>
  <c r="AV166" i="33" s="1"/>
  <c r="AE166" i="33"/>
  <c r="AI166" i="33" s="1"/>
  <c r="Y166" i="33"/>
  <c r="AC166" i="33" s="1"/>
  <c r="AR166" i="33" s="1"/>
  <c r="X166" i="33"/>
  <c r="AB166" i="33" s="1"/>
  <c r="AQ166" i="33" s="1"/>
  <c r="W166" i="33"/>
  <c r="AA166" i="33" s="1"/>
  <c r="AP166" i="33" s="1"/>
  <c r="V166" i="33"/>
  <c r="Z166" i="33" s="1"/>
  <c r="AH165" i="33"/>
  <c r="AL165" i="33" s="1"/>
  <c r="AX165" i="33" s="1"/>
  <c r="AG165" i="33"/>
  <c r="AK165" i="33" s="1"/>
  <c r="AW165" i="33" s="1"/>
  <c r="AF165" i="33"/>
  <c r="AJ165" i="33" s="1"/>
  <c r="AV165" i="33" s="1"/>
  <c r="AE165" i="33"/>
  <c r="AI165" i="33" s="1"/>
  <c r="Y165" i="33"/>
  <c r="AC165" i="33" s="1"/>
  <c r="AR165" i="33" s="1"/>
  <c r="X165" i="33"/>
  <c r="AB165" i="33" s="1"/>
  <c r="AQ165" i="33" s="1"/>
  <c r="W165" i="33"/>
  <c r="AA165" i="33" s="1"/>
  <c r="AP165" i="33" s="1"/>
  <c r="V165" i="33"/>
  <c r="Z165" i="33" s="1"/>
  <c r="H162" i="33"/>
  <c r="G162" i="33"/>
  <c r="F162" i="33"/>
  <c r="E162" i="33"/>
  <c r="D162" i="33"/>
  <c r="AH161" i="33"/>
  <c r="AL161" i="33" s="1"/>
  <c r="AX161" i="33" s="1"/>
  <c r="AG161" i="33"/>
  <c r="AK161" i="33" s="1"/>
  <c r="AW161" i="33" s="1"/>
  <c r="AF161" i="33"/>
  <c r="AJ161" i="33" s="1"/>
  <c r="AV161" i="33" s="1"/>
  <c r="AE161" i="33"/>
  <c r="AI161" i="33" s="1"/>
  <c r="Y161" i="33"/>
  <c r="AC161" i="33" s="1"/>
  <c r="AR161" i="33" s="1"/>
  <c r="X161" i="33"/>
  <c r="AB161" i="33" s="1"/>
  <c r="AQ161" i="33" s="1"/>
  <c r="W161" i="33"/>
  <c r="AA161" i="33" s="1"/>
  <c r="AP161" i="33" s="1"/>
  <c r="V161" i="33"/>
  <c r="Z161" i="33" s="1"/>
  <c r="AH160" i="33"/>
  <c r="AL160" i="33" s="1"/>
  <c r="AX160" i="33" s="1"/>
  <c r="AG160" i="33"/>
  <c r="AK160" i="33" s="1"/>
  <c r="AW160" i="33" s="1"/>
  <c r="AF160" i="33"/>
  <c r="AJ160" i="33" s="1"/>
  <c r="AV160" i="33" s="1"/>
  <c r="AE160" i="33"/>
  <c r="AI160" i="33" s="1"/>
  <c r="Y160" i="33"/>
  <c r="AC160" i="33" s="1"/>
  <c r="AR160" i="33" s="1"/>
  <c r="X160" i="33"/>
  <c r="AB160" i="33" s="1"/>
  <c r="AQ160" i="33" s="1"/>
  <c r="W160" i="33"/>
  <c r="AA160" i="33" s="1"/>
  <c r="AP160" i="33" s="1"/>
  <c r="V160" i="33"/>
  <c r="Z160" i="33" s="1"/>
  <c r="AH159" i="33"/>
  <c r="AL159" i="33" s="1"/>
  <c r="AX159" i="33" s="1"/>
  <c r="AG159" i="33"/>
  <c r="AK159" i="33" s="1"/>
  <c r="AW159" i="33" s="1"/>
  <c r="AF159" i="33"/>
  <c r="AJ159" i="33" s="1"/>
  <c r="AV159" i="33" s="1"/>
  <c r="AE159" i="33"/>
  <c r="AI159" i="33" s="1"/>
  <c r="Y159" i="33"/>
  <c r="AC159" i="33" s="1"/>
  <c r="AR159" i="33" s="1"/>
  <c r="X159" i="33"/>
  <c r="AB159" i="33" s="1"/>
  <c r="AQ159" i="33" s="1"/>
  <c r="W159" i="33"/>
  <c r="AA159" i="33" s="1"/>
  <c r="AP159" i="33" s="1"/>
  <c r="V159" i="33"/>
  <c r="Z159" i="33" s="1"/>
  <c r="AH158" i="33"/>
  <c r="AL158" i="33" s="1"/>
  <c r="AX158" i="33" s="1"/>
  <c r="AG158" i="33"/>
  <c r="AK158" i="33" s="1"/>
  <c r="AW158" i="33" s="1"/>
  <c r="AF158" i="33"/>
  <c r="AJ158" i="33" s="1"/>
  <c r="AV158" i="33" s="1"/>
  <c r="AE158" i="33"/>
  <c r="AI158" i="33" s="1"/>
  <c r="Y158" i="33"/>
  <c r="AC158" i="33" s="1"/>
  <c r="AR158" i="33" s="1"/>
  <c r="X158" i="33"/>
  <c r="AB158" i="33" s="1"/>
  <c r="AQ158" i="33" s="1"/>
  <c r="W158" i="33"/>
  <c r="AA158" i="33" s="1"/>
  <c r="AP158" i="33" s="1"/>
  <c r="V158" i="33"/>
  <c r="Z158" i="33" s="1"/>
  <c r="AH157" i="33"/>
  <c r="AL157" i="33" s="1"/>
  <c r="AX157" i="33" s="1"/>
  <c r="AG157" i="33"/>
  <c r="AK157" i="33" s="1"/>
  <c r="AW157" i="33" s="1"/>
  <c r="AF157" i="33"/>
  <c r="AJ157" i="33" s="1"/>
  <c r="AV157" i="33" s="1"/>
  <c r="AE157" i="33"/>
  <c r="AI157" i="33" s="1"/>
  <c r="Y157" i="33"/>
  <c r="AC157" i="33" s="1"/>
  <c r="AR157" i="33" s="1"/>
  <c r="X157" i="33"/>
  <c r="AB157" i="33" s="1"/>
  <c r="AQ157" i="33" s="1"/>
  <c r="W157" i="33"/>
  <c r="AA157" i="33" s="1"/>
  <c r="AP157" i="33" s="1"/>
  <c r="V157" i="33"/>
  <c r="Z157" i="33" s="1"/>
  <c r="AH156" i="33"/>
  <c r="AL156" i="33" s="1"/>
  <c r="AX156" i="33" s="1"/>
  <c r="AG156" i="33"/>
  <c r="AK156" i="33" s="1"/>
  <c r="AW156" i="33" s="1"/>
  <c r="AF156" i="33"/>
  <c r="AJ156" i="33" s="1"/>
  <c r="AV156" i="33" s="1"/>
  <c r="AE156" i="33"/>
  <c r="AI156" i="33" s="1"/>
  <c r="Y156" i="33"/>
  <c r="AC156" i="33" s="1"/>
  <c r="AR156" i="33" s="1"/>
  <c r="X156" i="33"/>
  <c r="AB156" i="33" s="1"/>
  <c r="AQ156" i="33" s="1"/>
  <c r="W156" i="33"/>
  <c r="AA156" i="33" s="1"/>
  <c r="AP156" i="33" s="1"/>
  <c r="V156" i="33"/>
  <c r="Z156" i="33" s="1"/>
  <c r="H153" i="33"/>
  <c r="G153" i="33"/>
  <c r="F153" i="33"/>
  <c r="E153" i="33"/>
  <c r="D153" i="33"/>
  <c r="AH152" i="33"/>
  <c r="AL152" i="33" s="1"/>
  <c r="AX152" i="33" s="1"/>
  <c r="AG152" i="33"/>
  <c r="AK152" i="33" s="1"/>
  <c r="AW152" i="33" s="1"/>
  <c r="AF152" i="33"/>
  <c r="AJ152" i="33" s="1"/>
  <c r="AV152" i="33" s="1"/>
  <c r="AE152" i="33"/>
  <c r="AI152" i="33" s="1"/>
  <c r="Y152" i="33"/>
  <c r="AC152" i="33" s="1"/>
  <c r="AR152" i="33" s="1"/>
  <c r="X152" i="33"/>
  <c r="AB152" i="33" s="1"/>
  <c r="AQ152" i="33" s="1"/>
  <c r="W152" i="33"/>
  <c r="AA152" i="33" s="1"/>
  <c r="AP152" i="33" s="1"/>
  <c r="V152" i="33"/>
  <c r="Z152" i="33" s="1"/>
  <c r="AH151" i="33"/>
  <c r="AL151" i="33" s="1"/>
  <c r="AX151" i="33" s="1"/>
  <c r="AG151" i="33"/>
  <c r="AK151" i="33" s="1"/>
  <c r="AW151" i="33" s="1"/>
  <c r="AF151" i="33"/>
  <c r="AJ151" i="33" s="1"/>
  <c r="AV151" i="33" s="1"/>
  <c r="AE151" i="33"/>
  <c r="AI151" i="33" s="1"/>
  <c r="Y151" i="33"/>
  <c r="AC151" i="33" s="1"/>
  <c r="AR151" i="33" s="1"/>
  <c r="X151" i="33"/>
  <c r="AB151" i="33" s="1"/>
  <c r="AQ151" i="33" s="1"/>
  <c r="W151" i="33"/>
  <c r="AA151" i="33" s="1"/>
  <c r="AP151" i="33" s="1"/>
  <c r="V151" i="33"/>
  <c r="Z151" i="33" s="1"/>
  <c r="AH150" i="33"/>
  <c r="AL150" i="33" s="1"/>
  <c r="AX150" i="33" s="1"/>
  <c r="AG150" i="33"/>
  <c r="AK150" i="33" s="1"/>
  <c r="AW150" i="33" s="1"/>
  <c r="AF150" i="33"/>
  <c r="AJ150" i="33" s="1"/>
  <c r="AV150" i="33" s="1"/>
  <c r="AE150" i="33"/>
  <c r="AI150" i="33" s="1"/>
  <c r="Y150" i="33"/>
  <c r="AC150" i="33" s="1"/>
  <c r="AR150" i="33" s="1"/>
  <c r="X150" i="33"/>
  <c r="AB150" i="33" s="1"/>
  <c r="AQ150" i="33" s="1"/>
  <c r="W150" i="33"/>
  <c r="AA150" i="33" s="1"/>
  <c r="AP150" i="33" s="1"/>
  <c r="V150" i="33"/>
  <c r="Z150" i="33" s="1"/>
  <c r="AH149" i="33"/>
  <c r="AL149" i="33" s="1"/>
  <c r="AX149" i="33" s="1"/>
  <c r="AG149" i="33"/>
  <c r="AK149" i="33" s="1"/>
  <c r="AW149" i="33" s="1"/>
  <c r="AF149" i="33"/>
  <c r="AJ149" i="33" s="1"/>
  <c r="AV149" i="33" s="1"/>
  <c r="AE149" i="33"/>
  <c r="AI149" i="33" s="1"/>
  <c r="Y149" i="33"/>
  <c r="AC149" i="33" s="1"/>
  <c r="AR149" i="33" s="1"/>
  <c r="X149" i="33"/>
  <c r="AB149" i="33" s="1"/>
  <c r="AQ149" i="33" s="1"/>
  <c r="W149" i="33"/>
  <c r="AA149" i="33" s="1"/>
  <c r="AP149" i="33" s="1"/>
  <c r="V149" i="33"/>
  <c r="Z149" i="33" s="1"/>
  <c r="AH148" i="33"/>
  <c r="AL148" i="33" s="1"/>
  <c r="AX148" i="33" s="1"/>
  <c r="AG148" i="33"/>
  <c r="AK148" i="33" s="1"/>
  <c r="AW148" i="33" s="1"/>
  <c r="AF148" i="33"/>
  <c r="AJ148" i="33" s="1"/>
  <c r="AV148" i="33" s="1"/>
  <c r="AE148" i="33"/>
  <c r="AI148" i="33" s="1"/>
  <c r="Y148" i="33"/>
  <c r="AC148" i="33" s="1"/>
  <c r="AR148" i="33" s="1"/>
  <c r="X148" i="33"/>
  <c r="AB148" i="33" s="1"/>
  <c r="AQ148" i="33" s="1"/>
  <c r="W148" i="33"/>
  <c r="AA148" i="33" s="1"/>
  <c r="AP148" i="33" s="1"/>
  <c r="V148" i="33"/>
  <c r="Z148" i="33" s="1"/>
  <c r="AH147" i="33"/>
  <c r="AL147" i="33" s="1"/>
  <c r="AX147" i="33" s="1"/>
  <c r="AG147" i="33"/>
  <c r="AK147" i="33" s="1"/>
  <c r="AW147" i="33" s="1"/>
  <c r="AF147" i="33"/>
  <c r="AJ147" i="33" s="1"/>
  <c r="AV147" i="33" s="1"/>
  <c r="AE147" i="33"/>
  <c r="AI147" i="33" s="1"/>
  <c r="Y147" i="33"/>
  <c r="AC147" i="33" s="1"/>
  <c r="AR147" i="33" s="1"/>
  <c r="X147" i="33"/>
  <c r="AB147" i="33" s="1"/>
  <c r="AQ147" i="33" s="1"/>
  <c r="W147" i="33"/>
  <c r="AA147" i="33" s="1"/>
  <c r="AP147" i="33" s="1"/>
  <c r="V147" i="33"/>
  <c r="Z147" i="33" s="1"/>
  <c r="H144" i="33"/>
  <c r="G144" i="33"/>
  <c r="F144" i="33"/>
  <c r="E144" i="33"/>
  <c r="D144" i="33"/>
  <c r="AH143" i="33"/>
  <c r="AL143" i="33" s="1"/>
  <c r="AX143" i="33" s="1"/>
  <c r="AG143" i="33"/>
  <c r="AK143" i="33" s="1"/>
  <c r="AW143" i="33" s="1"/>
  <c r="AF143" i="33"/>
  <c r="AJ143" i="33" s="1"/>
  <c r="AV143" i="33" s="1"/>
  <c r="AE143" i="33"/>
  <c r="AI143" i="33" s="1"/>
  <c r="Y143" i="33"/>
  <c r="AC143" i="33" s="1"/>
  <c r="AR143" i="33" s="1"/>
  <c r="X143" i="33"/>
  <c r="AB143" i="33" s="1"/>
  <c r="AQ143" i="33" s="1"/>
  <c r="W143" i="33"/>
  <c r="AA143" i="33" s="1"/>
  <c r="AP143" i="33" s="1"/>
  <c r="V143" i="33"/>
  <c r="Z143" i="33" s="1"/>
  <c r="AH142" i="33"/>
  <c r="AL142" i="33" s="1"/>
  <c r="AX142" i="33" s="1"/>
  <c r="AG142" i="33"/>
  <c r="AK142" i="33" s="1"/>
  <c r="AW142" i="33" s="1"/>
  <c r="AF142" i="33"/>
  <c r="AJ142" i="33" s="1"/>
  <c r="AV142" i="33" s="1"/>
  <c r="AE142" i="33"/>
  <c r="AI142" i="33" s="1"/>
  <c r="Y142" i="33"/>
  <c r="AC142" i="33" s="1"/>
  <c r="AR142" i="33" s="1"/>
  <c r="X142" i="33"/>
  <c r="AB142" i="33" s="1"/>
  <c r="AQ142" i="33" s="1"/>
  <c r="W142" i="33"/>
  <c r="AA142" i="33" s="1"/>
  <c r="AP142" i="33" s="1"/>
  <c r="V142" i="33"/>
  <c r="Z142" i="33" s="1"/>
  <c r="AH141" i="33"/>
  <c r="AL141" i="33" s="1"/>
  <c r="AX141" i="33" s="1"/>
  <c r="AG141" i="33"/>
  <c r="AK141" i="33" s="1"/>
  <c r="AW141" i="33" s="1"/>
  <c r="AF141" i="33"/>
  <c r="AJ141" i="33" s="1"/>
  <c r="AV141" i="33" s="1"/>
  <c r="AE141" i="33"/>
  <c r="AI141" i="33" s="1"/>
  <c r="Y141" i="33"/>
  <c r="AC141" i="33" s="1"/>
  <c r="AR141" i="33" s="1"/>
  <c r="X141" i="33"/>
  <c r="AB141" i="33" s="1"/>
  <c r="AQ141" i="33" s="1"/>
  <c r="W141" i="33"/>
  <c r="AA141" i="33" s="1"/>
  <c r="AP141" i="33" s="1"/>
  <c r="V141" i="33"/>
  <c r="Z141" i="33" s="1"/>
  <c r="AH140" i="33"/>
  <c r="AL140" i="33" s="1"/>
  <c r="AX140" i="33" s="1"/>
  <c r="AG140" i="33"/>
  <c r="AK140" i="33" s="1"/>
  <c r="AW140" i="33" s="1"/>
  <c r="AF140" i="33"/>
  <c r="AJ140" i="33" s="1"/>
  <c r="AV140" i="33" s="1"/>
  <c r="AE140" i="33"/>
  <c r="AI140" i="33" s="1"/>
  <c r="Y140" i="33"/>
  <c r="AC140" i="33" s="1"/>
  <c r="AR140" i="33" s="1"/>
  <c r="X140" i="33"/>
  <c r="AB140" i="33" s="1"/>
  <c r="AQ140" i="33" s="1"/>
  <c r="W140" i="33"/>
  <c r="AA140" i="33" s="1"/>
  <c r="AP140" i="33" s="1"/>
  <c r="V140" i="33"/>
  <c r="Z140" i="33" s="1"/>
  <c r="AH139" i="33"/>
  <c r="AL139" i="33" s="1"/>
  <c r="AX139" i="33" s="1"/>
  <c r="AG139" i="33"/>
  <c r="AK139" i="33" s="1"/>
  <c r="AW139" i="33" s="1"/>
  <c r="AF139" i="33"/>
  <c r="AJ139" i="33" s="1"/>
  <c r="AV139" i="33" s="1"/>
  <c r="AE139" i="33"/>
  <c r="AI139" i="33" s="1"/>
  <c r="Y139" i="33"/>
  <c r="AC139" i="33" s="1"/>
  <c r="AR139" i="33" s="1"/>
  <c r="X139" i="33"/>
  <c r="AB139" i="33" s="1"/>
  <c r="AQ139" i="33" s="1"/>
  <c r="W139" i="33"/>
  <c r="AA139" i="33" s="1"/>
  <c r="AP139" i="33" s="1"/>
  <c r="V139" i="33"/>
  <c r="Z139" i="33" s="1"/>
  <c r="AH138" i="33"/>
  <c r="AL138" i="33" s="1"/>
  <c r="AX138" i="33" s="1"/>
  <c r="AG138" i="33"/>
  <c r="AK138" i="33" s="1"/>
  <c r="AW138" i="33" s="1"/>
  <c r="AF138" i="33"/>
  <c r="AJ138" i="33" s="1"/>
  <c r="AV138" i="33" s="1"/>
  <c r="AE138" i="33"/>
  <c r="AI138" i="33" s="1"/>
  <c r="Y138" i="33"/>
  <c r="AC138" i="33" s="1"/>
  <c r="AR138" i="33" s="1"/>
  <c r="X138" i="33"/>
  <c r="AB138" i="33" s="1"/>
  <c r="AQ138" i="33" s="1"/>
  <c r="W138" i="33"/>
  <c r="AA138" i="33" s="1"/>
  <c r="AP138" i="33" s="1"/>
  <c r="V138" i="33"/>
  <c r="Z138" i="33" s="1"/>
  <c r="H135" i="33"/>
  <c r="G135" i="33"/>
  <c r="F135" i="33"/>
  <c r="E135" i="33"/>
  <c r="D135" i="33"/>
  <c r="AH134" i="33"/>
  <c r="AL134" i="33" s="1"/>
  <c r="AX134" i="33" s="1"/>
  <c r="AG134" i="33"/>
  <c r="AK134" i="33" s="1"/>
  <c r="AW134" i="33" s="1"/>
  <c r="AF134" i="33"/>
  <c r="AJ134" i="33" s="1"/>
  <c r="AV134" i="33" s="1"/>
  <c r="AE134" i="33"/>
  <c r="AI134" i="33" s="1"/>
  <c r="Y134" i="33"/>
  <c r="AC134" i="33" s="1"/>
  <c r="AR134" i="33" s="1"/>
  <c r="X134" i="33"/>
  <c r="AB134" i="33" s="1"/>
  <c r="AQ134" i="33" s="1"/>
  <c r="W134" i="33"/>
  <c r="AA134" i="33" s="1"/>
  <c r="AP134" i="33" s="1"/>
  <c r="V134" i="33"/>
  <c r="Z134" i="33" s="1"/>
  <c r="AH133" i="33"/>
  <c r="AL133" i="33" s="1"/>
  <c r="AX133" i="33" s="1"/>
  <c r="AG133" i="33"/>
  <c r="AK133" i="33" s="1"/>
  <c r="AW133" i="33" s="1"/>
  <c r="AF133" i="33"/>
  <c r="AJ133" i="33" s="1"/>
  <c r="AV133" i="33" s="1"/>
  <c r="AE133" i="33"/>
  <c r="AI133" i="33" s="1"/>
  <c r="Y133" i="33"/>
  <c r="AC133" i="33" s="1"/>
  <c r="AR133" i="33" s="1"/>
  <c r="X133" i="33"/>
  <c r="AB133" i="33" s="1"/>
  <c r="AQ133" i="33" s="1"/>
  <c r="W133" i="33"/>
  <c r="AA133" i="33" s="1"/>
  <c r="AP133" i="33" s="1"/>
  <c r="V133" i="33"/>
  <c r="Z133" i="33" s="1"/>
  <c r="AH132" i="33"/>
  <c r="AL132" i="33" s="1"/>
  <c r="AX132" i="33" s="1"/>
  <c r="AG132" i="33"/>
  <c r="AK132" i="33" s="1"/>
  <c r="AW132" i="33" s="1"/>
  <c r="AF132" i="33"/>
  <c r="AJ132" i="33" s="1"/>
  <c r="AV132" i="33" s="1"/>
  <c r="AE132" i="33"/>
  <c r="AI132" i="33" s="1"/>
  <c r="Y132" i="33"/>
  <c r="AC132" i="33" s="1"/>
  <c r="AR132" i="33" s="1"/>
  <c r="X132" i="33"/>
  <c r="AB132" i="33" s="1"/>
  <c r="AQ132" i="33" s="1"/>
  <c r="W132" i="33"/>
  <c r="AA132" i="33" s="1"/>
  <c r="AP132" i="33" s="1"/>
  <c r="V132" i="33"/>
  <c r="Z132" i="33" s="1"/>
  <c r="AH131" i="33"/>
  <c r="AL131" i="33" s="1"/>
  <c r="AX131" i="33" s="1"/>
  <c r="AG131" i="33"/>
  <c r="AK131" i="33" s="1"/>
  <c r="AW131" i="33" s="1"/>
  <c r="AF131" i="33"/>
  <c r="AJ131" i="33" s="1"/>
  <c r="AV131" i="33" s="1"/>
  <c r="AE131" i="33"/>
  <c r="AI131" i="33" s="1"/>
  <c r="Y131" i="33"/>
  <c r="AC131" i="33" s="1"/>
  <c r="AR131" i="33" s="1"/>
  <c r="X131" i="33"/>
  <c r="AB131" i="33" s="1"/>
  <c r="AQ131" i="33" s="1"/>
  <c r="W131" i="33"/>
  <c r="AA131" i="33" s="1"/>
  <c r="AP131" i="33" s="1"/>
  <c r="V131" i="33"/>
  <c r="Z131" i="33" s="1"/>
  <c r="AH130" i="33"/>
  <c r="AL130" i="33" s="1"/>
  <c r="AX130" i="33" s="1"/>
  <c r="AG130" i="33"/>
  <c r="AK130" i="33" s="1"/>
  <c r="AW130" i="33" s="1"/>
  <c r="AF130" i="33"/>
  <c r="AJ130" i="33" s="1"/>
  <c r="AV130" i="33" s="1"/>
  <c r="AE130" i="33"/>
  <c r="AI130" i="33" s="1"/>
  <c r="Y130" i="33"/>
  <c r="AC130" i="33" s="1"/>
  <c r="AR130" i="33" s="1"/>
  <c r="X130" i="33"/>
  <c r="AB130" i="33" s="1"/>
  <c r="AQ130" i="33" s="1"/>
  <c r="W130" i="33"/>
  <c r="AA130" i="33" s="1"/>
  <c r="AP130" i="33" s="1"/>
  <c r="V130" i="33"/>
  <c r="Z130" i="33" s="1"/>
  <c r="AH129" i="33"/>
  <c r="AL129" i="33" s="1"/>
  <c r="AX129" i="33" s="1"/>
  <c r="AG129" i="33"/>
  <c r="AK129" i="33" s="1"/>
  <c r="AW129" i="33" s="1"/>
  <c r="AF129" i="33"/>
  <c r="AJ129" i="33" s="1"/>
  <c r="AV129" i="33" s="1"/>
  <c r="AE129" i="33"/>
  <c r="AI129" i="33" s="1"/>
  <c r="Y129" i="33"/>
  <c r="AC129" i="33" s="1"/>
  <c r="AR129" i="33" s="1"/>
  <c r="X129" i="33"/>
  <c r="AB129" i="33" s="1"/>
  <c r="AQ129" i="33" s="1"/>
  <c r="W129" i="33"/>
  <c r="AA129" i="33" s="1"/>
  <c r="AP129" i="33" s="1"/>
  <c r="V129" i="33"/>
  <c r="Z129" i="33" s="1"/>
  <c r="H126" i="33"/>
  <c r="G126" i="33"/>
  <c r="F126" i="33"/>
  <c r="E126" i="33"/>
  <c r="D126" i="33"/>
  <c r="AH125" i="33"/>
  <c r="AL125" i="33" s="1"/>
  <c r="AX125" i="33" s="1"/>
  <c r="AG125" i="33"/>
  <c r="AK125" i="33" s="1"/>
  <c r="AW125" i="33" s="1"/>
  <c r="AF125" i="33"/>
  <c r="AJ125" i="33" s="1"/>
  <c r="AV125" i="33" s="1"/>
  <c r="AE125" i="33"/>
  <c r="AI125" i="33" s="1"/>
  <c r="Y125" i="33"/>
  <c r="AC125" i="33" s="1"/>
  <c r="AR125" i="33" s="1"/>
  <c r="X125" i="33"/>
  <c r="AB125" i="33" s="1"/>
  <c r="AQ125" i="33" s="1"/>
  <c r="W125" i="33"/>
  <c r="AA125" i="33" s="1"/>
  <c r="AP125" i="33" s="1"/>
  <c r="V125" i="33"/>
  <c r="Z125" i="33" s="1"/>
  <c r="AH124" i="33"/>
  <c r="AL124" i="33" s="1"/>
  <c r="AX124" i="33" s="1"/>
  <c r="AG124" i="33"/>
  <c r="AK124" i="33" s="1"/>
  <c r="AW124" i="33" s="1"/>
  <c r="AF124" i="33"/>
  <c r="AJ124" i="33" s="1"/>
  <c r="AV124" i="33" s="1"/>
  <c r="AE124" i="33"/>
  <c r="AI124" i="33" s="1"/>
  <c r="Y124" i="33"/>
  <c r="AC124" i="33" s="1"/>
  <c r="AR124" i="33" s="1"/>
  <c r="X124" i="33"/>
  <c r="AB124" i="33" s="1"/>
  <c r="AQ124" i="33" s="1"/>
  <c r="W124" i="33"/>
  <c r="AA124" i="33" s="1"/>
  <c r="AP124" i="33" s="1"/>
  <c r="V124" i="33"/>
  <c r="Z124" i="33" s="1"/>
  <c r="AH123" i="33"/>
  <c r="AL123" i="33" s="1"/>
  <c r="AX123" i="33" s="1"/>
  <c r="AG123" i="33"/>
  <c r="AK123" i="33" s="1"/>
  <c r="AW123" i="33" s="1"/>
  <c r="AF123" i="33"/>
  <c r="AJ123" i="33" s="1"/>
  <c r="AV123" i="33" s="1"/>
  <c r="AE123" i="33"/>
  <c r="AI123" i="33" s="1"/>
  <c r="Y123" i="33"/>
  <c r="AC123" i="33" s="1"/>
  <c r="AR123" i="33" s="1"/>
  <c r="X123" i="33"/>
  <c r="AB123" i="33" s="1"/>
  <c r="AQ123" i="33" s="1"/>
  <c r="W123" i="33"/>
  <c r="AA123" i="33" s="1"/>
  <c r="AP123" i="33" s="1"/>
  <c r="V123" i="33"/>
  <c r="Z123" i="33" s="1"/>
  <c r="AH122" i="33"/>
  <c r="AL122" i="33" s="1"/>
  <c r="AX122" i="33" s="1"/>
  <c r="AG122" i="33"/>
  <c r="AK122" i="33" s="1"/>
  <c r="AW122" i="33" s="1"/>
  <c r="AF122" i="33"/>
  <c r="AJ122" i="33" s="1"/>
  <c r="AV122" i="33" s="1"/>
  <c r="AE122" i="33"/>
  <c r="AI122" i="33" s="1"/>
  <c r="Y122" i="33"/>
  <c r="AC122" i="33" s="1"/>
  <c r="AR122" i="33" s="1"/>
  <c r="X122" i="33"/>
  <c r="AB122" i="33" s="1"/>
  <c r="AQ122" i="33" s="1"/>
  <c r="W122" i="33"/>
  <c r="AA122" i="33" s="1"/>
  <c r="AP122" i="33" s="1"/>
  <c r="V122" i="33"/>
  <c r="Z122" i="33" s="1"/>
  <c r="AH121" i="33"/>
  <c r="AL121" i="33" s="1"/>
  <c r="AX121" i="33" s="1"/>
  <c r="AG121" i="33"/>
  <c r="AK121" i="33" s="1"/>
  <c r="AW121" i="33" s="1"/>
  <c r="AF121" i="33"/>
  <c r="AJ121" i="33" s="1"/>
  <c r="AV121" i="33" s="1"/>
  <c r="AE121" i="33"/>
  <c r="AI121" i="33" s="1"/>
  <c r="Y121" i="33"/>
  <c r="AC121" i="33" s="1"/>
  <c r="AR121" i="33" s="1"/>
  <c r="X121" i="33"/>
  <c r="AB121" i="33" s="1"/>
  <c r="AQ121" i="33" s="1"/>
  <c r="W121" i="33"/>
  <c r="AA121" i="33" s="1"/>
  <c r="AP121" i="33" s="1"/>
  <c r="V121" i="33"/>
  <c r="Z121" i="33" s="1"/>
  <c r="AH120" i="33"/>
  <c r="AL120" i="33" s="1"/>
  <c r="AX120" i="33" s="1"/>
  <c r="AG120" i="33"/>
  <c r="AK120" i="33" s="1"/>
  <c r="AW120" i="33" s="1"/>
  <c r="AF120" i="33"/>
  <c r="AJ120" i="33" s="1"/>
  <c r="AV120" i="33" s="1"/>
  <c r="AE120" i="33"/>
  <c r="AI120" i="33" s="1"/>
  <c r="Y120" i="33"/>
  <c r="AC120" i="33" s="1"/>
  <c r="AR120" i="33" s="1"/>
  <c r="X120" i="33"/>
  <c r="AB120" i="33" s="1"/>
  <c r="AQ120" i="33" s="1"/>
  <c r="W120" i="33"/>
  <c r="AA120" i="33" s="1"/>
  <c r="AP120" i="33" s="1"/>
  <c r="V120" i="33"/>
  <c r="Z120" i="33" s="1"/>
  <c r="H117" i="33"/>
  <c r="G117" i="33"/>
  <c r="F117" i="33"/>
  <c r="E117" i="33"/>
  <c r="D117" i="33"/>
  <c r="AH116" i="33"/>
  <c r="AL116" i="33" s="1"/>
  <c r="AX116" i="33" s="1"/>
  <c r="AG116" i="33"/>
  <c r="AK116" i="33" s="1"/>
  <c r="AW116" i="33" s="1"/>
  <c r="AF116" i="33"/>
  <c r="AJ116" i="33" s="1"/>
  <c r="AV116" i="33" s="1"/>
  <c r="AE116" i="33"/>
  <c r="AI116" i="33" s="1"/>
  <c r="Y116" i="33"/>
  <c r="AC116" i="33" s="1"/>
  <c r="AR116" i="33" s="1"/>
  <c r="X116" i="33"/>
  <c r="AB116" i="33" s="1"/>
  <c r="AQ116" i="33" s="1"/>
  <c r="W116" i="33"/>
  <c r="AA116" i="33" s="1"/>
  <c r="AP116" i="33" s="1"/>
  <c r="V116" i="33"/>
  <c r="Z116" i="33" s="1"/>
  <c r="AH115" i="33"/>
  <c r="AL115" i="33" s="1"/>
  <c r="AX115" i="33" s="1"/>
  <c r="AG115" i="33"/>
  <c r="AK115" i="33" s="1"/>
  <c r="AW115" i="33" s="1"/>
  <c r="AF115" i="33"/>
  <c r="AJ115" i="33" s="1"/>
  <c r="AV115" i="33" s="1"/>
  <c r="AE115" i="33"/>
  <c r="AI115" i="33" s="1"/>
  <c r="Y115" i="33"/>
  <c r="AC115" i="33" s="1"/>
  <c r="AR115" i="33" s="1"/>
  <c r="X115" i="33"/>
  <c r="AB115" i="33" s="1"/>
  <c r="AQ115" i="33" s="1"/>
  <c r="W115" i="33"/>
  <c r="AA115" i="33" s="1"/>
  <c r="AP115" i="33" s="1"/>
  <c r="V115" i="33"/>
  <c r="Z115" i="33" s="1"/>
  <c r="AH114" i="33"/>
  <c r="AL114" i="33" s="1"/>
  <c r="AX114" i="33" s="1"/>
  <c r="AG114" i="33"/>
  <c r="AK114" i="33" s="1"/>
  <c r="AW114" i="33" s="1"/>
  <c r="AF114" i="33"/>
  <c r="AJ114" i="33" s="1"/>
  <c r="AV114" i="33" s="1"/>
  <c r="AE114" i="33"/>
  <c r="AI114" i="33" s="1"/>
  <c r="Y114" i="33"/>
  <c r="AC114" i="33" s="1"/>
  <c r="AR114" i="33" s="1"/>
  <c r="X114" i="33"/>
  <c r="AB114" i="33" s="1"/>
  <c r="AQ114" i="33" s="1"/>
  <c r="W114" i="33"/>
  <c r="AA114" i="33" s="1"/>
  <c r="AP114" i="33" s="1"/>
  <c r="V114" i="33"/>
  <c r="Z114" i="33" s="1"/>
  <c r="AH113" i="33"/>
  <c r="AL113" i="33" s="1"/>
  <c r="AX113" i="33" s="1"/>
  <c r="AG113" i="33"/>
  <c r="AK113" i="33" s="1"/>
  <c r="AW113" i="33" s="1"/>
  <c r="AF113" i="33"/>
  <c r="AJ113" i="33" s="1"/>
  <c r="AV113" i="33" s="1"/>
  <c r="AE113" i="33"/>
  <c r="AI113" i="33" s="1"/>
  <c r="Y113" i="33"/>
  <c r="AC113" i="33" s="1"/>
  <c r="AR113" i="33" s="1"/>
  <c r="X113" i="33"/>
  <c r="AB113" i="33" s="1"/>
  <c r="AQ113" i="33" s="1"/>
  <c r="W113" i="33"/>
  <c r="AA113" i="33" s="1"/>
  <c r="AP113" i="33" s="1"/>
  <c r="V113" i="33"/>
  <c r="Z113" i="33" s="1"/>
  <c r="AH112" i="33"/>
  <c r="AL112" i="33" s="1"/>
  <c r="AX112" i="33" s="1"/>
  <c r="AG112" i="33"/>
  <c r="AK112" i="33" s="1"/>
  <c r="AW112" i="33" s="1"/>
  <c r="AF112" i="33"/>
  <c r="AJ112" i="33" s="1"/>
  <c r="AV112" i="33" s="1"/>
  <c r="AE112" i="33"/>
  <c r="AI112" i="33" s="1"/>
  <c r="Y112" i="33"/>
  <c r="AC112" i="33" s="1"/>
  <c r="AR112" i="33" s="1"/>
  <c r="X112" i="33"/>
  <c r="AB112" i="33" s="1"/>
  <c r="AQ112" i="33" s="1"/>
  <c r="W112" i="33"/>
  <c r="AA112" i="33" s="1"/>
  <c r="AP112" i="33" s="1"/>
  <c r="V112" i="33"/>
  <c r="Z112" i="33" s="1"/>
  <c r="AH111" i="33"/>
  <c r="AL111" i="33" s="1"/>
  <c r="AX111" i="33" s="1"/>
  <c r="AG111" i="33"/>
  <c r="AK111" i="33" s="1"/>
  <c r="AW111" i="33" s="1"/>
  <c r="AF111" i="33"/>
  <c r="AJ111" i="33" s="1"/>
  <c r="AV111" i="33" s="1"/>
  <c r="AE111" i="33"/>
  <c r="AI111" i="33" s="1"/>
  <c r="Y111" i="33"/>
  <c r="AC111" i="33" s="1"/>
  <c r="AR111" i="33" s="1"/>
  <c r="X111" i="33"/>
  <c r="AB111" i="33" s="1"/>
  <c r="AQ111" i="33" s="1"/>
  <c r="W111" i="33"/>
  <c r="AA111" i="33" s="1"/>
  <c r="AP111" i="33" s="1"/>
  <c r="V111" i="33"/>
  <c r="Z111" i="33" s="1"/>
  <c r="H108" i="33"/>
  <c r="G108" i="33"/>
  <c r="F108" i="33"/>
  <c r="E108" i="33"/>
  <c r="D108" i="33"/>
  <c r="AH107" i="33"/>
  <c r="AL107" i="33" s="1"/>
  <c r="AX107" i="33" s="1"/>
  <c r="AG107" i="33"/>
  <c r="AK107" i="33" s="1"/>
  <c r="AW107" i="33" s="1"/>
  <c r="AF107" i="33"/>
  <c r="AJ107" i="33" s="1"/>
  <c r="AV107" i="33" s="1"/>
  <c r="AE107" i="33"/>
  <c r="AI107" i="33" s="1"/>
  <c r="Y107" i="33"/>
  <c r="AC107" i="33" s="1"/>
  <c r="AR107" i="33" s="1"/>
  <c r="X107" i="33"/>
  <c r="AB107" i="33" s="1"/>
  <c r="AQ107" i="33" s="1"/>
  <c r="W107" i="33"/>
  <c r="AA107" i="33" s="1"/>
  <c r="AP107" i="33" s="1"/>
  <c r="V107" i="33"/>
  <c r="Z107" i="33" s="1"/>
  <c r="AH106" i="33"/>
  <c r="AL106" i="33" s="1"/>
  <c r="AX106" i="33" s="1"/>
  <c r="AG106" i="33"/>
  <c r="AK106" i="33" s="1"/>
  <c r="AW106" i="33" s="1"/>
  <c r="AF106" i="33"/>
  <c r="AJ106" i="33" s="1"/>
  <c r="AV106" i="33" s="1"/>
  <c r="AE106" i="33"/>
  <c r="AI106" i="33" s="1"/>
  <c r="Y106" i="33"/>
  <c r="AC106" i="33" s="1"/>
  <c r="AR106" i="33" s="1"/>
  <c r="X106" i="33"/>
  <c r="AB106" i="33" s="1"/>
  <c r="AQ106" i="33" s="1"/>
  <c r="W106" i="33"/>
  <c r="AA106" i="33" s="1"/>
  <c r="AP106" i="33" s="1"/>
  <c r="V106" i="33"/>
  <c r="Z106" i="33" s="1"/>
  <c r="AH105" i="33"/>
  <c r="AL105" i="33" s="1"/>
  <c r="AX105" i="33" s="1"/>
  <c r="AG105" i="33"/>
  <c r="AK105" i="33" s="1"/>
  <c r="AW105" i="33" s="1"/>
  <c r="AF105" i="33"/>
  <c r="AJ105" i="33" s="1"/>
  <c r="AV105" i="33" s="1"/>
  <c r="AE105" i="33"/>
  <c r="AI105" i="33" s="1"/>
  <c r="Y105" i="33"/>
  <c r="AC105" i="33" s="1"/>
  <c r="AR105" i="33" s="1"/>
  <c r="X105" i="33"/>
  <c r="AB105" i="33" s="1"/>
  <c r="AQ105" i="33" s="1"/>
  <c r="W105" i="33"/>
  <c r="AA105" i="33" s="1"/>
  <c r="AP105" i="33" s="1"/>
  <c r="V105" i="33"/>
  <c r="Z105" i="33" s="1"/>
  <c r="AH104" i="33"/>
  <c r="AL104" i="33" s="1"/>
  <c r="AX104" i="33" s="1"/>
  <c r="AG104" i="33"/>
  <c r="AK104" i="33" s="1"/>
  <c r="AW104" i="33" s="1"/>
  <c r="AF104" i="33"/>
  <c r="AJ104" i="33" s="1"/>
  <c r="AV104" i="33" s="1"/>
  <c r="AE104" i="33"/>
  <c r="AI104" i="33" s="1"/>
  <c r="Y104" i="33"/>
  <c r="AC104" i="33" s="1"/>
  <c r="AR104" i="33" s="1"/>
  <c r="X104" i="33"/>
  <c r="AB104" i="33" s="1"/>
  <c r="AQ104" i="33" s="1"/>
  <c r="W104" i="33"/>
  <c r="AA104" i="33" s="1"/>
  <c r="AP104" i="33" s="1"/>
  <c r="V104" i="33"/>
  <c r="Z104" i="33" s="1"/>
  <c r="AH103" i="33"/>
  <c r="AL103" i="33" s="1"/>
  <c r="AX103" i="33" s="1"/>
  <c r="AG103" i="33"/>
  <c r="AK103" i="33" s="1"/>
  <c r="AW103" i="33" s="1"/>
  <c r="AF103" i="33"/>
  <c r="AJ103" i="33" s="1"/>
  <c r="AV103" i="33" s="1"/>
  <c r="AE103" i="33"/>
  <c r="AI103" i="33" s="1"/>
  <c r="Y103" i="33"/>
  <c r="AC103" i="33" s="1"/>
  <c r="AR103" i="33" s="1"/>
  <c r="X103" i="33"/>
  <c r="AB103" i="33" s="1"/>
  <c r="AQ103" i="33" s="1"/>
  <c r="W103" i="33"/>
  <c r="AA103" i="33" s="1"/>
  <c r="AP103" i="33" s="1"/>
  <c r="V103" i="33"/>
  <c r="Z103" i="33" s="1"/>
  <c r="AH102" i="33"/>
  <c r="AL102" i="33" s="1"/>
  <c r="AX102" i="33" s="1"/>
  <c r="AG102" i="33"/>
  <c r="AK102" i="33" s="1"/>
  <c r="AW102" i="33" s="1"/>
  <c r="AF102" i="33"/>
  <c r="AJ102" i="33" s="1"/>
  <c r="AV102" i="33" s="1"/>
  <c r="AE102" i="33"/>
  <c r="AI102" i="33" s="1"/>
  <c r="Y102" i="33"/>
  <c r="AC102" i="33" s="1"/>
  <c r="AR102" i="33" s="1"/>
  <c r="X102" i="33"/>
  <c r="AB102" i="33" s="1"/>
  <c r="AQ102" i="33" s="1"/>
  <c r="W102" i="33"/>
  <c r="AA102" i="33" s="1"/>
  <c r="AP102" i="33" s="1"/>
  <c r="V102" i="33"/>
  <c r="Z102" i="33" s="1"/>
  <c r="H99" i="33"/>
  <c r="G99" i="33"/>
  <c r="F99" i="33"/>
  <c r="E99" i="33"/>
  <c r="D99" i="33"/>
  <c r="AH98" i="33"/>
  <c r="AL98" i="33" s="1"/>
  <c r="AX98" i="33" s="1"/>
  <c r="AG98" i="33"/>
  <c r="AK98" i="33" s="1"/>
  <c r="AW98" i="33" s="1"/>
  <c r="AF98" i="33"/>
  <c r="AJ98" i="33" s="1"/>
  <c r="AV98" i="33" s="1"/>
  <c r="AE98" i="33"/>
  <c r="AI98" i="33" s="1"/>
  <c r="Y98" i="33"/>
  <c r="AC98" i="33" s="1"/>
  <c r="AR98" i="33" s="1"/>
  <c r="X98" i="33"/>
  <c r="AB98" i="33" s="1"/>
  <c r="AQ98" i="33" s="1"/>
  <c r="W98" i="33"/>
  <c r="AA98" i="33" s="1"/>
  <c r="AP98" i="33" s="1"/>
  <c r="V98" i="33"/>
  <c r="Z98" i="33" s="1"/>
  <c r="AH97" i="33"/>
  <c r="AL97" i="33" s="1"/>
  <c r="AX97" i="33" s="1"/>
  <c r="AG97" i="33"/>
  <c r="AK97" i="33" s="1"/>
  <c r="AW97" i="33" s="1"/>
  <c r="AF97" i="33"/>
  <c r="AJ97" i="33" s="1"/>
  <c r="AV97" i="33" s="1"/>
  <c r="AE97" i="33"/>
  <c r="AI97" i="33" s="1"/>
  <c r="Y97" i="33"/>
  <c r="AC97" i="33" s="1"/>
  <c r="AR97" i="33" s="1"/>
  <c r="X97" i="33"/>
  <c r="AB97" i="33" s="1"/>
  <c r="AQ97" i="33" s="1"/>
  <c r="W97" i="33"/>
  <c r="AA97" i="33" s="1"/>
  <c r="AP97" i="33" s="1"/>
  <c r="V97" i="33"/>
  <c r="Z97" i="33" s="1"/>
  <c r="AH96" i="33"/>
  <c r="AL96" i="33" s="1"/>
  <c r="AX96" i="33" s="1"/>
  <c r="AG96" i="33"/>
  <c r="AK96" i="33" s="1"/>
  <c r="AW96" i="33" s="1"/>
  <c r="AF96" i="33"/>
  <c r="AJ96" i="33" s="1"/>
  <c r="AV96" i="33" s="1"/>
  <c r="AE96" i="33"/>
  <c r="AI96" i="33" s="1"/>
  <c r="Y96" i="33"/>
  <c r="AC96" i="33" s="1"/>
  <c r="AR96" i="33" s="1"/>
  <c r="X96" i="33"/>
  <c r="AB96" i="33" s="1"/>
  <c r="AQ96" i="33" s="1"/>
  <c r="W96" i="33"/>
  <c r="AA96" i="33" s="1"/>
  <c r="AP96" i="33" s="1"/>
  <c r="V96" i="33"/>
  <c r="Z96" i="33" s="1"/>
  <c r="AH95" i="33"/>
  <c r="AL95" i="33" s="1"/>
  <c r="AX95" i="33" s="1"/>
  <c r="AG95" i="33"/>
  <c r="AK95" i="33" s="1"/>
  <c r="AW95" i="33" s="1"/>
  <c r="AF95" i="33"/>
  <c r="AJ95" i="33" s="1"/>
  <c r="AV95" i="33" s="1"/>
  <c r="AE95" i="33"/>
  <c r="AI95" i="33" s="1"/>
  <c r="Y95" i="33"/>
  <c r="AC95" i="33" s="1"/>
  <c r="AR95" i="33" s="1"/>
  <c r="X95" i="33"/>
  <c r="AB95" i="33" s="1"/>
  <c r="AQ95" i="33" s="1"/>
  <c r="W95" i="33"/>
  <c r="AA95" i="33" s="1"/>
  <c r="AP95" i="33" s="1"/>
  <c r="V95" i="33"/>
  <c r="Z95" i="33" s="1"/>
  <c r="AH94" i="33"/>
  <c r="AL94" i="33" s="1"/>
  <c r="AX94" i="33" s="1"/>
  <c r="AG94" i="33"/>
  <c r="AK94" i="33" s="1"/>
  <c r="AW94" i="33" s="1"/>
  <c r="AF94" i="33"/>
  <c r="AJ94" i="33" s="1"/>
  <c r="AV94" i="33" s="1"/>
  <c r="AE94" i="33"/>
  <c r="AI94" i="33" s="1"/>
  <c r="Y94" i="33"/>
  <c r="AC94" i="33" s="1"/>
  <c r="AR94" i="33" s="1"/>
  <c r="X94" i="33"/>
  <c r="AB94" i="33" s="1"/>
  <c r="AQ94" i="33" s="1"/>
  <c r="W94" i="33"/>
  <c r="AA94" i="33" s="1"/>
  <c r="AP94" i="33" s="1"/>
  <c r="V94" i="33"/>
  <c r="Z94" i="33" s="1"/>
  <c r="AH93" i="33"/>
  <c r="AL93" i="33" s="1"/>
  <c r="AX93" i="33" s="1"/>
  <c r="AG93" i="33"/>
  <c r="AK93" i="33" s="1"/>
  <c r="AW93" i="33" s="1"/>
  <c r="AF93" i="33"/>
  <c r="AJ93" i="33" s="1"/>
  <c r="AV93" i="33" s="1"/>
  <c r="AE93" i="33"/>
  <c r="AI93" i="33" s="1"/>
  <c r="Y93" i="33"/>
  <c r="AC93" i="33" s="1"/>
  <c r="AR93" i="33" s="1"/>
  <c r="X93" i="33"/>
  <c r="AB93" i="33" s="1"/>
  <c r="AQ93" i="33" s="1"/>
  <c r="W93" i="33"/>
  <c r="AA93" i="33" s="1"/>
  <c r="AP93" i="33" s="1"/>
  <c r="V93" i="33"/>
  <c r="Z93" i="33" s="1"/>
  <c r="H90" i="33"/>
  <c r="G90" i="33"/>
  <c r="F90" i="33"/>
  <c r="E90" i="33"/>
  <c r="D90" i="33"/>
  <c r="AH89" i="33"/>
  <c r="AL89" i="33" s="1"/>
  <c r="AX89" i="33" s="1"/>
  <c r="AG89" i="33"/>
  <c r="AK89" i="33" s="1"/>
  <c r="AW89" i="33" s="1"/>
  <c r="AF89" i="33"/>
  <c r="AJ89" i="33" s="1"/>
  <c r="AV89" i="33" s="1"/>
  <c r="AE89" i="33"/>
  <c r="AI89" i="33" s="1"/>
  <c r="Y89" i="33"/>
  <c r="AC89" i="33" s="1"/>
  <c r="AR89" i="33" s="1"/>
  <c r="X89" i="33"/>
  <c r="AB89" i="33" s="1"/>
  <c r="AQ89" i="33" s="1"/>
  <c r="W89" i="33"/>
  <c r="AA89" i="33" s="1"/>
  <c r="AP89" i="33" s="1"/>
  <c r="V89" i="33"/>
  <c r="Z89" i="33" s="1"/>
  <c r="AH88" i="33"/>
  <c r="AL88" i="33" s="1"/>
  <c r="AX88" i="33" s="1"/>
  <c r="AG88" i="33"/>
  <c r="AK88" i="33" s="1"/>
  <c r="AW88" i="33" s="1"/>
  <c r="AF88" i="33"/>
  <c r="AJ88" i="33" s="1"/>
  <c r="AV88" i="33" s="1"/>
  <c r="AE88" i="33"/>
  <c r="AI88" i="33" s="1"/>
  <c r="Y88" i="33"/>
  <c r="AC88" i="33" s="1"/>
  <c r="AR88" i="33" s="1"/>
  <c r="X88" i="33"/>
  <c r="AB88" i="33" s="1"/>
  <c r="AQ88" i="33" s="1"/>
  <c r="W88" i="33"/>
  <c r="AA88" i="33" s="1"/>
  <c r="AP88" i="33" s="1"/>
  <c r="V88" i="33"/>
  <c r="Z88" i="33" s="1"/>
  <c r="AH87" i="33"/>
  <c r="AL87" i="33" s="1"/>
  <c r="AX87" i="33" s="1"/>
  <c r="AG87" i="33"/>
  <c r="AK87" i="33" s="1"/>
  <c r="AW87" i="33" s="1"/>
  <c r="AF87" i="33"/>
  <c r="AJ87" i="33" s="1"/>
  <c r="AV87" i="33" s="1"/>
  <c r="AE87" i="33"/>
  <c r="AI87" i="33" s="1"/>
  <c r="Y87" i="33"/>
  <c r="AC87" i="33" s="1"/>
  <c r="AR87" i="33" s="1"/>
  <c r="X87" i="33"/>
  <c r="AB87" i="33" s="1"/>
  <c r="AQ87" i="33" s="1"/>
  <c r="W87" i="33"/>
  <c r="AA87" i="33" s="1"/>
  <c r="AP87" i="33" s="1"/>
  <c r="V87" i="33"/>
  <c r="Z87" i="33" s="1"/>
  <c r="AH86" i="33"/>
  <c r="AL86" i="33" s="1"/>
  <c r="AX86" i="33" s="1"/>
  <c r="AG86" i="33"/>
  <c r="AK86" i="33" s="1"/>
  <c r="AW86" i="33" s="1"/>
  <c r="AF86" i="33"/>
  <c r="AJ86" i="33" s="1"/>
  <c r="AV86" i="33" s="1"/>
  <c r="AE86" i="33"/>
  <c r="AI86" i="33" s="1"/>
  <c r="Y86" i="33"/>
  <c r="AC86" i="33" s="1"/>
  <c r="AR86" i="33" s="1"/>
  <c r="X86" i="33"/>
  <c r="AB86" i="33" s="1"/>
  <c r="AQ86" i="33" s="1"/>
  <c r="W86" i="33"/>
  <c r="AA86" i="33" s="1"/>
  <c r="AP86" i="33" s="1"/>
  <c r="V86" i="33"/>
  <c r="Z86" i="33" s="1"/>
  <c r="AH85" i="33"/>
  <c r="AL85" i="33" s="1"/>
  <c r="AX85" i="33" s="1"/>
  <c r="AG85" i="33"/>
  <c r="AK85" i="33" s="1"/>
  <c r="AW85" i="33" s="1"/>
  <c r="AF85" i="33"/>
  <c r="AJ85" i="33" s="1"/>
  <c r="AV85" i="33" s="1"/>
  <c r="AE85" i="33"/>
  <c r="AI85" i="33" s="1"/>
  <c r="Y85" i="33"/>
  <c r="AC85" i="33" s="1"/>
  <c r="AR85" i="33" s="1"/>
  <c r="X85" i="33"/>
  <c r="AB85" i="33" s="1"/>
  <c r="AQ85" i="33" s="1"/>
  <c r="W85" i="33"/>
  <c r="AA85" i="33" s="1"/>
  <c r="AP85" i="33" s="1"/>
  <c r="V85" i="33"/>
  <c r="Z85" i="33" s="1"/>
  <c r="AH84" i="33"/>
  <c r="AL84" i="33" s="1"/>
  <c r="AX84" i="33" s="1"/>
  <c r="AG84" i="33"/>
  <c r="AK84" i="33" s="1"/>
  <c r="AW84" i="33" s="1"/>
  <c r="AF84" i="33"/>
  <c r="AJ84" i="33" s="1"/>
  <c r="AV84" i="33" s="1"/>
  <c r="AE84" i="33"/>
  <c r="AI84" i="33" s="1"/>
  <c r="Y84" i="33"/>
  <c r="AC84" i="33" s="1"/>
  <c r="AR84" i="33" s="1"/>
  <c r="X84" i="33"/>
  <c r="AB84" i="33" s="1"/>
  <c r="AQ84" i="33" s="1"/>
  <c r="W84" i="33"/>
  <c r="AA84" i="33" s="1"/>
  <c r="AP84" i="33" s="1"/>
  <c r="V84" i="33"/>
  <c r="Z84" i="33" s="1"/>
  <c r="H81" i="33"/>
  <c r="G81" i="33"/>
  <c r="F81" i="33"/>
  <c r="E81" i="33"/>
  <c r="D81" i="33"/>
  <c r="AH80" i="33"/>
  <c r="AL80" i="33" s="1"/>
  <c r="AX80" i="33" s="1"/>
  <c r="AG80" i="33"/>
  <c r="AK80" i="33" s="1"/>
  <c r="AW80" i="33" s="1"/>
  <c r="AF80" i="33"/>
  <c r="AJ80" i="33" s="1"/>
  <c r="AV80" i="33" s="1"/>
  <c r="AE80" i="33"/>
  <c r="AI80" i="33" s="1"/>
  <c r="Y80" i="33"/>
  <c r="AC80" i="33" s="1"/>
  <c r="AR80" i="33" s="1"/>
  <c r="X80" i="33"/>
  <c r="AB80" i="33" s="1"/>
  <c r="AQ80" i="33" s="1"/>
  <c r="W80" i="33"/>
  <c r="AA80" i="33" s="1"/>
  <c r="AP80" i="33" s="1"/>
  <c r="V80" i="33"/>
  <c r="Z80" i="33" s="1"/>
  <c r="AH79" i="33"/>
  <c r="AL79" i="33" s="1"/>
  <c r="AX79" i="33" s="1"/>
  <c r="AG79" i="33"/>
  <c r="AK79" i="33" s="1"/>
  <c r="AW79" i="33" s="1"/>
  <c r="AF79" i="33"/>
  <c r="AJ79" i="33" s="1"/>
  <c r="AV79" i="33" s="1"/>
  <c r="AE79" i="33"/>
  <c r="AI79" i="33" s="1"/>
  <c r="Y79" i="33"/>
  <c r="AC79" i="33" s="1"/>
  <c r="AR79" i="33" s="1"/>
  <c r="X79" i="33"/>
  <c r="AB79" i="33" s="1"/>
  <c r="AQ79" i="33" s="1"/>
  <c r="W79" i="33"/>
  <c r="AA79" i="33" s="1"/>
  <c r="AP79" i="33" s="1"/>
  <c r="V79" i="33"/>
  <c r="Z79" i="33" s="1"/>
  <c r="AH78" i="33"/>
  <c r="AL78" i="33" s="1"/>
  <c r="AX78" i="33" s="1"/>
  <c r="AG78" i="33"/>
  <c r="AK78" i="33" s="1"/>
  <c r="AW78" i="33" s="1"/>
  <c r="AF78" i="33"/>
  <c r="AJ78" i="33" s="1"/>
  <c r="AV78" i="33" s="1"/>
  <c r="AE78" i="33"/>
  <c r="AI78" i="33" s="1"/>
  <c r="Y78" i="33"/>
  <c r="AC78" i="33" s="1"/>
  <c r="AR78" i="33" s="1"/>
  <c r="X78" i="33"/>
  <c r="AB78" i="33" s="1"/>
  <c r="AQ78" i="33" s="1"/>
  <c r="W78" i="33"/>
  <c r="AA78" i="33" s="1"/>
  <c r="AP78" i="33" s="1"/>
  <c r="V78" i="33"/>
  <c r="Z78" i="33" s="1"/>
  <c r="AH77" i="33"/>
  <c r="AL77" i="33" s="1"/>
  <c r="AX77" i="33" s="1"/>
  <c r="AG77" i="33"/>
  <c r="AK77" i="33" s="1"/>
  <c r="AW77" i="33" s="1"/>
  <c r="AF77" i="33"/>
  <c r="AJ77" i="33" s="1"/>
  <c r="AV77" i="33" s="1"/>
  <c r="AE77" i="33"/>
  <c r="AI77" i="33" s="1"/>
  <c r="Y77" i="33"/>
  <c r="AC77" i="33" s="1"/>
  <c r="AR77" i="33" s="1"/>
  <c r="X77" i="33"/>
  <c r="AB77" i="33" s="1"/>
  <c r="AQ77" i="33" s="1"/>
  <c r="W77" i="33"/>
  <c r="AA77" i="33" s="1"/>
  <c r="AP77" i="33" s="1"/>
  <c r="V77" i="33"/>
  <c r="Z77" i="33" s="1"/>
  <c r="AH76" i="33"/>
  <c r="AL76" i="33" s="1"/>
  <c r="AX76" i="33" s="1"/>
  <c r="AG76" i="33"/>
  <c r="AK76" i="33" s="1"/>
  <c r="AW76" i="33" s="1"/>
  <c r="AF76" i="33"/>
  <c r="AJ76" i="33" s="1"/>
  <c r="AV76" i="33" s="1"/>
  <c r="AE76" i="33"/>
  <c r="AI76" i="33" s="1"/>
  <c r="Y76" i="33"/>
  <c r="AC76" i="33" s="1"/>
  <c r="AR76" i="33" s="1"/>
  <c r="X76" i="33"/>
  <c r="AB76" i="33" s="1"/>
  <c r="AQ76" i="33" s="1"/>
  <c r="W76" i="33"/>
  <c r="AA76" i="33" s="1"/>
  <c r="AP76" i="33" s="1"/>
  <c r="V76" i="33"/>
  <c r="Z76" i="33" s="1"/>
  <c r="AH75" i="33"/>
  <c r="AL75" i="33" s="1"/>
  <c r="AX75" i="33" s="1"/>
  <c r="AG75" i="33"/>
  <c r="AK75" i="33" s="1"/>
  <c r="AW75" i="33" s="1"/>
  <c r="AF75" i="33"/>
  <c r="AJ75" i="33" s="1"/>
  <c r="AV75" i="33" s="1"/>
  <c r="AE75" i="33"/>
  <c r="AI75" i="33" s="1"/>
  <c r="Y75" i="33"/>
  <c r="AC75" i="33" s="1"/>
  <c r="AR75" i="33" s="1"/>
  <c r="X75" i="33"/>
  <c r="AB75" i="33" s="1"/>
  <c r="AQ75" i="33" s="1"/>
  <c r="W75" i="33"/>
  <c r="AA75" i="33" s="1"/>
  <c r="AP75" i="33" s="1"/>
  <c r="V75" i="33"/>
  <c r="Z75" i="33" s="1"/>
  <c r="H72" i="33"/>
  <c r="G72" i="33"/>
  <c r="F72" i="33"/>
  <c r="E72" i="33"/>
  <c r="D72" i="33"/>
  <c r="AH71" i="33"/>
  <c r="AL71" i="33" s="1"/>
  <c r="AX71" i="33" s="1"/>
  <c r="AG71" i="33"/>
  <c r="AK71" i="33" s="1"/>
  <c r="AW71" i="33" s="1"/>
  <c r="AF71" i="33"/>
  <c r="AJ71" i="33" s="1"/>
  <c r="AV71" i="33" s="1"/>
  <c r="AE71" i="33"/>
  <c r="AI71" i="33" s="1"/>
  <c r="Y71" i="33"/>
  <c r="AC71" i="33" s="1"/>
  <c r="AR71" i="33" s="1"/>
  <c r="X71" i="33"/>
  <c r="AB71" i="33" s="1"/>
  <c r="AQ71" i="33" s="1"/>
  <c r="W71" i="33"/>
  <c r="AA71" i="33" s="1"/>
  <c r="AP71" i="33" s="1"/>
  <c r="V71" i="33"/>
  <c r="Z71" i="33" s="1"/>
  <c r="AH70" i="33"/>
  <c r="AL70" i="33" s="1"/>
  <c r="AX70" i="33" s="1"/>
  <c r="AG70" i="33"/>
  <c r="AK70" i="33" s="1"/>
  <c r="AW70" i="33" s="1"/>
  <c r="AF70" i="33"/>
  <c r="AJ70" i="33" s="1"/>
  <c r="AV70" i="33" s="1"/>
  <c r="AE70" i="33"/>
  <c r="AI70" i="33" s="1"/>
  <c r="Y70" i="33"/>
  <c r="AC70" i="33" s="1"/>
  <c r="AR70" i="33" s="1"/>
  <c r="X70" i="33"/>
  <c r="AB70" i="33" s="1"/>
  <c r="AQ70" i="33" s="1"/>
  <c r="W70" i="33"/>
  <c r="AA70" i="33" s="1"/>
  <c r="AP70" i="33" s="1"/>
  <c r="V70" i="33"/>
  <c r="Z70" i="33" s="1"/>
  <c r="AH69" i="33"/>
  <c r="AL69" i="33" s="1"/>
  <c r="AX69" i="33" s="1"/>
  <c r="AG69" i="33"/>
  <c r="AK69" i="33" s="1"/>
  <c r="AW69" i="33" s="1"/>
  <c r="AF69" i="33"/>
  <c r="AJ69" i="33" s="1"/>
  <c r="AV69" i="33" s="1"/>
  <c r="AE69" i="33"/>
  <c r="AI69" i="33" s="1"/>
  <c r="Y69" i="33"/>
  <c r="AC69" i="33" s="1"/>
  <c r="AR69" i="33" s="1"/>
  <c r="X69" i="33"/>
  <c r="AB69" i="33" s="1"/>
  <c r="AQ69" i="33" s="1"/>
  <c r="W69" i="33"/>
  <c r="AA69" i="33" s="1"/>
  <c r="AP69" i="33" s="1"/>
  <c r="V69" i="33"/>
  <c r="Z69" i="33" s="1"/>
  <c r="AH68" i="33"/>
  <c r="AL68" i="33" s="1"/>
  <c r="AX68" i="33" s="1"/>
  <c r="AG68" i="33"/>
  <c r="AK68" i="33" s="1"/>
  <c r="AW68" i="33" s="1"/>
  <c r="AF68" i="33"/>
  <c r="AJ68" i="33" s="1"/>
  <c r="AV68" i="33" s="1"/>
  <c r="AE68" i="33"/>
  <c r="AI68" i="33" s="1"/>
  <c r="Y68" i="33"/>
  <c r="AC68" i="33" s="1"/>
  <c r="AR68" i="33" s="1"/>
  <c r="X68" i="33"/>
  <c r="AB68" i="33" s="1"/>
  <c r="AQ68" i="33" s="1"/>
  <c r="W68" i="33"/>
  <c r="AA68" i="33" s="1"/>
  <c r="AP68" i="33" s="1"/>
  <c r="V68" i="33"/>
  <c r="Z68" i="33" s="1"/>
  <c r="AH67" i="33"/>
  <c r="AL67" i="33" s="1"/>
  <c r="AX67" i="33" s="1"/>
  <c r="AG67" i="33"/>
  <c r="AK67" i="33" s="1"/>
  <c r="AW67" i="33" s="1"/>
  <c r="AF67" i="33"/>
  <c r="AJ67" i="33" s="1"/>
  <c r="AV67" i="33" s="1"/>
  <c r="AE67" i="33"/>
  <c r="AI67" i="33" s="1"/>
  <c r="Y67" i="33"/>
  <c r="AC67" i="33" s="1"/>
  <c r="AR67" i="33" s="1"/>
  <c r="X67" i="33"/>
  <c r="AB67" i="33" s="1"/>
  <c r="AQ67" i="33" s="1"/>
  <c r="W67" i="33"/>
  <c r="AA67" i="33" s="1"/>
  <c r="AP67" i="33" s="1"/>
  <c r="V67" i="33"/>
  <c r="Z67" i="33" s="1"/>
  <c r="AH66" i="33"/>
  <c r="AL66" i="33" s="1"/>
  <c r="AX66" i="33" s="1"/>
  <c r="AG66" i="33"/>
  <c r="AK66" i="33" s="1"/>
  <c r="AW66" i="33" s="1"/>
  <c r="AF66" i="33"/>
  <c r="AJ66" i="33" s="1"/>
  <c r="AV66" i="33" s="1"/>
  <c r="AE66" i="33"/>
  <c r="AI66" i="33" s="1"/>
  <c r="Y66" i="33"/>
  <c r="AC66" i="33" s="1"/>
  <c r="AR66" i="33" s="1"/>
  <c r="X66" i="33"/>
  <c r="AB66" i="33" s="1"/>
  <c r="AQ66" i="33" s="1"/>
  <c r="W66" i="33"/>
  <c r="AA66" i="33" s="1"/>
  <c r="AP66" i="33" s="1"/>
  <c r="V66" i="33"/>
  <c r="Z66" i="33" s="1"/>
  <c r="H63" i="33"/>
  <c r="G63" i="33"/>
  <c r="F63" i="33"/>
  <c r="E63" i="33"/>
  <c r="D63" i="33"/>
  <c r="AH62" i="33"/>
  <c r="AL62" i="33" s="1"/>
  <c r="AX62" i="33" s="1"/>
  <c r="AG62" i="33"/>
  <c r="AK62" i="33" s="1"/>
  <c r="AW62" i="33" s="1"/>
  <c r="AF62" i="33"/>
  <c r="AJ62" i="33" s="1"/>
  <c r="AV62" i="33" s="1"/>
  <c r="AE62" i="33"/>
  <c r="AI62" i="33" s="1"/>
  <c r="Y62" i="33"/>
  <c r="AC62" i="33" s="1"/>
  <c r="AR62" i="33" s="1"/>
  <c r="X62" i="33"/>
  <c r="AB62" i="33" s="1"/>
  <c r="AQ62" i="33" s="1"/>
  <c r="W62" i="33"/>
  <c r="AA62" i="33" s="1"/>
  <c r="AP62" i="33" s="1"/>
  <c r="V62" i="33"/>
  <c r="Z62" i="33" s="1"/>
  <c r="AH61" i="33"/>
  <c r="AL61" i="33" s="1"/>
  <c r="AX61" i="33" s="1"/>
  <c r="AG61" i="33"/>
  <c r="AK61" i="33" s="1"/>
  <c r="AW61" i="33" s="1"/>
  <c r="AF61" i="33"/>
  <c r="AJ61" i="33" s="1"/>
  <c r="AV61" i="33" s="1"/>
  <c r="AE61" i="33"/>
  <c r="AI61" i="33" s="1"/>
  <c r="Y61" i="33"/>
  <c r="AC61" i="33" s="1"/>
  <c r="AR61" i="33" s="1"/>
  <c r="X61" i="33"/>
  <c r="AB61" i="33" s="1"/>
  <c r="AQ61" i="33" s="1"/>
  <c r="W61" i="33"/>
  <c r="AA61" i="33" s="1"/>
  <c r="AP61" i="33" s="1"/>
  <c r="V61" i="33"/>
  <c r="Z61" i="33" s="1"/>
  <c r="AH60" i="33"/>
  <c r="AL60" i="33" s="1"/>
  <c r="AX60" i="33" s="1"/>
  <c r="AG60" i="33"/>
  <c r="AK60" i="33" s="1"/>
  <c r="AW60" i="33" s="1"/>
  <c r="AF60" i="33"/>
  <c r="AJ60" i="33" s="1"/>
  <c r="AV60" i="33" s="1"/>
  <c r="AE60" i="33"/>
  <c r="AI60" i="33" s="1"/>
  <c r="Y60" i="33"/>
  <c r="AC60" i="33" s="1"/>
  <c r="AR60" i="33" s="1"/>
  <c r="X60" i="33"/>
  <c r="AB60" i="33" s="1"/>
  <c r="AQ60" i="33" s="1"/>
  <c r="W60" i="33"/>
  <c r="AA60" i="33" s="1"/>
  <c r="AP60" i="33" s="1"/>
  <c r="V60" i="33"/>
  <c r="Z60" i="33" s="1"/>
  <c r="AH59" i="33"/>
  <c r="AL59" i="33" s="1"/>
  <c r="AX59" i="33" s="1"/>
  <c r="AG59" i="33"/>
  <c r="AK59" i="33" s="1"/>
  <c r="AW59" i="33" s="1"/>
  <c r="AF59" i="33"/>
  <c r="AJ59" i="33" s="1"/>
  <c r="AV59" i="33" s="1"/>
  <c r="AE59" i="33"/>
  <c r="AI59" i="33" s="1"/>
  <c r="Y59" i="33"/>
  <c r="AC59" i="33" s="1"/>
  <c r="AR59" i="33" s="1"/>
  <c r="X59" i="33"/>
  <c r="AB59" i="33" s="1"/>
  <c r="AQ59" i="33" s="1"/>
  <c r="W59" i="33"/>
  <c r="AA59" i="33" s="1"/>
  <c r="AP59" i="33" s="1"/>
  <c r="V59" i="33"/>
  <c r="Z59" i="33" s="1"/>
  <c r="AH58" i="33"/>
  <c r="AL58" i="33" s="1"/>
  <c r="AX58" i="33" s="1"/>
  <c r="AG58" i="33"/>
  <c r="AK58" i="33" s="1"/>
  <c r="AW58" i="33" s="1"/>
  <c r="AF58" i="33"/>
  <c r="AJ58" i="33" s="1"/>
  <c r="AV58" i="33" s="1"/>
  <c r="AE58" i="33"/>
  <c r="AI58" i="33" s="1"/>
  <c r="Y58" i="33"/>
  <c r="AC58" i="33" s="1"/>
  <c r="AR58" i="33" s="1"/>
  <c r="X58" i="33"/>
  <c r="AB58" i="33" s="1"/>
  <c r="AQ58" i="33" s="1"/>
  <c r="W58" i="33"/>
  <c r="AA58" i="33" s="1"/>
  <c r="AP58" i="33" s="1"/>
  <c r="V58" i="33"/>
  <c r="Z58" i="33" s="1"/>
  <c r="AH57" i="33"/>
  <c r="AL57" i="33" s="1"/>
  <c r="AX57" i="33" s="1"/>
  <c r="AG57" i="33"/>
  <c r="AK57" i="33" s="1"/>
  <c r="AW57" i="33" s="1"/>
  <c r="AF57" i="33"/>
  <c r="AJ57" i="33" s="1"/>
  <c r="AV57" i="33" s="1"/>
  <c r="AE57" i="33"/>
  <c r="AI57" i="33" s="1"/>
  <c r="Y57" i="33"/>
  <c r="AC57" i="33" s="1"/>
  <c r="AR57" i="33" s="1"/>
  <c r="X57" i="33"/>
  <c r="AB57" i="33" s="1"/>
  <c r="AQ57" i="33" s="1"/>
  <c r="W57" i="33"/>
  <c r="AA57" i="33" s="1"/>
  <c r="AP57" i="33" s="1"/>
  <c r="V57" i="33"/>
  <c r="Z57" i="33" s="1"/>
  <c r="H54" i="33"/>
  <c r="G54" i="33"/>
  <c r="F54" i="33"/>
  <c r="E54" i="33"/>
  <c r="D54" i="33"/>
  <c r="AH53" i="33"/>
  <c r="AL53" i="33" s="1"/>
  <c r="AX53" i="33" s="1"/>
  <c r="AG53" i="33"/>
  <c r="AK53" i="33" s="1"/>
  <c r="AW53" i="33" s="1"/>
  <c r="AF53" i="33"/>
  <c r="AJ53" i="33" s="1"/>
  <c r="AV53" i="33" s="1"/>
  <c r="AE53" i="33"/>
  <c r="AI53" i="33" s="1"/>
  <c r="Y53" i="33"/>
  <c r="AC53" i="33" s="1"/>
  <c r="AR53" i="33" s="1"/>
  <c r="X53" i="33"/>
  <c r="AB53" i="33" s="1"/>
  <c r="AQ53" i="33" s="1"/>
  <c r="W53" i="33"/>
  <c r="AA53" i="33" s="1"/>
  <c r="AP53" i="33" s="1"/>
  <c r="V53" i="33"/>
  <c r="Z53" i="33" s="1"/>
  <c r="AH52" i="33"/>
  <c r="AL52" i="33" s="1"/>
  <c r="AX52" i="33" s="1"/>
  <c r="AG52" i="33"/>
  <c r="AK52" i="33" s="1"/>
  <c r="AW52" i="33" s="1"/>
  <c r="AF52" i="33"/>
  <c r="AJ52" i="33" s="1"/>
  <c r="AV52" i="33" s="1"/>
  <c r="AE52" i="33"/>
  <c r="AI52" i="33" s="1"/>
  <c r="Y52" i="33"/>
  <c r="AC52" i="33" s="1"/>
  <c r="AR52" i="33" s="1"/>
  <c r="X52" i="33"/>
  <c r="AB52" i="33" s="1"/>
  <c r="AQ52" i="33" s="1"/>
  <c r="W52" i="33"/>
  <c r="AA52" i="33" s="1"/>
  <c r="AP52" i="33" s="1"/>
  <c r="V52" i="33"/>
  <c r="Z52" i="33" s="1"/>
  <c r="AH51" i="33"/>
  <c r="AL51" i="33" s="1"/>
  <c r="AX51" i="33" s="1"/>
  <c r="AG51" i="33"/>
  <c r="AK51" i="33" s="1"/>
  <c r="AW51" i="33" s="1"/>
  <c r="AF51" i="33"/>
  <c r="AJ51" i="33" s="1"/>
  <c r="AV51" i="33" s="1"/>
  <c r="AE51" i="33"/>
  <c r="AI51" i="33" s="1"/>
  <c r="Y51" i="33"/>
  <c r="AC51" i="33" s="1"/>
  <c r="AR51" i="33" s="1"/>
  <c r="X51" i="33"/>
  <c r="AB51" i="33" s="1"/>
  <c r="AQ51" i="33" s="1"/>
  <c r="W51" i="33"/>
  <c r="AA51" i="33" s="1"/>
  <c r="AP51" i="33" s="1"/>
  <c r="V51" i="33"/>
  <c r="Z51" i="33" s="1"/>
  <c r="AH50" i="33"/>
  <c r="AL50" i="33" s="1"/>
  <c r="AX50" i="33" s="1"/>
  <c r="AG50" i="33"/>
  <c r="AK50" i="33" s="1"/>
  <c r="AW50" i="33" s="1"/>
  <c r="AF50" i="33"/>
  <c r="AJ50" i="33" s="1"/>
  <c r="AV50" i="33" s="1"/>
  <c r="AE50" i="33"/>
  <c r="AI50" i="33" s="1"/>
  <c r="Y50" i="33"/>
  <c r="AC50" i="33" s="1"/>
  <c r="AR50" i="33" s="1"/>
  <c r="X50" i="33"/>
  <c r="AB50" i="33" s="1"/>
  <c r="AQ50" i="33" s="1"/>
  <c r="W50" i="33"/>
  <c r="AA50" i="33" s="1"/>
  <c r="AP50" i="33" s="1"/>
  <c r="V50" i="33"/>
  <c r="Z50" i="33" s="1"/>
  <c r="AH49" i="33"/>
  <c r="AL49" i="33" s="1"/>
  <c r="AX49" i="33" s="1"/>
  <c r="AG49" i="33"/>
  <c r="AK49" i="33" s="1"/>
  <c r="AW49" i="33" s="1"/>
  <c r="AF49" i="33"/>
  <c r="AJ49" i="33" s="1"/>
  <c r="AV49" i="33" s="1"/>
  <c r="AE49" i="33"/>
  <c r="AI49" i="33" s="1"/>
  <c r="Y49" i="33"/>
  <c r="AC49" i="33" s="1"/>
  <c r="AR49" i="33" s="1"/>
  <c r="X49" i="33"/>
  <c r="AB49" i="33" s="1"/>
  <c r="AQ49" i="33" s="1"/>
  <c r="W49" i="33"/>
  <c r="AA49" i="33" s="1"/>
  <c r="AP49" i="33" s="1"/>
  <c r="V49" i="33"/>
  <c r="Z49" i="33" s="1"/>
  <c r="AH48" i="33"/>
  <c r="AL48" i="33" s="1"/>
  <c r="AX48" i="33" s="1"/>
  <c r="AG48" i="33"/>
  <c r="AK48" i="33" s="1"/>
  <c r="AW48" i="33" s="1"/>
  <c r="AF48" i="33"/>
  <c r="AJ48" i="33" s="1"/>
  <c r="AV48" i="33" s="1"/>
  <c r="AE48" i="33"/>
  <c r="AI48" i="33" s="1"/>
  <c r="Y48" i="33"/>
  <c r="AC48" i="33" s="1"/>
  <c r="AR48" i="33" s="1"/>
  <c r="X48" i="33"/>
  <c r="AB48" i="33" s="1"/>
  <c r="AQ48" i="33" s="1"/>
  <c r="W48" i="33"/>
  <c r="AA48" i="33" s="1"/>
  <c r="AP48" i="33" s="1"/>
  <c r="V48" i="33"/>
  <c r="Z48" i="33" s="1"/>
  <c r="H45" i="33"/>
  <c r="G45" i="33"/>
  <c r="F45" i="33"/>
  <c r="E45" i="33"/>
  <c r="D45" i="33"/>
  <c r="AH44" i="33"/>
  <c r="AL44" i="33" s="1"/>
  <c r="AX44" i="33" s="1"/>
  <c r="AG44" i="33"/>
  <c r="AK44" i="33" s="1"/>
  <c r="AW44" i="33" s="1"/>
  <c r="AF44" i="33"/>
  <c r="AJ44" i="33" s="1"/>
  <c r="AV44" i="33" s="1"/>
  <c r="AE44" i="33"/>
  <c r="AI44" i="33" s="1"/>
  <c r="Y44" i="33"/>
  <c r="AC44" i="33" s="1"/>
  <c r="AR44" i="33" s="1"/>
  <c r="X44" i="33"/>
  <c r="AB44" i="33" s="1"/>
  <c r="AQ44" i="33" s="1"/>
  <c r="W44" i="33"/>
  <c r="AA44" i="33" s="1"/>
  <c r="AP44" i="33" s="1"/>
  <c r="V44" i="33"/>
  <c r="Z44" i="33" s="1"/>
  <c r="AH43" i="33"/>
  <c r="AL43" i="33" s="1"/>
  <c r="AX43" i="33" s="1"/>
  <c r="AG43" i="33"/>
  <c r="AK43" i="33" s="1"/>
  <c r="AW43" i="33" s="1"/>
  <c r="AF43" i="33"/>
  <c r="AJ43" i="33" s="1"/>
  <c r="AV43" i="33" s="1"/>
  <c r="AE43" i="33"/>
  <c r="AI43" i="33" s="1"/>
  <c r="Y43" i="33"/>
  <c r="AC43" i="33" s="1"/>
  <c r="AR43" i="33" s="1"/>
  <c r="X43" i="33"/>
  <c r="AB43" i="33" s="1"/>
  <c r="AQ43" i="33" s="1"/>
  <c r="W43" i="33"/>
  <c r="AA43" i="33" s="1"/>
  <c r="AP43" i="33" s="1"/>
  <c r="V43" i="33"/>
  <c r="Z43" i="33" s="1"/>
  <c r="AH42" i="33"/>
  <c r="AL42" i="33" s="1"/>
  <c r="AX42" i="33" s="1"/>
  <c r="AG42" i="33"/>
  <c r="AK42" i="33" s="1"/>
  <c r="AW42" i="33" s="1"/>
  <c r="AF42" i="33"/>
  <c r="AJ42" i="33" s="1"/>
  <c r="AV42" i="33" s="1"/>
  <c r="AE42" i="33"/>
  <c r="AI42" i="33" s="1"/>
  <c r="Y42" i="33"/>
  <c r="AC42" i="33" s="1"/>
  <c r="AR42" i="33" s="1"/>
  <c r="X42" i="33"/>
  <c r="AB42" i="33" s="1"/>
  <c r="AQ42" i="33" s="1"/>
  <c r="W42" i="33"/>
  <c r="AA42" i="33" s="1"/>
  <c r="AP42" i="33" s="1"/>
  <c r="V42" i="33"/>
  <c r="Z42" i="33" s="1"/>
  <c r="AH41" i="33"/>
  <c r="AL41" i="33" s="1"/>
  <c r="AX41" i="33" s="1"/>
  <c r="AG41" i="33"/>
  <c r="AK41" i="33" s="1"/>
  <c r="AW41" i="33" s="1"/>
  <c r="AF41" i="33"/>
  <c r="AJ41" i="33" s="1"/>
  <c r="AV41" i="33" s="1"/>
  <c r="AE41" i="33"/>
  <c r="AI41" i="33" s="1"/>
  <c r="Y41" i="33"/>
  <c r="AC41" i="33" s="1"/>
  <c r="AR41" i="33" s="1"/>
  <c r="X41" i="33"/>
  <c r="AB41" i="33" s="1"/>
  <c r="AQ41" i="33" s="1"/>
  <c r="W41" i="33"/>
  <c r="AA41" i="33" s="1"/>
  <c r="AP41" i="33" s="1"/>
  <c r="V41" i="33"/>
  <c r="Z41" i="33" s="1"/>
  <c r="AH40" i="33"/>
  <c r="AL40" i="33" s="1"/>
  <c r="AX40" i="33" s="1"/>
  <c r="AG40" i="33"/>
  <c r="AK40" i="33" s="1"/>
  <c r="AW40" i="33" s="1"/>
  <c r="AF40" i="33"/>
  <c r="AJ40" i="33" s="1"/>
  <c r="AV40" i="33" s="1"/>
  <c r="AE40" i="33"/>
  <c r="AI40" i="33" s="1"/>
  <c r="Y40" i="33"/>
  <c r="AC40" i="33" s="1"/>
  <c r="AR40" i="33" s="1"/>
  <c r="X40" i="33"/>
  <c r="AB40" i="33" s="1"/>
  <c r="AQ40" i="33" s="1"/>
  <c r="W40" i="33"/>
  <c r="AA40" i="33" s="1"/>
  <c r="AP40" i="33" s="1"/>
  <c r="V40" i="33"/>
  <c r="Z40" i="33" s="1"/>
  <c r="AH39" i="33"/>
  <c r="AL39" i="33" s="1"/>
  <c r="AX39" i="33" s="1"/>
  <c r="AG39" i="33"/>
  <c r="AK39" i="33" s="1"/>
  <c r="AW39" i="33" s="1"/>
  <c r="AF39" i="33"/>
  <c r="AJ39" i="33" s="1"/>
  <c r="AV39" i="33" s="1"/>
  <c r="AE39" i="33"/>
  <c r="AI39" i="33" s="1"/>
  <c r="Y39" i="33"/>
  <c r="AC39" i="33" s="1"/>
  <c r="AR39" i="33" s="1"/>
  <c r="X39" i="33"/>
  <c r="AB39" i="33" s="1"/>
  <c r="AQ39" i="33" s="1"/>
  <c r="W39" i="33"/>
  <c r="AA39" i="33" s="1"/>
  <c r="AP39" i="33" s="1"/>
  <c r="V39" i="33"/>
  <c r="Z39" i="33" s="1"/>
  <c r="H36" i="33"/>
  <c r="G36" i="33"/>
  <c r="F36" i="33"/>
  <c r="E36" i="33"/>
  <c r="D36" i="33"/>
  <c r="AH35" i="33"/>
  <c r="AL35" i="33" s="1"/>
  <c r="AX35" i="33" s="1"/>
  <c r="AG35" i="33"/>
  <c r="AK35" i="33" s="1"/>
  <c r="AW35" i="33" s="1"/>
  <c r="AF35" i="33"/>
  <c r="AJ35" i="33" s="1"/>
  <c r="AV35" i="33" s="1"/>
  <c r="AE35" i="33"/>
  <c r="AI35" i="33" s="1"/>
  <c r="Y35" i="33"/>
  <c r="AC35" i="33" s="1"/>
  <c r="AR35" i="33" s="1"/>
  <c r="X35" i="33"/>
  <c r="AB35" i="33" s="1"/>
  <c r="AQ35" i="33" s="1"/>
  <c r="W35" i="33"/>
  <c r="AA35" i="33" s="1"/>
  <c r="AP35" i="33" s="1"/>
  <c r="V35" i="33"/>
  <c r="Z35" i="33" s="1"/>
  <c r="AH34" i="33"/>
  <c r="AL34" i="33" s="1"/>
  <c r="AX34" i="33" s="1"/>
  <c r="AG34" i="33"/>
  <c r="AK34" i="33" s="1"/>
  <c r="AW34" i="33" s="1"/>
  <c r="AF34" i="33"/>
  <c r="AJ34" i="33" s="1"/>
  <c r="AV34" i="33" s="1"/>
  <c r="AE34" i="33"/>
  <c r="AI34" i="33" s="1"/>
  <c r="Y34" i="33"/>
  <c r="AC34" i="33" s="1"/>
  <c r="AR34" i="33" s="1"/>
  <c r="X34" i="33"/>
  <c r="AB34" i="33" s="1"/>
  <c r="AQ34" i="33" s="1"/>
  <c r="W34" i="33"/>
  <c r="AA34" i="33" s="1"/>
  <c r="AP34" i="33" s="1"/>
  <c r="V34" i="33"/>
  <c r="Z34" i="33" s="1"/>
  <c r="AH33" i="33"/>
  <c r="AL33" i="33" s="1"/>
  <c r="AX33" i="33" s="1"/>
  <c r="AG33" i="33"/>
  <c r="AK33" i="33" s="1"/>
  <c r="AW33" i="33" s="1"/>
  <c r="AF33" i="33"/>
  <c r="AJ33" i="33" s="1"/>
  <c r="AV33" i="33" s="1"/>
  <c r="AE33" i="33"/>
  <c r="AI33" i="33" s="1"/>
  <c r="Y33" i="33"/>
  <c r="AC33" i="33" s="1"/>
  <c r="AR33" i="33" s="1"/>
  <c r="X33" i="33"/>
  <c r="AB33" i="33" s="1"/>
  <c r="AQ33" i="33" s="1"/>
  <c r="W33" i="33"/>
  <c r="AA33" i="33" s="1"/>
  <c r="AP33" i="33" s="1"/>
  <c r="V33" i="33"/>
  <c r="Z33" i="33" s="1"/>
  <c r="AH32" i="33"/>
  <c r="AL32" i="33" s="1"/>
  <c r="AX32" i="33" s="1"/>
  <c r="AG32" i="33"/>
  <c r="AK32" i="33" s="1"/>
  <c r="AW32" i="33" s="1"/>
  <c r="AF32" i="33"/>
  <c r="AJ32" i="33" s="1"/>
  <c r="AV32" i="33" s="1"/>
  <c r="AE32" i="33"/>
  <c r="AI32" i="33" s="1"/>
  <c r="Y32" i="33"/>
  <c r="AC32" i="33" s="1"/>
  <c r="AR32" i="33" s="1"/>
  <c r="X32" i="33"/>
  <c r="AB32" i="33" s="1"/>
  <c r="AQ32" i="33" s="1"/>
  <c r="W32" i="33"/>
  <c r="AA32" i="33" s="1"/>
  <c r="AP32" i="33" s="1"/>
  <c r="V32" i="33"/>
  <c r="Z32" i="33" s="1"/>
  <c r="AH31" i="33"/>
  <c r="AL31" i="33" s="1"/>
  <c r="AX31" i="33" s="1"/>
  <c r="AG31" i="33"/>
  <c r="AK31" i="33" s="1"/>
  <c r="AW31" i="33" s="1"/>
  <c r="AF31" i="33"/>
  <c r="AJ31" i="33" s="1"/>
  <c r="AV31" i="33" s="1"/>
  <c r="AE31" i="33"/>
  <c r="AI31" i="33" s="1"/>
  <c r="Y31" i="33"/>
  <c r="AC31" i="33" s="1"/>
  <c r="AR31" i="33" s="1"/>
  <c r="X31" i="33"/>
  <c r="AB31" i="33" s="1"/>
  <c r="AQ31" i="33" s="1"/>
  <c r="W31" i="33"/>
  <c r="AA31" i="33" s="1"/>
  <c r="AP31" i="33" s="1"/>
  <c r="V31" i="33"/>
  <c r="Z31" i="33" s="1"/>
  <c r="AH30" i="33"/>
  <c r="AL30" i="33" s="1"/>
  <c r="AX30" i="33" s="1"/>
  <c r="AG30" i="33"/>
  <c r="AK30" i="33" s="1"/>
  <c r="AW30" i="33" s="1"/>
  <c r="AF30" i="33"/>
  <c r="AJ30" i="33" s="1"/>
  <c r="AV30" i="33" s="1"/>
  <c r="AE30" i="33"/>
  <c r="AI30" i="33" s="1"/>
  <c r="Y30" i="33"/>
  <c r="AC30" i="33" s="1"/>
  <c r="AR30" i="33" s="1"/>
  <c r="X30" i="33"/>
  <c r="AB30" i="33" s="1"/>
  <c r="AQ30" i="33" s="1"/>
  <c r="W30" i="33"/>
  <c r="AA30" i="33" s="1"/>
  <c r="AP30" i="33" s="1"/>
  <c r="V30" i="33"/>
  <c r="Z30" i="33" s="1"/>
  <c r="H27" i="33"/>
  <c r="G27" i="33"/>
  <c r="F27" i="33"/>
  <c r="E27" i="33"/>
  <c r="D27" i="33"/>
  <c r="AH26" i="33"/>
  <c r="AL26" i="33" s="1"/>
  <c r="AX26" i="33" s="1"/>
  <c r="AG26" i="33"/>
  <c r="AK26" i="33" s="1"/>
  <c r="AW26" i="33" s="1"/>
  <c r="AF26" i="33"/>
  <c r="AJ26" i="33" s="1"/>
  <c r="AV26" i="33" s="1"/>
  <c r="AE26" i="33"/>
  <c r="AI26" i="33" s="1"/>
  <c r="Y26" i="33"/>
  <c r="AC26" i="33" s="1"/>
  <c r="AR26" i="33" s="1"/>
  <c r="X26" i="33"/>
  <c r="AB26" i="33" s="1"/>
  <c r="AQ26" i="33" s="1"/>
  <c r="W26" i="33"/>
  <c r="AA26" i="33" s="1"/>
  <c r="AP26" i="33" s="1"/>
  <c r="V26" i="33"/>
  <c r="Z26" i="33" s="1"/>
  <c r="AH25" i="33"/>
  <c r="AL25" i="33" s="1"/>
  <c r="AX25" i="33" s="1"/>
  <c r="AG25" i="33"/>
  <c r="AK25" i="33" s="1"/>
  <c r="AW25" i="33" s="1"/>
  <c r="AF25" i="33"/>
  <c r="AJ25" i="33" s="1"/>
  <c r="AV25" i="33" s="1"/>
  <c r="AE25" i="33"/>
  <c r="AI25" i="33" s="1"/>
  <c r="Y25" i="33"/>
  <c r="AC25" i="33" s="1"/>
  <c r="AR25" i="33" s="1"/>
  <c r="X25" i="33"/>
  <c r="AB25" i="33" s="1"/>
  <c r="AQ25" i="33" s="1"/>
  <c r="W25" i="33"/>
  <c r="AA25" i="33" s="1"/>
  <c r="AP25" i="33" s="1"/>
  <c r="V25" i="33"/>
  <c r="Z25" i="33" s="1"/>
  <c r="AH24" i="33"/>
  <c r="AL24" i="33" s="1"/>
  <c r="AX24" i="33" s="1"/>
  <c r="AG24" i="33"/>
  <c r="AK24" i="33" s="1"/>
  <c r="AW24" i="33" s="1"/>
  <c r="AF24" i="33"/>
  <c r="AJ24" i="33" s="1"/>
  <c r="AV24" i="33" s="1"/>
  <c r="AE24" i="33"/>
  <c r="AI24" i="33" s="1"/>
  <c r="Y24" i="33"/>
  <c r="AC24" i="33" s="1"/>
  <c r="AR24" i="33" s="1"/>
  <c r="X24" i="33"/>
  <c r="AB24" i="33" s="1"/>
  <c r="AQ24" i="33" s="1"/>
  <c r="W24" i="33"/>
  <c r="AA24" i="33" s="1"/>
  <c r="AP24" i="33" s="1"/>
  <c r="V24" i="33"/>
  <c r="Z24" i="33" s="1"/>
  <c r="AH23" i="33"/>
  <c r="AL23" i="33" s="1"/>
  <c r="AX23" i="33" s="1"/>
  <c r="AG23" i="33"/>
  <c r="AK23" i="33" s="1"/>
  <c r="AW23" i="33" s="1"/>
  <c r="AF23" i="33"/>
  <c r="AJ23" i="33" s="1"/>
  <c r="AV23" i="33" s="1"/>
  <c r="AE23" i="33"/>
  <c r="AI23" i="33" s="1"/>
  <c r="Y23" i="33"/>
  <c r="AC23" i="33" s="1"/>
  <c r="AR23" i="33" s="1"/>
  <c r="X23" i="33"/>
  <c r="AB23" i="33" s="1"/>
  <c r="AQ23" i="33" s="1"/>
  <c r="W23" i="33"/>
  <c r="AA23" i="33" s="1"/>
  <c r="AP23" i="33" s="1"/>
  <c r="V23" i="33"/>
  <c r="Z23" i="33" s="1"/>
  <c r="AH22" i="33"/>
  <c r="AL22" i="33" s="1"/>
  <c r="AX22" i="33" s="1"/>
  <c r="AG22" i="33"/>
  <c r="AK22" i="33" s="1"/>
  <c r="AW22" i="33" s="1"/>
  <c r="AF22" i="33"/>
  <c r="AJ22" i="33" s="1"/>
  <c r="AV22" i="33" s="1"/>
  <c r="AE22" i="33"/>
  <c r="AI22" i="33" s="1"/>
  <c r="Y22" i="33"/>
  <c r="AC22" i="33" s="1"/>
  <c r="AR22" i="33" s="1"/>
  <c r="X22" i="33"/>
  <c r="AB22" i="33" s="1"/>
  <c r="AQ22" i="33" s="1"/>
  <c r="W22" i="33"/>
  <c r="AA22" i="33" s="1"/>
  <c r="AP22" i="33" s="1"/>
  <c r="V22" i="33"/>
  <c r="Z22" i="33" s="1"/>
  <c r="AH21" i="33"/>
  <c r="AL21" i="33" s="1"/>
  <c r="AX21" i="33" s="1"/>
  <c r="AG21" i="33"/>
  <c r="AK21" i="33" s="1"/>
  <c r="AW21" i="33" s="1"/>
  <c r="AF21" i="33"/>
  <c r="AJ21" i="33" s="1"/>
  <c r="AV21" i="33" s="1"/>
  <c r="AE21" i="33"/>
  <c r="AI21" i="33" s="1"/>
  <c r="Y21" i="33"/>
  <c r="AC21" i="33" s="1"/>
  <c r="AR21" i="33" s="1"/>
  <c r="X21" i="33"/>
  <c r="AB21" i="33" s="1"/>
  <c r="AQ21" i="33" s="1"/>
  <c r="W21" i="33"/>
  <c r="AA21" i="33" s="1"/>
  <c r="AP21" i="33" s="1"/>
  <c r="V21" i="33"/>
  <c r="Z21" i="33" s="1"/>
  <c r="H18" i="33"/>
  <c r="G18" i="33"/>
  <c r="F18" i="33"/>
  <c r="E18" i="33"/>
  <c r="D18" i="33"/>
  <c r="AH17" i="33"/>
  <c r="AL17" i="33" s="1"/>
  <c r="AX17" i="33" s="1"/>
  <c r="AG17" i="33"/>
  <c r="AK17" i="33" s="1"/>
  <c r="AW17" i="33" s="1"/>
  <c r="AF17" i="33"/>
  <c r="AJ17" i="33" s="1"/>
  <c r="AV17" i="33" s="1"/>
  <c r="AE17" i="33"/>
  <c r="AI17" i="33" s="1"/>
  <c r="Y17" i="33"/>
  <c r="AC17" i="33" s="1"/>
  <c r="AR17" i="33" s="1"/>
  <c r="X17" i="33"/>
  <c r="AB17" i="33" s="1"/>
  <c r="AQ17" i="33" s="1"/>
  <c r="W17" i="33"/>
  <c r="AA17" i="33" s="1"/>
  <c r="AP17" i="33" s="1"/>
  <c r="V17" i="33"/>
  <c r="Z17" i="33" s="1"/>
  <c r="AH16" i="33"/>
  <c r="AL16" i="33" s="1"/>
  <c r="AX16" i="33" s="1"/>
  <c r="AG16" i="33"/>
  <c r="AK16" i="33" s="1"/>
  <c r="AW16" i="33" s="1"/>
  <c r="AF16" i="33"/>
  <c r="AJ16" i="33" s="1"/>
  <c r="AV16" i="33" s="1"/>
  <c r="AE16" i="33"/>
  <c r="AI16" i="33" s="1"/>
  <c r="Y16" i="33"/>
  <c r="AC16" i="33" s="1"/>
  <c r="AR16" i="33" s="1"/>
  <c r="X16" i="33"/>
  <c r="AB16" i="33" s="1"/>
  <c r="AQ16" i="33" s="1"/>
  <c r="W16" i="33"/>
  <c r="AA16" i="33" s="1"/>
  <c r="AP16" i="33" s="1"/>
  <c r="V16" i="33"/>
  <c r="Z16" i="33" s="1"/>
  <c r="AH15" i="33"/>
  <c r="AL15" i="33" s="1"/>
  <c r="AX15" i="33" s="1"/>
  <c r="AG15" i="33"/>
  <c r="AK15" i="33" s="1"/>
  <c r="AW15" i="33" s="1"/>
  <c r="AF15" i="33"/>
  <c r="AJ15" i="33" s="1"/>
  <c r="AV15" i="33" s="1"/>
  <c r="AE15" i="33"/>
  <c r="AI15" i="33" s="1"/>
  <c r="Y15" i="33"/>
  <c r="AC15" i="33" s="1"/>
  <c r="AR15" i="33" s="1"/>
  <c r="X15" i="33"/>
  <c r="AB15" i="33" s="1"/>
  <c r="AQ15" i="33" s="1"/>
  <c r="W15" i="33"/>
  <c r="AA15" i="33" s="1"/>
  <c r="AP15" i="33" s="1"/>
  <c r="V15" i="33"/>
  <c r="Z15" i="33" s="1"/>
  <c r="AH14" i="33"/>
  <c r="AL14" i="33" s="1"/>
  <c r="AX14" i="33" s="1"/>
  <c r="AG14" i="33"/>
  <c r="AK14" i="33" s="1"/>
  <c r="AW14" i="33" s="1"/>
  <c r="AF14" i="33"/>
  <c r="AJ14" i="33" s="1"/>
  <c r="AV14" i="33" s="1"/>
  <c r="AE14" i="33"/>
  <c r="AI14" i="33" s="1"/>
  <c r="Y14" i="33"/>
  <c r="AC14" i="33" s="1"/>
  <c r="AR14" i="33" s="1"/>
  <c r="X14" i="33"/>
  <c r="AB14" i="33" s="1"/>
  <c r="AQ14" i="33" s="1"/>
  <c r="W14" i="33"/>
  <c r="AA14" i="33" s="1"/>
  <c r="AP14" i="33" s="1"/>
  <c r="V14" i="33"/>
  <c r="Z14" i="33" s="1"/>
  <c r="AH13" i="33"/>
  <c r="AL13" i="33" s="1"/>
  <c r="AX13" i="33" s="1"/>
  <c r="AG13" i="33"/>
  <c r="AK13" i="33" s="1"/>
  <c r="AW13" i="33" s="1"/>
  <c r="AF13" i="33"/>
  <c r="AJ13" i="33" s="1"/>
  <c r="AV13" i="33" s="1"/>
  <c r="AE13" i="33"/>
  <c r="AI13" i="33" s="1"/>
  <c r="Y13" i="33"/>
  <c r="AC13" i="33" s="1"/>
  <c r="AR13" i="33" s="1"/>
  <c r="X13" i="33"/>
  <c r="AB13" i="33" s="1"/>
  <c r="AQ13" i="33" s="1"/>
  <c r="W13" i="33"/>
  <c r="AA13" i="33" s="1"/>
  <c r="AP13" i="33" s="1"/>
  <c r="V13" i="33"/>
  <c r="Z13" i="33" s="1"/>
  <c r="AH12" i="33"/>
  <c r="AL12" i="33" s="1"/>
  <c r="AX12" i="33" s="1"/>
  <c r="AG12" i="33"/>
  <c r="AK12" i="33" s="1"/>
  <c r="AW12" i="33" s="1"/>
  <c r="AF12" i="33"/>
  <c r="AJ12" i="33" s="1"/>
  <c r="AV12" i="33" s="1"/>
  <c r="AE12" i="33"/>
  <c r="AI12" i="33" s="1"/>
  <c r="Y12" i="33"/>
  <c r="AC12" i="33" s="1"/>
  <c r="AR12" i="33" s="1"/>
  <c r="X12" i="33"/>
  <c r="AB12" i="33" s="1"/>
  <c r="AQ12" i="33" s="1"/>
  <c r="W12" i="33"/>
  <c r="AA12" i="33" s="1"/>
  <c r="AP12" i="33" s="1"/>
  <c r="V12" i="33"/>
  <c r="Z12" i="33" s="1"/>
  <c r="BF22" i="2" l="1"/>
  <c r="BF24" i="2"/>
  <c r="BF30" i="2" s="1"/>
  <c r="BF35" i="2" s="1"/>
  <c r="BF17" i="2"/>
  <c r="BF19" i="2"/>
  <c r="Y25" i="2"/>
  <c r="BF18" i="2"/>
  <c r="BF10" i="2"/>
  <c r="BF16" i="2"/>
  <c r="BF12" i="2"/>
  <c r="BF9" i="2"/>
  <c r="BF21" i="2"/>
  <c r="BF7" i="2"/>
  <c r="BF11" i="2"/>
  <c r="BF8" i="2"/>
  <c r="BF13" i="2"/>
  <c r="BF14" i="2"/>
  <c r="BF15" i="2"/>
  <c r="BF20" i="2"/>
  <c r="BF23" i="2"/>
  <c r="H181" i="33"/>
  <c r="H91" i="33"/>
  <c r="H109" i="33"/>
  <c r="H127" i="33"/>
  <c r="H145" i="33"/>
  <c r="H19" i="33"/>
  <c r="H163" i="33"/>
  <c r="H28" i="33"/>
  <c r="H46" i="33"/>
  <c r="H64" i="33"/>
  <c r="H154" i="33"/>
  <c r="H73" i="33"/>
  <c r="H100" i="33"/>
  <c r="H82" i="33"/>
  <c r="H118" i="33"/>
  <c r="H136" i="33"/>
  <c r="H37" i="33"/>
  <c r="H55" i="33"/>
  <c r="H172" i="33"/>
  <c r="Y31" i="2"/>
  <c r="Y33" i="2"/>
  <c r="Y36" i="2"/>
  <c r="Y44" i="2" s="1"/>
  <c r="Y37" i="2"/>
  <c r="Y45" i="2" s="1"/>
  <c r="AO12" i="33"/>
  <c r="AS12" i="33" s="1"/>
  <c r="AD12" i="33"/>
  <c r="AU12" i="33"/>
  <c r="AY12" i="33" s="1"/>
  <c r="AM12" i="33"/>
  <c r="AO13" i="33"/>
  <c r="AS13" i="33" s="1"/>
  <c r="AD13" i="33"/>
  <c r="AU13" i="33"/>
  <c r="AY13" i="33" s="1"/>
  <c r="AM13" i="33"/>
  <c r="AO14" i="33"/>
  <c r="AS14" i="33" s="1"/>
  <c r="AD14" i="33"/>
  <c r="AU14" i="33"/>
  <c r="AY14" i="33" s="1"/>
  <c r="AM14" i="33"/>
  <c r="AO15" i="33"/>
  <c r="AS15" i="33" s="1"/>
  <c r="AD15" i="33"/>
  <c r="AU15" i="33"/>
  <c r="AY15" i="33" s="1"/>
  <c r="AM15" i="33"/>
  <c r="AO16" i="33"/>
  <c r="AS16" i="33" s="1"/>
  <c r="AD16" i="33"/>
  <c r="AU16" i="33"/>
  <c r="AY16" i="33" s="1"/>
  <c r="AM16" i="33"/>
  <c r="AO17" i="33"/>
  <c r="AS17" i="33" s="1"/>
  <c r="AD17" i="33"/>
  <c r="AU17" i="33"/>
  <c r="AY17" i="33" s="1"/>
  <c r="AM17" i="33"/>
  <c r="AO21" i="33"/>
  <c r="AS21" i="33" s="1"/>
  <c r="AD21" i="33"/>
  <c r="AU21" i="33"/>
  <c r="AY21" i="33" s="1"/>
  <c r="AM21" i="33"/>
  <c r="AO30" i="33"/>
  <c r="AS30" i="33" s="1"/>
  <c r="AD30" i="33"/>
  <c r="AU30" i="33"/>
  <c r="AY30" i="33" s="1"/>
  <c r="AM30" i="33"/>
  <c r="AO31" i="33"/>
  <c r="AS31" i="33" s="1"/>
  <c r="AD31" i="33"/>
  <c r="AU31" i="33"/>
  <c r="AY31" i="33" s="1"/>
  <c r="AM31" i="33"/>
  <c r="AO32" i="33"/>
  <c r="AS32" i="33" s="1"/>
  <c r="AD32" i="33"/>
  <c r="AU32" i="33"/>
  <c r="AY32" i="33" s="1"/>
  <c r="AM32" i="33"/>
  <c r="AO33" i="33"/>
  <c r="AS33" i="33" s="1"/>
  <c r="AD33" i="33"/>
  <c r="AU33" i="33"/>
  <c r="AY33" i="33" s="1"/>
  <c r="AM33" i="33"/>
  <c r="AO34" i="33"/>
  <c r="AS34" i="33" s="1"/>
  <c r="AD34" i="33"/>
  <c r="AU34" i="33"/>
  <c r="AY34" i="33" s="1"/>
  <c r="AM34" i="33"/>
  <c r="AO35" i="33"/>
  <c r="AS35" i="33" s="1"/>
  <c r="AD35" i="33"/>
  <c r="AU35" i="33"/>
  <c r="AY35" i="33" s="1"/>
  <c r="AM35" i="33"/>
  <c r="AO48" i="33"/>
  <c r="AS48" i="33" s="1"/>
  <c r="AD48" i="33"/>
  <c r="AU48" i="33"/>
  <c r="AY48" i="33" s="1"/>
  <c r="AM48" i="33"/>
  <c r="AO49" i="33"/>
  <c r="AS49" i="33" s="1"/>
  <c r="AD49" i="33"/>
  <c r="AU49" i="33"/>
  <c r="AY49" i="33" s="1"/>
  <c r="AM49" i="33"/>
  <c r="AO50" i="33"/>
  <c r="AS50" i="33" s="1"/>
  <c r="AD50" i="33"/>
  <c r="AU50" i="33"/>
  <c r="AY50" i="33" s="1"/>
  <c r="AM50" i="33"/>
  <c r="AO51" i="33"/>
  <c r="AS51" i="33" s="1"/>
  <c r="AD51" i="33"/>
  <c r="AU51" i="33"/>
  <c r="AY51" i="33" s="1"/>
  <c r="AM51" i="33"/>
  <c r="AO52" i="33"/>
  <c r="AS52" i="33" s="1"/>
  <c r="AD52" i="33"/>
  <c r="AU52" i="33"/>
  <c r="AY52" i="33" s="1"/>
  <c r="AM52" i="33"/>
  <c r="AO53" i="33"/>
  <c r="AS53" i="33" s="1"/>
  <c r="AD53" i="33"/>
  <c r="AU53" i="33"/>
  <c r="AY53" i="33" s="1"/>
  <c r="AM53" i="33"/>
  <c r="AO66" i="33"/>
  <c r="AS66" i="33" s="1"/>
  <c r="AD66" i="33"/>
  <c r="AU66" i="33"/>
  <c r="AY66" i="33" s="1"/>
  <c r="AM66" i="33"/>
  <c r="AO67" i="33"/>
  <c r="AS67" i="33" s="1"/>
  <c r="AD67" i="33"/>
  <c r="AU67" i="33"/>
  <c r="AY67" i="33" s="1"/>
  <c r="AM67" i="33"/>
  <c r="AO68" i="33"/>
  <c r="AS68" i="33" s="1"/>
  <c r="AD68" i="33"/>
  <c r="AU68" i="33"/>
  <c r="AY68" i="33" s="1"/>
  <c r="AM68" i="33"/>
  <c r="AO69" i="33"/>
  <c r="AS69" i="33" s="1"/>
  <c r="AD69" i="33"/>
  <c r="AU69" i="33"/>
  <c r="AY69" i="33" s="1"/>
  <c r="AM69" i="33"/>
  <c r="AO70" i="33"/>
  <c r="AS70" i="33" s="1"/>
  <c r="AD70" i="33"/>
  <c r="AU70" i="33"/>
  <c r="AY70" i="33" s="1"/>
  <c r="AM70" i="33"/>
  <c r="AO71" i="33"/>
  <c r="AS71" i="33" s="1"/>
  <c r="AD71" i="33"/>
  <c r="AU71" i="33"/>
  <c r="AY71" i="33" s="1"/>
  <c r="AM71" i="33"/>
  <c r="AO84" i="33"/>
  <c r="AS84" i="33" s="1"/>
  <c r="AD84" i="33"/>
  <c r="AU84" i="33"/>
  <c r="AY84" i="33" s="1"/>
  <c r="AM84" i="33"/>
  <c r="AO85" i="33"/>
  <c r="AS85" i="33" s="1"/>
  <c r="AD85" i="33"/>
  <c r="AU85" i="33"/>
  <c r="AY85" i="33" s="1"/>
  <c r="AM85" i="33"/>
  <c r="AO86" i="33"/>
  <c r="AS86" i="33" s="1"/>
  <c r="AD86" i="33"/>
  <c r="AU86" i="33"/>
  <c r="AY86" i="33" s="1"/>
  <c r="AM86" i="33"/>
  <c r="AO87" i="33"/>
  <c r="AS87" i="33" s="1"/>
  <c r="AD87" i="33"/>
  <c r="AU87" i="33"/>
  <c r="AY87" i="33" s="1"/>
  <c r="AM87" i="33"/>
  <c r="AO88" i="33"/>
  <c r="AS88" i="33" s="1"/>
  <c r="AD88" i="33"/>
  <c r="AU88" i="33"/>
  <c r="AY88" i="33" s="1"/>
  <c r="AM88" i="33"/>
  <c r="AO89" i="33"/>
  <c r="AS89" i="33" s="1"/>
  <c r="AD89" i="33"/>
  <c r="AU89" i="33"/>
  <c r="AY89" i="33" s="1"/>
  <c r="AM89" i="33"/>
  <c r="AO22" i="33"/>
  <c r="AS22" i="33" s="1"/>
  <c r="AD22" i="33"/>
  <c r="AU22" i="33"/>
  <c r="AY22" i="33" s="1"/>
  <c r="AM22" i="33"/>
  <c r="AO23" i="33"/>
  <c r="AS23" i="33" s="1"/>
  <c r="AD23" i="33"/>
  <c r="AU23" i="33"/>
  <c r="AY23" i="33" s="1"/>
  <c r="AM23" i="33"/>
  <c r="AO24" i="33"/>
  <c r="AS24" i="33" s="1"/>
  <c r="AD24" i="33"/>
  <c r="AU24" i="33"/>
  <c r="AY24" i="33" s="1"/>
  <c r="AM24" i="33"/>
  <c r="AO25" i="33"/>
  <c r="AS25" i="33" s="1"/>
  <c r="AD25" i="33"/>
  <c r="AU25" i="33"/>
  <c r="AY25" i="33" s="1"/>
  <c r="AM25" i="33"/>
  <c r="AO26" i="33"/>
  <c r="AS26" i="33" s="1"/>
  <c r="AD26" i="33"/>
  <c r="AU26" i="33"/>
  <c r="AY26" i="33" s="1"/>
  <c r="AM26" i="33"/>
  <c r="AO39" i="33"/>
  <c r="AS39" i="33" s="1"/>
  <c r="AD39" i="33"/>
  <c r="AU39" i="33"/>
  <c r="AY39" i="33" s="1"/>
  <c r="AM39" i="33"/>
  <c r="AO40" i="33"/>
  <c r="AS40" i="33" s="1"/>
  <c r="AD40" i="33"/>
  <c r="AU40" i="33"/>
  <c r="AY40" i="33" s="1"/>
  <c r="AM40" i="33"/>
  <c r="AO41" i="33"/>
  <c r="AS41" i="33" s="1"/>
  <c r="AD41" i="33"/>
  <c r="AU41" i="33"/>
  <c r="AY41" i="33" s="1"/>
  <c r="AM41" i="33"/>
  <c r="AO42" i="33"/>
  <c r="AS42" i="33" s="1"/>
  <c r="AD42" i="33"/>
  <c r="AU42" i="33"/>
  <c r="AY42" i="33" s="1"/>
  <c r="AM42" i="33"/>
  <c r="AO43" i="33"/>
  <c r="AS43" i="33" s="1"/>
  <c r="AD43" i="33"/>
  <c r="AU43" i="33"/>
  <c r="AY43" i="33" s="1"/>
  <c r="AM43" i="33"/>
  <c r="AO44" i="33"/>
  <c r="AS44" i="33" s="1"/>
  <c r="AD44" i="33"/>
  <c r="AU44" i="33"/>
  <c r="AY44" i="33" s="1"/>
  <c r="AM44" i="33"/>
  <c r="AO57" i="33"/>
  <c r="AS57" i="33" s="1"/>
  <c r="AD57" i="33"/>
  <c r="AU57" i="33"/>
  <c r="AY57" i="33" s="1"/>
  <c r="AM57" i="33"/>
  <c r="AO58" i="33"/>
  <c r="AS58" i="33" s="1"/>
  <c r="AD58" i="33"/>
  <c r="AU58" i="33"/>
  <c r="AY58" i="33" s="1"/>
  <c r="AM58" i="33"/>
  <c r="AO59" i="33"/>
  <c r="AS59" i="33" s="1"/>
  <c r="AD59" i="33"/>
  <c r="AU59" i="33"/>
  <c r="AY59" i="33" s="1"/>
  <c r="AM59" i="33"/>
  <c r="AO60" i="33"/>
  <c r="AS60" i="33" s="1"/>
  <c r="AD60" i="33"/>
  <c r="AU60" i="33"/>
  <c r="AY60" i="33" s="1"/>
  <c r="AM60" i="33"/>
  <c r="AO61" i="33"/>
  <c r="AS61" i="33" s="1"/>
  <c r="AD61" i="33"/>
  <c r="AU61" i="33"/>
  <c r="AY61" i="33" s="1"/>
  <c r="AM61" i="33"/>
  <c r="AO62" i="33"/>
  <c r="AS62" i="33" s="1"/>
  <c r="AD62" i="33"/>
  <c r="AU62" i="33"/>
  <c r="AY62" i="33" s="1"/>
  <c r="AM62" i="33"/>
  <c r="AO75" i="33"/>
  <c r="AS75" i="33" s="1"/>
  <c r="AD75" i="33"/>
  <c r="AU75" i="33"/>
  <c r="AY75" i="33" s="1"/>
  <c r="AM75" i="33"/>
  <c r="AO76" i="33"/>
  <c r="AS76" i="33" s="1"/>
  <c r="AD76" i="33"/>
  <c r="AU76" i="33"/>
  <c r="AY76" i="33" s="1"/>
  <c r="AM76" i="33"/>
  <c r="AO77" i="33"/>
  <c r="AS77" i="33" s="1"/>
  <c r="AD77" i="33"/>
  <c r="AU77" i="33"/>
  <c r="AY77" i="33" s="1"/>
  <c r="AM77" i="33"/>
  <c r="AO78" i="33"/>
  <c r="AS78" i="33" s="1"/>
  <c r="AD78" i="33"/>
  <c r="AU78" i="33"/>
  <c r="AY78" i="33" s="1"/>
  <c r="AM78" i="33"/>
  <c r="AO79" i="33"/>
  <c r="AS79" i="33" s="1"/>
  <c r="AD79" i="33"/>
  <c r="AU79" i="33"/>
  <c r="AY79" i="33" s="1"/>
  <c r="AM79" i="33"/>
  <c r="AO80" i="33"/>
  <c r="AS80" i="33" s="1"/>
  <c r="AD80" i="33"/>
  <c r="AU80" i="33"/>
  <c r="AY80" i="33" s="1"/>
  <c r="AM80" i="33"/>
  <c r="AO93" i="33"/>
  <c r="AS93" i="33" s="1"/>
  <c r="AD93" i="33"/>
  <c r="AU93" i="33"/>
  <c r="AY93" i="33" s="1"/>
  <c r="AM93" i="33"/>
  <c r="AO94" i="33"/>
  <c r="AS94" i="33" s="1"/>
  <c r="AD94" i="33"/>
  <c r="AU94" i="33"/>
  <c r="AY94" i="33" s="1"/>
  <c r="AM94" i="33"/>
  <c r="AO95" i="33"/>
  <c r="AS95" i="33" s="1"/>
  <c r="AD95" i="33"/>
  <c r="AU95" i="33"/>
  <c r="AY95" i="33" s="1"/>
  <c r="AM95" i="33"/>
  <c r="AO96" i="33"/>
  <c r="AS96" i="33" s="1"/>
  <c r="AD96" i="33"/>
  <c r="AU96" i="33"/>
  <c r="AY96" i="33" s="1"/>
  <c r="AM96" i="33"/>
  <c r="AO102" i="33"/>
  <c r="AS102" i="33" s="1"/>
  <c r="AD102" i="33"/>
  <c r="AU102" i="33"/>
  <c r="AY102" i="33" s="1"/>
  <c r="AM102" i="33"/>
  <c r="AO103" i="33"/>
  <c r="AS103" i="33" s="1"/>
  <c r="AD103" i="33"/>
  <c r="AU103" i="33"/>
  <c r="AY103" i="33" s="1"/>
  <c r="AM103" i="33"/>
  <c r="AO104" i="33"/>
  <c r="AS104" i="33" s="1"/>
  <c r="AD104" i="33"/>
  <c r="AU104" i="33"/>
  <c r="AY104" i="33" s="1"/>
  <c r="AM104" i="33"/>
  <c r="AO105" i="33"/>
  <c r="AS105" i="33" s="1"/>
  <c r="AD105" i="33"/>
  <c r="AU105" i="33"/>
  <c r="AY105" i="33" s="1"/>
  <c r="AM105" i="33"/>
  <c r="AO106" i="33"/>
  <c r="AS106" i="33" s="1"/>
  <c r="AD106" i="33"/>
  <c r="AU106" i="33"/>
  <c r="AY106" i="33" s="1"/>
  <c r="AM106" i="33"/>
  <c r="AO107" i="33"/>
  <c r="AS107" i="33" s="1"/>
  <c r="AD107" i="33"/>
  <c r="AU107" i="33"/>
  <c r="AY107" i="33" s="1"/>
  <c r="AM107" i="33"/>
  <c r="AO120" i="33"/>
  <c r="AS120" i="33" s="1"/>
  <c r="AD120" i="33"/>
  <c r="AU120" i="33"/>
  <c r="AY120" i="33" s="1"/>
  <c r="AM120" i="33"/>
  <c r="AO121" i="33"/>
  <c r="AS121" i="33" s="1"/>
  <c r="AD121" i="33"/>
  <c r="AU121" i="33"/>
  <c r="AY121" i="33" s="1"/>
  <c r="AM121" i="33"/>
  <c r="AO122" i="33"/>
  <c r="AS122" i="33" s="1"/>
  <c r="AD122" i="33"/>
  <c r="AU122" i="33"/>
  <c r="AY122" i="33" s="1"/>
  <c r="AM122" i="33"/>
  <c r="AO123" i="33"/>
  <c r="AS123" i="33" s="1"/>
  <c r="AD123" i="33"/>
  <c r="AU123" i="33"/>
  <c r="AY123" i="33" s="1"/>
  <c r="AM123" i="33"/>
  <c r="AO124" i="33"/>
  <c r="AS124" i="33" s="1"/>
  <c r="AD124" i="33"/>
  <c r="AU124" i="33"/>
  <c r="AY124" i="33" s="1"/>
  <c r="AM124" i="33"/>
  <c r="AO125" i="33"/>
  <c r="AS125" i="33" s="1"/>
  <c r="AD125" i="33"/>
  <c r="AU125" i="33"/>
  <c r="AY125" i="33" s="1"/>
  <c r="AM125" i="33"/>
  <c r="AO97" i="33"/>
  <c r="AS97" i="33" s="1"/>
  <c r="AD97" i="33"/>
  <c r="AU97" i="33"/>
  <c r="AY97" i="33" s="1"/>
  <c r="AM97" i="33"/>
  <c r="AO98" i="33"/>
  <c r="AS98" i="33" s="1"/>
  <c r="AD98" i="33"/>
  <c r="AU98" i="33"/>
  <c r="AY98" i="33" s="1"/>
  <c r="AM98" i="33"/>
  <c r="AO111" i="33"/>
  <c r="AS111" i="33" s="1"/>
  <c r="AD111" i="33"/>
  <c r="AU111" i="33"/>
  <c r="AY111" i="33" s="1"/>
  <c r="AM111" i="33"/>
  <c r="AO112" i="33"/>
  <c r="AS112" i="33" s="1"/>
  <c r="AD112" i="33"/>
  <c r="AU112" i="33"/>
  <c r="AY112" i="33" s="1"/>
  <c r="AM112" i="33"/>
  <c r="AO113" i="33"/>
  <c r="AS113" i="33" s="1"/>
  <c r="AD113" i="33"/>
  <c r="AU113" i="33"/>
  <c r="AY113" i="33" s="1"/>
  <c r="AM113" i="33"/>
  <c r="AO114" i="33"/>
  <c r="AS114" i="33" s="1"/>
  <c r="AD114" i="33"/>
  <c r="AU114" i="33"/>
  <c r="AY114" i="33" s="1"/>
  <c r="AM114" i="33"/>
  <c r="AO115" i="33"/>
  <c r="AS115" i="33" s="1"/>
  <c r="AD115" i="33"/>
  <c r="AU115" i="33"/>
  <c r="AY115" i="33" s="1"/>
  <c r="AM115" i="33"/>
  <c r="AO116" i="33"/>
  <c r="AS116" i="33" s="1"/>
  <c r="AD116" i="33"/>
  <c r="AU116" i="33"/>
  <c r="AY116" i="33" s="1"/>
  <c r="AM116" i="33"/>
  <c r="AO129" i="33"/>
  <c r="AS129" i="33" s="1"/>
  <c r="AD129" i="33"/>
  <c r="AU129" i="33"/>
  <c r="AY129" i="33" s="1"/>
  <c r="AM129" i="33"/>
  <c r="AO130" i="33"/>
  <c r="AS130" i="33" s="1"/>
  <c r="AD130" i="33"/>
  <c r="AU130" i="33"/>
  <c r="AY130" i="33" s="1"/>
  <c r="AM130" i="33"/>
  <c r="AO131" i="33"/>
  <c r="AS131" i="33" s="1"/>
  <c r="AD131" i="33"/>
  <c r="AU131" i="33"/>
  <c r="AY131" i="33" s="1"/>
  <c r="AM131" i="33"/>
  <c r="AO132" i="33"/>
  <c r="AS132" i="33" s="1"/>
  <c r="AD132" i="33"/>
  <c r="AU132" i="33"/>
  <c r="AY132" i="33" s="1"/>
  <c r="AM132" i="33"/>
  <c r="AO133" i="33"/>
  <c r="AS133" i="33" s="1"/>
  <c r="AD133" i="33"/>
  <c r="AU133" i="33"/>
  <c r="AY133" i="33" s="1"/>
  <c r="AM133" i="33"/>
  <c r="AO138" i="33"/>
  <c r="AS138" i="33" s="1"/>
  <c r="AD138" i="33"/>
  <c r="AU138" i="33"/>
  <c r="AY138" i="33" s="1"/>
  <c r="AM138" i="33"/>
  <c r="AO139" i="33"/>
  <c r="AS139" i="33" s="1"/>
  <c r="AD139" i="33"/>
  <c r="AU139" i="33"/>
  <c r="AY139" i="33" s="1"/>
  <c r="AM139" i="33"/>
  <c r="AO140" i="33"/>
  <c r="AS140" i="33" s="1"/>
  <c r="AD140" i="33"/>
  <c r="AU140" i="33"/>
  <c r="AY140" i="33" s="1"/>
  <c r="AM140" i="33"/>
  <c r="AO141" i="33"/>
  <c r="AS141" i="33" s="1"/>
  <c r="AD141" i="33"/>
  <c r="AU141" i="33"/>
  <c r="AY141" i="33" s="1"/>
  <c r="AM141" i="33"/>
  <c r="AO142" i="33"/>
  <c r="AS142" i="33" s="1"/>
  <c r="AD142" i="33"/>
  <c r="AU142" i="33"/>
  <c r="AY142" i="33" s="1"/>
  <c r="AM142" i="33"/>
  <c r="AO143" i="33"/>
  <c r="AS143" i="33" s="1"/>
  <c r="AD143" i="33"/>
  <c r="AU143" i="33"/>
  <c r="AY143" i="33" s="1"/>
  <c r="AM143" i="33"/>
  <c r="AO156" i="33"/>
  <c r="AS156" i="33" s="1"/>
  <c r="AD156" i="33"/>
  <c r="AU156" i="33"/>
  <c r="AY156" i="33" s="1"/>
  <c r="AM156" i="33"/>
  <c r="AO157" i="33"/>
  <c r="AS157" i="33" s="1"/>
  <c r="AD157" i="33"/>
  <c r="AU157" i="33"/>
  <c r="AY157" i="33" s="1"/>
  <c r="AM157" i="33"/>
  <c r="AO158" i="33"/>
  <c r="AS158" i="33" s="1"/>
  <c r="AD158" i="33"/>
  <c r="AU158" i="33"/>
  <c r="AY158" i="33" s="1"/>
  <c r="AM158" i="33"/>
  <c r="AO159" i="33"/>
  <c r="AS159" i="33" s="1"/>
  <c r="AD159" i="33"/>
  <c r="AU159" i="33"/>
  <c r="AY159" i="33" s="1"/>
  <c r="AM159" i="33"/>
  <c r="AO160" i="33"/>
  <c r="AS160" i="33" s="1"/>
  <c r="AD160" i="33"/>
  <c r="AU160" i="33"/>
  <c r="AY160" i="33" s="1"/>
  <c r="AM160" i="33"/>
  <c r="AO161" i="33"/>
  <c r="AS161" i="33" s="1"/>
  <c r="AD161" i="33"/>
  <c r="AU161" i="33"/>
  <c r="AY161" i="33" s="1"/>
  <c r="AM161" i="33"/>
  <c r="AO134" i="33"/>
  <c r="AS134" i="33" s="1"/>
  <c r="AD134" i="33"/>
  <c r="AU134" i="33"/>
  <c r="AY134" i="33" s="1"/>
  <c r="AM134" i="33"/>
  <c r="AO147" i="33"/>
  <c r="AS147" i="33" s="1"/>
  <c r="AD147" i="33"/>
  <c r="AU147" i="33"/>
  <c r="AY147" i="33" s="1"/>
  <c r="AM147" i="33"/>
  <c r="AO148" i="33"/>
  <c r="AS148" i="33" s="1"/>
  <c r="AD148" i="33"/>
  <c r="AU148" i="33"/>
  <c r="AY148" i="33" s="1"/>
  <c r="AM148" i="33"/>
  <c r="AO149" i="33"/>
  <c r="AS149" i="33" s="1"/>
  <c r="AD149" i="33"/>
  <c r="AU149" i="33"/>
  <c r="AY149" i="33" s="1"/>
  <c r="AM149" i="33"/>
  <c r="AO150" i="33"/>
  <c r="AS150" i="33" s="1"/>
  <c r="AD150" i="33"/>
  <c r="AU150" i="33"/>
  <c r="AY150" i="33" s="1"/>
  <c r="AM150" i="33"/>
  <c r="AO151" i="33"/>
  <c r="AS151" i="33" s="1"/>
  <c r="AD151" i="33"/>
  <c r="AU151" i="33"/>
  <c r="AY151" i="33" s="1"/>
  <c r="AM151" i="33"/>
  <c r="AO152" i="33"/>
  <c r="AS152" i="33" s="1"/>
  <c r="AD152" i="33"/>
  <c r="AU152" i="33"/>
  <c r="AY152" i="33" s="1"/>
  <c r="AM152" i="33"/>
  <c r="AO165" i="33"/>
  <c r="AS165" i="33" s="1"/>
  <c r="AD165" i="33"/>
  <c r="AU165" i="33"/>
  <c r="AY165" i="33" s="1"/>
  <c r="AM165" i="33"/>
  <c r="AO166" i="33"/>
  <c r="AS166" i="33" s="1"/>
  <c r="AD166" i="33"/>
  <c r="AU166" i="33"/>
  <c r="AY166" i="33" s="1"/>
  <c r="AM166" i="33"/>
  <c r="AO167" i="33"/>
  <c r="AS167" i="33" s="1"/>
  <c r="AD167" i="33"/>
  <c r="AU167" i="33"/>
  <c r="AY167" i="33" s="1"/>
  <c r="AM167" i="33"/>
  <c r="AO168" i="33"/>
  <c r="AS168" i="33" s="1"/>
  <c r="AD168" i="33"/>
  <c r="AU168" i="33"/>
  <c r="AY168" i="33" s="1"/>
  <c r="AM168" i="33"/>
  <c r="AO169" i="33"/>
  <c r="AS169" i="33" s="1"/>
  <c r="AD169" i="33"/>
  <c r="AU169" i="33"/>
  <c r="AY169" i="33" s="1"/>
  <c r="AM169" i="33"/>
  <c r="AO170" i="33"/>
  <c r="AS170" i="33" s="1"/>
  <c r="AD170" i="33"/>
  <c r="AU170" i="33"/>
  <c r="AY170" i="33" s="1"/>
  <c r="AM170" i="33"/>
  <c r="U34" i="2"/>
  <c r="U42" i="2" s="1"/>
  <c r="U38" i="2"/>
  <c r="U46" i="2" s="1"/>
  <c r="U39" i="2"/>
  <c r="AH170" i="32"/>
  <c r="AG170" i="32"/>
  <c r="AK170" i="32" s="1"/>
  <c r="AF170" i="32"/>
  <c r="AE170" i="32"/>
  <c r="Y170" i="32"/>
  <c r="AC170" i="32" s="1"/>
  <c r="AR170" i="32" s="1"/>
  <c r="X170" i="32"/>
  <c r="AB170" i="32" s="1"/>
  <c r="AQ170" i="32" s="1"/>
  <c r="W170" i="32"/>
  <c r="AA170" i="32" s="1"/>
  <c r="V170" i="32"/>
  <c r="Z170" i="32" s="1"/>
  <c r="AO170" i="32" s="1"/>
  <c r="AH169" i="32"/>
  <c r="AG169" i="32"/>
  <c r="AK169" i="32" s="1"/>
  <c r="AF169" i="32"/>
  <c r="AE169" i="32"/>
  <c r="Y169" i="32"/>
  <c r="AC169" i="32" s="1"/>
  <c r="AR169" i="32" s="1"/>
  <c r="X169" i="32"/>
  <c r="AB169" i="32" s="1"/>
  <c r="AQ169" i="32" s="1"/>
  <c r="W169" i="32"/>
  <c r="AA169" i="32" s="1"/>
  <c r="V169" i="32"/>
  <c r="Z169" i="32" s="1"/>
  <c r="AO169" i="32" s="1"/>
  <c r="AH168" i="32"/>
  <c r="AG168" i="32"/>
  <c r="AK168" i="32" s="1"/>
  <c r="AF168" i="32"/>
  <c r="AE168" i="32"/>
  <c r="Y168" i="32"/>
  <c r="AC168" i="32" s="1"/>
  <c r="AR168" i="32" s="1"/>
  <c r="X168" i="32"/>
  <c r="AB168" i="32" s="1"/>
  <c r="AQ168" i="32" s="1"/>
  <c r="W168" i="32"/>
  <c r="AA168" i="32" s="1"/>
  <c r="V168" i="32"/>
  <c r="Z168" i="32" s="1"/>
  <c r="AO168" i="32" s="1"/>
  <c r="AH167" i="32"/>
  <c r="AG167" i="32"/>
  <c r="AK167" i="32" s="1"/>
  <c r="AF167" i="32"/>
  <c r="AE167" i="32"/>
  <c r="Y167" i="32"/>
  <c r="AC167" i="32" s="1"/>
  <c r="AR167" i="32" s="1"/>
  <c r="X167" i="32"/>
  <c r="AB167" i="32" s="1"/>
  <c r="AQ167" i="32" s="1"/>
  <c r="W167" i="32"/>
  <c r="AA167" i="32" s="1"/>
  <c r="V167" i="32"/>
  <c r="Z167" i="32" s="1"/>
  <c r="AO167" i="32" s="1"/>
  <c r="AH166" i="32"/>
  <c r="AG166" i="32"/>
  <c r="AK166" i="32" s="1"/>
  <c r="AF166" i="32"/>
  <c r="AE166" i="32"/>
  <c r="Y166" i="32"/>
  <c r="AC166" i="32" s="1"/>
  <c r="AR166" i="32" s="1"/>
  <c r="X166" i="32"/>
  <c r="AB166" i="32" s="1"/>
  <c r="AQ166" i="32" s="1"/>
  <c r="W166" i="32"/>
  <c r="AA166" i="32" s="1"/>
  <c r="V166" i="32"/>
  <c r="Z166" i="32" s="1"/>
  <c r="AO166" i="32" s="1"/>
  <c r="AH165" i="32"/>
  <c r="AG165" i="32"/>
  <c r="AK165" i="32" s="1"/>
  <c r="AF165" i="32"/>
  <c r="AE165" i="32"/>
  <c r="Y165" i="32"/>
  <c r="AC165" i="32" s="1"/>
  <c r="AR165" i="32" s="1"/>
  <c r="X165" i="32"/>
  <c r="AB165" i="32" s="1"/>
  <c r="AQ165" i="32" s="1"/>
  <c r="W165" i="32"/>
  <c r="AA165" i="32" s="1"/>
  <c r="V165" i="32"/>
  <c r="Z165" i="32" s="1"/>
  <c r="AO165" i="32" s="1"/>
  <c r="AH161" i="32"/>
  <c r="AG161" i="32"/>
  <c r="AK161" i="32" s="1"/>
  <c r="AF161" i="32"/>
  <c r="AE161" i="32"/>
  <c r="Y161" i="32"/>
  <c r="AC161" i="32" s="1"/>
  <c r="AR161" i="32" s="1"/>
  <c r="X161" i="32"/>
  <c r="AB161" i="32" s="1"/>
  <c r="AQ161" i="32" s="1"/>
  <c r="W161" i="32"/>
  <c r="AA161" i="32" s="1"/>
  <c r="V161" i="32"/>
  <c r="Z161" i="32" s="1"/>
  <c r="AO161" i="32" s="1"/>
  <c r="AH160" i="32"/>
  <c r="AG160" i="32"/>
  <c r="AK160" i="32" s="1"/>
  <c r="AF160" i="32"/>
  <c r="AE160" i="32"/>
  <c r="Y160" i="32"/>
  <c r="AC160" i="32" s="1"/>
  <c r="AR160" i="32" s="1"/>
  <c r="X160" i="32"/>
  <c r="AB160" i="32" s="1"/>
  <c r="AQ160" i="32" s="1"/>
  <c r="W160" i="32"/>
  <c r="AA160" i="32" s="1"/>
  <c r="V160" i="32"/>
  <c r="Z160" i="32" s="1"/>
  <c r="AO160" i="32" s="1"/>
  <c r="AH159" i="32"/>
  <c r="AG159" i="32"/>
  <c r="AK159" i="32" s="1"/>
  <c r="AF159" i="32"/>
  <c r="AE159" i="32"/>
  <c r="Y159" i="32"/>
  <c r="AC159" i="32" s="1"/>
  <c r="AR159" i="32" s="1"/>
  <c r="X159" i="32"/>
  <c r="AB159" i="32" s="1"/>
  <c r="AQ159" i="32" s="1"/>
  <c r="W159" i="32"/>
  <c r="AA159" i="32" s="1"/>
  <c r="V159" i="32"/>
  <c r="Z159" i="32" s="1"/>
  <c r="AO159" i="32" s="1"/>
  <c r="AH158" i="32"/>
  <c r="AG158" i="32"/>
  <c r="AK158" i="32" s="1"/>
  <c r="AF158" i="32"/>
  <c r="AE158" i="32"/>
  <c r="Y158" i="32"/>
  <c r="AC158" i="32" s="1"/>
  <c r="AR158" i="32" s="1"/>
  <c r="X158" i="32"/>
  <c r="AB158" i="32" s="1"/>
  <c r="AQ158" i="32" s="1"/>
  <c r="W158" i="32"/>
  <c r="AA158" i="32" s="1"/>
  <c r="V158" i="32"/>
  <c r="Z158" i="32" s="1"/>
  <c r="AO158" i="32" s="1"/>
  <c r="AH157" i="32"/>
  <c r="AG157" i="32"/>
  <c r="AK157" i="32" s="1"/>
  <c r="AF157" i="32"/>
  <c r="AE157" i="32"/>
  <c r="Y157" i="32"/>
  <c r="AC157" i="32" s="1"/>
  <c r="AR157" i="32" s="1"/>
  <c r="X157" i="32"/>
  <c r="AB157" i="32" s="1"/>
  <c r="AQ157" i="32" s="1"/>
  <c r="W157" i="32"/>
  <c r="AA157" i="32" s="1"/>
  <c r="V157" i="32"/>
  <c r="Z157" i="32" s="1"/>
  <c r="AO157" i="32" s="1"/>
  <c r="AH156" i="32"/>
  <c r="AG156" i="32"/>
  <c r="AK156" i="32" s="1"/>
  <c r="AF156" i="32"/>
  <c r="AE156" i="32"/>
  <c r="Y156" i="32"/>
  <c r="AC156" i="32" s="1"/>
  <c r="AR156" i="32" s="1"/>
  <c r="X156" i="32"/>
  <c r="AB156" i="32" s="1"/>
  <c r="AQ156" i="32" s="1"/>
  <c r="W156" i="32"/>
  <c r="AA156" i="32" s="1"/>
  <c r="V156" i="32"/>
  <c r="Z156" i="32" s="1"/>
  <c r="AO156" i="32" s="1"/>
  <c r="AH152" i="32"/>
  <c r="AG152" i="32"/>
  <c r="AF152" i="32"/>
  <c r="AE152" i="32"/>
  <c r="AI152" i="32" s="1"/>
  <c r="Y152" i="32"/>
  <c r="AC152" i="32" s="1"/>
  <c r="AR152" i="32" s="1"/>
  <c r="X152" i="32"/>
  <c r="AB152" i="32" s="1"/>
  <c r="AQ152" i="32" s="1"/>
  <c r="W152" i="32"/>
  <c r="AA152" i="32" s="1"/>
  <c r="V152" i="32"/>
  <c r="Z152" i="32" s="1"/>
  <c r="AO152" i="32" s="1"/>
  <c r="AH151" i="32"/>
  <c r="AG151" i="32"/>
  <c r="AF151" i="32"/>
  <c r="AE151" i="32"/>
  <c r="AI151" i="32" s="1"/>
  <c r="Y151" i="32"/>
  <c r="AC151" i="32" s="1"/>
  <c r="AR151" i="32" s="1"/>
  <c r="X151" i="32"/>
  <c r="AB151" i="32" s="1"/>
  <c r="AQ151" i="32" s="1"/>
  <c r="W151" i="32"/>
  <c r="AA151" i="32" s="1"/>
  <c r="V151" i="32"/>
  <c r="Z151" i="32" s="1"/>
  <c r="AO151" i="32" s="1"/>
  <c r="AH150" i="32"/>
  <c r="AG150" i="32"/>
  <c r="AF150" i="32"/>
  <c r="AE150" i="32"/>
  <c r="AI150" i="32" s="1"/>
  <c r="Y150" i="32"/>
  <c r="AC150" i="32" s="1"/>
  <c r="AR150" i="32" s="1"/>
  <c r="X150" i="32"/>
  <c r="AB150" i="32" s="1"/>
  <c r="AQ150" i="32" s="1"/>
  <c r="W150" i="32"/>
  <c r="AA150" i="32" s="1"/>
  <c r="V150" i="32"/>
  <c r="Z150" i="32" s="1"/>
  <c r="AO150" i="32" s="1"/>
  <c r="AH149" i="32"/>
  <c r="AG149" i="32"/>
  <c r="AF149" i="32"/>
  <c r="AE149" i="32"/>
  <c r="AI149" i="32" s="1"/>
  <c r="Y149" i="32"/>
  <c r="AC149" i="32" s="1"/>
  <c r="AR149" i="32" s="1"/>
  <c r="X149" i="32"/>
  <c r="AB149" i="32" s="1"/>
  <c r="AQ149" i="32" s="1"/>
  <c r="W149" i="32"/>
  <c r="AA149" i="32" s="1"/>
  <c r="V149" i="32"/>
  <c r="Z149" i="32" s="1"/>
  <c r="AO149" i="32" s="1"/>
  <c r="AH148" i="32"/>
  <c r="AG148" i="32"/>
  <c r="AF148" i="32"/>
  <c r="AE148" i="32"/>
  <c r="AI148" i="32" s="1"/>
  <c r="Y148" i="32"/>
  <c r="AC148" i="32" s="1"/>
  <c r="AR148" i="32" s="1"/>
  <c r="X148" i="32"/>
  <c r="AB148" i="32" s="1"/>
  <c r="AQ148" i="32" s="1"/>
  <c r="W148" i="32"/>
  <c r="AA148" i="32" s="1"/>
  <c r="V148" i="32"/>
  <c r="Z148" i="32" s="1"/>
  <c r="AO148" i="32" s="1"/>
  <c r="AH147" i="32"/>
  <c r="AG147" i="32"/>
  <c r="AF147" i="32"/>
  <c r="AE147" i="32"/>
  <c r="AI147" i="32" s="1"/>
  <c r="Y147" i="32"/>
  <c r="AC147" i="32" s="1"/>
  <c r="AR147" i="32" s="1"/>
  <c r="X147" i="32"/>
  <c r="AB147" i="32" s="1"/>
  <c r="AQ147" i="32" s="1"/>
  <c r="W147" i="32"/>
  <c r="AA147" i="32" s="1"/>
  <c r="V147" i="32"/>
  <c r="Z147" i="32" s="1"/>
  <c r="AO147" i="32" s="1"/>
  <c r="AH143" i="32"/>
  <c r="AG143" i="32"/>
  <c r="AF143" i="32"/>
  <c r="AE143" i="32"/>
  <c r="AI143" i="32" s="1"/>
  <c r="Y143" i="32"/>
  <c r="AC143" i="32" s="1"/>
  <c r="AR143" i="32" s="1"/>
  <c r="X143" i="32"/>
  <c r="AB143" i="32" s="1"/>
  <c r="AQ143" i="32" s="1"/>
  <c r="W143" i="32"/>
  <c r="AA143" i="32" s="1"/>
  <c r="V143" i="32"/>
  <c r="Z143" i="32" s="1"/>
  <c r="AO143" i="32" s="1"/>
  <c r="AH142" i="32"/>
  <c r="AG142" i="32"/>
  <c r="AF142" i="32"/>
  <c r="AE142" i="32"/>
  <c r="AI142" i="32" s="1"/>
  <c r="Y142" i="32"/>
  <c r="AC142" i="32" s="1"/>
  <c r="AR142" i="32" s="1"/>
  <c r="X142" i="32"/>
  <c r="AB142" i="32" s="1"/>
  <c r="AQ142" i="32" s="1"/>
  <c r="W142" i="32"/>
  <c r="AA142" i="32" s="1"/>
  <c r="V142" i="32"/>
  <c r="Z142" i="32" s="1"/>
  <c r="AO142" i="32" s="1"/>
  <c r="AH141" i="32"/>
  <c r="AG141" i="32"/>
  <c r="AF141" i="32"/>
  <c r="AE141" i="32"/>
  <c r="AI141" i="32" s="1"/>
  <c r="Y141" i="32"/>
  <c r="AC141" i="32" s="1"/>
  <c r="AR141" i="32" s="1"/>
  <c r="X141" i="32"/>
  <c r="AB141" i="32" s="1"/>
  <c r="AQ141" i="32" s="1"/>
  <c r="W141" i="32"/>
  <c r="AA141" i="32" s="1"/>
  <c r="V141" i="32"/>
  <c r="Z141" i="32" s="1"/>
  <c r="AO141" i="32" s="1"/>
  <c r="AH140" i="32"/>
  <c r="AG140" i="32"/>
  <c r="AF140" i="32"/>
  <c r="AE140" i="32"/>
  <c r="AI140" i="32" s="1"/>
  <c r="Y140" i="32"/>
  <c r="AC140" i="32" s="1"/>
  <c r="AR140" i="32" s="1"/>
  <c r="X140" i="32"/>
  <c r="AB140" i="32" s="1"/>
  <c r="AQ140" i="32" s="1"/>
  <c r="W140" i="32"/>
  <c r="AA140" i="32" s="1"/>
  <c r="V140" i="32"/>
  <c r="Z140" i="32" s="1"/>
  <c r="AO140" i="32" s="1"/>
  <c r="AH139" i="32"/>
  <c r="AG139" i="32"/>
  <c r="AF139" i="32"/>
  <c r="AE139" i="32"/>
  <c r="AI139" i="32" s="1"/>
  <c r="Y139" i="32"/>
  <c r="AC139" i="32" s="1"/>
  <c r="AR139" i="32" s="1"/>
  <c r="X139" i="32"/>
  <c r="AB139" i="32" s="1"/>
  <c r="AQ139" i="32" s="1"/>
  <c r="W139" i="32"/>
  <c r="AA139" i="32" s="1"/>
  <c r="V139" i="32"/>
  <c r="Z139" i="32" s="1"/>
  <c r="AO139" i="32" s="1"/>
  <c r="AH138" i="32"/>
  <c r="AG138" i="32"/>
  <c r="AF138" i="32"/>
  <c r="AE138" i="32"/>
  <c r="AI138" i="32" s="1"/>
  <c r="Y138" i="32"/>
  <c r="AC138" i="32" s="1"/>
  <c r="AR138" i="32" s="1"/>
  <c r="X138" i="32"/>
  <c r="AB138" i="32" s="1"/>
  <c r="AQ138" i="32" s="1"/>
  <c r="W138" i="32"/>
  <c r="AA138" i="32" s="1"/>
  <c r="V138" i="32"/>
  <c r="Z138" i="32" s="1"/>
  <c r="AO138" i="32" s="1"/>
  <c r="AH134" i="32"/>
  <c r="AG134" i="32"/>
  <c r="AF134" i="32"/>
  <c r="AE134" i="32"/>
  <c r="AI134" i="32" s="1"/>
  <c r="Y134" i="32"/>
  <c r="AC134" i="32" s="1"/>
  <c r="AR134" i="32" s="1"/>
  <c r="X134" i="32"/>
  <c r="AB134" i="32" s="1"/>
  <c r="AQ134" i="32" s="1"/>
  <c r="W134" i="32"/>
  <c r="AA134" i="32" s="1"/>
  <c r="V134" i="32"/>
  <c r="Z134" i="32" s="1"/>
  <c r="AO134" i="32" s="1"/>
  <c r="AH133" i="32"/>
  <c r="AG133" i="32"/>
  <c r="AF133" i="32"/>
  <c r="AE133" i="32"/>
  <c r="AI133" i="32" s="1"/>
  <c r="Y133" i="32"/>
  <c r="AC133" i="32" s="1"/>
  <c r="AR133" i="32" s="1"/>
  <c r="X133" i="32"/>
  <c r="AB133" i="32" s="1"/>
  <c r="AQ133" i="32" s="1"/>
  <c r="W133" i="32"/>
  <c r="AA133" i="32" s="1"/>
  <c r="V133" i="32"/>
  <c r="Z133" i="32" s="1"/>
  <c r="AO133" i="32" s="1"/>
  <c r="AH132" i="32"/>
  <c r="AG132" i="32"/>
  <c r="AF132" i="32"/>
  <c r="AE132" i="32"/>
  <c r="AI132" i="32" s="1"/>
  <c r="Y132" i="32"/>
  <c r="AC132" i="32" s="1"/>
  <c r="AR132" i="32" s="1"/>
  <c r="X132" i="32"/>
  <c r="AB132" i="32" s="1"/>
  <c r="AQ132" i="32" s="1"/>
  <c r="W132" i="32"/>
  <c r="AA132" i="32" s="1"/>
  <c r="V132" i="32"/>
  <c r="Z132" i="32" s="1"/>
  <c r="AO132" i="32" s="1"/>
  <c r="AH131" i="32"/>
  <c r="AG131" i="32"/>
  <c r="AF131" i="32"/>
  <c r="AE131" i="32"/>
  <c r="AI131" i="32" s="1"/>
  <c r="Y131" i="32"/>
  <c r="AC131" i="32" s="1"/>
  <c r="AR131" i="32" s="1"/>
  <c r="X131" i="32"/>
  <c r="AB131" i="32" s="1"/>
  <c r="AQ131" i="32" s="1"/>
  <c r="W131" i="32"/>
  <c r="AA131" i="32" s="1"/>
  <c r="V131" i="32"/>
  <c r="Z131" i="32" s="1"/>
  <c r="AO131" i="32" s="1"/>
  <c r="AH130" i="32"/>
  <c r="AG130" i="32"/>
  <c r="AF130" i="32"/>
  <c r="AE130" i="32"/>
  <c r="AI130" i="32" s="1"/>
  <c r="Y130" i="32"/>
  <c r="AC130" i="32" s="1"/>
  <c r="AR130" i="32" s="1"/>
  <c r="X130" i="32"/>
  <c r="AB130" i="32" s="1"/>
  <c r="AQ130" i="32" s="1"/>
  <c r="W130" i="32"/>
  <c r="AA130" i="32" s="1"/>
  <c r="V130" i="32"/>
  <c r="Z130" i="32" s="1"/>
  <c r="AO130" i="32" s="1"/>
  <c r="AH129" i="32"/>
  <c r="AG129" i="32"/>
  <c r="AF129" i="32"/>
  <c r="AE129" i="32"/>
  <c r="AI129" i="32" s="1"/>
  <c r="Y129" i="32"/>
  <c r="AC129" i="32" s="1"/>
  <c r="AR129" i="32" s="1"/>
  <c r="X129" i="32"/>
  <c r="AB129" i="32" s="1"/>
  <c r="AQ129" i="32" s="1"/>
  <c r="W129" i="32"/>
  <c r="AA129" i="32" s="1"/>
  <c r="V129" i="32"/>
  <c r="Z129" i="32" s="1"/>
  <c r="AO129" i="32" s="1"/>
  <c r="AH125" i="32"/>
  <c r="AG125" i="32"/>
  <c r="AK125" i="32" s="1"/>
  <c r="AF125" i="32"/>
  <c r="AE125" i="32"/>
  <c r="Y125" i="32"/>
  <c r="AC125" i="32" s="1"/>
  <c r="AR125" i="32" s="1"/>
  <c r="X125" i="32"/>
  <c r="AB125" i="32" s="1"/>
  <c r="AQ125" i="32" s="1"/>
  <c r="W125" i="32"/>
  <c r="AA125" i="32" s="1"/>
  <c r="V125" i="32"/>
  <c r="Z125" i="32" s="1"/>
  <c r="AO125" i="32" s="1"/>
  <c r="AH124" i="32"/>
  <c r="AG124" i="32"/>
  <c r="AK124" i="32" s="1"/>
  <c r="AF124" i="32"/>
  <c r="AE124" i="32"/>
  <c r="Y124" i="32"/>
  <c r="AC124" i="32" s="1"/>
  <c r="AR124" i="32" s="1"/>
  <c r="X124" i="32"/>
  <c r="AB124" i="32" s="1"/>
  <c r="AQ124" i="32" s="1"/>
  <c r="W124" i="32"/>
  <c r="AA124" i="32" s="1"/>
  <c r="V124" i="32"/>
  <c r="Z124" i="32" s="1"/>
  <c r="AO124" i="32" s="1"/>
  <c r="AH123" i="32"/>
  <c r="AG123" i="32"/>
  <c r="AK123" i="32" s="1"/>
  <c r="AF123" i="32"/>
  <c r="AE123" i="32"/>
  <c r="Y123" i="32"/>
  <c r="AC123" i="32" s="1"/>
  <c r="AR123" i="32" s="1"/>
  <c r="X123" i="32"/>
  <c r="AB123" i="32" s="1"/>
  <c r="AQ123" i="32" s="1"/>
  <c r="W123" i="32"/>
  <c r="AA123" i="32" s="1"/>
  <c r="V123" i="32"/>
  <c r="Z123" i="32" s="1"/>
  <c r="AO123" i="32" s="1"/>
  <c r="AH122" i="32"/>
  <c r="AG122" i="32"/>
  <c r="AK122" i="32" s="1"/>
  <c r="AF122" i="32"/>
  <c r="AE122" i="32"/>
  <c r="Y122" i="32"/>
  <c r="AC122" i="32" s="1"/>
  <c r="AR122" i="32" s="1"/>
  <c r="X122" i="32"/>
  <c r="AB122" i="32" s="1"/>
  <c r="AQ122" i="32" s="1"/>
  <c r="W122" i="32"/>
  <c r="AA122" i="32" s="1"/>
  <c r="V122" i="32"/>
  <c r="Z122" i="32" s="1"/>
  <c r="AO122" i="32" s="1"/>
  <c r="AH121" i="32"/>
  <c r="AG121" i="32"/>
  <c r="AK121" i="32" s="1"/>
  <c r="AF121" i="32"/>
  <c r="AE121" i="32"/>
  <c r="Y121" i="32"/>
  <c r="AC121" i="32" s="1"/>
  <c r="AR121" i="32" s="1"/>
  <c r="X121" i="32"/>
  <c r="AB121" i="32" s="1"/>
  <c r="AQ121" i="32" s="1"/>
  <c r="W121" i="32"/>
  <c r="AA121" i="32" s="1"/>
  <c r="V121" i="32"/>
  <c r="Z121" i="32" s="1"/>
  <c r="AO121" i="32" s="1"/>
  <c r="AH120" i="32"/>
  <c r="AG120" i="32"/>
  <c r="AK120" i="32" s="1"/>
  <c r="AF120" i="32"/>
  <c r="AE120" i="32"/>
  <c r="Y120" i="32"/>
  <c r="AC120" i="32" s="1"/>
  <c r="AR120" i="32" s="1"/>
  <c r="X120" i="32"/>
  <c r="AB120" i="32" s="1"/>
  <c r="AQ120" i="32" s="1"/>
  <c r="W120" i="32"/>
  <c r="AA120" i="32" s="1"/>
  <c r="V120" i="32"/>
  <c r="Z120" i="32" s="1"/>
  <c r="AO120" i="32" s="1"/>
  <c r="AH116" i="32"/>
  <c r="AG116" i="32"/>
  <c r="AK116" i="32" s="1"/>
  <c r="AF116" i="32"/>
  <c r="AE116" i="32"/>
  <c r="Y116" i="32"/>
  <c r="AC116" i="32" s="1"/>
  <c r="AR116" i="32" s="1"/>
  <c r="X116" i="32"/>
  <c r="AB116" i="32" s="1"/>
  <c r="AQ116" i="32" s="1"/>
  <c r="W116" i="32"/>
  <c r="AA116" i="32" s="1"/>
  <c r="V116" i="32"/>
  <c r="Z116" i="32" s="1"/>
  <c r="AO116" i="32" s="1"/>
  <c r="AH115" i="32"/>
  <c r="AG115" i="32"/>
  <c r="AK115" i="32" s="1"/>
  <c r="AF115" i="32"/>
  <c r="AE115" i="32"/>
  <c r="Y115" i="32"/>
  <c r="AC115" i="32" s="1"/>
  <c r="AR115" i="32" s="1"/>
  <c r="X115" i="32"/>
  <c r="AB115" i="32" s="1"/>
  <c r="AQ115" i="32" s="1"/>
  <c r="W115" i="32"/>
  <c r="AA115" i="32" s="1"/>
  <c r="V115" i="32"/>
  <c r="Z115" i="32" s="1"/>
  <c r="AO115" i="32" s="1"/>
  <c r="AH114" i="32"/>
  <c r="AG114" i="32"/>
  <c r="AK114" i="32" s="1"/>
  <c r="AF114" i="32"/>
  <c r="AE114" i="32"/>
  <c r="Y114" i="32"/>
  <c r="AC114" i="32" s="1"/>
  <c r="AR114" i="32" s="1"/>
  <c r="X114" i="32"/>
  <c r="AB114" i="32" s="1"/>
  <c r="AQ114" i="32" s="1"/>
  <c r="W114" i="32"/>
  <c r="AA114" i="32" s="1"/>
  <c r="V114" i="32"/>
  <c r="Z114" i="32" s="1"/>
  <c r="AO114" i="32" s="1"/>
  <c r="AH113" i="32"/>
  <c r="AG113" i="32"/>
  <c r="AK113" i="32" s="1"/>
  <c r="AF113" i="32"/>
  <c r="AE113" i="32"/>
  <c r="Y113" i="32"/>
  <c r="AC113" i="32" s="1"/>
  <c r="AR113" i="32" s="1"/>
  <c r="X113" i="32"/>
  <c r="AB113" i="32" s="1"/>
  <c r="AQ113" i="32" s="1"/>
  <c r="W113" i="32"/>
  <c r="AA113" i="32" s="1"/>
  <c r="V113" i="32"/>
  <c r="Z113" i="32" s="1"/>
  <c r="AO113" i="32" s="1"/>
  <c r="AH112" i="32"/>
  <c r="AG112" i="32"/>
  <c r="AF112" i="32"/>
  <c r="AJ112" i="32" s="1"/>
  <c r="AE112" i="32"/>
  <c r="Y112" i="32"/>
  <c r="AC112" i="32" s="1"/>
  <c r="AR112" i="32" s="1"/>
  <c r="X112" i="32"/>
  <c r="AB112" i="32" s="1"/>
  <c r="AQ112" i="32" s="1"/>
  <c r="W112" i="32"/>
  <c r="AA112" i="32" s="1"/>
  <c r="V112" i="32"/>
  <c r="Z112" i="32" s="1"/>
  <c r="AO112" i="32" s="1"/>
  <c r="AH111" i="32"/>
  <c r="AG111" i="32"/>
  <c r="AF111" i="32"/>
  <c r="AE111" i="32"/>
  <c r="AI111" i="32" s="1"/>
  <c r="Y111" i="32"/>
  <c r="AC111" i="32" s="1"/>
  <c r="X111" i="32"/>
  <c r="AB111" i="32" s="1"/>
  <c r="AQ111" i="32" s="1"/>
  <c r="W111" i="32"/>
  <c r="AA111" i="32" s="1"/>
  <c r="AP111" i="32" s="1"/>
  <c r="V111" i="32"/>
  <c r="Z111" i="32" s="1"/>
  <c r="AO111" i="32" s="1"/>
  <c r="AH107" i="32"/>
  <c r="AG107" i="32"/>
  <c r="AF107" i="32"/>
  <c r="AE107" i="32"/>
  <c r="AI107" i="32" s="1"/>
  <c r="Y107" i="32"/>
  <c r="AC107" i="32" s="1"/>
  <c r="AR107" i="32" s="1"/>
  <c r="X107" i="32"/>
  <c r="AB107" i="32" s="1"/>
  <c r="AQ107" i="32" s="1"/>
  <c r="W107" i="32"/>
  <c r="AA107" i="32" s="1"/>
  <c r="V107" i="32"/>
  <c r="Z107" i="32" s="1"/>
  <c r="AO107" i="32" s="1"/>
  <c r="AH106" i="32"/>
  <c r="AG106" i="32"/>
  <c r="AK106" i="32" s="1"/>
  <c r="AF106" i="32"/>
  <c r="AE106" i="32"/>
  <c r="Y106" i="32"/>
  <c r="AC106" i="32" s="1"/>
  <c r="AR106" i="32" s="1"/>
  <c r="X106" i="32"/>
  <c r="AB106" i="32" s="1"/>
  <c r="AQ106" i="32" s="1"/>
  <c r="W106" i="32"/>
  <c r="AA106" i="32" s="1"/>
  <c r="V106" i="32"/>
  <c r="Z106" i="32" s="1"/>
  <c r="AO106" i="32" s="1"/>
  <c r="AH105" i="32"/>
  <c r="AG105" i="32"/>
  <c r="AF105" i="32"/>
  <c r="AE105" i="32"/>
  <c r="AI105" i="32" s="1"/>
  <c r="Y105" i="32"/>
  <c r="AC105" i="32" s="1"/>
  <c r="AR105" i="32" s="1"/>
  <c r="X105" i="32"/>
  <c r="AB105" i="32" s="1"/>
  <c r="AQ105" i="32" s="1"/>
  <c r="W105" i="32"/>
  <c r="AA105" i="32" s="1"/>
  <c r="V105" i="32"/>
  <c r="Z105" i="32" s="1"/>
  <c r="AO105" i="32" s="1"/>
  <c r="AH104" i="32"/>
  <c r="AG104" i="32"/>
  <c r="AF104" i="32"/>
  <c r="AE104" i="32"/>
  <c r="AI104" i="32" s="1"/>
  <c r="Y104" i="32"/>
  <c r="AC104" i="32" s="1"/>
  <c r="X104" i="32"/>
  <c r="AB104" i="32" s="1"/>
  <c r="AQ104" i="32" s="1"/>
  <c r="W104" i="32"/>
  <c r="AA104" i="32" s="1"/>
  <c r="AP104" i="32" s="1"/>
  <c r="V104" i="32"/>
  <c r="Z104" i="32" s="1"/>
  <c r="AO104" i="32" s="1"/>
  <c r="AH103" i="32"/>
  <c r="AG103" i="32"/>
  <c r="AF103" i="32"/>
  <c r="AE103" i="32"/>
  <c r="AI103" i="32" s="1"/>
  <c r="Y103" i="32"/>
  <c r="AC103" i="32" s="1"/>
  <c r="AR103" i="32" s="1"/>
  <c r="X103" i="32"/>
  <c r="AB103" i="32" s="1"/>
  <c r="AQ103" i="32" s="1"/>
  <c r="W103" i="32"/>
  <c r="AA103" i="32" s="1"/>
  <c r="V103" i="32"/>
  <c r="Z103" i="32" s="1"/>
  <c r="AO103" i="32" s="1"/>
  <c r="AH102" i="32"/>
  <c r="AG102" i="32"/>
  <c r="AK102" i="32" s="1"/>
  <c r="AF102" i="32"/>
  <c r="AE102" i="32"/>
  <c r="Y102" i="32"/>
  <c r="AC102" i="32" s="1"/>
  <c r="AR102" i="32" s="1"/>
  <c r="X102" i="32"/>
  <c r="AB102" i="32" s="1"/>
  <c r="AQ102" i="32" s="1"/>
  <c r="W102" i="32"/>
  <c r="AA102" i="32" s="1"/>
  <c r="V102" i="32"/>
  <c r="Z102" i="32" s="1"/>
  <c r="AO102" i="32" s="1"/>
  <c r="AH98" i="32"/>
  <c r="AG98" i="32"/>
  <c r="AF98" i="32"/>
  <c r="AE98" i="32"/>
  <c r="AI98" i="32" s="1"/>
  <c r="Y98" i="32"/>
  <c r="AC98" i="32" s="1"/>
  <c r="AR98" i="32" s="1"/>
  <c r="X98" i="32"/>
  <c r="AB98" i="32" s="1"/>
  <c r="AQ98" i="32" s="1"/>
  <c r="W98" i="32"/>
  <c r="AA98" i="32" s="1"/>
  <c r="V98" i="32"/>
  <c r="Z98" i="32" s="1"/>
  <c r="AO98" i="32" s="1"/>
  <c r="AH97" i="32"/>
  <c r="AG97" i="32"/>
  <c r="AF97" i="32"/>
  <c r="AE97" i="32"/>
  <c r="AI97" i="32" s="1"/>
  <c r="Y97" i="32"/>
  <c r="AC97" i="32" s="1"/>
  <c r="X97" i="32"/>
  <c r="AB97" i="32" s="1"/>
  <c r="AQ97" i="32" s="1"/>
  <c r="W97" i="32"/>
  <c r="AA97" i="32" s="1"/>
  <c r="AP97" i="32" s="1"/>
  <c r="V97" i="32"/>
  <c r="Z97" i="32" s="1"/>
  <c r="AO97" i="32" s="1"/>
  <c r="AH96" i="32"/>
  <c r="AG96" i="32"/>
  <c r="AF96" i="32"/>
  <c r="AE96" i="32"/>
  <c r="AI96" i="32" s="1"/>
  <c r="Y96" i="32"/>
  <c r="AC96" i="32" s="1"/>
  <c r="AR96" i="32" s="1"/>
  <c r="X96" i="32"/>
  <c r="AB96" i="32" s="1"/>
  <c r="AQ96" i="32" s="1"/>
  <c r="W96" i="32"/>
  <c r="AA96" i="32" s="1"/>
  <c r="V96" i="32"/>
  <c r="Z96" i="32" s="1"/>
  <c r="AO96" i="32" s="1"/>
  <c r="AH95" i="32"/>
  <c r="AG95" i="32"/>
  <c r="AK95" i="32" s="1"/>
  <c r="AF95" i="32"/>
  <c r="AE95" i="32"/>
  <c r="Y95" i="32"/>
  <c r="AC95" i="32" s="1"/>
  <c r="AR95" i="32" s="1"/>
  <c r="X95" i="32"/>
  <c r="AB95" i="32" s="1"/>
  <c r="AQ95" i="32" s="1"/>
  <c r="W95" i="32"/>
  <c r="AA95" i="32" s="1"/>
  <c r="V95" i="32"/>
  <c r="Z95" i="32" s="1"/>
  <c r="AO95" i="32" s="1"/>
  <c r="AH94" i="32"/>
  <c r="AG94" i="32"/>
  <c r="AF94" i="32"/>
  <c r="AE94" i="32"/>
  <c r="Y94" i="32"/>
  <c r="AC94" i="32" s="1"/>
  <c r="AR94" i="32" s="1"/>
  <c r="X94" i="32"/>
  <c r="AB94" i="32" s="1"/>
  <c r="AQ94" i="32" s="1"/>
  <c r="W94" i="32"/>
  <c r="AA94" i="32" s="1"/>
  <c r="V94" i="32"/>
  <c r="Z94" i="32" s="1"/>
  <c r="AO94" i="32" s="1"/>
  <c r="AH93" i="32"/>
  <c r="AG93" i="32"/>
  <c r="AF93" i="32"/>
  <c r="AE93" i="32"/>
  <c r="AI93" i="32" s="1"/>
  <c r="Y93" i="32"/>
  <c r="AC93" i="32" s="1"/>
  <c r="X93" i="32"/>
  <c r="AB93" i="32" s="1"/>
  <c r="AQ93" i="32" s="1"/>
  <c r="W93" i="32"/>
  <c r="AA93" i="32" s="1"/>
  <c r="AP93" i="32" s="1"/>
  <c r="V93" i="32"/>
  <c r="Z93" i="32" s="1"/>
  <c r="AO93" i="32" s="1"/>
  <c r="AH89" i="32"/>
  <c r="AG89" i="32"/>
  <c r="AF89" i="32"/>
  <c r="AJ89" i="32" s="1"/>
  <c r="AE89" i="32"/>
  <c r="Y89" i="32"/>
  <c r="AC89" i="32" s="1"/>
  <c r="X89" i="32"/>
  <c r="AB89" i="32" s="1"/>
  <c r="AQ89" i="32" s="1"/>
  <c r="W89" i="32"/>
  <c r="AA89" i="32" s="1"/>
  <c r="AP89" i="32" s="1"/>
  <c r="V89" i="32"/>
  <c r="Z89" i="32" s="1"/>
  <c r="AO89" i="32" s="1"/>
  <c r="AH88" i="32"/>
  <c r="AG88" i="32"/>
  <c r="AF88" i="32"/>
  <c r="AJ88" i="32" s="1"/>
  <c r="AE88" i="32"/>
  <c r="Y88" i="32"/>
  <c r="AC88" i="32" s="1"/>
  <c r="X88" i="32"/>
  <c r="AB88" i="32" s="1"/>
  <c r="AQ88" i="32" s="1"/>
  <c r="W88" i="32"/>
  <c r="AA88" i="32" s="1"/>
  <c r="AP88" i="32" s="1"/>
  <c r="V88" i="32"/>
  <c r="Z88" i="32" s="1"/>
  <c r="AO88" i="32" s="1"/>
  <c r="AH87" i="32"/>
  <c r="AG87" i="32"/>
  <c r="AF87" i="32"/>
  <c r="AJ87" i="32" s="1"/>
  <c r="AE87" i="32"/>
  <c r="Y87" i="32"/>
  <c r="AC87" i="32" s="1"/>
  <c r="X87" i="32"/>
  <c r="AB87" i="32" s="1"/>
  <c r="AQ87" i="32" s="1"/>
  <c r="W87" i="32"/>
  <c r="AA87" i="32" s="1"/>
  <c r="AP87" i="32" s="1"/>
  <c r="V87" i="32"/>
  <c r="Z87" i="32" s="1"/>
  <c r="AO87" i="32" s="1"/>
  <c r="AH86" i="32"/>
  <c r="AG86" i="32"/>
  <c r="AF86" i="32"/>
  <c r="AJ86" i="32" s="1"/>
  <c r="AE86" i="32"/>
  <c r="Y86" i="32"/>
  <c r="AC86" i="32" s="1"/>
  <c r="X86" i="32"/>
  <c r="AB86" i="32" s="1"/>
  <c r="AQ86" i="32" s="1"/>
  <c r="W86" i="32"/>
  <c r="AA86" i="32" s="1"/>
  <c r="AP86" i="32" s="1"/>
  <c r="V86" i="32"/>
  <c r="Z86" i="32" s="1"/>
  <c r="AO86" i="32" s="1"/>
  <c r="AH85" i="32"/>
  <c r="AG85" i="32"/>
  <c r="AF85" i="32"/>
  <c r="AJ85" i="32" s="1"/>
  <c r="AE85" i="32"/>
  <c r="Y85" i="32"/>
  <c r="AC85" i="32" s="1"/>
  <c r="X85" i="32"/>
  <c r="AB85" i="32" s="1"/>
  <c r="AQ85" i="32" s="1"/>
  <c r="W85" i="32"/>
  <c r="AA85" i="32" s="1"/>
  <c r="AP85" i="32" s="1"/>
  <c r="V85" i="32"/>
  <c r="Z85" i="32" s="1"/>
  <c r="AO85" i="32" s="1"/>
  <c r="AH84" i="32"/>
  <c r="AG84" i="32"/>
  <c r="AF84" i="32"/>
  <c r="AJ84" i="32" s="1"/>
  <c r="AE84" i="32"/>
  <c r="Y84" i="32"/>
  <c r="AC84" i="32" s="1"/>
  <c r="X84" i="32"/>
  <c r="AB84" i="32" s="1"/>
  <c r="AQ84" i="32" s="1"/>
  <c r="W84" i="32"/>
  <c r="AA84" i="32" s="1"/>
  <c r="AP84" i="32" s="1"/>
  <c r="V84" i="32"/>
  <c r="Z84" i="32" s="1"/>
  <c r="AO84" i="32" s="1"/>
  <c r="AH80" i="32"/>
  <c r="AG80" i="32"/>
  <c r="AF80" i="32"/>
  <c r="AE80" i="32"/>
  <c r="AI80" i="32" s="1"/>
  <c r="Y80" i="32"/>
  <c r="AC80" i="32" s="1"/>
  <c r="X80" i="32"/>
  <c r="AB80" i="32" s="1"/>
  <c r="AQ80" i="32" s="1"/>
  <c r="W80" i="32"/>
  <c r="AA80" i="32" s="1"/>
  <c r="AP80" i="32" s="1"/>
  <c r="V80" i="32"/>
  <c r="Z80" i="32" s="1"/>
  <c r="AO80" i="32" s="1"/>
  <c r="AH79" i="32"/>
  <c r="AG79" i="32"/>
  <c r="AF79" i="32"/>
  <c r="AJ79" i="32" s="1"/>
  <c r="AE79" i="32"/>
  <c r="Y79" i="32"/>
  <c r="AC79" i="32" s="1"/>
  <c r="X79" i="32"/>
  <c r="AB79" i="32" s="1"/>
  <c r="AQ79" i="32" s="1"/>
  <c r="W79" i="32"/>
  <c r="AA79" i="32" s="1"/>
  <c r="AP79" i="32" s="1"/>
  <c r="V79" i="32"/>
  <c r="Z79" i="32" s="1"/>
  <c r="AO79" i="32" s="1"/>
  <c r="AH78" i="32"/>
  <c r="AG78" i="32"/>
  <c r="AF78" i="32"/>
  <c r="AJ78" i="32" s="1"/>
  <c r="AE78" i="32"/>
  <c r="Y78" i="32"/>
  <c r="AC78" i="32" s="1"/>
  <c r="X78" i="32"/>
  <c r="AB78" i="32" s="1"/>
  <c r="AQ78" i="32" s="1"/>
  <c r="W78" i="32"/>
  <c r="AA78" i="32" s="1"/>
  <c r="AP78" i="32" s="1"/>
  <c r="V78" i="32"/>
  <c r="Z78" i="32" s="1"/>
  <c r="AO78" i="32" s="1"/>
  <c r="AH77" i="32"/>
  <c r="AG77" i="32"/>
  <c r="AF77" i="32"/>
  <c r="AJ77" i="32" s="1"/>
  <c r="AE77" i="32"/>
  <c r="Y77" i="32"/>
  <c r="AC77" i="32" s="1"/>
  <c r="X77" i="32"/>
  <c r="AB77" i="32" s="1"/>
  <c r="AQ77" i="32" s="1"/>
  <c r="W77" i="32"/>
  <c r="AA77" i="32" s="1"/>
  <c r="AP77" i="32" s="1"/>
  <c r="V77" i="32"/>
  <c r="Z77" i="32" s="1"/>
  <c r="AO77" i="32" s="1"/>
  <c r="AH76" i="32"/>
  <c r="AG76" i="32"/>
  <c r="AF76" i="32"/>
  <c r="AJ76" i="32" s="1"/>
  <c r="AE76" i="32"/>
  <c r="Y76" i="32"/>
  <c r="AC76" i="32" s="1"/>
  <c r="X76" i="32"/>
  <c r="AB76" i="32" s="1"/>
  <c r="AQ76" i="32" s="1"/>
  <c r="W76" i="32"/>
  <c r="AA76" i="32" s="1"/>
  <c r="AP76" i="32" s="1"/>
  <c r="V76" i="32"/>
  <c r="Z76" i="32" s="1"/>
  <c r="AO76" i="32" s="1"/>
  <c r="AH75" i="32"/>
  <c r="AG75" i="32"/>
  <c r="AF75" i="32"/>
  <c r="AJ75" i="32" s="1"/>
  <c r="AE75" i="32"/>
  <c r="Y75" i="32"/>
  <c r="AC75" i="32" s="1"/>
  <c r="X75" i="32"/>
  <c r="AB75" i="32" s="1"/>
  <c r="AQ75" i="32" s="1"/>
  <c r="W75" i="32"/>
  <c r="AA75" i="32" s="1"/>
  <c r="AP75" i="32" s="1"/>
  <c r="V75" i="32"/>
  <c r="Z75" i="32" s="1"/>
  <c r="AO75" i="32" s="1"/>
  <c r="AH71" i="32"/>
  <c r="AG71" i="32"/>
  <c r="AF71" i="32"/>
  <c r="AJ71" i="32" s="1"/>
  <c r="AE71" i="32"/>
  <c r="Y71" i="32"/>
  <c r="AC71" i="32" s="1"/>
  <c r="X71" i="32"/>
  <c r="AB71" i="32" s="1"/>
  <c r="AQ71" i="32" s="1"/>
  <c r="W71" i="32"/>
  <c r="AA71" i="32" s="1"/>
  <c r="AP71" i="32" s="1"/>
  <c r="V71" i="32"/>
  <c r="Z71" i="32" s="1"/>
  <c r="AO71" i="32" s="1"/>
  <c r="AH70" i="32"/>
  <c r="AG70" i="32"/>
  <c r="AF70" i="32"/>
  <c r="AJ70" i="32" s="1"/>
  <c r="AE70" i="32"/>
  <c r="Y70" i="32"/>
  <c r="AC70" i="32" s="1"/>
  <c r="X70" i="32"/>
  <c r="AB70" i="32" s="1"/>
  <c r="AQ70" i="32" s="1"/>
  <c r="W70" i="32"/>
  <c r="AA70" i="32" s="1"/>
  <c r="AP70" i="32" s="1"/>
  <c r="V70" i="32"/>
  <c r="Z70" i="32" s="1"/>
  <c r="AO70" i="32" s="1"/>
  <c r="AH69" i="32"/>
  <c r="AG69" i="32"/>
  <c r="AF69" i="32"/>
  <c r="AJ69" i="32" s="1"/>
  <c r="AE69" i="32"/>
  <c r="Y69" i="32"/>
  <c r="AC69" i="32" s="1"/>
  <c r="X69" i="32"/>
  <c r="AB69" i="32" s="1"/>
  <c r="AQ69" i="32" s="1"/>
  <c r="W69" i="32"/>
  <c r="AA69" i="32" s="1"/>
  <c r="AP69" i="32" s="1"/>
  <c r="V69" i="32"/>
  <c r="Z69" i="32" s="1"/>
  <c r="AO69" i="32" s="1"/>
  <c r="AH68" i="32"/>
  <c r="AG68" i="32"/>
  <c r="AF68" i="32"/>
  <c r="AJ68" i="32" s="1"/>
  <c r="AE68" i="32"/>
  <c r="Y68" i="32"/>
  <c r="AC68" i="32" s="1"/>
  <c r="X68" i="32"/>
  <c r="AB68" i="32" s="1"/>
  <c r="AQ68" i="32" s="1"/>
  <c r="W68" i="32"/>
  <c r="AA68" i="32" s="1"/>
  <c r="AP68" i="32" s="1"/>
  <c r="V68" i="32"/>
  <c r="Z68" i="32" s="1"/>
  <c r="AO68" i="32" s="1"/>
  <c r="AH67" i="32"/>
  <c r="AG67" i="32"/>
  <c r="AF67" i="32"/>
  <c r="AJ67" i="32" s="1"/>
  <c r="AE67" i="32"/>
  <c r="Y67" i="32"/>
  <c r="AC67" i="32" s="1"/>
  <c r="X67" i="32"/>
  <c r="AB67" i="32" s="1"/>
  <c r="AQ67" i="32" s="1"/>
  <c r="W67" i="32"/>
  <c r="AA67" i="32" s="1"/>
  <c r="AP67" i="32" s="1"/>
  <c r="V67" i="32"/>
  <c r="Z67" i="32" s="1"/>
  <c r="AO67" i="32" s="1"/>
  <c r="AH66" i="32"/>
  <c r="AG66" i="32"/>
  <c r="AF66" i="32"/>
  <c r="AJ66" i="32" s="1"/>
  <c r="AE66" i="32"/>
  <c r="Y66" i="32"/>
  <c r="AC66" i="32" s="1"/>
  <c r="X66" i="32"/>
  <c r="AB66" i="32" s="1"/>
  <c r="AQ66" i="32" s="1"/>
  <c r="W66" i="32"/>
  <c r="AA66" i="32" s="1"/>
  <c r="AP66" i="32" s="1"/>
  <c r="V66" i="32"/>
  <c r="Z66" i="32" s="1"/>
  <c r="AO66" i="32" s="1"/>
  <c r="AH62" i="32"/>
  <c r="AG62" i="32"/>
  <c r="AF62" i="32"/>
  <c r="AJ62" i="32" s="1"/>
  <c r="AE62" i="32"/>
  <c r="Y62" i="32"/>
  <c r="AC62" i="32" s="1"/>
  <c r="X62" i="32"/>
  <c r="AB62" i="32" s="1"/>
  <c r="AQ62" i="32" s="1"/>
  <c r="W62" i="32"/>
  <c r="AA62" i="32" s="1"/>
  <c r="AP62" i="32" s="1"/>
  <c r="V62" i="32"/>
  <c r="Z62" i="32" s="1"/>
  <c r="AO62" i="32" s="1"/>
  <c r="AH61" i="32"/>
  <c r="AG61" i="32"/>
  <c r="AF61" i="32"/>
  <c r="AJ61" i="32" s="1"/>
  <c r="AE61" i="32"/>
  <c r="Y61" i="32"/>
  <c r="AC61" i="32" s="1"/>
  <c r="X61" i="32"/>
  <c r="AB61" i="32" s="1"/>
  <c r="AQ61" i="32" s="1"/>
  <c r="W61" i="32"/>
  <c r="AA61" i="32" s="1"/>
  <c r="AP61" i="32" s="1"/>
  <c r="V61" i="32"/>
  <c r="Z61" i="32" s="1"/>
  <c r="AO61" i="32" s="1"/>
  <c r="AH60" i="32"/>
  <c r="AG60" i="32"/>
  <c r="AF60" i="32"/>
  <c r="AJ60" i="32" s="1"/>
  <c r="AE60" i="32"/>
  <c r="Y60" i="32"/>
  <c r="AC60" i="32" s="1"/>
  <c r="X60" i="32"/>
  <c r="AB60" i="32" s="1"/>
  <c r="AQ60" i="32" s="1"/>
  <c r="W60" i="32"/>
  <c r="AA60" i="32" s="1"/>
  <c r="AP60" i="32" s="1"/>
  <c r="V60" i="32"/>
  <c r="Z60" i="32" s="1"/>
  <c r="AO60" i="32" s="1"/>
  <c r="AH59" i="32"/>
  <c r="AG59" i="32"/>
  <c r="AF59" i="32"/>
  <c r="AJ59" i="32" s="1"/>
  <c r="AE59" i="32"/>
  <c r="Y59" i="32"/>
  <c r="AC59" i="32" s="1"/>
  <c r="X59" i="32"/>
  <c r="AB59" i="32" s="1"/>
  <c r="AQ59" i="32" s="1"/>
  <c r="W59" i="32"/>
  <c r="AA59" i="32" s="1"/>
  <c r="AP59" i="32" s="1"/>
  <c r="V59" i="32"/>
  <c r="Z59" i="32" s="1"/>
  <c r="AO59" i="32" s="1"/>
  <c r="AH58" i="32"/>
  <c r="AG58" i="32"/>
  <c r="AF58" i="32"/>
  <c r="AJ58" i="32" s="1"/>
  <c r="AE58" i="32"/>
  <c r="Y58" i="32"/>
  <c r="AC58" i="32" s="1"/>
  <c r="X58" i="32"/>
  <c r="AB58" i="32" s="1"/>
  <c r="AQ58" i="32" s="1"/>
  <c r="W58" i="32"/>
  <c r="AA58" i="32" s="1"/>
  <c r="AP58" i="32" s="1"/>
  <c r="V58" i="32"/>
  <c r="Z58" i="32" s="1"/>
  <c r="AO58" i="32" s="1"/>
  <c r="AH57" i="32"/>
  <c r="AG57" i="32"/>
  <c r="AF57" i="32"/>
  <c r="AJ57" i="32" s="1"/>
  <c r="AE57" i="32"/>
  <c r="Y57" i="32"/>
  <c r="AC57" i="32" s="1"/>
  <c r="X57" i="32"/>
  <c r="AB57" i="32" s="1"/>
  <c r="AQ57" i="32" s="1"/>
  <c r="W57" i="32"/>
  <c r="AA57" i="32" s="1"/>
  <c r="AP57" i="32" s="1"/>
  <c r="V57" i="32"/>
  <c r="Z57" i="32" s="1"/>
  <c r="AO57" i="32" s="1"/>
  <c r="AH53" i="32"/>
  <c r="AG53" i="32"/>
  <c r="AF53" i="32"/>
  <c r="AJ53" i="32" s="1"/>
  <c r="AE53" i="32"/>
  <c r="Y53" i="32"/>
  <c r="AC53" i="32" s="1"/>
  <c r="X53" i="32"/>
  <c r="AB53" i="32" s="1"/>
  <c r="AQ53" i="32" s="1"/>
  <c r="W53" i="32"/>
  <c r="AA53" i="32" s="1"/>
  <c r="AP53" i="32" s="1"/>
  <c r="V53" i="32"/>
  <c r="Z53" i="32" s="1"/>
  <c r="AO53" i="32" s="1"/>
  <c r="AH52" i="32"/>
  <c r="AG52" i="32"/>
  <c r="AF52" i="32"/>
  <c r="AJ52" i="32" s="1"/>
  <c r="AE52" i="32"/>
  <c r="Y52" i="32"/>
  <c r="AC52" i="32" s="1"/>
  <c r="X52" i="32"/>
  <c r="AB52" i="32" s="1"/>
  <c r="AQ52" i="32" s="1"/>
  <c r="W52" i="32"/>
  <c r="AA52" i="32" s="1"/>
  <c r="AP52" i="32" s="1"/>
  <c r="V52" i="32"/>
  <c r="Z52" i="32" s="1"/>
  <c r="AO52" i="32" s="1"/>
  <c r="AH51" i="32"/>
  <c r="AG51" i="32"/>
  <c r="AF51" i="32"/>
  <c r="AJ51" i="32" s="1"/>
  <c r="AE51" i="32"/>
  <c r="Y51" i="32"/>
  <c r="AC51" i="32" s="1"/>
  <c r="X51" i="32"/>
  <c r="AB51" i="32" s="1"/>
  <c r="AQ51" i="32" s="1"/>
  <c r="W51" i="32"/>
  <c r="AA51" i="32" s="1"/>
  <c r="AP51" i="32" s="1"/>
  <c r="V51" i="32"/>
  <c r="Z51" i="32" s="1"/>
  <c r="AO51" i="32" s="1"/>
  <c r="AH50" i="32"/>
  <c r="AG50" i="32"/>
  <c r="AF50" i="32"/>
  <c r="AJ50" i="32" s="1"/>
  <c r="AE50" i="32"/>
  <c r="Y50" i="32"/>
  <c r="AC50" i="32" s="1"/>
  <c r="X50" i="32"/>
  <c r="AB50" i="32" s="1"/>
  <c r="AQ50" i="32" s="1"/>
  <c r="W50" i="32"/>
  <c r="AA50" i="32" s="1"/>
  <c r="AP50" i="32" s="1"/>
  <c r="V50" i="32"/>
  <c r="Z50" i="32" s="1"/>
  <c r="AO50" i="32" s="1"/>
  <c r="AH49" i="32"/>
  <c r="AG49" i="32"/>
  <c r="AF49" i="32"/>
  <c r="AJ49" i="32" s="1"/>
  <c r="AE49" i="32"/>
  <c r="Y49" i="32"/>
  <c r="AC49" i="32" s="1"/>
  <c r="X49" i="32"/>
  <c r="AB49" i="32" s="1"/>
  <c r="AQ49" i="32" s="1"/>
  <c r="W49" i="32"/>
  <c r="AA49" i="32" s="1"/>
  <c r="AP49" i="32" s="1"/>
  <c r="V49" i="32"/>
  <c r="Z49" i="32" s="1"/>
  <c r="AO49" i="32" s="1"/>
  <c r="AH48" i="32"/>
  <c r="AG48" i="32"/>
  <c r="AF48" i="32"/>
  <c r="AJ48" i="32" s="1"/>
  <c r="AE48" i="32"/>
  <c r="Y48" i="32"/>
  <c r="AC48" i="32" s="1"/>
  <c r="X48" i="32"/>
  <c r="AB48" i="32" s="1"/>
  <c r="AQ48" i="32" s="1"/>
  <c r="W48" i="32"/>
  <c r="AA48" i="32" s="1"/>
  <c r="AP48" i="32" s="1"/>
  <c r="V48" i="32"/>
  <c r="Z48" i="32" s="1"/>
  <c r="AO48" i="32" s="1"/>
  <c r="AH44" i="32"/>
  <c r="AG44" i="32"/>
  <c r="AF44" i="32"/>
  <c r="AJ44" i="32" s="1"/>
  <c r="AE44" i="32"/>
  <c r="Y44" i="32"/>
  <c r="AC44" i="32" s="1"/>
  <c r="X44" i="32"/>
  <c r="AB44" i="32" s="1"/>
  <c r="AQ44" i="32" s="1"/>
  <c r="W44" i="32"/>
  <c r="AA44" i="32" s="1"/>
  <c r="AP44" i="32" s="1"/>
  <c r="V44" i="32"/>
  <c r="Z44" i="32" s="1"/>
  <c r="AO44" i="32" s="1"/>
  <c r="AH43" i="32"/>
  <c r="AG43" i="32"/>
  <c r="AF43" i="32"/>
  <c r="AJ43" i="32" s="1"/>
  <c r="AE43" i="32"/>
  <c r="Y43" i="32"/>
  <c r="AC43" i="32" s="1"/>
  <c r="X43" i="32"/>
  <c r="AB43" i="32" s="1"/>
  <c r="AQ43" i="32" s="1"/>
  <c r="W43" i="32"/>
  <c r="AA43" i="32" s="1"/>
  <c r="AP43" i="32" s="1"/>
  <c r="V43" i="32"/>
  <c r="Z43" i="32" s="1"/>
  <c r="AO43" i="32" s="1"/>
  <c r="AH42" i="32"/>
  <c r="AG42" i="32"/>
  <c r="AF42" i="32"/>
  <c r="AJ42" i="32" s="1"/>
  <c r="AE42" i="32"/>
  <c r="Y42" i="32"/>
  <c r="AC42" i="32" s="1"/>
  <c r="X42" i="32"/>
  <c r="AB42" i="32" s="1"/>
  <c r="AQ42" i="32" s="1"/>
  <c r="W42" i="32"/>
  <c r="AA42" i="32" s="1"/>
  <c r="AP42" i="32" s="1"/>
  <c r="V42" i="32"/>
  <c r="Z42" i="32" s="1"/>
  <c r="AO42" i="32" s="1"/>
  <c r="AH41" i="32"/>
  <c r="AG41" i="32"/>
  <c r="AF41" i="32"/>
  <c r="AJ41" i="32" s="1"/>
  <c r="AE41" i="32"/>
  <c r="Y41" i="32"/>
  <c r="AC41" i="32" s="1"/>
  <c r="X41" i="32"/>
  <c r="AB41" i="32" s="1"/>
  <c r="AQ41" i="32" s="1"/>
  <c r="W41" i="32"/>
  <c r="AA41" i="32" s="1"/>
  <c r="AP41" i="32" s="1"/>
  <c r="V41" i="32"/>
  <c r="Z41" i="32" s="1"/>
  <c r="AO41" i="32" s="1"/>
  <c r="AH40" i="32"/>
  <c r="AG40" i="32"/>
  <c r="AF40" i="32"/>
  <c r="AJ40" i="32" s="1"/>
  <c r="AE40" i="32"/>
  <c r="Y40" i="32"/>
  <c r="AC40" i="32" s="1"/>
  <c r="X40" i="32"/>
  <c r="AB40" i="32" s="1"/>
  <c r="AQ40" i="32" s="1"/>
  <c r="W40" i="32"/>
  <c r="AA40" i="32" s="1"/>
  <c r="AP40" i="32" s="1"/>
  <c r="V40" i="32"/>
  <c r="Z40" i="32" s="1"/>
  <c r="AO40" i="32" s="1"/>
  <c r="AH39" i="32"/>
  <c r="AG39" i="32"/>
  <c r="AF39" i="32"/>
  <c r="AJ39" i="32" s="1"/>
  <c r="AE39" i="32"/>
  <c r="Y39" i="32"/>
  <c r="AC39" i="32" s="1"/>
  <c r="X39" i="32"/>
  <c r="AB39" i="32" s="1"/>
  <c r="AQ39" i="32" s="1"/>
  <c r="W39" i="32"/>
  <c r="AA39" i="32" s="1"/>
  <c r="AP39" i="32" s="1"/>
  <c r="V39" i="32"/>
  <c r="Z39" i="32" s="1"/>
  <c r="AO39" i="32" s="1"/>
  <c r="AH35" i="32"/>
  <c r="AG35" i="32"/>
  <c r="AF35" i="32"/>
  <c r="AJ35" i="32" s="1"/>
  <c r="AE35" i="32"/>
  <c r="Y35" i="32"/>
  <c r="AC35" i="32" s="1"/>
  <c r="X35" i="32"/>
  <c r="AB35" i="32" s="1"/>
  <c r="AQ35" i="32" s="1"/>
  <c r="W35" i="32"/>
  <c r="AA35" i="32" s="1"/>
  <c r="AP35" i="32" s="1"/>
  <c r="V35" i="32"/>
  <c r="Z35" i="32" s="1"/>
  <c r="AO35" i="32" s="1"/>
  <c r="AH34" i="32"/>
  <c r="AG34" i="32"/>
  <c r="AF34" i="32"/>
  <c r="AJ34" i="32" s="1"/>
  <c r="AE34" i="32"/>
  <c r="Y34" i="32"/>
  <c r="AC34" i="32" s="1"/>
  <c r="X34" i="32"/>
  <c r="AB34" i="32" s="1"/>
  <c r="AQ34" i="32" s="1"/>
  <c r="W34" i="32"/>
  <c r="AA34" i="32" s="1"/>
  <c r="AP34" i="32" s="1"/>
  <c r="V34" i="32"/>
  <c r="Z34" i="32" s="1"/>
  <c r="AO34" i="32" s="1"/>
  <c r="AH33" i="32"/>
  <c r="AG33" i="32"/>
  <c r="AF33" i="32"/>
  <c r="AJ33" i="32" s="1"/>
  <c r="AE33" i="32"/>
  <c r="Y33" i="32"/>
  <c r="AC33" i="32" s="1"/>
  <c r="X33" i="32"/>
  <c r="AB33" i="32" s="1"/>
  <c r="AQ33" i="32" s="1"/>
  <c r="W33" i="32"/>
  <c r="AA33" i="32" s="1"/>
  <c r="AP33" i="32" s="1"/>
  <c r="V33" i="32"/>
  <c r="Z33" i="32" s="1"/>
  <c r="AO33" i="32" s="1"/>
  <c r="AH32" i="32"/>
  <c r="AG32" i="32"/>
  <c r="AF32" i="32"/>
  <c r="AJ32" i="32" s="1"/>
  <c r="AE32" i="32"/>
  <c r="Y32" i="32"/>
  <c r="AC32" i="32" s="1"/>
  <c r="X32" i="32"/>
  <c r="AB32" i="32" s="1"/>
  <c r="AQ32" i="32" s="1"/>
  <c r="W32" i="32"/>
  <c r="AA32" i="32" s="1"/>
  <c r="AP32" i="32" s="1"/>
  <c r="V32" i="32"/>
  <c r="Z32" i="32" s="1"/>
  <c r="AO32" i="32" s="1"/>
  <c r="AH31" i="32"/>
  <c r="AG31" i="32"/>
  <c r="AF31" i="32"/>
  <c r="AJ31" i="32" s="1"/>
  <c r="AE31" i="32"/>
  <c r="Y31" i="32"/>
  <c r="AC31" i="32" s="1"/>
  <c r="X31" i="32"/>
  <c r="AB31" i="32" s="1"/>
  <c r="AQ31" i="32" s="1"/>
  <c r="W31" i="32"/>
  <c r="AA31" i="32" s="1"/>
  <c r="AP31" i="32" s="1"/>
  <c r="V31" i="32"/>
  <c r="Z31" i="32" s="1"/>
  <c r="AO31" i="32" s="1"/>
  <c r="AH30" i="32"/>
  <c r="AG30" i="32"/>
  <c r="AF30" i="32"/>
  <c r="AJ30" i="32" s="1"/>
  <c r="AE30" i="32"/>
  <c r="Y30" i="32"/>
  <c r="AC30" i="32" s="1"/>
  <c r="AR30" i="32" s="1"/>
  <c r="X30" i="32"/>
  <c r="AB30" i="32" s="1"/>
  <c r="AQ30" i="32" s="1"/>
  <c r="W30" i="32"/>
  <c r="AA30" i="32" s="1"/>
  <c r="AP30" i="32" s="1"/>
  <c r="V30" i="32"/>
  <c r="Z30" i="32" s="1"/>
  <c r="AH26" i="32"/>
  <c r="AG26" i="32"/>
  <c r="AF26" i="32"/>
  <c r="AJ26" i="32" s="1"/>
  <c r="AE26" i="32"/>
  <c r="Y26" i="32"/>
  <c r="AC26" i="32" s="1"/>
  <c r="X26" i="32"/>
  <c r="AB26" i="32" s="1"/>
  <c r="AQ26" i="32" s="1"/>
  <c r="W26" i="32"/>
  <c r="AA26" i="32" s="1"/>
  <c r="AP26" i="32" s="1"/>
  <c r="V26" i="32"/>
  <c r="Z26" i="32" s="1"/>
  <c r="AO26" i="32" s="1"/>
  <c r="AH25" i="32"/>
  <c r="AG25" i="32"/>
  <c r="AF25" i="32"/>
  <c r="AJ25" i="32" s="1"/>
  <c r="AE25" i="32"/>
  <c r="Y25" i="32"/>
  <c r="AC25" i="32" s="1"/>
  <c r="X25" i="32"/>
  <c r="AB25" i="32" s="1"/>
  <c r="AQ25" i="32" s="1"/>
  <c r="W25" i="32"/>
  <c r="AA25" i="32" s="1"/>
  <c r="AP25" i="32" s="1"/>
  <c r="V25" i="32"/>
  <c r="Z25" i="32" s="1"/>
  <c r="AO25" i="32" s="1"/>
  <c r="AH24" i="32"/>
  <c r="AG24" i="32"/>
  <c r="AF24" i="32"/>
  <c r="AJ24" i="32" s="1"/>
  <c r="AE24" i="32"/>
  <c r="Y24" i="32"/>
  <c r="AC24" i="32" s="1"/>
  <c r="X24" i="32"/>
  <c r="AB24" i="32" s="1"/>
  <c r="AQ24" i="32" s="1"/>
  <c r="W24" i="32"/>
  <c r="AA24" i="32" s="1"/>
  <c r="AP24" i="32" s="1"/>
  <c r="V24" i="32"/>
  <c r="Z24" i="32" s="1"/>
  <c r="AO24" i="32" s="1"/>
  <c r="AH23" i="32"/>
  <c r="AG23" i="32"/>
  <c r="AF23" i="32"/>
  <c r="AJ23" i="32" s="1"/>
  <c r="AE23" i="32"/>
  <c r="Y23" i="32"/>
  <c r="AC23" i="32" s="1"/>
  <c r="X23" i="32"/>
  <c r="AB23" i="32" s="1"/>
  <c r="AQ23" i="32" s="1"/>
  <c r="W23" i="32"/>
  <c r="AA23" i="32" s="1"/>
  <c r="AP23" i="32" s="1"/>
  <c r="V23" i="32"/>
  <c r="Z23" i="32" s="1"/>
  <c r="AO23" i="32" s="1"/>
  <c r="AH22" i="32"/>
  <c r="AG22" i="32"/>
  <c r="AF22" i="32"/>
  <c r="AJ22" i="32" s="1"/>
  <c r="AE22" i="32"/>
  <c r="Y22" i="32"/>
  <c r="AC22" i="32" s="1"/>
  <c r="AR22" i="32" s="1"/>
  <c r="X22" i="32"/>
  <c r="AB22" i="32" s="1"/>
  <c r="AQ22" i="32" s="1"/>
  <c r="W22" i="32"/>
  <c r="AA22" i="32" s="1"/>
  <c r="AP22" i="32" s="1"/>
  <c r="V22" i="32"/>
  <c r="Z22" i="32" s="1"/>
  <c r="AH21" i="32"/>
  <c r="AG21" i="32"/>
  <c r="AF21" i="32"/>
  <c r="AJ21" i="32" s="1"/>
  <c r="AE21" i="32"/>
  <c r="Y21" i="32"/>
  <c r="AC21" i="32" s="1"/>
  <c r="AR21" i="32" s="1"/>
  <c r="X21" i="32"/>
  <c r="AB21" i="32" s="1"/>
  <c r="AQ21" i="32" s="1"/>
  <c r="W21" i="32"/>
  <c r="AA21" i="32" s="1"/>
  <c r="AP21" i="32" s="1"/>
  <c r="V21" i="32"/>
  <c r="Z21" i="32" s="1"/>
  <c r="AH17" i="32"/>
  <c r="AG17" i="32"/>
  <c r="AF17" i="32"/>
  <c r="AJ17" i="32" s="1"/>
  <c r="AE17" i="32"/>
  <c r="Y17" i="32"/>
  <c r="AC17" i="32" s="1"/>
  <c r="AR17" i="32" s="1"/>
  <c r="X17" i="32"/>
  <c r="AB17" i="32" s="1"/>
  <c r="AQ17" i="32" s="1"/>
  <c r="W17" i="32"/>
  <c r="AA17" i="32" s="1"/>
  <c r="AP17" i="32" s="1"/>
  <c r="V17" i="32"/>
  <c r="Z17" i="32" s="1"/>
  <c r="AH16" i="32"/>
  <c r="AG16" i="32"/>
  <c r="AF16" i="32"/>
  <c r="AJ16" i="32" s="1"/>
  <c r="AE16" i="32"/>
  <c r="Y16" i="32"/>
  <c r="AC16" i="32" s="1"/>
  <c r="AR16" i="32" s="1"/>
  <c r="X16" i="32"/>
  <c r="AB16" i="32" s="1"/>
  <c r="AQ16" i="32" s="1"/>
  <c r="W16" i="32"/>
  <c r="AA16" i="32" s="1"/>
  <c r="AP16" i="32" s="1"/>
  <c r="V16" i="32"/>
  <c r="Z16" i="32" s="1"/>
  <c r="AH15" i="32"/>
  <c r="AG15" i="32"/>
  <c r="AF15" i="32"/>
  <c r="AJ15" i="32" s="1"/>
  <c r="AE15" i="32"/>
  <c r="Y15" i="32"/>
  <c r="AC15" i="32" s="1"/>
  <c r="AR15" i="32" s="1"/>
  <c r="X15" i="32"/>
  <c r="AB15" i="32" s="1"/>
  <c r="AQ15" i="32" s="1"/>
  <c r="W15" i="32"/>
  <c r="AA15" i="32" s="1"/>
  <c r="AP15" i="32" s="1"/>
  <c r="V15" i="32"/>
  <c r="Z15" i="32" s="1"/>
  <c r="AH14" i="32"/>
  <c r="AG14" i="32"/>
  <c r="AF14" i="32"/>
  <c r="AJ14" i="32" s="1"/>
  <c r="AE14" i="32"/>
  <c r="Y14" i="32"/>
  <c r="AC14" i="32" s="1"/>
  <c r="AR14" i="32" s="1"/>
  <c r="X14" i="32"/>
  <c r="AB14" i="32" s="1"/>
  <c r="AQ14" i="32" s="1"/>
  <c r="W14" i="32"/>
  <c r="AA14" i="32" s="1"/>
  <c r="AP14" i="32" s="1"/>
  <c r="V14" i="32"/>
  <c r="Z14" i="32" s="1"/>
  <c r="AH13" i="32"/>
  <c r="AG13" i="32"/>
  <c r="AF13" i="32"/>
  <c r="AJ13" i="32" s="1"/>
  <c r="AE13" i="32"/>
  <c r="Y13" i="32"/>
  <c r="AC13" i="32" s="1"/>
  <c r="AR13" i="32" s="1"/>
  <c r="X13" i="32"/>
  <c r="AB13" i="32" s="1"/>
  <c r="AQ13" i="32" s="1"/>
  <c r="W13" i="32"/>
  <c r="AA13" i="32" s="1"/>
  <c r="AP13" i="32" s="1"/>
  <c r="V13" i="32"/>
  <c r="Z13" i="32" s="1"/>
  <c r="AH12" i="32"/>
  <c r="AG12" i="32"/>
  <c r="AF12" i="32"/>
  <c r="AJ12" i="32" s="1"/>
  <c r="AE12" i="32"/>
  <c r="Y12" i="32"/>
  <c r="AC12" i="32" s="1"/>
  <c r="AR12" i="32" s="1"/>
  <c r="X12" i="32"/>
  <c r="AB12" i="32" s="1"/>
  <c r="AQ12" i="32" s="1"/>
  <c r="W12" i="32"/>
  <c r="AA12" i="32" s="1"/>
  <c r="AP12" i="32" s="1"/>
  <c r="Z12" i="32"/>
  <c r="V39" i="2"/>
  <c r="V38" i="2"/>
  <c r="V46" i="2" s="1"/>
  <c r="V34" i="2"/>
  <c r="V42" i="2" s="1"/>
  <c r="AH170" i="31"/>
  <c r="AL170" i="31" s="1"/>
  <c r="AX170" i="31" s="1"/>
  <c r="AG170" i="31"/>
  <c r="AK170" i="31" s="1"/>
  <c r="AW170" i="31" s="1"/>
  <c r="AF170" i="31"/>
  <c r="AJ170" i="31" s="1"/>
  <c r="AV170" i="31" s="1"/>
  <c r="AE170" i="31"/>
  <c r="AI170" i="31" s="1"/>
  <c r="Y170" i="31"/>
  <c r="AC170" i="31" s="1"/>
  <c r="X170" i="31"/>
  <c r="AB170" i="31" s="1"/>
  <c r="AQ170" i="31" s="1"/>
  <c r="W170" i="31"/>
  <c r="AA170" i="31" s="1"/>
  <c r="AP170" i="31" s="1"/>
  <c r="V170" i="31"/>
  <c r="Z170" i="31" s="1"/>
  <c r="AO170" i="31" s="1"/>
  <c r="AH169" i="31"/>
  <c r="AL169" i="31" s="1"/>
  <c r="AX169" i="31" s="1"/>
  <c r="AG169" i="31"/>
  <c r="AK169" i="31" s="1"/>
  <c r="AW169" i="31" s="1"/>
  <c r="AF169" i="31"/>
  <c r="AJ169" i="31" s="1"/>
  <c r="AV169" i="31" s="1"/>
  <c r="AE169" i="31"/>
  <c r="AI169" i="31" s="1"/>
  <c r="Y169" i="31"/>
  <c r="AC169" i="31" s="1"/>
  <c r="X169" i="31"/>
  <c r="AB169" i="31" s="1"/>
  <c r="AQ169" i="31" s="1"/>
  <c r="W169" i="31"/>
  <c r="AA169" i="31" s="1"/>
  <c r="AP169" i="31" s="1"/>
  <c r="V169" i="31"/>
  <c r="Z169" i="31" s="1"/>
  <c r="AO169" i="31" s="1"/>
  <c r="AH168" i="31"/>
  <c r="AL168" i="31" s="1"/>
  <c r="AX168" i="31" s="1"/>
  <c r="AG168" i="31"/>
  <c r="AK168" i="31" s="1"/>
  <c r="AW168" i="31" s="1"/>
  <c r="AF168" i="31"/>
  <c r="AJ168" i="31" s="1"/>
  <c r="AV168" i="31" s="1"/>
  <c r="AE168" i="31"/>
  <c r="AI168" i="31" s="1"/>
  <c r="Y168" i="31"/>
  <c r="AC168" i="31" s="1"/>
  <c r="X168" i="31"/>
  <c r="AB168" i="31" s="1"/>
  <c r="AQ168" i="31" s="1"/>
  <c r="W168" i="31"/>
  <c r="AA168" i="31" s="1"/>
  <c r="AP168" i="31" s="1"/>
  <c r="V168" i="31"/>
  <c r="Z168" i="31" s="1"/>
  <c r="AO168" i="31" s="1"/>
  <c r="AH167" i="31"/>
  <c r="AL167" i="31" s="1"/>
  <c r="AX167" i="31" s="1"/>
  <c r="AG167" i="31"/>
  <c r="AK167" i="31" s="1"/>
  <c r="AW167" i="31" s="1"/>
  <c r="AF167" i="31"/>
  <c r="AJ167" i="31" s="1"/>
  <c r="AV167" i="31" s="1"/>
  <c r="AE167" i="31"/>
  <c r="AI167" i="31" s="1"/>
  <c r="Y167" i="31"/>
  <c r="AC167" i="31" s="1"/>
  <c r="X167" i="31"/>
  <c r="AB167" i="31" s="1"/>
  <c r="AQ167" i="31" s="1"/>
  <c r="W167" i="31"/>
  <c r="AA167" i="31" s="1"/>
  <c r="AP167" i="31" s="1"/>
  <c r="V167" i="31"/>
  <c r="Z167" i="31" s="1"/>
  <c r="AO167" i="31" s="1"/>
  <c r="AH166" i="31"/>
  <c r="AL166" i="31" s="1"/>
  <c r="AX166" i="31" s="1"/>
  <c r="AG166" i="31"/>
  <c r="AK166" i="31" s="1"/>
  <c r="AW166" i="31" s="1"/>
  <c r="AF166" i="31"/>
  <c r="AJ166" i="31" s="1"/>
  <c r="AV166" i="31" s="1"/>
  <c r="AE166" i="31"/>
  <c r="AI166" i="31" s="1"/>
  <c r="Y166" i="31"/>
  <c r="AC166" i="31" s="1"/>
  <c r="X166" i="31"/>
  <c r="AB166" i="31" s="1"/>
  <c r="AQ166" i="31" s="1"/>
  <c r="W166" i="31"/>
  <c r="AA166" i="31" s="1"/>
  <c r="AP166" i="31" s="1"/>
  <c r="V166" i="31"/>
  <c r="Z166" i="31" s="1"/>
  <c r="AO166" i="31" s="1"/>
  <c r="AH165" i="31"/>
  <c r="AL165" i="31" s="1"/>
  <c r="AX165" i="31" s="1"/>
  <c r="AG165" i="31"/>
  <c r="AK165" i="31" s="1"/>
  <c r="AW165" i="31" s="1"/>
  <c r="AF165" i="31"/>
  <c r="AJ165" i="31" s="1"/>
  <c r="AV165" i="31" s="1"/>
  <c r="AE165" i="31"/>
  <c r="AI165" i="31" s="1"/>
  <c r="Y165" i="31"/>
  <c r="AC165" i="31" s="1"/>
  <c r="X165" i="31"/>
  <c r="AB165" i="31" s="1"/>
  <c r="AQ165" i="31" s="1"/>
  <c r="W165" i="31"/>
  <c r="AA165" i="31" s="1"/>
  <c r="AP165" i="31" s="1"/>
  <c r="V165" i="31"/>
  <c r="Z165" i="31" s="1"/>
  <c r="AO165" i="31" s="1"/>
  <c r="AH161" i="31"/>
  <c r="AL161" i="31" s="1"/>
  <c r="AX161" i="31" s="1"/>
  <c r="AG161" i="31"/>
  <c r="AK161" i="31" s="1"/>
  <c r="AW161" i="31" s="1"/>
  <c r="AF161" i="31"/>
  <c r="AJ161" i="31" s="1"/>
  <c r="AV161" i="31" s="1"/>
  <c r="AE161" i="31"/>
  <c r="AI161" i="31" s="1"/>
  <c r="Y161" i="31"/>
  <c r="AC161" i="31" s="1"/>
  <c r="X161" i="31"/>
  <c r="AB161" i="31" s="1"/>
  <c r="AQ161" i="31" s="1"/>
  <c r="W161" i="31"/>
  <c r="AA161" i="31" s="1"/>
  <c r="AP161" i="31" s="1"/>
  <c r="V161" i="31"/>
  <c r="Z161" i="31" s="1"/>
  <c r="AO161" i="31" s="1"/>
  <c r="AH160" i="31"/>
  <c r="AL160" i="31" s="1"/>
  <c r="AX160" i="31" s="1"/>
  <c r="AG160" i="31"/>
  <c r="AK160" i="31" s="1"/>
  <c r="AW160" i="31" s="1"/>
  <c r="AF160" i="31"/>
  <c r="AJ160" i="31" s="1"/>
  <c r="AV160" i="31" s="1"/>
  <c r="AE160" i="31"/>
  <c r="AI160" i="31" s="1"/>
  <c r="Y160" i="31"/>
  <c r="AC160" i="31" s="1"/>
  <c r="X160" i="31"/>
  <c r="AB160" i="31" s="1"/>
  <c r="AQ160" i="31" s="1"/>
  <c r="W160" i="31"/>
  <c r="AA160" i="31" s="1"/>
  <c r="AP160" i="31" s="1"/>
  <c r="V160" i="31"/>
  <c r="Z160" i="31" s="1"/>
  <c r="AO160" i="31" s="1"/>
  <c r="AH159" i="31"/>
  <c r="AL159" i="31" s="1"/>
  <c r="AX159" i="31" s="1"/>
  <c r="AG159" i="31"/>
  <c r="AK159" i="31" s="1"/>
  <c r="AW159" i="31" s="1"/>
  <c r="AF159" i="31"/>
  <c r="AJ159" i="31" s="1"/>
  <c r="AV159" i="31" s="1"/>
  <c r="AE159" i="31"/>
  <c r="AI159" i="31" s="1"/>
  <c r="Y159" i="31"/>
  <c r="AC159" i="31" s="1"/>
  <c r="X159" i="31"/>
  <c r="AB159" i="31" s="1"/>
  <c r="AQ159" i="31" s="1"/>
  <c r="W159" i="31"/>
  <c r="AA159" i="31" s="1"/>
  <c r="AP159" i="31" s="1"/>
  <c r="V159" i="31"/>
  <c r="Z159" i="31" s="1"/>
  <c r="AO159" i="31" s="1"/>
  <c r="AH158" i="31"/>
  <c r="AL158" i="31" s="1"/>
  <c r="AX158" i="31" s="1"/>
  <c r="AG158" i="31"/>
  <c r="AK158" i="31" s="1"/>
  <c r="AW158" i="31" s="1"/>
  <c r="AF158" i="31"/>
  <c r="AJ158" i="31" s="1"/>
  <c r="AV158" i="31" s="1"/>
  <c r="AE158" i="31"/>
  <c r="AI158" i="31" s="1"/>
  <c r="Y158" i="31"/>
  <c r="AC158" i="31" s="1"/>
  <c r="X158" i="31"/>
  <c r="AB158" i="31" s="1"/>
  <c r="AQ158" i="31" s="1"/>
  <c r="W158" i="31"/>
  <c r="AA158" i="31" s="1"/>
  <c r="AP158" i="31" s="1"/>
  <c r="V158" i="31"/>
  <c r="Z158" i="31" s="1"/>
  <c r="AO158" i="31" s="1"/>
  <c r="AH157" i="31"/>
  <c r="AL157" i="31" s="1"/>
  <c r="AX157" i="31" s="1"/>
  <c r="AG157" i="31"/>
  <c r="AK157" i="31" s="1"/>
  <c r="AW157" i="31" s="1"/>
  <c r="AF157" i="31"/>
  <c r="AJ157" i="31" s="1"/>
  <c r="AV157" i="31" s="1"/>
  <c r="AE157" i="31"/>
  <c r="AI157" i="31" s="1"/>
  <c r="Y157" i="31"/>
  <c r="AC157" i="31" s="1"/>
  <c r="X157" i="31"/>
  <c r="AB157" i="31" s="1"/>
  <c r="AQ157" i="31" s="1"/>
  <c r="W157" i="31"/>
  <c r="AA157" i="31" s="1"/>
  <c r="AP157" i="31" s="1"/>
  <c r="V157" i="31"/>
  <c r="Z157" i="31" s="1"/>
  <c r="AO157" i="31" s="1"/>
  <c r="AH156" i="31"/>
  <c r="AL156" i="31" s="1"/>
  <c r="AX156" i="31" s="1"/>
  <c r="AG156" i="31"/>
  <c r="AK156" i="31" s="1"/>
  <c r="AW156" i="31" s="1"/>
  <c r="AF156" i="31"/>
  <c r="AJ156" i="31" s="1"/>
  <c r="AV156" i="31" s="1"/>
  <c r="AE156" i="31"/>
  <c r="AI156" i="31" s="1"/>
  <c r="Y156" i="31"/>
  <c r="AC156" i="31" s="1"/>
  <c r="X156" i="31"/>
  <c r="AB156" i="31" s="1"/>
  <c r="AQ156" i="31" s="1"/>
  <c r="W156" i="31"/>
  <c r="AA156" i="31" s="1"/>
  <c r="AP156" i="31" s="1"/>
  <c r="V156" i="31"/>
  <c r="Z156" i="31" s="1"/>
  <c r="AO156" i="31" s="1"/>
  <c r="AH152" i="31"/>
  <c r="AL152" i="31" s="1"/>
  <c r="AX152" i="31" s="1"/>
  <c r="AG152" i="31"/>
  <c r="AK152" i="31" s="1"/>
  <c r="AW152" i="31" s="1"/>
  <c r="AF152" i="31"/>
  <c r="AJ152" i="31" s="1"/>
  <c r="AE152" i="31"/>
  <c r="Y152" i="31"/>
  <c r="AC152" i="31" s="1"/>
  <c r="AR152" i="31" s="1"/>
  <c r="X152" i="31"/>
  <c r="AB152" i="31" s="1"/>
  <c r="AQ152" i="31" s="1"/>
  <c r="W152" i="31"/>
  <c r="AA152" i="31" s="1"/>
  <c r="AP152" i="31" s="1"/>
  <c r="V152" i="31"/>
  <c r="Z152" i="31" s="1"/>
  <c r="AH151" i="31"/>
  <c r="AL151" i="31" s="1"/>
  <c r="AX151" i="31" s="1"/>
  <c r="AG151" i="31"/>
  <c r="AK151" i="31" s="1"/>
  <c r="AW151" i="31" s="1"/>
  <c r="AF151" i="31"/>
  <c r="AJ151" i="31" s="1"/>
  <c r="AE151" i="31"/>
  <c r="Y151" i="31"/>
  <c r="AC151" i="31" s="1"/>
  <c r="AR151" i="31" s="1"/>
  <c r="X151" i="31"/>
  <c r="AB151" i="31" s="1"/>
  <c r="AQ151" i="31" s="1"/>
  <c r="W151" i="31"/>
  <c r="AA151" i="31" s="1"/>
  <c r="AP151" i="31" s="1"/>
  <c r="V151" i="31"/>
  <c r="Z151" i="31" s="1"/>
  <c r="AH150" i="31"/>
  <c r="AL150" i="31" s="1"/>
  <c r="AX150" i="31" s="1"/>
  <c r="AG150" i="31"/>
  <c r="AK150" i="31" s="1"/>
  <c r="AW150" i="31" s="1"/>
  <c r="AF150" i="31"/>
  <c r="AJ150" i="31" s="1"/>
  <c r="AE150" i="31"/>
  <c r="Y150" i="31"/>
  <c r="AC150" i="31" s="1"/>
  <c r="AR150" i="31" s="1"/>
  <c r="X150" i="31"/>
  <c r="AB150" i="31" s="1"/>
  <c r="AQ150" i="31" s="1"/>
  <c r="W150" i="31"/>
  <c r="AA150" i="31" s="1"/>
  <c r="AP150" i="31" s="1"/>
  <c r="V150" i="31"/>
  <c r="Z150" i="31" s="1"/>
  <c r="AH149" i="31"/>
  <c r="AL149" i="31" s="1"/>
  <c r="AX149" i="31" s="1"/>
  <c r="AG149" i="31"/>
  <c r="AK149" i="31" s="1"/>
  <c r="AW149" i="31" s="1"/>
  <c r="AF149" i="31"/>
  <c r="AJ149" i="31" s="1"/>
  <c r="AE149" i="31"/>
  <c r="Y149" i="31"/>
  <c r="AC149" i="31" s="1"/>
  <c r="AR149" i="31" s="1"/>
  <c r="X149" i="31"/>
  <c r="AB149" i="31" s="1"/>
  <c r="AQ149" i="31" s="1"/>
  <c r="W149" i="31"/>
  <c r="AA149" i="31" s="1"/>
  <c r="AP149" i="31" s="1"/>
  <c r="V149" i="31"/>
  <c r="Z149" i="31" s="1"/>
  <c r="AH148" i="31"/>
  <c r="AL148" i="31" s="1"/>
  <c r="AX148" i="31" s="1"/>
  <c r="AG148" i="31"/>
  <c r="AK148" i="31" s="1"/>
  <c r="AW148" i="31" s="1"/>
  <c r="AF148" i="31"/>
  <c r="AJ148" i="31" s="1"/>
  <c r="AE148" i="31"/>
  <c r="Y148" i="31"/>
  <c r="AC148" i="31" s="1"/>
  <c r="AR148" i="31" s="1"/>
  <c r="X148" i="31"/>
  <c r="AB148" i="31" s="1"/>
  <c r="AQ148" i="31" s="1"/>
  <c r="W148" i="31"/>
  <c r="AA148" i="31" s="1"/>
  <c r="AP148" i="31" s="1"/>
  <c r="V148" i="31"/>
  <c r="Z148" i="31" s="1"/>
  <c r="AH147" i="31"/>
  <c r="AL147" i="31" s="1"/>
  <c r="AX147" i="31" s="1"/>
  <c r="AG147" i="31"/>
  <c r="AK147" i="31" s="1"/>
  <c r="AW147" i="31" s="1"/>
  <c r="AF147" i="31"/>
  <c r="AJ147" i="31" s="1"/>
  <c r="AE147" i="31"/>
  <c r="Y147" i="31"/>
  <c r="AC147" i="31" s="1"/>
  <c r="AR147" i="31" s="1"/>
  <c r="X147" i="31"/>
  <c r="AB147" i="31" s="1"/>
  <c r="AQ147" i="31" s="1"/>
  <c r="W147" i="31"/>
  <c r="AA147" i="31" s="1"/>
  <c r="AP147" i="31" s="1"/>
  <c r="V147" i="31"/>
  <c r="Z147" i="31" s="1"/>
  <c r="AH143" i="31"/>
  <c r="AL143" i="31" s="1"/>
  <c r="AX143" i="31" s="1"/>
  <c r="AG143" i="31"/>
  <c r="AK143" i="31" s="1"/>
  <c r="AW143" i="31" s="1"/>
  <c r="AF143" i="31"/>
  <c r="AJ143" i="31" s="1"/>
  <c r="AE143" i="31"/>
  <c r="Y143" i="31"/>
  <c r="AC143" i="31" s="1"/>
  <c r="AR143" i="31" s="1"/>
  <c r="X143" i="31"/>
  <c r="AB143" i="31" s="1"/>
  <c r="AQ143" i="31" s="1"/>
  <c r="W143" i="31"/>
  <c r="AA143" i="31" s="1"/>
  <c r="AP143" i="31" s="1"/>
  <c r="V143" i="31"/>
  <c r="Z143" i="31" s="1"/>
  <c r="AH142" i="31"/>
  <c r="AL142" i="31" s="1"/>
  <c r="AX142" i="31" s="1"/>
  <c r="AG142" i="31"/>
  <c r="AK142" i="31" s="1"/>
  <c r="AW142" i="31" s="1"/>
  <c r="AF142" i="31"/>
  <c r="AJ142" i="31" s="1"/>
  <c r="AE142" i="31"/>
  <c r="Y142" i="31"/>
  <c r="AC142" i="31" s="1"/>
  <c r="AR142" i="31" s="1"/>
  <c r="X142" i="31"/>
  <c r="AB142" i="31" s="1"/>
  <c r="AQ142" i="31" s="1"/>
  <c r="W142" i="31"/>
  <c r="AA142" i="31" s="1"/>
  <c r="AP142" i="31" s="1"/>
  <c r="V142" i="31"/>
  <c r="Z142" i="31" s="1"/>
  <c r="AH141" i="31"/>
  <c r="AL141" i="31" s="1"/>
  <c r="AX141" i="31" s="1"/>
  <c r="AG141" i="31"/>
  <c r="AK141" i="31" s="1"/>
  <c r="AW141" i="31" s="1"/>
  <c r="AF141" i="31"/>
  <c r="AJ141" i="31" s="1"/>
  <c r="AE141" i="31"/>
  <c r="Y141" i="31"/>
  <c r="AC141" i="31" s="1"/>
  <c r="AR141" i="31" s="1"/>
  <c r="X141" i="31"/>
  <c r="AB141" i="31" s="1"/>
  <c r="AQ141" i="31" s="1"/>
  <c r="W141" i="31"/>
  <c r="AA141" i="31" s="1"/>
  <c r="AP141" i="31" s="1"/>
  <c r="V141" i="31"/>
  <c r="Z141" i="31" s="1"/>
  <c r="AH140" i="31"/>
  <c r="AL140" i="31" s="1"/>
  <c r="AX140" i="31" s="1"/>
  <c r="AG140" i="31"/>
  <c r="AK140" i="31" s="1"/>
  <c r="AW140" i="31" s="1"/>
  <c r="AF140" i="31"/>
  <c r="AJ140" i="31" s="1"/>
  <c r="AE140" i="31"/>
  <c r="Y140" i="31"/>
  <c r="AC140" i="31" s="1"/>
  <c r="AR140" i="31" s="1"/>
  <c r="X140" i="31"/>
  <c r="AB140" i="31" s="1"/>
  <c r="AQ140" i="31" s="1"/>
  <c r="W140" i="31"/>
  <c r="AA140" i="31" s="1"/>
  <c r="AP140" i="31" s="1"/>
  <c r="V140" i="31"/>
  <c r="Z140" i="31" s="1"/>
  <c r="AH139" i="31"/>
  <c r="AL139" i="31" s="1"/>
  <c r="AX139" i="31" s="1"/>
  <c r="AG139" i="31"/>
  <c r="AK139" i="31" s="1"/>
  <c r="AW139" i="31" s="1"/>
  <c r="AF139" i="31"/>
  <c r="AJ139" i="31" s="1"/>
  <c r="AE139" i="31"/>
  <c r="Y139" i="31"/>
  <c r="AC139" i="31" s="1"/>
  <c r="AR139" i="31" s="1"/>
  <c r="X139" i="31"/>
  <c r="AB139" i="31" s="1"/>
  <c r="AQ139" i="31" s="1"/>
  <c r="W139" i="31"/>
  <c r="AA139" i="31" s="1"/>
  <c r="AP139" i="31" s="1"/>
  <c r="V139" i="31"/>
  <c r="Z139" i="31" s="1"/>
  <c r="AH138" i="31"/>
  <c r="AL138" i="31" s="1"/>
  <c r="AX138" i="31" s="1"/>
  <c r="AG138" i="31"/>
  <c r="AK138" i="31" s="1"/>
  <c r="AW138" i="31" s="1"/>
  <c r="AF138" i="31"/>
  <c r="AJ138" i="31" s="1"/>
  <c r="AE138" i="31"/>
  <c r="Y138" i="31"/>
  <c r="AC138" i="31" s="1"/>
  <c r="AR138" i="31" s="1"/>
  <c r="X138" i="31"/>
  <c r="AB138" i="31" s="1"/>
  <c r="AQ138" i="31" s="1"/>
  <c r="W138" i="31"/>
  <c r="AA138" i="31" s="1"/>
  <c r="AP138" i="31" s="1"/>
  <c r="V138" i="31"/>
  <c r="Z138" i="31" s="1"/>
  <c r="AH134" i="31"/>
  <c r="AL134" i="31" s="1"/>
  <c r="AX134" i="31" s="1"/>
  <c r="AG134" i="31"/>
  <c r="AK134" i="31" s="1"/>
  <c r="AW134" i="31" s="1"/>
  <c r="AF134" i="31"/>
  <c r="AJ134" i="31" s="1"/>
  <c r="AE134" i="31"/>
  <c r="Y134" i="31"/>
  <c r="AC134" i="31" s="1"/>
  <c r="AR134" i="31" s="1"/>
  <c r="X134" i="31"/>
  <c r="AB134" i="31" s="1"/>
  <c r="AQ134" i="31" s="1"/>
  <c r="W134" i="31"/>
  <c r="AA134" i="31" s="1"/>
  <c r="AP134" i="31" s="1"/>
  <c r="V134" i="31"/>
  <c r="Z134" i="31" s="1"/>
  <c r="AH133" i="31"/>
  <c r="AL133" i="31" s="1"/>
  <c r="AX133" i="31" s="1"/>
  <c r="AG133" i="31"/>
  <c r="AK133" i="31" s="1"/>
  <c r="AW133" i="31" s="1"/>
  <c r="AF133" i="31"/>
  <c r="AJ133" i="31" s="1"/>
  <c r="AE133" i="31"/>
  <c r="Y133" i="31"/>
  <c r="AC133" i="31" s="1"/>
  <c r="AR133" i="31" s="1"/>
  <c r="X133" i="31"/>
  <c r="AB133" i="31" s="1"/>
  <c r="AQ133" i="31" s="1"/>
  <c r="W133" i="31"/>
  <c r="AA133" i="31" s="1"/>
  <c r="AP133" i="31" s="1"/>
  <c r="V133" i="31"/>
  <c r="Z133" i="31" s="1"/>
  <c r="AH132" i="31"/>
  <c r="AL132" i="31" s="1"/>
  <c r="AX132" i="31" s="1"/>
  <c r="AG132" i="31"/>
  <c r="AK132" i="31" s="1"/>
  <c r="AW132" i="31" s="1"/>
  <c r="AF132" i="31"/>
  <c r="AJ132" i="31" s="1"/>
  <c r="AE132" i="31"/>
  <c r="Y132" i="31"/>
  <c r="AC132" i="31" s="1"/>
  <c r="AR132" i="31" s="1"/>
  <c r="X132" i="31"/>
  <c r="AB132" i="31" s="1"/>
  <c r="AQ132" i="31" s="1"/>
  <c r="W132" i="31"/>
  <c r="AA132" i="31" s="1"/>
  <c r="AP132" i="31" s="1"/>
  <c r="V132" i="31"/>
  <c r="Z132" i="31" s="1"/>
  <c r="AH131" i="31"/>
  <c r="AL131" i="31" s="1"/>
  <c r="AX131" i="31" s="1"/>
  <c r="AG131" i="31"/>
  <c r="AK131" i="31" s="1"/>
  <c r="AW131" i="31" s="1"/>
  <c r="AF131" i="31"/>
  <c r="AJ131" i="31" s="1"/>
  <c r="AE131" i="31"/>
  <c r="Y131" i="31"/>
  <c r="AC131" i="31" s="1"/>
  <c r="AR131" i="31" s="1"/>
  <c r="X131" i="31"/>
  <c r="AB131" i="31" s="1"/>
  <c r="AQ131" i="31" s="1"/>
  <c r="W131" i="31"/>
  <c r="AA131" i="31" s="1"/>
  <c r="AP131" i="31" s="1"/>
  <c r="V131" i="31"/>
  <c r="Z131" i="31" s="1"/>
  <c r="AH130" i="31"/>
  <c r="AL130" i="31" s="1"/>
  <c r="AX130" i="31" s="1"/>
  <c r="AG130" i="31"/>
  <c r="AK130" i="31" s="1"/>
  <c r="AW130" i="31" s="1"/>
  <c r="AF130" i="31"/>
  <c r="AJ130" i="31" s="1"/>
  <c r="AE130" i="31"/>
  <c r="Y130" i="31"/>
  <c r="AC130" i="31" s="1"/>
  <c r="AR130" i="31" s="1"/>
  <c r="X130" i="31"/>
  <c r="AB130" i="31" s="1"/>
  <c r="AQ130" i="31" s="1"/>
  <c r="W130" i="31"/>
  <c r="AA130" i="31" s="1"/>
  <c r="AP130" i="31" s="1"/>
  <c r="V130" i="31"/>
  <c r="Z130" i="31" s="1"/>
  <c r="AH129" i="31"/>
  <c r="AL129" i="31" s="1"/>
  <c r="AX129" i="31" s="1"/>
  <c r="AG129" i="31"/>
  <c r="AK129" i="31" s="1"/>
  <c r="AW129" i="31" s="1"/>
  <c r="AF129" i="31"/>
  <c r="AJ129" i="31" s="1"/>
  <c r="AE129" i="31"/>
  <c r="Y129" i="31"/>
  <c r="AC129" i="31" s="1"/>
  <c r="AR129" i="31" s="1"/>
  <c r="X129" i="31"/>
  <c r="AB129" i="31" s="1"/>
  <c r="AQ129" i="31" s="1"/>
  <c r="W129" i="31"/>
  <c r="AA129" i="31" s="1"/>
  <c r="AP129" i="31" s="1"/>
  <c r="V129" i="31"/>
  <c r="Z129" i="31" s="1"/>
  <c r="AH125" i="31"/>
  <c r="AL125" i="31" s="1"/>
  <c r="AX125" i="31" s="1"/>
  <c r="AG125" i="31"/>
  <c r="AK125" i="31" s="1"/>
  <c r="AW125" i="31" s="1"/>
  <c r="AF125" i="31"/>
  <c r="AJ125" i="31" s="1"/>
  <c r="AV125" i="31" s="1"/>
  <c r="AE125" i="31"/>
  <c r="AI125" i="31" s="1"/>
  <c r="Y125" i="31"/>
  <c r="AC125" i="31" s="1"/>
  <c r="X125" i="31"/>
  <c r="AB125" i="31" s="1"/>
  <c r="AQ125" i="31" s="1"/>
  <c r="W125" i="31"/>
  <c r="AA125" i="31" s="1"/>
  <c r="AP125" i="31" s="1"/>
  <c r="V125" i="31"/>
  <c r="Z125" i="31" s="1"/>
  <c r="AO125" i="31" s="1"/>
  <c r="AH124" i="31"/>
  <c r="AL124" i="31" s="1"/>
  <c r="AX124" i="31" s="1"/>
  <c r="AG124" i="31"/>
  <c r="AK124" i="31" s="1"/>
  <c r="AW124" i="31" s="1"/>
  <c r="AF124" i="31"/>
  <c r="AJ124" i="31" s="1"/>
  <c r="AV124" i="31" s="1"/>
  <c r="AE124" i="31"/>
  <c r="AI124" i="31" s="1"/>
  <c r="Y124" i="31"/>
  <c r="AC124" i="31" s="1"/>
  <c r="X124" i="31"/>
  <c r="AB124" i="31" s="1"/>
  <c r="AQ124" i="31" s="1"/>
  <c r="W124" i="31"/>
  <c r="AA124" i="31" s="1"/>
  <c r="AP124" i="31" s="1"/>
  <c r="V124" i="31"/>
  <c r="Z124" i="31" s="1"/>
  <c r="AO124" i="31" s="1"/>
  <c r="AH123" i="31"/>
  <c r="AL123" i="31" s="1"/>
  <c r="AX123" i="31" s="1"/>
  <c r="AG123" i="31"/>
  <c r="AK123" i="31" s="1"/>
  <c r="AW123" i="31" s="1"/>
  <c r="AF123" i="31"/>
  <c r="AJ123" i="31" s="1"/>
  <c r="AV123" i="31" s="1"/>
  <c r="AE123" i="31"/>
  <c r="AI123" i="31" s="1"/>
  <c r="Y123" i="31"/>
  <c r="AC123" i="31" s="1"/>
  <c r="X123" i="31"/>
  <c r="AB123" i="31" s="1"/>
  <c r="AQ123" i="31" s="1"/>
  <c r="W123" i="31"/>
  <c r="AA123" i="31" s="1"/>
  <c r="AP123" i="31" s="1"/>
  <c r="V123" i="31"/>
  <c r="Z123" i="31" s="1"/>
  <c r="AO123" i="31" s="1"/>
  <c r="AH122" i="31"/>
  <c r="AL122" i="31" s="1"/>
  <c r="AX122" i="31" s="1"/>
  <c r="AG122" i="31"/>
  <c r="AK122" i="31" s="1"/>
  <c r="AW122" i="31" s="1"/>
  <c r="AF122" i="31"/>
  <c r="AJ122" i="31" s="1"/>
  <c r="AV122" i="31" s="1"/>
  <c r="AE122" i="31"/>
  <c r="AI122" i="31" s="1"/>
  <c r="Y122" i="31"/>
  <c r="AC122" i="31" s="1"/>
  <c r="X122" i="31"/>
  <c r="AB122" i="31" s="1"/>
  <c r="AQ122" i="31" s="1"/>
  <c r="W122" i="31"/>
  <c r="AA122" i="31" s="1"/>
  <c r="AP122" i="31" s="1"/>
  <c r="V122" i="31"/>
  <c r="Z122" i="31" s="1"/>
  <c r="AO122" i="31" s="1"/>
  <c r="AH121" i="31"/>
  <c r="AL121" i="31" s="1"/>
  <c r="AX121" i="31" s="1"/>
  <c r="AG121" i="31"/>
  <c r="AK121" i="31" s="1"/>
  <c r="AW121" i="31" s="1"/>
  <c r="AF121" i="31"/>
  <c r="AJ121" i="31" s="1"/>
  <c r="AV121" i="31" s="1"/>
  <c r="AE121" i="31"/>
  <c r="AI121" i="31" s="1"/>
  <c r="Y121" i="31"/>
  <c r="AC121" i="31" s="1"/>
  <c r="X121" i="31"/>
  <c r="AB121" i="31" s="1"/>
  <c r="AQ121" i="31" s="1"/>
  <c r="W121" i="31"/>
  <c r="AA121" i="31" s="1"/>
  <c r="AP121" i="31" s="1"/>
  <c r="V121" i="31"/>
  <c r="Z121" i="31" s="1"/>
  <c r="AO121" i="31" s="1"/>
  <c r="AH120" i="31"/>
  <c r="AL120" i="31" s="1"/>
  <c r="AX120" i="31" s="1"/>
  <c r="AG120" i="31"/>
  <c r="AK120" i="31" s="1"/>
  <c r="AW120" i="31" s="1"/>
  <c r="AF120" i="31"/>
  <c r="AJ120" i="31" s="1"/>
  <c r="AV120" i="31" s="1"/>
  <c r="AE120" i="31"/>
  <c r="AI120" i="31" s="1"/>
  <c r="Y120" i="31"/>
  <c r="AC120" i="31" s="1"/>
  <c r="X120" i="31"/>
  <c r="AB120" i="31" s="1"/>
  <c r="AQ120" i="31" s="1"/>
  <c r="W120" i="31"/>
  <c r="AA120" i="31" s="1"/>
  <c r="AP120" i="31" s="1"/>
  <c r="V120" i="31"/>
  <c r="Z120" i="31" s="1"/>
  <c r="AO120" i="31" s="1"/>
  <c r="AH116" i="31"/>
  <c r="AL116" i="31" s="1"/>
  <c r="AX116" i="31" s="1"/>
  <c r="AG116" i="31"/>
  <c r="AK116" i="31" s="1"/>
  <c r="AW116" i="31" s="1"/>
  <c r="AF116" i="31"/>
  <c r="AJ116" i="31" s="1"/>
  <c r="AV116" i="31" s="1"/>
  <c r="AE116" i="31"/>
  <c r="AI116" i="31" s="1"/>
  <c r="Y116" i="31"/>
  <c r="AC116" i="31" s="1"/>
  <c r="X116" i="31"/>
  <c r="AB116" i="31" s="1"/>
  <c r="AQ116" i="31" s="1"/>
  <c r="W116" i="31"/>
  <c r="AA116" i="31" s="1"/>
  <c r="AP116" i="31" s="1"/>
  <c r="V116" i="31"/>
  <c r="Z116" i="31" s="1"/>
  <c r="AO116" i="31" s="1"/>
  <c r="AH115" i="31"/>
  <c r="AL115" i="31" s="1"/>
  <c r="AX115" i="31" s="1"/>
  <c r="AG115" i="31"/>
  <c r="AK115" i="31" s="1"/>
  <c r="AW115" i="31" s="1"/>
  <c r="AF115" i="31"/>
  <c r="AJ115" i="31" s="1"/>
  <c r="AV115" i="31" s="1"/>
  <c r="AE115" i="31"/>
  <c r="AI115" i="31" s="1"/>
  <c r="Y115" i="31"/>
  <c r="AC115" i="31" s="1"/>
  <c r="X115" i="31"/>
  <c r="AB115" i="31" s="1"/>
  <c r="AQ115" i="31" s="1"/>
  <c r="W115" i="31"/>
  <c r="AA115" i="31" s="1"/>
  <c r="AP115" i="31" s="1"/>
  <c r="V115" i="31"/>
  <c r="Z115" i="31" s="1"/>
  <c r="AH114" i="31"/>
  <c r="AL114" i="31" s="1"/>
  <c r="AX114" i="31" s="1"/>
  <c r="AG114" i="31"/>
  <c r="AK114" i="31" s="1"/>
  <c r="AW114" i="31" s="1"/>
  <c r="AF114" i="31"/>
  <c r="AJ114" i="31" s="1"/>
  <c r="AV114" i="31" s="1"/>
  <c r="AE114" i="31"/>
  <c r="AI114" i="31" s="1"/>
  <c r="Y114" i="31"/>
  <c r="AC114" i="31" s="1"/>
  <c r="X114" i="31"/>
  <c r="AB114" i="31" s="1"/>
  <c r="AQ114" i="31" s="1"/>
  <c r="W114" i="31"/>
  <c r="AA114" i="31" s="1"/>
  <c r="AP114" i="31" s="1"/>
  <c r="V114" i="31"/>
  <c r="Z114" i="31" s="1"/>
  <c r="AO114" i="31" s="1"/>
  <c r="AH113" i="31"/>
  <c r="AL113" i="31" s="1"/>
  <c r="AX113" i="31" s="1"/>
  <c r="AG113" i="31"/>
  <c r="AK113" i="31" s="1"/>
  <c r="AW113" i="31" s="1"/>
  <c r="AF113" i="31"/>
  <c r="AJ113" i="31" s="1"/>
  <c r="AV113" i="31" s="1"/>
  <c r="AE113" i="31"/>
  <c r="AI113" i="31" s="1"/>
  <c r="Y113" i="31"/>
  <c r="AC113" i="31" s="1"/>
  <c r="X113" i="31"/>
  <c r="AB113" i="31" s="1"/>
  <c r="AQ113" i="31" s="1"/>
  <c r="W113" i="31"/>
  <c r="AA113" i="31" s="1"/>
  <c r="AP113" i="31" s="1"/>
  <c r="V113" i="31"/>
  <c r="Z113" i="31" s="1"/>
  <c r="AO113" i="31" s="1"/>
  <c r="AH112" i="31"/>
  <c r="AL112" i="31" s="1"/>
  <c r="AX112" i="31" s="1"/>
  <c r="AG112" i="31"/>
  <c r="AK112" i="31" s="1"/>
  <c r="AW112" i="31" s="1"/>
  <c r="AF112" i="31"/>
  <c r="AJ112" i="31" s="1"/>
  <c r="AV112" i="31" s="1"/>
  <c r="AE112" i="31"/>
  <c r="AI112" i="31" s="1"/>
  <c r="Y112" i="31"/>
  <c r="AC112" i="31" s="1"/>
  <c r="AR112" i="31" s="1"/>
  <c r="X112" i="31"/>
  <c r="AB112" i="31" s="1"/>
  <c r="AQ112" i="31" s="1"/>
  <c r="W112" i="31"/>
  <c r="AA112" i="31" s="1"/>
  <c r="AP112" i="31" s="1"/>
  <c r="V112" i="31"/>
  <c r="Z112" i="31" s="1"/>
  <c r="AH111" i="31"/>
  <c r="AL111" i="31" s="1"/>
  <c r="AX111" i="31" s="1"/>
  <c r="AG111" i="31"/>
  <c r="AK111" i="31" s="1"/>
  <c r="AW111" i="31" s="1"/>
  <c r="AF111" i="31"/>
  <c r="AJ111" i="31" s="1"/>
  <c r="AV111" i="31" s="1"/>
  <c r="AE111" i="31"/>
  <c r="AI111" i="31" s="1"/>
  <c r="Y111" i="31"/>
  <c r="AC111" i="31" s="1"/>
  <c r="X111" i="31"/>
  <c r="AB111" i="31" s="1"/>
  <c r="AQ111" i="31" s="1"/>
  <c r="W111" i="31"/>
  <c r="AA111" i="31" s="1"/>
  <c r="AP111" i="31" s="1"/>
  <c r="V111" i="31"/>
  <c r="Z111" i="31" s="1"/>
  <c r="AO111" i="31" s="1"/>
  <c r="AH107" i="31"/>
  <c r="AL107" i="31" s="1"/>
  <c r="AX107" i="31" s="1"/>
  <c r="AG107" i="31"/>
  <c r="AK107" i="31" s="1"/>
  <c r="AW107" i="31" s="1"/>
  <c r="AF107" i="31"/>
  <c r="AJ107" i="31" s="1"/>
  <c r="AV107" i="31" s="1"/>
  <c r="AE107" i="31"/>
  <c r="AI107" i="31" s="1"/>
  <c r="Y107" i="31"/>
  <c r="AC107" i="31" s="1"/>
  <c r="AR107" i="31" s="1"/>
  <c r="X107" i="31"/>
  <c r="AB107" i="31" s="1"/>
  <c r="AQ107" i="31" s="1"/>
  <c r="W107" i="31"/>
  <c r="AA107" i="31" s="1"/>
  <c r="V107" i="31"/>
  <c r="Z107" i="31" s="1"/>
  <c r="AO107" i="31" s="1"/>
  <c r="AH106" i="31"/>
  <c r="AL106" i="31" s="1"/>
  <c r="AX106" i="31" s="1"/>
  <c r="AG106" i="31"/>
  <c r="AK106" i="31" s="1"/>
  <c r="AF106" i="31"/>
  <c r="AJ106" i="31" s="1"/>
  <c r="AV106" i="31" s="1"/>
  <c r="AE106" i="31"/>
  <c r="Y106" i="31"/>
  <c r="AC106" i="31" s="1"/>
  <c r="AR106" i="31" s="1"/>
  <c r="X106" i="31"/>
  <c r="AB106" i="31" s="1"/>
  <c r="AQ106" i="31" s="1"/>
  <c r="W106" i="31"/>
  <c r="AA106" i="31" s="1"/>
  <c r="V106" i="31"/>
  <c r="Z106" i="31" s="1"/>
  <c r="AO106" i="31" s="1"/>
  <c r="AH105" i="31"/>
  <c r="AL105" i="31" s="1"/>
  <c r="AX105" i="31" s="1"/>
  <c r="AG105" i="31"/>
  <c r="AK105" i="31" s="1"/>
  <c r="AW105" i="31" s="1"/>
  <c r="AF105" i="31"/>
  <c r="AJ105" i="31" s="1"/>
  <c r="AE105" i="31"/>
  <c r="Y105" i="31"/>
  <c r="AC105" i="31" s="1"/>
  <c r="AR105" i="31" s="1"/>
  <c r="X105" i="31"/>
  <c r="AB105" i="31" s="1"/>
  <c r="AQ105" i="31" s="1"/>
  <c r="W105" i="31"/>
  <c r="AA105" i="31" s="1"/>
  <c r="V105" i="31"/>
  <c r="Z105" i="31" s="1"/>
  <c r="AO105" i="31" s="1"/>
  <c r="AH104" i="31"/>
  <c r="AL104" i="31" s="1"/>
  <c r="AX104" i="31" s="1"/>
  <c r="AG104" i="31"/>
  <c r="AK104" i="31" s="1"/>
  <c r="AW104" i="31" s="1"/>
  <c r="AF104" i="31"/>
  <c r="AJ104" i="31" s="1"/>
  <c r="AV104" i="31" s="1"/>
  <c r="AE104" i="31"/>
  <c r="AI104" i="31" s="1"/>
  <c r="Y104" i="31"/>
  <c r="AC104" i="31" s="1"/>
  <c r="X104" i="31"/>
  <c r="AB104" i="31" s="1"/>
  <c r="AQ104" i="31" s="1"/>
  <c r="W104" i="31"/>
  <c r="AA104" i="31" s="1"/>
  <c r="AP104" i="31" s="1"/>
  <c r="V104" i="31"/>
  <c r="Z104" i="31" s="1"/>
  <c r="AO104" i="31" s="1"/>
  <c r="AH103" i="31"/>
  <c r="AL103" i="31" s="1"/>
  <c r="AX103" i="31" s="1"/>
  <c r="AG103" i="31"/>
  <c r="AK103" i="31" s="1"/>
  <c r="AW103" i="31" s="1"/>
  <c r="AF103" i="31"/>
  <c r="AJ103" i="31" s="1"/>
  <c r="AV103" i="31" s="1"/>
  <c r="AE103" i="31"/>
  <c r="AI103" i="31" s="1"/>
  <c r="Y103" i="31"/>
  <c r="AC103" i="31" s="1"/>
  <c r="AR103" i="31" s="1"/>
  <c r="X103" i="31"/>
  <c r="AB103" i="31" s="1"/>
  <c r="AQ103" i="31" s="1"/>
  <c r="W103" i="31"/>
  <c r="AA103" i="31" s="1"/>
  <c r="V103" i="31"/>
  <c r="Z103" i="31" s="1"/>
  <c r="AO103" i="31" s="1"/>
  <c r="AH102" i="31"/>
  <c r="AL102" i="31" s="1"/>
  <c r="AX102" i="31" s="1"/>
  <c r="AG102" i="31"/>
  <c r="AK102" i="31" s="1"/>
  <c r="AF102" i="31"/>
  <c r="AJ102" i="31" s="1"/>
  <c r="AV102" i="31" s="1"/>
  <c r="AE102" i="31"/>
  <c r="Y102" i="31"/>
  <c r="AC102" i="31" s="1"/>
  <c r="AR102" i="31" s="1"/>
  <c r="X102" i="31"/>
  <c r="AB102" i="31" s="1"/>
  <c r="AQ102" i="31" s="1"/>
  <c r="W102" i="31"/>
  <c r="AA102" i="31" s="1"/>
  <c r="V102" i="31"/>
  <c r="Z102" i="31" s="1"/>
  <c r="AO102" i="31" s="1"/>
  <c r="AH98" i="31"/>
  <c r="AL98" i="31" s="1"/>
  <c r="AX98" i="31" s="1"/>
  <c r="AG98" i="31"/>
  <c r="AK98" i="31" s="1"/>
  <c r="AW98" i="31" s="1"/>
  <c r="AF98" i="31"/>
  <c r="AJ98" i="31" s="1"/>
  <c r="AV98" i="31" s="1"/>
  <c r="AE98" i="31"/>
  <c r="Y98" i="31"/>
  <c r="AC98" i="31" s="1"/>
  <c r="AR98" i="31" s="1"/>
  <c r="X98" i="31"/>
  <c r="AB98" i="31" s="1"/>
  <c r="AQ98" i="31" s="1"/>
  <c r="W98" i="31"/>
  <c r="AA98" i="31" s="1"/>
  <c r="AP98" i="31" s="1"/>
  <c r="V98" i="31"/>
  <c r="Z98" i="31" s="1"/>
  <c r="AH97" i="31"/>
  <c r="AL97" i="31" s="1"/>
  <c r="AX97" i="31" s="1"/>
  <c r="AG97" i="31"/>
  <c r="AK97" i="31" s="1"/>
  <c r="AW97" i="31" s="1"/>
  <c r="AF97" i="31"/>
  <c r="AJ97" i="31" s="1"/>
  <c r="AV97" i="31" s="1"/>
  <c r="AE97" i="31"/>
  <c r="AI97" i="31" s="1"/>
  <c r="Y97" i="31"/>
  <c r="AC97" i="31" s="1"/>
  <c r="X97" i="31"/>
  <c r="AB97" i="31" s="1"/>
  <c r="AQ97" i="31" s="1"/>
  <c r="W97" i="31"/>
  <c r="AA97" i="31" s="1"/>
  <c r="AP97" i="31" s="1"/>
  <c r="V97" i="31"/>
  <c r="Z97" i="31" s="1"/>
  <c r="AO97" i="31" s="1"/>
  <c r="AH96" i="31"/>
  <c r="AL96" i="31" s="1"/>
  <c r="AX96" i="31" s="1"/>
  <c r="AG96" i="31"/>
  <c r="AK96" i="31" s="1"/>
  <c r="AW96" i="31" s="1"/>
  <c r="AF96" i="31"/>
  <c r="AJ96" i="31" s="1"/>
  <c r="AV96" i="31" s="1"/>
  <c r="AE96" i="31"/>
  <c r="AI96" i="31" s="1"/>
  <c r="Y96" i="31"/>
  <c r="AC96" i="31" s="1"/>
  <c r="AR96" i="31" s="1"/>
  <c r="X96" i="31"/>
  <c r="AB96" i="31" s="1"/>
  <c r="AQ96" i="31" s="1"/>
  <c r="W96" i="31"/>
  <c r="AA96" i="31" s="1"/>
  <c r="V96" i="31"/>
  <c r="Z96" i="31" s="1"/>
  <c r="AO96" i="31" s="1"/>
  <c r="AH95" i="31"/>
  <c r="AL95" i="31" s="1"/>
  <c r="AX95" i="31" s="1"/>
  <c r="AG95" i="31"/>
  <c r="AK95" i="31" s="1"/>
  <c r="AF95" i="31"/>
  <c r="AJ95" i="31" s="1"/>
  <c r="AV95" i="31" s="1"/>
  <c r="AE95" i="31"/>
  <c r="Y95" i="31"/>
  <c r="AC95" i="31" s="1"/>
  <c r="AR95" i="31" s="1"/>
  <c r="X95" i="31"/>
  <c r="AB95" i="31" s="1"/>
  <c r="AQ95" i="31" s="1"/>
  <c r="W95" i="31"/>
  <c r="AA95" i="31" s="1"/>
  <c r="V95" i="31"/>
  <c r="Z95" i="31" s="1"/>
  <c r="AO95" i="31" s="1"/>
  <c r="AH94" i="31"/>
  <c r="AL94" i="31" s="1"/>
  <c r="AX94" i="31" s="1"/>
  <c r="AG94" i="31"/>
  <c r="AK94" i="31" s="1"/>
  <c r="AW94" i="31" s="1"/>
  <c r="AF94" i="31"/>
  <c r="AJ94" i="31" s="1"/>
  <c r="AV94" i="31" s="1"/>
  <c r="AE94" i="31"/>
  <c r="Y94" i="31"/>
  <c r="AC94" i="31" s="1"/>
  <c r="AR94" i="31" s="1"/>
  <c r="X94" i="31"/>
  <c r="AB94" i="31" s="1"/>
  <c r="AQ94" i="31" s="1"/>
  <c r="W94" i="31"/>
  <c r="AA94" i="31" s="1"/>
  <c r="AP94" i="31" s="1"/>
  <c r="V94" i="31"/>
  <c r="Z94" i="31" s="1"/>
  <c r="AH93" i="31"/>
  <c r="AL93" i="31" s="1"/>
  <c r="AX93" i="31" s="1"/>
  <c r="AG93" i="31"/>
  <c r="AK93" i="31" s="1"/>
  <c r="AW93" i="31" s="1"/>
  <c r="AF93" i="31"/>
  <c r="AJ93" i="31" s="1"/>
  <c r="AE93" i="31"/>
  <c r="Y93" i="31"/>
  <c r="AC93" i="31" s="1"/>
  <c r="AR93" i="31" s="1"/>
  <c r="X93" i="31"/>
  <c r="AB93" i="31" s="1"/>
  <c r="W93" i="31"/>
  <c r="AA93" i="31" s="1"/>
  <c r="AP93" i="31" s="1"/>
  <c r="V93" i="31"/>
  <c r="Z93" i="31" s="1"/>
  <c r="AO93" i="31" s="1"/>
  <c r="AH89" i="31"/>
  <c r="AL89" i="31" s="1"/>
  <c r="AX89" i="31" s="1"/>
  <c r="AG89" i="31"/>
  <c r="AK89" i="31" s="1"/>
  <c r="AW89" i="31" s="1"/>
  <c r="AF89" i="31"/>
  <c r="AJ89" i="31" s="1"/>
  <c r="AE89" i="31"/>
  <c r="Y89" i="31"/>
  <c r="AC89" i="31" s="1"/>
  <c r="AR89" i="31" s="1"/>
  <c r="X89" i="31"/>
  <c r="AB89" i="31" s="1"/>
  <c r="AQ89" i="31" s="1"/>
  <c r="W89" i="31"/>
  <c r="AA89" i="31" s="1"/>
  <c r="V89" i="31"/>
  <c r="Z89" i="31" s="1"/>
  <c r="AO89" i="31" s="1"/>
  <c r="AH88" i="31"/>
  <c r="AL88" i="31" s="1"/>
  <c r="AX88" i="31" s="1"/>
  <c r="AG88" i="31"/>
  <c r="AK88" i="31" s="1"/>
  <c r="AW88" i="31" s="1"/>
  <c r="AF88" i="31"/>
  <c r="AJ88" i="31" s="1"/>
  <c r="AE88" i="31"/>
  <c r="Y88" i="31"/>
  <c r="AC88" i="31" s="1"/>
  <c r="AR88" i="31" s="1"/>
  <c r="X88" i="31"/>
  <c r="AB88" i="31" s="1"/>
  <c r="AQ88" i="31" s="1"/>
  <c r="W88" i="31"/>
  <c r="AA88" i="31" s="1"/>
  <c r="V88" i="31"/>
  <c r="Z88" i="31" s="1"/>
  <c r="AO88" i="31" s="1"/>
  <c r="AH87" i="31"/>
  <c r="AL87" i="31" s="1"/>
  <c r="AX87" i="31" s="1"/>
  <c r="AG87" i="31"/>
  <c r="AK87" i="31" s="1"/>
  <c r="AW87" i="31" s="1"/>
  <c r="AF87" i="31"/>
  <c r="AJ87" i="31" s="1"/>
  <c r="AE87" i="31"/>
  <c r="Y87" i="31"/>
  <c r="AC87" i="31" s="1"/>
  <c r="AR87" i="31" s="1"/>
  <c r="X87" i="31"/>
  <c r="AB87" i="31" s="1"/>
  <c r="AQ87" i="31" s="1"/>
  <c r="W87" i="31"/>
  <c r="AA87" i="31" s="1"/>
  <c r="V87" i="31"/>
  <c r="Z87" i="31" s="1"/>
  <c r="AO87" i="31" s="1"/>
  <c r="AH86" i="31"/>
  <c r="AL86" i="31" s="1"/>
  <c r="AX86" i="31" s="1"/>
  <c r="AG86" i="31"/>
  <c r="AK86" i="31" s="1"/>
  <c r="AW86" i="31" s="1"/>
  <c r="AF86" i="31"/>
  <c r="AJ86" i="31" s="1"/>
  <c r="AE86" i="31"/>
  <c r="Y86" i="31"/>
  <c r="AC86" i="31" s="1"/>
  <c r="AR86" i="31" s="1"/>
  <c r="X86" i="31"/>
  <c r="AB86" i="31" s="1"/>
  <c r="AQ86" i="31" s="1"/>
  <c r="W86" i="31"/>
  <c r="AA86" i="31" s="1"/>
  <c r="V86" i="31"/>
  <c r="Z86" i="31" s="1"/>
  <c r="AO86" i="31" s="1"/>
  <c r="AH85" i="31"/>
  <c r="AL85" i="31" s="1"/>
  <c r="AX85" i="31" s="1"/>
  <c r="AG85" i="31"/>
  <c r="AK85" i="31" s="1"/>
  <c r="AW85" i="31" s="1"/>
  <c r="AF85" i="31"/>
  <c r="AJ85" i="31" s="1"/>
  <c r="AE85" i="31"/>
  <c r="Y85" i="31"/>
  <c r="AC85" i="31" s="1"/>
  <c r="AR85" i="31" s="1"/>
  <c r="X85" i="31"/>
  <c r="AB85" i="31" s="1"/>
  <c r="AQ85" i="31" s="1"/>
  <c r="W85" i="31"/>
  <c r="AA85" i="31" s="1"/>
  <c r="V85" i="31"/>
  <c r="Z85" i="31" s="1"/>
  <c r="AO85" i="31" s="1"/>
  <c r="AH84" i="31"/>
  <c r="AL84" i="31" s="1"/>
  <c r="AX84" i="31" s="1"/>
  <c r="AG84" i="31"/>
  <c r="AK84" i="31" s="1"/>
  <c r="AW84" i="31" s="1"/>
  <c r="AF84" i="31"/>
  <c r="AJ84" i="31" s="1"/>
  <c r="AE84" i="31"/>
  <c r="Y84" i="31"/>
  <c r="AC84" i="31" s="1"/>
  <c r="AR84" i="31" s="1"/>
  <c r="X84" i="31"/>
  <c r="AB84" i="31" s="1"/>
  <c r="AQ84" i="31" s="1"/>
  <c r="W84" i="31"/>
  <c r="AA84" i="31" s="1"/>
  <c r="V84" i="31"/>
  <c r="Z84" i="31" s="1"/>
  <c r="AO84" i="31" s="1"/>
  <c r="AH80" i="31"/>
  <c r="AL80" i="31" s="1"/>
  <c r="AX80" i="31" s="1"/>
  <c r="AG80" i="31"/>
  <c r="AK80" i="31" s="1"/>
  <c r="AW80" i="31" s="1"/>
  <c r="AF80" i="31"/>
  <c r="AJ80" i="31" s="1"/>
  <c r="AE80" i="31"/>
  <c r="Y80" i="31"/>
  <c r="AC80" i="31" s="1"/>
  <c r="AR80" i="31" s="1"/>
  <c r="X80" i="31"/>
  <c r="AB80" i="31" s="1"/>
  <c r="W80" i="31"/>
  <c r="AA80" i="31" s="1"/>
  <c r="AP80" i="31" s="1"/>
  <c r="V80" i="31"/>
  <c r="Z80" i="31" s="1"/>
  <c r="AO80" i="31" s="1"/>
  <c r="AH79" i="31"/>
  <c r="AL79" i="31" s="1"/>
  <c r="AX79" i="31" s="1"/>
  <c r="AG79" i="31"/>
  <c r="AK79" i="31" s="1"/>
  <c r="AW79" i="31" s="1"/>
  <c r="AF79" i="31"/>
  <c r="AJ79" i="31" s="1"/>
  <c r="AE79" i="31"/>
  <c r="Y79" i="31"/>
  <c r="AC79" i="31" s="1"/>
  <c r="AR79" i="31" s="1"/>
  <c r="X79" i="31"/>
  <c r="AB79" i="31" s="1"/>
  <c r="AQ79" i="31" s="1"/>
  <c r="W79" i="31"/>
  <c r="AA79" i="31" s="1"/>
  <c r="V79" i="31"/>
  <c r="Z79" i="31" s="1"/>
  <c r="AO79" i="31" s="1"/>
  <c r="AH78" i="31"/>
  <c r="AL78" i="31" s="1"/>
  <c r="AX78" i="31" s="1"/>
  <c r="AG78" i="31"/>
  <c r="AK78" i="31" s="1"/>
  <c r="AW78" i="31" s="1"/>
  <c r="AF78" i="31"/>
  <c r="AJ78" i="31" s="1"/>
  <c r="AE78" i="31"/>
  <c r="Y78" i="31"/>
  <c r="AC78" i="31" s="1"/>
  <c r="AR78" i="31" s="1"/>
  <c r="X78" i="31"/>
  <c r="AB78" i="31" s="1"/>
  <c r="AQ78" i="31" s="1"/>
  <c r="W78" i="31"/>
  <c r="AA78" i="31" s="1"/>
  <c r="V78" i="31"/>
  <c r="Z78" i="31" s="1"/>
  <c r="AO78" i="31" s="1"/>
  <c r="AH77" i="31"/>
  <c r="AL77" i="31" s="1"/>
  <c r="AX77" i="31" s="1"/>
  <c r="AG77" i="31"/>
  <c r="AK77" i="31" s="1"/>
  <c r="AW77" i="31" s="1"/>
  <c r="AF77" i="31"/>
  <c r="AJ77" i="31" s="1"/>
  <c r="AE77" i="31"/>
  <c r="Y77" i="31"/>
  <c r="AC77" i="31" s="1"/>
  <c r="AR77" i="31" s="1"/>
  <c r="X77" i="31"/>
  <c r="AB77" i="31" s="1"/>
  <c r="AQ77" i="31" s="1"/>
  <c r="W77" i="31"/>
  <c r="AA77" i="31" s="1"/>
  <c r="V77" i="31"/>
  <c r="Z77" i="31" s="1"/>
  <c r="AO77" i="31" s="1"/>
  <c r="AH76" i="31"/>
  <c r="AL76" i="31" s="1"/>
  <c r="AX76" i="31" s="1"/>
  <c r="AG76" i="31"/>
  <c r="AK76" i="31" s="1"/>
  <c r="AW76" i="31" s="1"/>
  <c r="AF76" i="31"/>
  <c r="AJ76" i="31" s="1"/>
  <c r="AE76" i="31"/>
  <c r="Y76" i="31"/>
  <c r="AC76" i="31" s="1"/>
  <c r="AR76" i="31" s="1"/>
  <c r="X76" i="31"/>
  <c r="AB76" i="31" s="1"/>
  <c r="AQ76" i="31" s="1"/>
  <c r="W76" i="31"/>
  <c r="AA76" i="31" s="1"/>
  <c r="V76" i="31"/>
  <c r="Z76" i="31" s="1"/>
  <c r="AO76" i="31" s="1"/>
  <c r="AH75" i="31"/>
  <c r="AL75" i="31" s="1"/>
  <c r="AX75" i="31" s="1"/>
  <c r="AG75" i="31"/>
  <c r="AK75" i="31" s="1"/>
  <c r="AW75" i="31" s="1"/>
  <c r="AF75" i="31"/>
  <c r="AJ75" i="31" s="1"/>
  <c r="AE75" i="31"/>
  <c r="Y75" i="31"/>
  <c r="AC75" i="31" s="1"/>
  <c r="AR75" i="31" s="1"/>
  <c r="X75" i="31"/>
  <c r="AB75" i="31" s="1"/>
  <c r="AQ75" i="31" s="1"/>
  <c r="W75" i="31"/>
  <c r="AA75" i="31" s="1"/>
  <c r="V75" i="31"/>
  <c r="Z75" i="31" s="1"/>
  <c r="AO75" i="31" s="1"/>
  <c r="AH71" i="31"/>
  <c r="AL71" i="31" s="1"/>
  <c r="AX71" i="31" s="1"/>
  <c r="AG71" i="31"/>
  <c r="AK71" i="31" s="1"/>
  <c r="AW71" i="31" s="1"/>
  <c r="AF71" i="31"/>
  <c r="AJ71" i="31" s="1"/>
  <c r="AE71" i="31"/>
  <c r="Y71" i="31"/>
  <c r="AC71" i="31" s="1"/>
  <c r="AR71" i="31" s="1"/>
  <c r="X71" i="31"/>
  <c r="AB71" i="31" s="1"/>
  <c r="AQ71" i="31" s="1"/>
  <c r="W71" i="31"/>
  <c r="AA71" i="31" s="1"/>
  <c r="V71" i="31"/>
  <c r="Z71" i="31" s="1"/>
  <c r="AO71" i="31" s="1"/>
  <c r="AH70" i="31"/>
  <c r="AL70" i="31" s="1"/>
  <c r="AX70" i="31" s="1"/>
  <c r="AG70" i="31"/>
  <c r="AK70" i="31" s="1"/>
  <c r="AW70" i="31" s="1"/>
  <c r="AF70" i="31"/>
  <c r="AJ70" i="31" s="1"/>
  <c r="AE70" i="31"/>
  <c r="Y70" i="31"/>
  <c r="AC70" i="31" s="1"/>
  <c r="AR70" i="31" s="1"/>
  <c r="X70" i="31"/>
  <c r="AB70" i="31" s="1"/>
  <c r="AQ70" i="31" s="1"/>
  <c r="W70" i="31"/>
  <c r="AA70" i="31" s="1"/>
  <c r="V70" i="31"/>
  <c r="Z70" i="31" s="1"/>
  <c r="AO70" i="31" s="1"/>
  <c r="AH69" i="31"/>
  <c r="AL69" i="31" s="1"/>
  <c r="AX69" i="31" s="1"/>
  <c r="AG69" i="31"/>
  <c r="AK69" i="31" s="1"/>
  <c r="AW69" i="31" s="1"/>
  <c r="AF69" i="31"/>
  <c r="AJ69" i="31" s="1"/>
  <c r="AE69" i="31"/>
  <c r="Y69" i="31"/>
  <c r="AC69" i="31" s="1"/>
  <c r="AR69" i="31" s="1"/>
  <c r="X69" i="31"/>
  <c r="AB69" i="31" s="1"/>
  <c r="AQ69" i="31" s="1"/>
  <c r="W69" i="31"/>
  <c r="AA69" i="31" s="1"/>
  <c r="V69" i="31"/>
  <c r="Z69" i="31" s="1"/>
  <c r="AO69" i="31" s="1"/>
  <c r="AH68" i="31"/>
  <c r="AL68" i="31" s="1"/>
  <c r="AX68" i="31" s="1"/>
  <c r="AG68" i="31"/>
  <c r="AK68" i="31" s="1"/>
  <c r="AW68" i="31" s="1"/>
  <c r="AF68" i="31"/>
  <c r="AJ68" i="31" s="1"/>
  <c r="AE68" i="31"/>
  <c r="Y68" i="31"/>
  <c r="AC68" i="31" s="1"/>
  <c r="AR68" i="31" s="1"/>
  <c r="X68" i="31"/>
  <c r="AB68" i="31" s="1"/>
  <c r="AQ68" i="31" s="1"/>
  <c r="W68" i="31"/>
  <c r="AA68" i="31" s="1"/>
  <c r="V68" i="31"/>
  <c r="Z68" i="31" s="1"/>
  <c r="AO68" i="31" s="1"/>
  <c r="AH67" i="31"/>
  <c r="AL67" i="31" s="1"/>
  <c r="AX67" i="31" s="1"/>
  <c r="AG67" i="31"/>
  <c r="AK67" i="31" s="1"/>
  <c r="AW67" i="31" s="1"/>
  <c r="AF67" i="31"/>
  <c r="AJ67" i="31" s="1"/>
  <c r="AE67" i="31"/>
  <c r="Y67" i="31"/>
  <c r="AC67" i="31" s="1"/>
  <c r="AR67" i="31" s="1"/>
  <c r="X67" i="31"/>
  <c r="AB67" i="31" s="1"/>
  <c r="AQ67" i="31" s="1"/>
  <c r="W67" i="31"/>
  <c r="AA67" i="31" s="1"/>
  <c r="V67" i="31"/>
  <c r="Z67" i="31" s="1"/>
  <c r="AO67" i="31" s="1"/>
  <c r="AH66" i="31"/>
  <c r="AL66" i="31" s="1"/>
  <c r="AX66" i="31" s="1"/>
  <c r="AG66" i="31"/>
  <c r="AK66" i="31" s="1"/>
  <c r="AW66" i="31" s="1"/>
  <c r="AF66" i="31"/>
  <c r="AJ66" i="31" s="1"/>
  <c r="AE66" i="31"/>
  <c r="Y66" i="31"/>
  <c r="AC66" i="31" s="1"/>
  <c r="AR66" i="31" s="1"/>
  <c r="X66" i="31"/>
  <c r="AB66" i="31" s="1"/>
  <c r="AQ66" i="31" s="1"/>
  <c r="W66" i="31"/>
  <c r="AA66" i="31" s="1"/>
  <c r="V66" i="31"/>
  <c r="Z66" i="31" s="1"/>
  <c r="AO66" i="31" s="1"/>
  <c r="AH62" i="31"/>
  <c r="AL62" i="31" s="1"/>
  <c r="AX62" i="31" s="1"/>
  <c r="AG62" i="31"/>
  <c r="AK62" i="31" s="1"/>
  <c r="AW62" i="31" s="1"/>
  <c r="AF62" i="31"/>
  <c r="AJ62" i="31" s="1"/>
  <c r="AE62" i="31"/>
  <c r="Y62" i="31"/>
  <c r="AC62" i="31" s="1"/>
  <c r="AR62" i="31" s="1"/>
  <c r="X62" i="31"/>
  <c r="AB62" i="31" s="1"/>
  <c r="AQ62" i="31" s="1"/>
  <c r="W62" i="31"/>
  <c r="AA62" i="31" s="1"/>
  <c r="V62" i="31"/>
  <c r="Z62" i="31" s="1"/>
  <c r="AO62" i="31" s="1"/>
  <c r="AH61" i="31"/>
  <c r="AL61" i="31" s="1"/>
  <c r="AX61" i="31" s="1"/>
  <c r="AG61" i="31"/>
  <c r="AK61" i="31" s="1"/>
  <c r="AW61" i="31" s="1"/>
  <c r="AF61" i="31"/>
  <c r="AJ61" i="31" s="1"/>
  <c r="AE61" i="31"/>
  <c r="Y61" i="31"/>
  <c r="AC61" i="31" s="1"/>
  <c r="AR61" i="31" s="1"/>
  <c r="X61" i="31"/>
  <c r="AB61" i="31" s="1"/>
  <c r="AQ61" i="31" s="1"/>
  <c r="W61" i="31"/>
  <c r="AA61" i="31" s="1"/>
  <c r="V61" i="31"/>
  <c r="Z61" i="31" s="1"/>
  <c r="AO61" i="31" s="1"/>
  <c r="AH60" i="31"/>
  <c r="AL60" i="31" s="1"/>
  <c r="AX60" i="31" s="1"/>
  <c r="AG60" i="31"/>
  <c r="AK60" i="31" s="1"/>
  <c r="AW60" i="31" s="1"/>
  <c r="AF60" i="31"/>
  <c r="AJ60" i="31" s="1"/>
  <c r="AE60" i="31"/>
  <c r="Y60" i="31"/>
  <c r="AC60" i="31" s="1"/>
  <c r="AR60" i="31" s="1"/>
  <c r="X60" i="31"/>
  <c r="AB60" i="31" s="1"/>
  <c r="AQ60" i="31" s="1"/>
  <c r="W60" i="31"/>
  <c r="AA60" i="31" s="1"/>
  <c r="V60" i="31"/>
  <c r="Z60" i="31" s="1"/>
  <c r="AO60" i="31" s="1"/>
  <c r="AH59" i="31"/>
  <c r="AL59" i="31" s="1"/>
  <c r="AX59" i="31" s="1"/>
  <c r="AG59" i="31"/>
  <c r="AK59" i="31" s="1"/>
  <c r="AW59" i="31" s="1"/>
  <c r="AF59" i="31"/>
  <c r="AJ59" i="31" s="1"/>
  <c r="AE59" i="31"/>
  <c r="Y59" i="31"/>
  <c r="AC59" i="31" s="1"/>
  <c r="AR59" i="31" s="1"/>
  <c r="X59" i="31"/>
  <c r="AB59" i="31" s="1"/>
  <c r="AQ59" i="31" s="1"/>
  <c r="W59" i="31"/>
  <c r="AA59" i="31" s="1"/>
  <c r="V59" i="31"/>
  <c r="Z59" i="31" s="1"/>
  <c r="AO59" i="31" s="1"/>
  <c r="AH58" i="31"/>
  <c r="AL58" i="31" s="1"/>
  <c r="AX58" i="31" s="1"/>
  <c r="AG58" i="31"/>
  <c r="AK58" i="31" s="1"/>
  <c r="AW58" i="31" s="1"/>
  <c r="AF58" i="31"/>
  <c r="AJ58" i="31" s="1"/>
  <c r="AE58" i="31"/>
  <c r="Y58" i="31"/>
  <c r="AC58" i="31" s="1"/>
  <c r="AR58" i="31" s="1"/>
  <c r="X58" i="31"/>
  <c r="AB58" i="31" s="1"/>
  <c r="AQ58" i="31" s="1"/>
  <c r="W58" i="31"/>
  <c r="AA58" i="31" s="1"/>
  <c r="V58" i="31"/>
  <c r="Z58" i="31" s="1"/>
  <c r="AO58" i="31" s="1"/>
  <c r="AH57" i="31"/>
  <c r="AL57" i="31" s="1"/>
  <c r="AX57" i="31" s="1"/>
  <c r="AG57" i="31"/>
  <c r="AK57" i="31" s="1"/>
  <c r="AW57" i="31" s="1"/>
  <c r="AF57" i="31"/>
  <c r="AJ57" i="31" s="1"/>
  <c r="AE57" i="31"/>
  <c r="Y57" i="31"/>
  <c r="AC57" i="31" s="1"/>
  <c r="AR57" i="31" s="1"/>
  <c r="X57" i="31"/>
  <c r="AB57" i="31" s="1"/>
  <c r="AQ57" i="31" s="1"/>
  <c r="W57" i="31"/>
  <c r="AA57" i="31" s="1"/>
  <c r="V57" i="31"/>
  <c r="Z57" i="31" s="1"/>
  <c r="AO57" i="31" s="1"/>
  <c r="AH53" i="31"/>
  <c r="AL53" i="31" s="1"/>
  <c r="AX53" i="31" s="1"/>
  <c r="AG53" i="31"/>
  <c r="AK53" i="31" s="1"/>
  <c r="AW53" i="31" s="1"/>
  <c r="AF53" i="31"/>
  <c r="AJ53" i="31" s="1"/>
  <c r="AE53" i="31"/>
  <c r="Y53" i="31"/>
  <c r="AC53" i="31" s="1"/>
  <c r="AR53" i="31" s="1"/>
  <c r="X53" i="31"/>
  <c r="AB53" i="31" s="1"/>
  <c r="AQ53" i="31" s="1"/>
  <c r="W53" i="31"/>
  <c r="AA53" i="31" s="1"/>
  <c r="V53" i="31"/>
  <c r="Z53" i="31" s="1"/>
  <c r="AO53" i="31" s="1"/>
  <c r="AH52" i="31"/>
  <c r="AL52" i="31" s="1"/>
  <c r="AX52" i="31" s="1"/>
  <c r="AG52" i="31"/>
  <c r="AK52" i="31" s="1"/>
  <c r="AW52" i="31" s="1"/>
  <c r="AF52" i="31"/>
  <c r="AJ52" i="31" s="1"/>
  <c r="AE52" i="31"/>
  <c r="Y52" i="31"/>
  <c r="AC52" i="31" s="1"/>
  <c r="AR52" i="31" s="1"/>
  <c r="X52" i="31"/>
  <c r="AB52" i="31" s="1"/>
  <c r="AQ52" i="31" s="1"/>
  <c r="W52" i="31"/>
  <c r="AA52" i="31" s="1"/>
  <c r="V52" i="31"/>
  <c r="Z52" i="31" s="1"/>
  <c r="AO52" i="31" s="1"/>
  <c r="AH51" i="31"/>
  <c r="AL51" i="31" s="1"/>
  <c r="AX51" i="31" s="1"/>
  <c r="AG51" i="31"/>
  <c r="AK51" i="31" s="1"/>
  <c r="AW51" i="31" s="1"/>
  <c r="AF51" i="31"/>
  <c r="AJ51" i="31" s="1"/>
  <c r="AE51" i="31"/>
  <c r="Y51" i="31"/>
  <c r="AC51" i="31" s="1"/>
  <c r="AR51" i="31" s="1"/>
  <c r="X51" i="31"/>
  <c r="AB51" i="31" s="1"/>
  <c r="AQ51" i="31" s="1"/>
  <c r="W51" i="31"/>
  <c r="AA51" i="31" s="1"/>
  <c r="V51" i="31"/>
  <c r="Z51" i="31" s="1"/>
  <c r="AO51" i="31" s="1"/>
  <c r="AH50" i="31"/>
  <c r="AL50" i="31" s="1"/>
  <c r="AX50" i="31" s="1"/>
  <c r="AG50" i="31"/>
  <c r="AK50" i="31" s="1"/>
  <c r="AW50" i="31" s="1"/>
  <c r="AF50" i="31"/>
  <c r="AJ50" i="31" s="1"/>
  <c r="AE50" i="31"/>
  <c r="Y50" i="31"/>
  <c r="AC50" i="31" s="1"/>
  <c r="AR50" i="31" s="1"/>
  <c r="X50" i="31"/>
  <c r="AB50" i="31" s="1"/>
  <c r="AQ50" i="31" s="1"/>
  <c r="W50" i="31"/>
  <c r="AA50" i="31" s="1"/>
  <c r="V50" i="31"/>
  <c r="Z50" i="31" s="1"/>
  <c r="AO50" i="31" s="1"/>
  <c r="AH49" i="31"/>
  <c r="AL49" i="31" s="1"/>
  <c r="AX49" i="31" s="1"/>
  <c r="AG49" i="31"/>
  <c r="AK49" i="31" s="1"/>
  <c r="AW49" i="31" s="1"/>
  <c r="AF49" i="31"/>
  <c r="AJ49" i="31" s="1"/>
  <c r="AE49" i="31"/>
  <c r="Y49" i="31"/>
  <c r="AC49" i="31" s="1"/>
  <c r="AR49" i="31" s="1"/>
  <c r="X49" i="31"/>
  <c r="AB49" i="31" s="1"/>
  <c r="AQ49" i="31" s="1"/>
  <c r="W49" i="31"/>
  <c r="AA49" i="31" s="1"/>
  <c r="V49" i="31"/>
  <c r="Z49" i="31" s="1"/>
  <c r="AO49" i="31" s="1"/>
  <c r="AH48" i="31"/>
  <c r="AL48" i="31" s="1"/>
  <c r="AX48" i="31" s="1"/>
  <c r="AG48" i="31"/>
  <c r="AK48" i="31" s="1"/>
  <c r="AW48" i="31" s="1"/>
  <c r="AF48" i="31"/>
  <c r="AJ48" i="31" s="1"/>
  <c r="AE48" i="31"/>
  <c r="Y48" i="31"/>
  <c r="AC48" i="31" s="1"/>
  <c r="AR48" i="31" s="1"/>
  <c r="X48" i="31"/>
  <c r="AB48" i="31" s="1"/>
  <c r="AQ48" i="31" s="1"/>
  <c r="W48" i="31"/>
  <c r="AA48" i="31" s="1"/>
  <c r="V48" i="31"/>
  <c r="Z48" i="31" s="1"/>
  <c r="AO48" i="31" s="1"/>
  <c r="AH44" i="31"/>
  <c r="AL44" i="31" s="1"/>
  <c r="AX44" i="31" s="1"/>
  <c r="AG44" i="31"/>
  <c r="AK44" i="31" s="1"/>
  <c r="AW44" i="31" s="1"/>
  <c r="AF44" i="31"/>
  <c r="AJ44" i="31" s="1"/>
  <c r="AE44" i="31"/>
  <c r="Y44" i="31"/>
  <c r="AC44" i="31" s="1"/>
  <c r="AR44" i="31" s="1"/>
  <c r="X44" i="31"/>
  <c r="AB44" i="31" s="1"/>
  <c r="AQ44" i="31" s="1"/>
  <c r="W44" i="31"/>
  <c r="AA44" i="31" s="1"/>
  <c r="V44" i="31"/>
  <c r="Z44" i="31" s="1"/>
  <c r="AO44" i="31" s="1"/>
  <c r="AH43" i="31"/>
  <c r="AL43" i="31" s="1"/>
  <c r="AX43" i="31" s="1"/>
  <c r="AG43" i="31"/>
  <c r="AK43" i="31" s="1"/>
  <c r="AW43" i="31" s="1"/>
  <c r="AF43" i="31"/>
  <c r="AJ43" i="31" s="1"/>
  <c r="AE43" i="31"/>
  <c r="Y43" i="31"/>
  <c r="AC43" i="31" s="1"/>
  <c r="AR43" i="31" s="1"/>
  <c r="X43" i="31"/>
  <c r="AB43" i="31" s="1"/>
  <c r="AQ43" i="31" s="1"/>
  <c r="W43" i="31"/>
  <c r="AA43" i="31" s="1"/>
  <c r="V43" i="31"/>
  <c r="Z43" i="31" s="1"/>
  <c r="AO43" i="31" s="1"/>
  <c r="AH42" i="31"/>
  <c r="AL42" i="31" s="1"/>
  <c r="AX42" i="31" s="1"/>
  <c r="AG42" i="31"/>
  <c r="AK42" i="31" s="1"/>
  <c r="AW42" i="31" s="1"/>
  <c r="AF42" i="31"/>
  <c r="AJ42" i="31" s="1"/>
  <c r="AE42" i="31"/>
  <c r="Y42" i="31"/>
  <c r="AC42" i="31" s="1"/>
  <c r="AR42" i="31" s="1"/>
  <c r="X42" i="31"/>
  <c r="AB42" i="31" s="1"/>
  <c r="AQ42" i="31" s="1"/>
  <c r="W42" i="31"/>
  <c r="AA42" i="31" s="1"/>
  <c r="V42" i="31"/>
  <c r="Z42" i="31" s="1"/>
  <c r="AO42" i="31" s="1"/>
  <c r="AH41" i="31"/>
  <c r="AL41" i="31" s="1"/>
  <c r="AX41" i="31" s="1"/>
  <c r="AG41" i="31"/>
  <c r="AK41" i="31" s="1"/>
  <c r="AW41" i="31" s="1"/>
  <c r="AF41" i="31"/>
  <c r="AJ41" i="31" s="1"/>
  <c r="AE41" i="31"/>
  <c r="Y41" i="31"/>
  <c r="AC41" i="31" s="1"/>
  <c r="AR41" i="31" s="1"/>
  <c r="X41" i="31"/>
  <c r="AB41" i="31" s="1"/>
  <c r="AQ41" i="31" s="1"/>
  <c r="W41" i="31"/>
  <c r="AA41" i="31" s="1"/>
  <c r="V41" i="31"/>
  <c r="Z41" i="31" s="1"/>
  <c r="AO41" i="31" s="1"/>
  <c r="AH40" i="31"/>
  <c r="AL40" i="31" s="1"/>
  <c r="AX40" i="31" s="1"/>
  <c r="AG40" i="31"/>
  <c r="AK40" i="31" s="1"/>
  <c r="AW40" i="31" s="1"/>
  <c r="AF40" i="31"/>
  <c r="AJ40" i="31" s="1"/>
  <c r="AE40" i="31"/>
  <c r="Y40" i="31"/>
  <c r="AC40" i="31" s="1"/>
  <c r="AR40" i="31" s="1"/>
  <c r="X40" i="31"/>
  <c r="AB40" i="31" s="1"/>
  <c r="AQ40" i="31" s="1"/>
  <c r="W40" i="31"/>
  <c r="AA40" i="31" s="1"/>
  <c r="V40" i="31"/>
  <c r="Z40" i="31" s="1"/>
  <c r="AO40" i="31" s="1"/>
  <c r="AH39" i="31"/>
  <c r="AL39" i="31" s="1"/>
  <c r="AX39" i="31" s="1"/>
  <c r="AG39" i="31"/>
  <c r="AK39" i="31" s="1"/>
  <c r="AW39" i="31" s="1"/>
  <c r="AF39" i="31"/>
  <c r="AJ39" i="31" s="1"/>
  <c r="AE39" i="31"/>
  <c r="Y39" i="31"/>
  <c r="AC39" i="31" s="1"/>
  <c r="AR39" i="31" s="1"/>
  <c r="X39" i="31"/>
  <c r="AB39" i="31" s="1"/>
  <c r="AQ39" i="31" s="1"/>
  <c r="W39" i="31"/>
  <c r="AA39" i="31" s="1"/>
  <c r="V39" i="31"/>
  <c r="Z39" i="31" s="1"/>
  <c r="AO39" i="31" s="1"/>
  <c r="AH35" i="31"/>
  <c r="AL35" i="31" s="1"/>
  <c r="AX35" i="31" s="1"/>
  <c r="AG35" i="31"/>
  <c r="AK35" i="31" s="1"/>
  <c r="AW35" i="31" s="1"/>
  <c r="AF35" i="31"/>
  <c r="AJ35" i="31" s="1"/>
  <c r="AE35" i="31"/>
  <c r="Y35" i="31"/>
  <c r="AC35" i="31" s="1"/>
  <c r="AR35" i="31" s="1"/>
  <c r="X35" i="31"/>
  <c r="AB35" i="31" s="1"/>
  <c r="AQ35" i="31" s="1"/>
  <c r="W35" i="31"/>
  <c r="AA35" i="31" s="1"/>
  <c r="V35" i="31"/>
  <c r="Z35" i="31" s="1"/>
  <c r="AO35" i="31" s="1"/>
  <c r="AH34" i="31"/>
  <c r="AL34" i="31" s="1"/>
  <c r="AX34" i="31" s="1"/>
  <c r="AG34" i="31"/>
  <c r="AK34" i="31" s="1"/>
  <c r="AW34" i="31" s="1"/>
  <c r="AF34" i="31"/>
  <c r="AJ34" i="31" s="1"/>
  <c r="AE34" i="31"/>
  <c r="Y34" i="31"/>
  <c r="AC34" i="31" s="1"/>
  <c r="AR34" i="31" s="1"/>
  <c r="X34" i="31"/>
  <c r="AB34" i="31" s="1"/>
  <c r="AQ34" i="31" s="1"/>
  <c r="W34" i="31"/>
  <c r="AA34" i="31" s="1"/>
  <c r="V34" i="31"/>
  <c r="Z34" i="31" s="1"/>
  <c r="AO34" i="31" s="1"/>
  <c r="AH33" i="31"/>
  <c r="AL33" i="31" s="1"/>
  <c r="AX33" i="31" s="1"/>
  <c r="AG33" i="31"/>
  <c r="AK33" i="31" s="1"/>
  <c r="AW33" i="31" s="1"/>
  <c r="AF33" i="31"/>
  <c r="AJ33" i="31" s="1"/>
  <c r="AE33" i="31"/>
  <c r="Y33" i="31"/>
  <c r="AC33" i="31" s="1"/>
  <c r="AR33" i="31" s="1"/>
  <c r="X33" i="31"/>
  <c r="AB33" i="31" s="1"/>
  <c r="AQ33" i="31" s="1"/>
  <c r="W33" i="31"/>
  <c r="AA33" i="31" s="1"/>
  <c r="V33" i="31"/>
  <c r="Z33" i="31" s="1"/>
  <c r="AO33" i="31" s="1"/>
  <c r="AH32" i="31"/>
  <c r="AL32" i="31" s="1"/>
  <c r="AX32" i="31" s="1"/>
  <c r="AG32" i="31"/>
  <c r="AK32" i="31" s="1"/>
  <c r="AW32" i="31" s="1"/>
  <c r="AF32" i="31"/>
  <c r="AJ32" i="31" s="1"/>
  <c r="AE32" i="31"/>
  <c r="Y32" i="31"/>
  <c r="AC32" i="31" s="1"/>
  <c r="AR32" i="31" s="1"/>
  <c r="X32" i="31"/>
  <c r="AB32" i="31" s="1"/>
  <c r="AQ32" i="31" s="1"/>
  <c r="W32" i="31"/>
  <c r="AA32" i="31" s="1"/>
  <c r="V32" i="31"/>
  <c r="Z32" i="31" s="1"/>
  <c r="AO32" i="31" s="1"/>
  <c r="AH31" i="31"/>
  <c r="AL31" i="31" s="1"/>
  <c r="AX31" i="31" s="1"/>
  <c r="AG31" i="31"/>
  <c r="AK31" i="31" s="1"/>
  <c r="AW31" i="31" s="1"/>
  <c r="AF31" i="31"/>
  <c r="AJ31" i="31" s="1"/>
  <c r="AE31" i="31"/>
  <c r="Y31" i="31"/>
  <c r="AC31" i="31" s="1"/>
  <c r="AR31" i="31" s="1"/>
  <c r="X31" i="31"/>
  <c r="AB31" i="31" s="1"/>
  <c r="AQ31" i="31" s="1"/>
  <c r="W31" i="31"/>
  <c r="AA31" i="31" s="1"/>
  <c r="V31" i="31"/>
  <c r="Z31" i="31" s="1"/>
  <c r="AO31" i="31" s="1"/>
  <c r="AH30" i="31"/>
  <c r="AL30" i="31" s="1"/>
  <c r="AX30" i="31" s="1"/>
  <c r="AG30" i="31"/>
  <c r="AK30" i="31" s="1"/>
  <c r="AW30" i="31" s="1"/>
  <c r="AF30" i="31"/>
  <c r="AJ30" i="31" s="1"/>
  <c r="AE30" i="31"/>
  <c r="Y30" i="31"/>
  <c r="AC30" i="31" s="1"/>
  <c r="AR30" i="31" s="1"/>
  <c r="X30" i="31"/>
  <c r="AB30" i="31" s="1"/>
  <c r="AQ30" i="31" s="1"/>
  <c r="W30" i="31"/>
  <c r="AA30" i="31" s="1"/>
  <c r="V30" i="31"/>
  <c r="Z30" i="31" s="1"/>
  <c r="AO30" i="31" s="1"/>
  <c r="AH26" i="31"/>
  <c r="AL26" i="31" s="1"/>
  <c r="AX26" i="31" s="1"/>
  <c r="AG26" i="31"/>
  <c r="AK26" i="31" s="1"/>
  <c r="AW26" i="31" s="1"/>
  <c r="AF26" i="31"/>
  <c r="AJ26" i="31" s="1"/>
  <c r="AE26" i="31"/>
  <c r="Y26" i="31"/>
  <c r="AC26" i="31" s="1"/>
  <c r="AR26" i="31" s="1"/>
  <c r="X26" i="31"/>
  <c r="AB26" i="31" s="1"/>
  <c r="AQ26" i="31" s="1"/>
  <c r="W26" i="31"/>
  <c r="AA26" i="31" s="1"/>
  <c r="V26" i="31"/>
  <c r="Z26" i="31" s="1"/>
  <c r="AO26" i="31" s="1"/>
  <c r="AH25" i="31"/>
  <c r="AL25" i="31" s="1"/>
  <c r="AX25" i="31" s="1"/>
  <c r="AG25" i="31"/>
  <c r="AK25" i="31" s="1"/>
  <c r="AW25" i="31" s="1"/>
  <c r="AF25" i="31"/>
  <c r="AJ25" i="31" s="1"/>
  <c r="AE25" i="31"/>
  <c r="Y25" i="31"/>
  <c r="AC25" i="31" s="1"/>
  <c r="AR25" i="31" s="1"/>
  <c r="X25" i="31"/>
  <c r="AB25" i="31" s="1"/>
  <c r="AQ25" i="31" s="1"/>
  <c r="W25" i="31"/>
  <c r="AA25" i="31" s="1"/>
  <c r="V25" i="31"/>
  <c r="Z25" i="31" s="1"/>
  <c r="AO25" i="31" s="1"/>
  <c r="AH24" i="31"/>
  <c r="AL24" i="31" s="1"/>
  <c r="AX24" i="31" s="1"/>
  <c r="AG24" i="31"/>
  <c r="AK24" i="31" s="1"/>
  <c r="AW24" i="31" s="1"/>
  <c r="AF24" i="31"/>
  <c r="AJ24" i="31" s="1"/>
  <c r="AE24" i="31"/>
  <c r="Y24" i="31"/>
  <c r="AC24" i="31" s="1"/>
  <c r="AR24" i="31" s="1"/>
  <c r="X24" i="31"/>
  <c r="AB24" i="31" s="1"/>
  <c r="AQ24" i="31" s="1"/>
  <c r="W24" i="31"/>
  <c r="AA24" i="31" s="1"/>
  <c r="V24" i="31"/>
  <c r="Z24" i="31" s="1"/>
  <c r="AO24" i="31" s="1"/>
  <c r="AH23" i="31"/>
  <c r="AL23" i="31" s="1"/>
  <c r="AX23" i="31" s="1"/>
  <c r="AG23" i="31"/>
  <c r="AK23" i="31" s="1"/>
  <c r="AW23" i="31" s="1"/>
  <c r="AF23" i="31"/>
  <c r="AJ23" i="31" s="1"/>
  <c r="AE23" i="31"/>
  <c r="Y23" i="31"/>
  <c r="AC23" i="31" s="1"/>
  <c r="AR23" i="31" s="1"/>
  <c r="X23" i="31"/>
  <c r="AB23" i="31" s="1"/>
  <c r="AQ23" i="31" s="1"/>
  <c r="W23" i="31"/>
  <c r="AA23" i="31" s="1"/>
  <c r="V23" i="31"/>
  <c r="Z23" i="31" s="1"/>
  <c r="AO23" i="31" s="1"/>
  <c r="AH22" i="31"/>
  <c r="AL22" i="31" s="1"/>
  <c r="AX22" i="31" s="1"/>
  <c r="AG22" i="31"/>
  <c r="AK22" i="31" s="1"/>
  <c r="AW22" i="31" s="1"/>
  <c r="AF22" i="31"/>
  <c r="AJ22" i="31" s="1"/>
  <c r="AE22" i="31"/>
  <c r="Y22" i="31"/>
  <c r="AC22" i="31" s="1"/>
  <c r="AR22" i="31" s="1"/>
  <c r="X22" i="31"/>
  <c r="AB22" i="31" s="1"/>
  <c r="AQ22" i="31" s="1"/>
  <c r="W22" i="31"/>
  <c r="AA22" i="31" s="1"/>
  <c r="V22" i="31"/>
  <c r="Z22" i="31" s="1"/>
  <c r="AO22" i="31" s="1"/>
  <c r="AH21" i="31"/>
  <c r="AL21" i="31" s="1"/>
  <c r="AX21" i="31" s="1"/>
  <c r="AG21" i="31"/>
  <c r="AK21" i="31" s="1"/>
  <c r="AW21" i="31" s="1"/>
  <c r="AF21" i="31"/>
  <c r="AJ21" i="31" s="1"/>
  <c r="AE21" i="31"/>
  <c r="Y21" i="31"/>
  <c r="AC21" i="31" s="1"/>
  <c r="AR21" i="31" s="1"/>
  <c r="X21" i="31"/>
  <c r="AB21" i="31" s="1"/>
  <c r="AQ21" i="31" s="1"/>
  <c r="W21" i="31"/>
  <c r="AA21" i="31" s="1"/>
  <c r="V21" i="31"/>
  <c r="Z21" i="31" s="1"/>
  <c r="AO21" i="31" s="1"/>
  <c r="AH17" i="31"/>
  <c r="AL17" i="31" s="1"/>
  <c r="AX17" i="31" s="1"/>
  <c r="AG17" i="31"/>
  <c r="AK17" i="31" s="1"/>
  <c r="AW17" i="31" s="1"/>
  <c r="AF17" i="31"/>
  <c r="AJ17" i="31" s="1"/>
  <c r="AE17" i="31"/>
  <c r="Y17" i="31"/>
  <c r="AC17" i="31" s="1"/>
  <c r="AR17" i="31" s="1"/>
  <c r="X17" i="31"/>
  <c r="AB17" i="31" s="1"/>
  <c r="AQ17" i="31" s="1"/>
  <c r="W17" i="31"/>
  <c r="AA17" i="31" s="1"/>
  <c r="V17" i="31"/>
  <c r="Z17" i="31" s="1"/>
  <c r="AO17" i="31" s="1"/>
  <c r="AH16" i="31"/>
  <c r="AL16" i="31" s="1"/>
  <c r="AX16" i="31" s="1"/>
  <c r="AG16" i="31"/>
  <c r="AK16" i="31" s="1"/>
  <c r="AW16" i="31" s="1"/>
  <c r="AF16" i="31"/>
  <c r="AJ16" i="31" s="1"/>
  <c r="AE16" i="31"/>
  <c r="Y16" i="31"/>
  <c r="AC16" i="31" s="1"/>
  <c r="AR16" i="31" s="1"/>
  <c r="X16" i="31"/>
  <c r="AB16" i="31" s="1"/>
  <c r="AQ16" i="31" s="1"/>
  <c r="W16" i="31"/>
  <c r="AA16" i="31" s="1"/>
  <c r="V16" i="31"/>
  <c r="Z16" i="31" s="1"/>
  <c r="AO16" i="31" s="1"/>
  <c r="AH15" i="31"/>
  <c r="AL15" i="31" s="1"/>
  <c r="AX15" i="31" s="1"/>
  <c r="AG15" i="31"/>
  <c r="AK15" i="31" s="1"/>
  <c r="AW15" i="31" s="1"/>
  <c r="AF15" i="31"/>
  <c r="AJ15" i="31" s="1"/>
  <c r="AE15" i="31"/>
  <c r="Y15" i="31"/>
  <c r="AC15" i="31" s="1"/>
  <c r="AR15" i="31" s="1"/>
  <c r="X15" i="31"/>
  <c r="AB15" i="31" s="1"/>
  <c r="AQ15" i="31" s="1"/>
  <c r="W15" i="31"/>
  <c r="AA15" i="31" s="1"/>
  <c r="V15" i="31"/>
  <c r="Z15" i="31" s="1"/>
  <c r="AO15" i="31" s="1"/>
  <c r="AH14" i="31"/>
  <c r="AL14" i="31" s="1"/>
  <c r="AX14" i="31" s="1"/>
  <c r="AG14" i="31"/>
  <c r="AK14" i="31" s="1"/>
  <c r="AW14" i="31" s="1"/>
  <c r="AF14" i="31"/>
  <c r="AJ14" i="31" s="1"/>
  <c r="AE14" i="31"/>
  <c r="Y14" i="31"/>
  <c r="AC14" i="31" s="1"/>
  <c r="AR14" i="31" s="1"/>
  <c r="X14" i="31"/>
  <c r="AB14" i="31" s="1"/>
  <c r="AQ14" i="31" s="1"/>
  <c r="W14" i="31"/>
  <c r="AA14" i="31" s="1"/>
  <c r="V14" i="31"/>
  <c r="Z14" i="31" s="1"/>
  <c r="AO14" i="31" s="1"/>
  <c r="AH13" i="31"/>
  <c r="AL13" i="31" s="1"/>
  <c r="AX13" i="31" s="1"/>
  <c r="AG13" i="31"/>
  <c r="AK13" i="31" s="1"/>
  <c r="AW13" i="31" s="1"/>
  <c r="AF13" i="31"/>
  <c r="AJ13" i="31" s="1"/>
  <c r="AE13" i="31"/>
  <c r="Y13" i="31"/>
  <c r="AC13" i="31" s="1"/>
  <c r="AR13" i="31" s="1"/>
  <c r="X13" i="31"/>
  <c r="AB13" i="31" s="1"/>
  <c r="AQ13" i="31" s="1"/>
  <c r="W13" i="31"/>
  <c r="AA13" i="31" s="1"/>
  <c r="AP13" i="31" s="1"/>
  <c r="V13" i="31"/>
  <c r="Z13" i="31" s="1"/>
  <c r="AO13" i="31" s="1"/>
  <c r="AH12" i="31"/>
  <c r="AL12" i="31" s="1"/>
  <c r="AX12" i="31" s="1"/>
  <c r="AG12" i="31"/>
  <c r="AK12" i="31" s="1"/>
  <c r="AW12" i="31" s="1"/>
  <c r="AF12" i="31"/>
  <c r="AJ12" i="31" s="1"/>
  <c r="AE12" i="31"/>
  <c r="Y12" i="31"/>
  <c r="AC12" i="31" s="1"/>
  <c r="AR12" i="31" s="1"/>
  <c r="X12" i="31"/>
  <c r="AB12" i="31" s="1"/>
  <c r="AQ12" i="31" s="1"/>
  <c r="W12" i="31"/>
  <c r="AA12" i="31" s="1"/>
  <c r="AP12" i="31" s="1"/>
  <c r="V12" i="31"/>
  <c r="Z12" i="31" s="1"/>
  <c r="AO12" i="31" s="1"/>
  <c r="W39" i="2"/>
  <c r="W38" i="2"/>
  <c r="W46" i="2" s="1"/>
  <c r="W34" i="2"/>
  <c r="W42" i="2" s="1"/>
  <c r="AH170" i="30"/>
  <c r="AG170" i="30"/>
  <c r="AF170" i="30"/>
  <c r="AJ170" i="30" s="1"/>
  <c r="AE170" i="30"/>
  <c r="Y170" i="30"/>
  <c r="AC170" i="30" s="1"/>
  <c r="AR170" i="30" s="1"/>
  <c r="X170" i="30"/>
  <c r="AB170" i="30" s="1"/>
  <c r="W170" i="30"/>
  <c r="AA170" i="30" s="1"/>
  <c r="AP170" i="30" s="1"/>
  <c r="V170" i="30"/>
  <c r="Z170" i="30" s="1"/>
  <c r="AO170" i="30" s="1"/>
  <c r="AH169" i="30"/>
  <c r="AG169" i="30"/>
  <c r="AF169" i="30"/>
  <c r="AE169" i="30"/>
  <c r="Y169" i="30"/>
  <c r="AC169" i="30" s="1"/>
  <c r="AR169" i="30" s="1"/>
  <c r="X169" i="30"/>
  <c r="AB169" i="30" s="1"/>
  <c r="AQ169" i="30" s="1"/>
  <c r="W169" i="30"/>
  <c r="AA169" i="30" s="1"/>
  <c r="V169" i="30"/>
  <c r="Z169" i="30" s="1"/>
  <c r="AO169" i="30" s="1"/>
  <c r="AH168" i="30"/>
  <c r="AG168" i="30"/>
  <c r="AF168" i="30"/>
  <c r="AE168" i="30"/>
  <c r="Y168" i="30"/>
  <c r="AC168" i="30" s="1"/>
  <c r="AR168" i="30" s="1"/>
  <c r="X168" i="30"/>
  <c r="AB168" i="30" s="1"/>
  <c r="AQ168" i="30" s="1"/>
  <c r="W168" i="30"/>
  <c r="AA168" i="30" s="1"/>
  <c r="AP168" i="30" s="1"/>
  <c r="V168" i="30"/>
  <c r="Z168" i="30" s="1"/>
  <c r="AH167" i="30"/>
  <c r="AG167" i="30"/>
  <c r="AF167" i="30"/>
  <c r="AE167" i="30"/>
  <c r="Y167" i="30"/>
  <c r="AC167" i="30" s="1"/>
  <c r="AR167" i="30" s="1"/>
  <c r="X167" i="30"/>
  <c r="AB167" i="30" s="1"/>
  <c r="AQ167" i="30" s="1"/>
  <c r="W167" i="30"/>
  <c r="AA167" i="30" s="1"/>
  <c r="AP167" i="30" s="1"/>
  <c r="V167" i="30"/>
  <c r="Z167" i="30" s="1"/>
  <c r="AH166" i="30"/>
  <c r="AG166" i="30"/>
  <c r="AF166" i="30"/>
  <c r="AJ166" i="30" s="1"/>
  <c r="AE166" i="30"/>
  <c r="Y166" i="30"/>
  <c r="AC166" i="30" s="1"/>
  <c r="AR166" i="30" s="1"/>
  <c r="X166" i="30"/>
  <c r="AB166" i="30" s="1"/>
  <c r="W166" i="30"/>
  <c r="AA166" i="30" s="1"/>
  <c r="AP166" i="30" s="1"/>
  <c r="V166" i="30"/>
  <c r="Z166" i="30" s="1"/>
  <c r="AO166" i="30" s="1"/>
  <c r="AH165" i="30"/>
  <c r="AG165" i="30"/>
  <c r="AF165" i="30"/>
  <c r="AE165" i="30"/>
  <c r="Y165" i="30"/>
  <c r="AC165" i="30" s="1"/>
  <c r="AR165" i="30" s="1"/>
  <c r="X165" i="30"/>
  <c r="AB165" i="30" s="1"/>
  <c r="AQ165" i="30" s="1"/>
  <c r="W165" i="30"/>
  <c r="AA165" i="30" s="1"/>
  <c r="V165" i="30"/>
  <c r="Z165" i="30" s="1"/>
  <c r="AO165" i="30" s="1"/>
  <c r="AH161" i="30"/>
  <c r="AG161" i="30"/>
  <c r="AF161" i="30"/>
  <c r="AE161" i="30"/>
  <c r="Y161" i="30"/>
  <c r="AC161" i="30" s="1"/>
  <c r="AR161" i="30" s="1"/>
  <c r="X161" i="30"/>
  <c r="AB161" i="30" s="1"/>
  <c r="AQ161" i="30" s="1"/>
  <c r="W161" i="30"/>
  <c r="AA161" i="30" s="1"/>
  <c r="AP161" i="30" s="1"/>
  <c r="V161" i="30"/>
  <c r="Z161" i="30" s="1"/>
  <c r="AH160" i="30"/>
  <c r="AG160" i="30"/>
  <c r="AF160" i="30"/>
  <c r="AE160" i="30"/>
  <c r="Y160" i="30"/>
  <c r="AC160" i="30" s="1"/>
  <c r="AR160" i="30" s="1"/>
  <c r="X160" i="30"/>
  <c r="AB160" i="30" s="1"/>
  <c r="AQ160" i="30" s="1"/>
  <c r="W160" i="30"/>
  <c r="AA160" i="30" s="1"/>
  <c r="AP160" i="30" s="1"/>
  <c r="V160" i="30"/>
  <c r="Z160" i="30" s="1"/>
  <c r="AH159" i="30"/>
  <c r="AG159" i="30"/>
  <c r="AF159" i="30"/>
  <c r="AJ159" i="30" s="1"/>
  <c r="AE159" i="30"/>
  <c r="Y159" i="30"/>
  <c r="AC159" i="30" s="1"/>
  <c r="AR159" i="30" s="1"/>
  <c r="X159" i="30"/>
  <c r="AB159" i="30" s="1"/>
  <c r="W159" i="30"/>
  <c r="AA159" i="30" s="1"/>
  <c r="AP159" i="30" s="1"/>
  <c r="V159" i="30"/>
  <c r="Z159" i="30" s="1"/>
  <c r="AO159" i="30" s="1"/>
  <c r="AH158" i="30"/>
  <c r="AG158" i="30"/>
  <c r="AF158" i="30"/>
  <c r="AE158" i="30"/>
  <c r="Y158" i="30"/>
  <c r="AC158" i="30" s="1"/>
  <c r="AR158" i="30" s="1"/>
  <c r="X158" i="30"/>
  <c r="AB158" i="30" s="1"/>
  <c r="AQ158" i="30" s="1"/>
  <c r="W158" i="30"/>
  <c r="AA158" i="30" s="1"/>
  <c r="AP158" i="30" s="1"/>
  <c r="V158" i="30"/>
  <c r="Z158" i="30" s="1"/>
  <c r="AH157" i="30"/>
  <c r="AG157" i="30"/>
  <c r="AF157" i="30"/>
  <c r="AE157" i="30"/>
  <c r="Y157" i="30"/>
  <c r="AC157" i="30" s="1"/>
  <c r="AR157" i="30" s="1"/>
  <c r="X157" i="30"/>
  <c r="AB157" i="30" s="1"/>
  <c r="AQ157" i="30" s="1"/>
  <c r="W157" i="30"/>
  <c r="AA157" i="30" s="1"/>
  <c r="AP157" i="30" s="1"/>
  <c r="V157" i="30"/>
  <c r="Z157" i="30" s="1"/>
  <c r="AH156" i="30"/>
  <c r="AG156" i="30"/>
  <c r="AF156" i="30"/>
  <c r="AE156" i="30"/>
  <c r="Y156" i="30"/>
  <c r="AC156" i="30" s="1"/>
  <c r="AR156" i="30" s="1"/>
  <c r="X156" i="30"/>
  <c r="AB156" i="30" s="1"/>
  <c r="AQ156" i="30" s="1"/>
  <c r="W156" i="30"/>
  <c r="AA156" i="30" s="1"/>
  <c r="AP156" i="30" s="1"/>
  <c r="V156" i="30"/>
  <c r="Z156" i="30" s="1"/>
  <c r="AH152" i="30"/>
  <c r="AG152" i="30"/>
  <c r="AF152" i="30"/>
  <c r="AJ152" i="30" s="1"/>
  <c r="AE152" i="30"/>
  <c r="Y152" i="30"/>
  <c r="AC152" i="30" s="1"/>
  <c r="AR152" i="30" s="1"/>
  <c r="X152" i="30"/>
  <c r="AB152" i="30" s="1"/>
  <c r="AQ152" i="30" s="1"/>
  <c r="W152" i="30"/>
  <c r="AA152" i="30" s="1"/>
  <c r="AP152" i="30" s="1"/>
  <c r="V152" i="30"/>
  <c r="Z152" i="30" s="1"/>
  <c r="AH151" i="30"/>
  <c r="AG151" i="30"/>
  <c r="AF151" i="30"/>
  <c r="AJ151" i="30" s="1"/>
  <c r="AE151" i="30"/>
  <c r="Y151" i="30"/>
  <c r="AC151" i="30" s="1"/>
  <c r="AR151" i="30" s="1"/>
  <c r="X151" i="30"/>
  <c r="AB151" i="30" s="1"/>
  <c r="AQ151" i="30" s="1"/>
  <c r="W151" i="30"/>
  <c r="AA151" i="30" s="1"/>
  <c r="AP151" i="30" s="1"/>
  <c r="V151" i="30"/>
  <c r="Z151" i="30" s="1"/>
  <c r="AH150" i="30"/>
  <c r="AG150" i="30"/>
  <c r="AF150" i="30"/>
  <c r="AJ150" i="30" s="1"/>
  <c r="AE150" i="30"/>
  <c r="Y150" i="30"/>
  <c r="AC150" i="30" s="1"/>
  <c r="AR150" i="30" s="1"/>
  <c r="X150" i="30"/>
  <c r="AB150" i="30" s="1"/>
  <c r="AQ150" i="30" s="1"/>
  <c r="W150" i="30"/>
  <c r="AA150" i="30" s="1"/>
  <c r="AP150" i="30" s="1"/>
  <c r="V150" i="30"/>
  <c r="Z150" i="30" s="1"/>
  <c r="AH149" i="30"/>
  <c r="AG149" i="30"/>
  <c r="AF149" i="30"/>
  <c r="AJ149" i="30" s="1"/>
  <c r="AE149" i="30"/>
  <c r="Y149" i="30"/>
  <c r="AC149" i="30" s="1"/>
  <c r="AR149" i="30" s="1"/>
  <c r="X149" i="30"/>
  <c r="AB149" i="30" s="1"/>
  <c r="AQ149" i="30" s="1"/>
  <c r="W149" i="30"/>
  <c r="AA149" i="30" s="1"/>
  <c r="AP149" i="30" s="1"/>
  <c r="V149" i="30"/>
  <c r="Z149" i="30" s="1"/>
  <c r="AH148" i="30"/>
  <c r="AG148" i="30"/>
  <c r="AF148" i="30"/>
  <c r="AJ148" i="30" s="1"/>
  <c r="AE148" i="30"/>
  <c r="Y148" i="30"/>
  <c r="AC148" i="30" s="1"/>
  <c r="AR148" i="30" s="1"/>
  <c r="X148" i="30"/>
  <c r="AB148" i="30" s="1"/>
  <c r="AQ148" i="30" s="1"/>
  <c r="W148" i="30"/>
  <c r="AA148" i="30" s="1"/>
  <c r="AP148" i="30" s="1"/>
  <c r="V148" i="30"/>
  <c r="Z148" i="30" s="1"/>
  <c r="AH147" i="30"/>
  <c r="AG147" i="30"/>
  <c r="AF147" i="30"/>
  <c r="AJ147" i="30" s="1"/>
  <c r="AE147" i="30"/>
  <c r="Y147" i="30"/>
  <c r="AC147" i="30" s="1"/>
  <c r="AR147" i="30" s="1"/>
  <c r="X147" i="30"/>
  <c r="AB147" i="30" s="1"/>
  <c r="AQ147" i="30" s="1"/>
  <c r="W147" i="30"/>
  <c r="AA147" i="30" s="1"/>
  <c r="AP147" i="30" s="1"/>
  <c r="V147" i="30"/>
  <c r="Z147" i="30" s="1"/>
  <c r="AH143" i="30"/>
  <c r="AG143" i="30"/>
  <c r="AF143" i="30"/>
  <c r="AJ143" i="30" s="1"/>
  <c r="AE143" i="30"/>
  <c r="Y143" i="30"/>
  <c r="AC143" i="30" s="1"/>
  <c r="AR143" i="30" s="1"/>
  <c r="X143" i="30"/>
  <c r="AB143" i="30" s="1"/>
  <c r="AQ143" i="30" s="1"/>
  <c r="W143" i="30"/>
  <c r="AA143" i="30" s="1"/>
  <c r="AP143" i="30" s="1"/>
  <c r="V143" i="30"/>
  <c r="Z143" i="30" s="1"/>
  <c r="AH142" i="30"/>
  <c r="AG142" i="30"/>
  <c r="AF142" i="30"/>
  <c r="AJ142" i="30" s="1"/>
  <c r="AE142" i="30"/>
  <c r="Y142" i="30"/>
  <c r="AC142" i="30" s="1"/>
  <c r="AR142" i="30" s="1"/>
  <c r="X142" i="30"/>
  <c r="AB142" i="30" s="1"/>
  <c r="AQ142" i="30" s="1"/>
  <c r="W142" i="30"/>
  <c r="AA142" i="30" s="1"/>
  <c r="AP142" i="30" s="1"/>
  <c r="V142" i="30"/>
  <c r="Z142" i="30" s="1"/>
  <c r="AH141" i="30"/>
  <c r="AG141" i="30"/>
  <c r="AF141" i="30"/>
  <c r="AJ141" i="30" s="1"/>
  <c r="AE141" i="30"/>
  <c r="Y141" i="30"/>
  <c r="AC141" i="30" s="1"/>
  <c r="AR141" i="30" s="1"/>
  <c r="X141" i="30"/>
  <c r="AB141" i="30" s="1"/>
  <c r="AQ141" i="30" s="1"/>
  <c r="W141" i="30"/>
  <c r="AA141" i="30" s="1"/>
  <c r="AP141" i="30" s="1"/>
  <c r="V141" i="30"/>
  <c r="Z141" i="30" s="1"/>
  <c r="AH140" i="30"/>
  <c r="AG140" i="30"/>
  <c r="AF140" i="30"/>
  <c r="AJ140" i="30" s="1"/>
  <c r="AE140" i="30"/>
  <c r="Y140" i="30"/>
  <c r="AC140" i="30" s="1"/>
  <c r="AR140" i="30" s="1"/>
  <c r="X140" i="30"/>
  <c r="AB140" i="30" s="1"/>
  <c r="AQ140" i="30" s="1"/>
  <c r="W140" i="30"/>
  <c r="AA140" i="30" s="1"/>
  <c r="AP140" i="30" s="1"/>
  <c r="V140" i="30"/>
  <c r="Z140" i="30" s="1"/>
  <c r="AH139" i="30"/>
  <c r="AG139" i="30"/>
  <c r="AF139" i="30"/>
  <c r="AJ139" i="30" s="1"/>
  <c r="AE139" i="30"/>
  <c r="Y139" i="30"/>
  <c r="AC139" i="30" s="1"/>
  <c r="AR139" i="30" s="1"/>
  <c r="X139" i="30"/>
  <c r="AB139" i="30" s="1"/>
  <c r="AQ139" i="30" s="1"/>
  <c r="W139" i="30"/>
  <c r="AA139" i="30" s="1"/>
  <c r="AP139" i="30" s="1"/>
  <c r="V139" i="30"/>
  <c r="Z139" i="30" s="1"/>
  <c r="AH138" i="30"/>
  <c r="AG138" i="30"/>
  <c r="AF138" i="30"/>
  <c r="AJ138" i="30" s="1"/>
  <c r="AE138" i="30"/>
  <c r="Y138" i="30"/>
  <c r="AC138" i="30" s="1"/>
  <c r="AR138" i="30" s="1"/>
  <c r="X138" i="30"/>
  <c r="AB138" i="30" s="1"/>
  <c r="AQ138" i="30" s="1"/>
  <c r="W138" i="30"/>
  <c r="AA138" i="30" s="1"/>
  <c r="AP138" i="30" s="1"/>
  <c r="V138" i="30"/>
  <c r="Z138" i="30" s="1"/>
  <c r="AH134" i="30"/>
  <c r="AG134" i="30"/>
  <c r="AF134" i="30"/>
  <c r="AJ134" i="30" s="1"/>
  <c r="AE134" i="30"/>
  <c r="Y134" i="30"/>
  <c r="AC134" i="30" s="1"/>
  <c r="AR134" i="30" s="1"/>
  <c r="X134" i="30"/>
  <c r="AB134" i="30" s="1"/>
  <c r="AQ134" i="30" s="1"/>
  <c r="W134" i="30"/>
  <c r="AA134" i="30" s="1"/>
  <c r="AP134" i="30" s="1"/>
  <c r="V134" i="30"/>
  <c r="Z134" i="30" s="1"/>
  <c r="AH133" i="30"/>
  <c r="AG133" i="30"/>
  <c r="AF133" i="30"/>
  <c r="AJ133" i="30" s="1"/>
  <c r="AE133" i="30"/>
  <c r="Y133" i="30"/>
  <c r="AC133" i="30" s="1"/>
  <c r="AR133" i="30" s="1"/>
  <c r="X133" i="30"/>
  <c r="AB133" i="30" s="1"/>
  <c r="AQ133" i="30" s="1"/>
  <c r="W133" i="30"/>
  <c r="AA133" i="30" s="1"/>
  <c r="AP133" i="30" s="1"/>
  <c r="V133" i="30"/>
  <c r="Z133" i="30" s="1"/>
  <c r="AH132" i="30"/>
  <c r="AG132" i="30"/>
  <c r="AF132" i="30"/>
  <c r="AJ132" i="30" s="1"/>
  <c r="AE132" i="30"/>
  <c r="Y132" i="30"/>
  <c r="AC132" i="30" s="1"/>
  <c r="AR132" i="30" s="1"/>
  <c r="X132" i="30"/>
  <c r="AB132" i="30" s="1"/>
  <c r="AQ132" i="30" s="1"/>
  <c r="W132" i="30"/>
  <c r="AA132" i="30" s="1"/>
  <c r="AP132" i="30" s="1"/>
  <c r="V132" i="30"/>
  <c r="Z132" i="30" s="1"/>
  <c r="AH131" i="30"/>
  <c r="AG131" i="30"/>
  <c r="AF131" i="30"/>
  <c r="AJ131" i="30" s="1"/>
  <c r="AE131" i="30"/>
  <c r="Y131" i="30"/>
  <c r="AC131" i="30" s="1"/>
  <c r="AR131" i="30" s="1"/>
  <c r="X131" i="30"/>
  <c r="AB131" i="30" s="1"/>
  <c r="AQ131" i="30" s="1"/>
  <c r="W131" i="30"/>
  <c r="AA131" i="30" s="1"/>
  <c r="AP131" i="30" s="1"/>
  <c r="V131" i="30"/>
  <c r="Z131" i="30" s="1"/>
  <c r="AH130" i="30"/>
  <c r="AG130" i="30"/>
  <c r="AF130" i="30"/>
  <c r="AJ130" i="30" s="1"/>
  <c r="AE130" i="30"/>
  <c r="Y130" i="30"/>
  <c r="AC130" i="30" s="1"/>
  <c r="AR130" i="30" s="1"/>
  <c r="X130" i="30"/>
  <c r="AB130" i="30" s="1"/>
  <c r="AQ130" i="30" s="1"/>
  <c r="W130" i="30"/>
  <c r="AA130" i="30" s="1"/>
  <c r="AP130" i="30" s="1"/>
  <c r="V130" i="30"/>
  <c r="Z130" i="30" s="1"/>
  <c r="AH129" i="30"/>
  <c r="AG129" i="30"/>
  <c r="AF129" i="30"/>
  <c r="AJ129" i="30" s="1"/>
  <c r="AE129" i="30"/>
  <c r="Y129" i="30"/>
  <c r="AC129" i="30" s="1"/>
  <c r="AR129" i="30" s="1"/>
  <c r="X129" i="30"/>
  <c r="AB129" i="30" s="1"/>
  <c r="AQ129" i="30" s="1"/>
  <c r="W129" i="30"/>
  <c r="AA129" i="30" s="1"/>
  <c r="AP129" i="30" s="1"/>
  <c r="V129" i="30"/>
  <c r="Z129" i="30" s="1"/>
  <c r="AH125" i="30"/>
  <c r="AG125" i="30"/>
  <c r="AF125" i="30"/>
  <c r="AJ125" i="30" s="1"/>
  <c r="AE125" i="30"/>
  <c r="Y125" i="30"/>
  <c r="AC125" i="30" s="1"/>
  <c r="AR125" i="30" s="1"/>
  <c r="X125" i="30"/>
  <c r="AB125" i="30" s="1"/>
  <c r="W125" i="30"/>
  <c r="AA125" i="30" s="1"/>
  <c r="AP125" i="30" s="1"/>
  <c r="V125" i="30"/>
  <c r="Z125" i="30" s="1"/>
  <c r="AO125" i="30" s="1"/>
  <c r="AH124" i="30"/>
  <c r="AG124" i="30"/>
  <c r="AF124" i="30"/>
  <c r="AE124" i="30"/>
  <c r="Y124" i="30"/>
  <c r="AC124" i="30" s="1"/>
  <c r="AR124" i="30" s="1"/>
  <c r="X124" i="30"/>
  <c r="AB124" i="30" s="1"/>
  <c r="AQ124" i="30" s="1"/>
  <c r="W124" i="30"/>
  <c r="AA124" i="30" s="1"/>
  <c r="AP124" i="30" s="1"/>
  <c r="V124" i="30"/>
  <c r="Z124" i="30" s="1"/>
  <c r="AH123" i="30"/>
  <c r="AG123" i="30"/>
  <c r="AF123" i="30"/>
  <c r="AE123" i="30"/>
  <c r="Y123" i="30"/>
  <c r="AC123" i="30" s="1"/>
  <c r="AR123" i="30" s="1"/>
  <c r="X123" i="30"/>
  <c r="AB123" i="30" s="1"/>
  <c r="AQ123" i="30" s="1"/>
  <c r="W123" i="30"/>
  <c r="AA123" i="30" s="1"/>
  <c r="AP123" i="30" s="1"/>
  <c r="V123" i="30"/>
  <c r="Z123" i="30" s="1"/>
  <c r="AH122" i="30"/>
  <c r="AG122" i="30"/>
  <c r="AF122" i="30"/>
  <c r="AE122" i="30"/>
  <c r="Y122" i="30"/>
  <c r="AC122" i="30" s="1"/>
  <c r="AR122" i="30" s="1"/>
  <c r="X122" i="30"/>
  <c r="AB122" i="30" s="1"/>
  <c r="AQ122" i="30" s="1"/>
  <c r="W122" i="30"/>
  <c r="AA122" i="30" s="1"/>
  <c r="AP122" i="30" s="1"/>
  <c r="V122" i="30"/>
  <c r="Z122" i="30" s="1"/>
  <c r="AH121" i="30"/>
  <c r="AG121" i="30"/>
  <c r="AF121" i="30"/>
  <c r="AJ121" i="30" s="1"/>
  <c r="AE121" i="30"/>
  <c r="Y121" i="30"/>
  <c r="AC121" i="30" s="1"/>
  <c r="AR121" i="30" s="1"/>
  <c r="X121" i="30"/>
  <c r="AB121" i="30" s="1"/>
  <c r="W121" i="30"/>
  <c r="AA121" i="30" s="1"/>
  <c r="AP121" i="30" s="1"/>
  <c r="V121" i="30"/>
  <c r="Z121" i="30" s="1"/>
  <c r="AO121" i="30" s="1"/>
  <c r="AH120" i="30"/>
  <c r="AG120" i="30"/>
  <c r="AF120" i="30"/>
  <c r="AE120" i="30"/>
  <c r="Y120" i="30"/>
  <c r="AC120" i="30" s="1"/>
  <c r="AR120" i="30" s="1"/>
  <c r="X120" i="30"/>
  <c r="AB120" i="30" s="1"/>
  <c r="AQ120" i="30" s="1"/>
  <c r="W120" i="30"/>
  <c r="AA120" i="30" s="1"/>
  <c r="AP120" i="30" s="1"/>
  <c r="V120" i="30"/>
  <c r="Z120" i="30" s="1"/>
  <c r="AH116" i="30"/>
  <c r="AG116" i="30"/>
  <c r="AF116" i="30"/>
  <c r="AE116" i="30"/>
  <c r="Y116" i="30"/>
  <c r="AC116" i="30" s="1"/>
  <c r="AR116" i="30" s="1"/>
  <c r="X116" i="30"/>
  <c r="AB116" i="30" s="1"/>
  <c r="AQ116" i="30" s="1"/>
  <c r="W116" i="30"/>
  <c r="AA116" i="30" s="1"/>
  <c r="AP116" i="30" s="1"/>
  <c r="V116" i="30"/>
  <c r="Z116" i="30" s="1"/>
  <c r="AH115" i="30"/>
  <c r="AG115" i="30"/>
  <c r="AF115" i="30"/>
  <c r="AE115" i="30"/>
  <c r="Y115" i="30"/>
  <c r="AC115" i="30" s="1"/>
  <c r="AR115" i="30" s="1"/>
  <c r="X115" i="30"/>
  <c r="AB115" i="30" s="1"/>
  <c r="AQ115" i="30" s="1"/>
  <c r="W115" i="30"/>
  <c r="AA115" i="30" s="1"/>
  <c r="AP115" i="30" s="1"/>
  <c r="V115" i="30"/>
  <c r="Z115" i="30" s="1"/>
  <c r="AH114" i="30"/>
  <c r="AG114" i="30"/>
  <c r="AF114" i="30"/>
  <c r="AJ114" i="30" s="1"/>
  <c r="AE114" i="30"/>
  <c r="Y114" i="30"/>
  <c r="AC114" i="30" s="1"/>
  <c r="AR114" i="30" s="1"/>
  <c r="X114" i="30"/>
  <c r="AB114" i="30" s="1"/>
  <c r="W114" i="30"/>
  <c r="AA114" i="30" s="1"/>
  <c r="AP114" i="30" s="1"/>
  <c r="V114" i="30"/>
  <c r="Z114" i="30" s="1"/>
  <c r="AO114" i="30" s="1"/>
  <c r="AH113" i="30"/>
  <c r="AG113" i="30"/>
  <c r="AF113" i="30"/>
  <c r="AE113" i="30"/>
  <c r="Y113" i="30"/>
  <c r="AC113" i="30" s="1"/>
  <c r="AR113" i="30" s="1"/>
  <c r="X113" i="30"/>
  <c r="AB113" i="30" s="1"/>
  <c r="AQ113" i="30" s="1"/>
  <c r="W113" i="30"/>
  <c r="AA113" i="30" s="1"/>
  <c r="V113" i="30"/>
  <c r="Z113" i="30" s="1"/>
  <c r="AO113" i="30" s="1"/>
  <c r="AH112" i="30"/>
  <c r="AG112" i="30"/>
  <c r="AF112" i="30"/>
  <c r="AE112" i="30"/>
  <c r="Y112" i="30"/>
  <c r="AC112" i="30" s="1"/>
  <c r="AR112" i="30" s="1"/>
  <c r="X112" i="30"/>
  <c r="AB112" i="30" s="1"/>
  <c r="AQ112" i="30" s="1"/>
  <c r="W112" i="30"/>
  <c r="AA112" i="30" s="1"/>
  <c r="AP112" i="30" s="1"/>
  <c r="V112" i="30"/>
  <c r="Z112" i="30" s="1"/>
  <c r="AH111" i="30"/>
  <c r="AG111" i="30"/>
  <c r="AF111" i="30"/>
  <c r="AE111" i="30"/>
  <c r="Y111" i="30"/>
  <c r="AC111" i="30" s="1"/>
  <c r="AR111" i="30" s="1"/>
  <c r="X111" i="30"/>
  <c r="AB111" i="30" s="1"/>
  <c r="AQ111" i="30" s="1"/>
  <c r="W111" i="30"/>
  <c r="AA111" i="30" s="1"/>
  <c r="AP111" i="30" s="1"/>
  <c r="V111" i="30"/>
  <c r="Z111" i="30" s="1"/>
  <c r="AH107" i="30"/>
  <c r="AG107" i="30"/>
  <c r="AF107" i="30"/>
  <c r="AJ107" i="30" s="1"/>
  <c r="AE107" i="30"/>
  <c r="Y107" i="30"/>
  <c r="AC107" i="30" s="1"/>
  <c r="AR107" i="30" s="1"/>
  <c r="X107" i="30"/>
  <c r="AB107" i="30" s="1"/>
  <c r="W107" i="30"/>
  <c r="AA107" i="30" s="1"/>
  <c r="AP107" i="30" s="1"/>
  <c r="V107" i="30"/>
  <c r="Z107" i="30" s="1"/>
  <c r="AO107" i="30" s="1"/>
  <c r="AH106" i="30"/>
  <c r="AG106" i="30"/>
  <c r="AF106" i="30"/>
  <c r="AE106" i="30"/>
  <c r="Y106" i="30"/>
  <c r="AC106" i="30" s="1"/>
  <c r="AR106" i="30" s="1"/>
  <c r="X106" i="30"/>
  <c r="AB106" i="30" s="1"/>
  <c r="AQ106" i="30" s="1"/>
  <c r="W106" i="30"/>
  <c r="AA106" i="30" s="1"/>
  <c r="AP106" i="30" s="1"/>
  <c r="V106" i="30"/>
  <c r="Z106" i="30" s="1"/>
  <c r="AH105" i="30"/>
  <c r="AG105" i="30"/>
  <c r="AF105" i="30"/>
  <c r="AE105" i="30"/>
  <c r="Y105" i="30"/>
  <c r="AC105" i="30" s="1"/>
  <c r="AR105" i="30" s="1"/>
  <c r="X105" i="30"/>
  <c r="AB105" i="30" s="1"/>
  <c r="AQ105" i="30" s="1"/>
  <c r="W105" i="30"/>
  <c r="AA105" i="30" s="1"/>
  <c r="AP105" i="30" s="1"/>
  <c r="V105" i="30"/>
  <c r="Z105" i="30" s="1"/>
  <c r="AH104" i="30"/>
  <c r="AG104" i="30"/>
  <c r="AF104" i="30"/>
  <c r="AE104" i="30"/>
  <c r="Y104" i="30"/>
  <c r="AC104" i="30" s="1"/>
  <c r="AR104" i="30" s="1"/>
  <c r="X104" i="30"/>
  <c r="AB104" i="30" s="1"/>
  <c r="AQ104" i="30" s="1"/>
  <c r="W104" i="30"/>
  <c r="AA104" i="30" s="1"/>
  <c r="AP104" i="30" s="1"/>
  <c r="V104" i="30"/>
  <c r="Z104" i="30" s="1"/>
  <c r="AH103" i="30"/>
  <c r="AG103" i="30"/>
  <c r="AF103" i="30"/>
  <c r="AJ103" i="30" s="1"/>
  <c r="AE103" i="30"/>
  <c r="Y103" i="30"/>
  <c r="AC103" i="30" s="1"/>
  <c r="AR103" i="30" s="1"/>
  <c r="X103" i="30"/>
  <c r="AB103" i="30" s="1"/>
  <c r="W103" i="30"/>
  <c r="AA103" i="30" s="1"/>
  <c r="AP103" i="30" s="1"/>
  <c r="V103" i="30"/>
  <c r="Z103" i="30" s="1"/>
  <c r="AO103" i="30" s="1"/>
  <c r="AH102" i="30"/>
  <c r="AG102" i="30"/>
  <c r="AF102" i="30"/>
  <c r="AE102" i="30"/>
  <c r="Y102" i="30"/>
  <c r="AC102" i="30" s="1"/>
  <c r="AR102" i="30" s="1"/>
  <c r="X102" i="30"/>
  <c r="AB102" i="30" s="1"/>
  <c r="AQ102" i="30" s="1"/>
  <c r="W102" i="30"/>
  <c r="AA102" i="30" s="1"/>
  <c r="AP102" i="30" s="1"/>
  <c r="V102" i="30"/>
  <c r="Z102" i="30" s="1"/>
  <c r="AH98" i="30"/>
  <c r="AG98" i="30"/>
  <c r="AF98" i="30"/>
  <c r="AE98" i="30"/>
  <c r="Y98" i="30"/>
  <c r="AC98" i="30" s="1"/>
  <c r="AR98" i="30" s="1"/>
  <c r="X98" i="30"/>
  <c r="AB98" i="30" s="1"/>
  <c r="AQ98" i="30" s="1"/>
  <c r="W98" i="30"/>
  <c r="AA98" i="30" s="1"/>
  <c r="AP98" i="30" s="1"/>
  <c r="V98" i="30"/>
  <c r="Z98" i="30" s="1"/>
  <c r="AH97" i="30"/>
  <c r="AG97" i="30"/>
  <c r="AF97" i="30"/>
  <c r="AE97" i="30"/>
  <c r="Y97" i="30"/>
  <c r="AC97" i="30" s="1"/>
  <c r="AR97" i="30" s="1"/>
  <c r="X97" i="30"/>
  <c r="AB97" i="30" s="1"/>
  <c r="AQ97" i="30" s="1"/>
  <c r="W97" i="30"/>
  <c r="AA97" i="30" s="1"/>
  <c r="AP97" i="30" s="1"/>
  <c r="V97" i="30"/>
  <c r="Z97" i="30" s="1"/>
  <c r="AH96" i="30"/>
  <c r="AG96" i="30"/>
  <c r="AF96" i="30"/>
  <c r="AJ96" i="30" s="1"/>
  <c r="AE96" i="30"/>
  <c r="Y96" i="30"/>
  <c r="AC96" i="30" s="1"/>
  <c r="AR96" i="30" s="1"/>
  <c r="X96" i="30"/>
  <c r="AB96" i="30" s="1"/>
  <c r="AQ96" i="30" s="1"/>
  <c r="W96" i="30"/>
  <c r="AA96" i="30" s="1"/>
  <c r="AP96" i="30" s="1"/>
  <c r="V96" i="30"/>
  <c r="Z96" i="30" s="1"/>
  <c r="AH95" i="30"/>
  <c r="AG95" i="30"/>
  <c r="AF95" i="30"/>
  <c r="AE95" i="30"/>
  <c r="Y95" i="30"/>
  <c r="AC95" i="30" s="1"/>
  <c r="AR95" i="30" s="1"/>
  <c r="X95" i="30"/>
  <c r="AB95" i="30" s="1"/>
  <c r="AQ95" i="30" s="1"/>
  <c r="W95" i="30"/>
  <c r="AA95" i="30" s="1"/>
  <c r="AP95" i="30" s="1"/>
  <c r="V95" i="30"/>
  <c r="Z95" i="30" s="1"/>
  <c r="AO95" i="30" s="1"/>
  <c r="AH94" i="30"/>
  <c r="AG94" i="30"/>
  <c r="AF94" i="30"/>
  <c r="AE94" i="30"/>
  <c r="Y94" i="30"/>
  <c r="AC94" i="30" s="1"/>
  <c r="AR94" i="30" s="1"/>
  <c r="X94" i="30"/>
  <c r="AB94" i="30" s="1"/>
  <c r="AQ94" i="30" s="1"/>
  <c r="W94" i="30"/>
  <c r="AA94" i="30" s="1"/>
  <c r="AP94" i="30" s="1"/>
  <c r="V94" i="30"/>
  <c r="Z94" i="30" s="1"/>
  <c r="AH93" i="30"/>
  <c r="AG93" i="30"/>
  <c r="AF93" i="30"/>
  <c r="AE93" i="30"/>
  <c r="Y93" i="30"/>
  <c r="AC93" i="30" s="1"/>
  <c r="AR93" i="30" s="1"/>
  <c r="X93" i="30"/>
  <c r="AB93" i="30" s="1"/>
  <c r="AQ93" i="30" s="1"/>
  <c r="W93" i="30"/>
  <c r="AA93" i="30" s="1"/>
  <c r="AP93" i="30" s="1"/>
  <c r="V93" i="30"/>
  <c r="Z93" i="30" s="1"/>
  <c r="AH89" i="30"/>
  <c r="AG89" i="30"/>
  <c r="AF89" i="30"/>
  <c r="AE89" i="30"/>
  <c r="Y89" i="30"/>
  <c r="AC89" i="30" s="1"/>
  <c r="AR89" i="30" s="1"/>
  <c r="X89" i="30"/>
  <c r="AB89" i="30" s="1"/>
  <c r="AQ89" i="30" s="1"/>
  <c r="W89" i="30"/>
  <c r="AA89" i="30" s="1"/>
  <c r="AP89" i="30" s="1"/>
  <c r="V89" i="30"/>
  <c r="Z89" i="30" s="1"/>
  <c r="AO89" i="30" s="1"/>
  <c r="AH88" i="30"/>
  <c r="AG88" i="30"/>
  <c r="AF88" i="30"/>
  <c r="AE88" i="30"/>
  <c r="Y88" i="30"/>
  <c r="AC88" i="30" s="1"/>
  <c r="AR88" i="30" s="1"/>
  <c r="X88" i="30"/>
  <c r="AB88" i="30" s="1"/>
  <c r="AQ88" i="30" s="1"/>
  <c r="W88" i="30"/>
  <c r="AA88" i="30" s="1"/>
  <c r="AP88" i="30" s="1"/>
  <c r="V88" i="30"/>
  <c r="Z88" i="30" s="1"/>
  <c r="AO88" i="30" s="1"/>
  <c r="AH87" i="30"/>
  <c r="AG87" i="30"/>
  <c r="AF87" i="30"/>
  <c r="AJ87" i="30" s="1"/>
  <c r="AE87" i="30"/>
  <c r="Y87" i="30"/>
  <c r="AC87" i="30" s="1"/>
  <c r="AR87" i="30" s="1"/>
  <c r="X87" i="30"/>
  <c r="AB87" i="30" s="1"/>
  <c r="AQ87" i="30" s="1"/>
  <c r="W87" i="30"/>
  <c r="AA87" i="30" s="1"/>
  <c r="AP87" i="30" s="1"/>
  <c r="V87" i="30"/>
  <c r="Z87" i="30" s="1"/>
  <c r="AO87" i="30" s="1"/>
  <c r="AH86" i="30"/>
  <c r="AG86" i="30"/>
  <c r="AF86" i="30"/>
  <c r="AJ86" i="30" s="1"/>
  <c r="AE86" i="30"/>
  <c r="Y86" i="30"/>
  <c r="AC86" i="30" s="1"/>
  <c r="AR86" i="30" s="1"/>
  <c r="X86" i="30"/>
  <c r="AB86" i="30" s="1"/>
  <c r="AQ86" i="30" s="1"/>
  <c r="W86" i="30"/>
  <c r="AA86" i="30" s="1"/>
  <c r="AP86" i="30" s="1"/>
  <c r="V86" i="30"/>
  <c r="Z86" i="30" s="1"/>
  <c r="AO86" i="30" s="1"/>
  <c r="AH85" i="30"/>
  <c r="AG85" i="30"/>
  <c r="AF85" i="30"/>
  <c r="AE85" i="30"/>
  <c r="Y85" i="30"/>
  <c r="AC85" i="30" s="1"/>
  <c r="AR85" i="30" s="1"/>
  <c r="X85" i="30"/>
  <c r="AB85" i="30" s="1"/>
  <c r="AQ85" i="30" s="1"/>
  <c r="W85" i="30"/>
  <c r="AA85" i="30" s="1"/>
  <c r="AP85" i="30" s="1"/>
  <c r="V85" i="30"/>
  <c r="Z85" i="30" s="1"/>
  <c r="AO85" i="30" s="1"/>
  <c r="AH84" i="30"/>
  <c r="AG84" i="30"/>
  <c r="AF84" i="30"/>
  <c r="AE84" i="30"/>
  <c r="Y84" i="30"/>
  <c r="AC84" i="30" s="1"/>
  <c r="AR84" i="30" s="1"/>
  <c r="X84" i="30"/>
  <c r="AB84" i="30" s="1"/>
  <c r="AQ84" i="30" s="1"/>
  <c r="W84" i="30"/>
  <c r="AA84" i="30" s="1"/>
  <c r="AP84" i="30" s="1"/>
  <c r="V84" i="30"/>
  <c r="Z84" i="30" s="1"/>
  <c r="AO84" i="30" s="1"/>
  <c r="AH80" i="30"/>
  <c r="AG80" i="30"/>
  <c r="AF80" i="30"/>
  <c r="AE80" i="30"/>
  <c r="Y80" i="30"/>
  <c r="AC80" i="30" s="1"/>
  <c r="AR80" i="30" s="1"/>
  <c r="X80" i="30"/>
  <c r="AB80" i="30" s="1"/>
  <c r="AQ80" i="30" s="1"/>
  <c r="W80" i="30"/>
  <c r="AA80" i="30" s="1"/>
  <c r="AP80" i="30" s="1"/>
  <c r="V80" i="30"/>
  <c r="Z80" i="30" s="1"/>
  <c r="AH79" i="30"/>
  <c r="AG79" i="30"/>
  <c r="AF79" i="30"/>
  <c r="AE79" i="30"/>
  <c r="Y79" i="30"/>
  <c r="AC79" i="30" s="1"/>
  <c r="AR79" i="30" s="1"/>
  <c r="X79" i="30"/>
  <c r="AB79" i="30" s="1"/>
  <c r="AQ79" i="30" s="1"/>
  <c r="W79" i="30"/>
  <c r="AA79" i="30" s="1"/>
  <c r="AP79" i="30" s="1"/>
  <c r="V79" i="30"/>
  <c r="Z79" i="30" s="1"/>
  <c r="AH78" i="30"/>
  <c r="AG78" i="30"/>
  <c r="AF78" i="30"/>
  <c r="AE78" i="30"/>
  <c r="Y78" i="30"/>
  <c r="AC78" i="30" s="1"/>
  <c r="AR78" i="30" s="1"/>
  <c r="X78" i="30"/>
  <c r="AB78" i="30" s="1"/>
  <c r="AQ78" i="30" s="1"/>
  <c r="W78" i="30"/>
  <c r="AA78" i="30" s="1"/>
  <c r="AP78" i="30" s="1"/>
  <c r="V78" i="30"/>
  <c r="Z78" i="30" s="1"/>
  <c r="AH77" i="30"/>
  <c r="AG77" i="30"/>
  <c r="AF77" i="30"/>
  <c r="AE77" i="30"/>
  <c r="Y77" i="30"/>
  <c r="AC77" i="30" s="1"/>
  <c r="AR77" i="30" s="1"/>
  <c r="X77" i="30"/>
  <c r="AB77" i="30" s="1"/>
  <c r="AQ77" i="30" s="1"/>
  <c r="W77" i="30"/>
  <c r="AA77" i="30" s="1"/>
  <c r="AP77" i="30" s="1"/>
  <c r="V77" i="30"/>
  <c r="Z77" i="30" s="1"/>
  <c r="AH76" i="30"/>
  <c r="AG76" i="30"/>
  <c r="AF76" i="30"/>
  <c r="AE76" i="30"/>
  <c r="Y76" i="30"/>
  <c r="AC76" i="30" s="1"/>
  <c r="AR76" i="30" s="1"/>
  <c r="X76" i="30"/>
  <c r="AB76" i="30" s="1"/>
  <c r="AQ76" i="30" s="1"/>
  <c r="W76" i="30"/>
  <c r="AA76" i="30" s="1"/>
  <c r="AP76" i="30" s="1"/>
  <c r="V76" i="30"/>
  <c r="Z76" i="30" s="1"/>
  <c r="AH75" i="30"/>
  <c r="AG75" i="30"/>
  <c r="AF75" i="30"/>
  <c r="AE75" i="30"/>
  <c r="Y75" i="30"/>
  <c r="AC75" i="30" s="1"/>
  <c r="AR75" i="30" s="1"/>
  <c r="X75" i="30"/>
  <c r="AB75" i="30" s="1"/>
  <c r="AQ75" i="30" s="1"/>
  <c r="W75" i="30"/>
  <c r="AA75" i="30" s="1"/>
  <c r="AP75" i="30" s="1"/>
  <c r="V75" i="30"/>
  <c r="Z75" i="30" s="1"/>
  <c r="AH71" i="30"/>
  <c r="AL71" i="30" s="1"/>
  <c r="AG71" i="30"/>
  <c r="AF71" i="30"/>
  <c r="AE71" i="30"/>
  <c r="Y71" i="30"/>
  <c r="AC71" i="30" s="1"/>
  <c r="AR71" i="30" s="1"/>
  <c r="X71" i="30"/>
  <c r="AB71" i="30" s="1"/>
  <c r="AQ71" i="30" s="1"/>
  <c r="W71" i="30"/>
  <c r="AA71" i="30" s="1"/>
  <c r="AP71" i="30" s="1"/>
  <c r="V71" i="30"/>
  <c r="Z71" i="30" s="1"/>
  <c r="AO71" i="30" s="1"/>
  <c r="AH70" i="30"/>
  <c r="AG70" i="30"/>
  <c r="AF70" i="30"/>
  <c r="AJ70" i="30" s="1"/>
  <c r="AE70" i="30"/>
  <c r="Y70" i="30"/>
  <c r="AC70" i="30" s="1"/>
  <c r="AR70" i="30" s="1"/>
  <c r="X70" i="30"/>
  <c r="AB70" i="30" s="1"/>
  <c r="AQ70" i="30" s="1"/>
  <c r="W70" i="30"/>
  <c r="AA70" i="30" s="1"/>
  <c r="AP70" i="30" s="1"/>
  <c r="V70" i="30"/>
  <c r="Z70" i="30" s="1"/>
  <c r="AO70" i="30" s="1"/>
  <c r="AH69" i="30"/>
  <c r="AG69" i="30"/>
  <c r="AF69" i="30"/>
  <c r="AE69" i="30"/>
  <c r="Y69" i="30"/>
  <c r="AC69" i="30" s="1"/>
  <c r="AR69" i="30" s="1"/>
  <c r="X69" i="30"/>
  <c r="AB69" i="30" s="1"/>
  <c r="AQ69" i="30" s="1"/>
  <c r="W69" i="30"/>
  <c r="AA69" i="30" s="1"/>
  <c r="AP69" i="30" s="1"/>
  <c r="V69" i="30"/>
  <c r="Z69" i="30" s="1"/>
  <c r="AO69" i="30" s="1"/>
  <c r="AH68" i="30"/>
  <c r="AG68" i="30"/>
  <c r="AF68" i="30"/>
  <c r="AE68" i="30"/>
  <c r="Y68" i="30"/>
  <c r="AC68" i="30" s="1"/>
  <c r="AR68" i="30" s="1"/>
  <c r="X68" i="30"/>
  <c r="AB68" i="30" s="1"/>
  <c r="AQ68" i="30" s="1"/>
  <c r="W68" i="30"/>
  <c r="AA68" i="30" s="1"/>
  <c r="AP68" i="30" s="1"/>
  <c r="V68" i="30"/>
  <c r="Z68" i="30" s="1"/>
  <c r="AO68" i="30" s="1"/>
  <c r="AH67" i="30"/>
  <c r="AL67" i="30" s="1"/>
  <c r="AG67" i="30"/>
  <c r="AF67" i="30"/>
  <c r="AE67" i="30"/>
  <c r="Y67" i="30"/>
  <c r="AC67" i="30" s="1"/>
  <c r="AR67" i="30" s="1"/>
  <c r="X67" i="30"/>
  <c r="AB67" i="30" s="1"/>
  <c r="AQ67" i="30" s="1"/>
  <c r="W67" i="30"/>
  <c r="AA67" i="30" s="1"/>
  <c r="AP67" i="30" s="1"/>
  <c r="V67" i="30"/>
  <c r="Z67" i="30" s="1"/>
  <c r="AO67" i="30" s="1"/>
  <c r="AH66" i="30"/>
  <c r="AG66" i="30"/>
  <c r="AF66" i="30"/>
  <c r="AJ66" i="30" s="1"/>
  <c r="AE66" i="30"/>
  <c r="Y66" i="30"/>
  <c r="AC66" i="30" s="1"/>
  <c r="AR66" i="30" s="1"/>
  <c r="X66" i="30"/>
  <c r="AB66" i="30" s="1"/>
  <c r="AQ66" i="30" s="1"/>
  <c r="W66" i="30"/>
  <c r="AA66" i="30" s="1"/>
  <c r="AP66" i="30" s="1"/>
  <c r="V66" i="30"/>
  <c r="Z66" i="30" s="1"/>
  <c r="AO66" i="30" s="1"/>
  <c r="AH62" i="30"/>
  <c r="AG62" i="30"/>
  <c r="AF62" i="30"/>
  <c r="AE62" i="30"/>
  <c r="Y62" i="30"/>
  <c r="AC62" i="30" s="1"/>
  <c r="AR62" i="30" s="1"/>
  <c r="X62" i="30"/>
  <c r="AB62" i="30" s="1"/>
  <c r="AQ62" i="30" s="1"/>
  <c r="W62" i="30"/>
  <c r="AA62" i="30" s="1"/>
  <c r="AP62" i="30" s="1"/>
  <c r="V62" i="30"/>
  <c r="Z62" i="30" s="1"/>
  <c r="AH61" i="30"/>
  <c r="AG61" i="30"/>
  <c r="AF61" i="30"/>
  <c r="AE61" i="30"/>
  <c r="AI61" i="30" s="1"/>
  <c r="Y61" i="30"/>
  <c r="AC61" i="30" s="1"/>
  <c r="AR61" i="30" s="1"/>
  <c r="X61" i="30"/>
  <c r="AB61" i="30" s="1"/>
  <c r="AQ61" i="30" s="1"/>
  <c r="W61" i="30"/>
  <c r="AA61" i="30" s="1"/>
  <c r="AP61" i="30" s="1"/>
  <c r="V61" i="30"/>
  <c r="Z61" i="30" s="1"/>
  <c r="AH60" i="30"/>
  <c r="AG60" i="30"/>
  <c r="AF60" i="30"/>
  <c r="AE60" i="30"/>
  <c r="AI60" i="30" s="1"/>
  <c r="Y60" i="30"/>
  <c r="AC60" i="30" s="1"/>
  <c r="AR60" i="30" s="1"/>
  <c r="X60" i="30"/>
  <c r="AB60" i="30" s="1"/>
  <c r="AQ60" i="30" s="1"/>
  <c r="W60" i="30"/>
  <c r="AA60" i="30" s="1"/>
  <c r="AP60" i="30" s="1"/>
  <c r="V60" i="30"/>
  <c r="Z60" i="30" s="1"/>
  <c r="AH59" i="30"/>
  <c r="AG59" i="30"/>
  <c r="AF59" i="30"/>
  <c r="AE59" i="30"/>
  <c r="AI59" i="30" s="1"/>
  <c r="Y59" i="30"/>
  <c r="AC59" i="30" s="1"/>
  <c r="AR59" i="30" s="1"/>
  <c r="X59" i="30"/>
  <c r="AB59" i="30" s="1"/>
  <c r="W59" i="30"/>
  <c r="AA59" i="30" s="1"/>
  <c r="AP59" i="30" s="1"/>
  <c r="V59" i="30"/>
  <c r="Z59" i="30" s="1"/>
  <c r="AO59" i="30" s="1"/>
  <c r="AH58" i="30"/>
  <c r="AG58" i="30"/>
  <c r="AF58" i="30"/>
  <c r="AE58" i="30"/>
  <c r="AI58" i="30" s="1"/>
  <c r="Y58" i="30"/>
  <c r="AC58" i="30" s="1"/>
  <c r="AR58" i="30" s="1"/>
  <c r="X58" i="30"/>
  <c r="AB58" i="30" s="1"/>
  <c r="AQ58" i="30" s="1"/>
  <c r="W58" i="30"/>
  <c r="AA58" i="30" s="1"/>
  <c r="AP58" i="30" s="1"/>
  <c r="V58" i="30"/>
  <c r="Z58" i="30" s="1"/>
  <c r="AH57" i="30"/>
  <c r="AG57" i="30"/>
  <c r="AF57" i="30"/>
  <c r="AE57" i="30"/>
  <c r="AI57" i="30" s="1"/>
  <c r="Y57" i="30"/>
  <c r="AC57" i="30" s="1"/>
  <c r="AR57" i="30" s="1"/>
  <c r="X57" i="30"/>
  <c r="AB57" i="30" s="1"/>
  <c r="AQ57" i="30" s="1"/>
  <c r="W57" i="30"/>
  <c r="AA57" i="30" s="1"/>
  <c r="AP57" i="30" s="1"/>
  <c r="V57" i="30"/>
  <c r="Z57" i="30" s="1"/>
  <c r="AH53" i="30"/>
  <c r="AG53" i="30"/>
  <c r="AF53" i="30"/>
  <c r="AE53" i="30"/>
  <c r="Y53" i="30"/>
  <c r="AC53" i="30" s="1"/>
  <c r="AR53" i="30" s="1"/>
  <c r="X53" i="30"/>
  <c r="AB53" i="30" s="1"/>
  <c r="AQ53" i="30" s="1"/>
  <c r="W53" i="30"/>
  <c r="AA53" i="30" s="1"/>
  <c r="AP53" i="30" s="1"/>
  <c r="V53" i="30"/>
  <c r="Z53" i="30" s="1"/>
  <c r="AO53" i="30" s="1"/>
  <c r="AH52" i="30"/>
  <c r="AG52" i="30"/>
  <c r="AF52" i="30"/>
  <c r="AE52" i="30"/>
  <c r="Y52" i="30"/>
  <c r="AC52" i="30" s="1"/>
  <c r="AR52" i="30" s="1"/>
  <c r="X52" i="30"/>
  <c r="AB52" i="30" s="1"/>
  <c r="AQ52" i="30" s="1"/>
  <c r="W52" i="30"/>
  <c r="AA52" i="30" s="1"/>
  <c r="AP52" i="30" s="1"/>
  <c r="V52" i="30"/>
  <c r="Z52" i="30" s="1"/>
  <c r="AO52" i="30" s="1"/>
  <c r="AH51" i="30"/>
  <c r="AG51" i="30"/>
  <c r="AF51" i="30"/>
  <c r="AJ51" i="30" s="1"/>
  <c r="AE51" i="30"/>
  <c r="Y51" i="30"/>
  <c r="AC51" i="30" s="1"/>
  <c r="AR51" i="30" s="1"/>
  <c r="X51" i="30"/>
  <c r="AB51" i="30" s="1"/>
  <c r="AQ51" i="30" s="1"/>
  <c r="W51" i="30"/>
  <c r="AA51" i="30" s="1"/>
  <c r="AP51" i="30" s="1"/>
  <c r="V51" i="30"/>
  <c r="Z51" i="30" s="1"/>
  <c r="AO51" i="30" s="1"/>
  <c r="AH50" i="30"/>
  <c r="AG50" i="30"/>
  <c r="AF50" i="30"/>
  <c r="AJ50" i="30" s="1"/>
  <c r="AE50" i="30"/>
  <c r="Y50" i="30"/>
  <c r="AC50" i="30" s="1"/>
  <c r="AR50" i="30" s="1"/>
  <c r="X50" i="30"/>
  <c r="AB50" i="30" s="1"/>
  <c r="AQ50" i="30" s="1"/>
  <c r="W50" i="30"/>
  <c r="AA50" i="30" s="1"/>
  <c r="AP50" i="30" s="1"/>
  <c r="V50" i="30"/>
  <c r="Z50" i="30" s="1"/>
  <c r="AO50" i="30" s="1"/>
  <c r="AH49" i="30"/>
  <c r="AG49" i="30"/>
  <c r="AF49" i="30"/>
  <c r="AE49" i="30"/>
  <c r="Y49" i="30"/>
  <c r="AC49" i="30" s="1"/>
  <c r="AR49" i="30" s="1"/>
  <c r="X49" i="30"/>
  <c r="AB49" i="30" s="1"/>
  <c r="AQ49" i="30" s="1"/>
  <c r="W49" i="30"/>
  <c r="AA49" i="30" s="1"/>
  <c r="AP49" i="30" s="1"/>
  <c r="V49" i="30"/>
  <c r="Z49" i="30" s="1"/>
  <c r="AO49" i="30" s="1"/>
  <c r="AH48" i="30"/>
  <c r="AG48" i="30"/>
  <c r="AF48" i="30"/>
  <c r="AE48" i="30"/>
  <c r="Y48" i="30"/>
  <c r="AC48" i="30" s="1"/>
  <c r="AR48" i="30" s="1"/>
  <c r="X48" i="30"/>
  <c r="AB48" i="30" s="1"/>
  <c r="AQ48" i="30" s="1"/>
  <c r="W48" i="30"/>
  <c r="AA48" i="30" s="1"/>
  <c r="AP48" i="30" s="1"/>
  <c r="V48" i="30"/>
  <c r="Z48" i="30" s="1"/>
  <c r="AO48" i="30" s="1"/>
  <c r="AH44" i="30"/>
  <c r="AG44" i="30"/>
  <c r="AF44" i="30"/>
  <c r="AE44" i="30"/>
  <c r="AI44" i="30" s="1"/>
  <c r="Y44" i="30"/>
  <c r="AC44" i="30" s="1"/>
  <c r="AR44" i="30" s="1"/>
  <c r="X44" i="30"/>
  <c r="AB44" i="30" s="1"/>
  <c r="AQ44" i="30" s="1"/>
  <c r="W44" i="30"/>
  <c r="AA44" i="30" s="1"/>
  <c r="AP44" i="30" s="1"/>
  <c r="V44" i="30"/>
  <c r="Z44" i="30" s="1"/>
  <c r="AH43" i="30"/>
  <c r="AG43" i="30"/>
  <c r="AF43" i="30"/>
  <c r="AE43" i="30"/>
  <c r="AI43" i="30" s="1"/>
  <c r="Y43" i="30"/>
  <c r="AC43" i="30" s="1"/>
  <c r="AR43" i="30" s="1"/>
  <c r="X43" i="30"/>
  <c r="AB43" i="30" s="1"/>
  <c r="AQ43" i="30" s="1"/>
  <c r="W43" i="30"/>
  <c r="AA43" i="30" s="1"/>
  <c r="AP43" i="30" s="1"/>
  <c r="V43" i="30"/>
  <c r="Z43" i="30" s="1"/>
  <c r="AH42" i="30"/>
  <c r="AG42" i="30"/>
  <c r="AF42" i="30"/>
  <c r="AE42" i="30"/>
  <c r="AI42" i="30" s="1"/>
  <c r="Y42" i="30"/>
  <c r="AC42" i="30" s="1"/>
  <c r="AR42" i="30" s="1"/>
  <c r="X42" i="30"/>
  <c r="AB42" i="30" s="1"/>
  <c r="AQ42" i="30" s="1"/>
  <c r="W42" i="30"/>
  <c r="AA42" i="30" s="1"/>
  <c r="AP42" i="30" s="1"/>
  <c r="V42" i="30"/>
  <c r="Z42" i="30" s="1"/>
  <c r="AH41" i="30"/>
  <c r="AG41" i="30"/>
  <c r="AF41" i="30"/>
  <c r="AE41" i="30"/>
  <c r="AI41" i="30" s="1"/>
  <c r="Y41" i="30"/>
  <c r="AC41" i="30" s="1"/>
  <c r="AR41" i="30" s="1"/>
  <c r="X41" i="30"/>
  <c r="AB41" i="30" s="1"/>
  <c r="AQ41" i="30" s="1"/>
  <c r="W41" i="30"/>
  <c r="AA41" i="30" s="1"/>
  <c r="AP41" i="30" s="1"/>
  <c r="V41" i="30"/>
  <c r="Z41" i="30" s="1"/>
  <c r="AO41" i="30" s="1"/>
  <c r="AH40" i="30"/>
  <c r="AG40" i="30"/>
  <c r="AF40" i="30"/>
  <c r="AE40" i="30"/>
  <c r="AI40" i="30" s="1"/>
  <c r="Y40" i="30"/>
  <c r="AC40" i="30" s="1"/>
  <c r="AR40" i="30" s="1"/>
  <c r="X40" i="30"/>
  <c r="AB40" i="30" s="1"/>
  <c r="AQ40" i="30" s="1"/>
  <c r="W40" i="30"/>
  <c r="AA40" i="30" s="1"/>
  <c r="AP40" i="30" s="1"/>
  <c r="V40" i="30"/>
  <c r="Z40" i="30" s="1"/>
  <c r="AH39" i="30"/>
  <c r="AG39" i="30"/>
  <c r="AF39" i="30"/>
  <c r="AE39" i="30"/>
  <c r="AI39" i="30" s="1"/>
  <c r="Y39" i="30"/>
  <c r="AC39" i="30" s="1"/>
  <c r="AR39" i="30" s="1"/>
  <c r="X39" i="30"/>
  <c r="AB39" i="30" s="1"/>
  <c r="AQ39" i="30" s="1"/>
  <c r="W39" i="30"/>
  <c r="AA39" i="30" s="1"/>
  <c r="AP39" i="30" s="1"/>
  <c r="V39" i="30"/>
  <c r="Z39" i="30" s="1"/>
  <c r="AH35" i="30"/>
  <c r="AL35" i="30" s="1"/>
  <c r="AG35" i="30"/>
  <c r="AF35" i="30"/>
  <c r="AE35" i="30"/>
  <c r="Y35" i="30"/>
  <c r="AC35" i="30" s="1"/>
  <c r="AR35" i="30" s="1"/>
  <c r="X35" i="30"/>
  <c r="AB35" i="30" s="1"/>
  <c r="AQ35" i="30" s="1"/>
  <c r="W35" i="30"/>
  <c r="AA35" i="30" s="1"/>
  <c r="AP35" i="30" s="1"/>
  <c r="V35" i="30"/>
  <c r="Z35" i="30" s="1"/>
  <c r="AO35" i="30" s="1"/>
  <c r="AH34" i="30"/>
  <c r="AG34" i="30"/>
  <c r="AF34" i="30"/>
  <c r="AJ34" i="30" s="1"/>
  <c r="AE34" i="30"/>
  <c r="Y34" i="30"/>
  <c r="AC34" i="30" s="1"/>
  <c r="AR34" i="30" s="1"/>
  <c r="X34" i="30"/>
  <c r="AB34" i="30" s="1"/>
  <c r="AQ34" i="30" s="1"/>
  <c r="W34" i="30"/>
  <c r="AA34" i="30" s="1"/>
  <c r="AP34" i="30" s="1"/>
  <c r="V34" i="30"/>
  <c r="Z34" i="30" s="1"/>
  <c r="AO34" i="30" s="1"/>
  <c r="AH33" i="30"/>
  <c r="AG33" i="30"/>
  <c r="AF33" i="30"/>
  <c r="AE33" i="30"/>
  <c r="Y33" i="30"/>
  <c r="AC33" i="30" s="1"/>
  <c r="AR33" i="30" s="1"/>
  <c r="X33" i="30"/>
  <c r="AB33" i="30" s="1"/>
  <c r="AQ33" i="30" s="1"/>
  <c r="W33" i="30"/>
  <c r="AA33" i="30" s="1"/>
  <c r="AP33" i="30" s="1"/>
  <c r="V33" i="30"/>
  <c r="Z33" i="30" s="1"/>
  <c r="AO33" i="30" s="1"/>
  <c r="AH32" i="30"/>
  <c r="AG32" i="30"/>
  <c r="AF32" i="30"/>
  <c r="AE32" i="30"/>
  <c r="Y32" i="30"/>
  <c r="AC32" i="30" s="1"/>
  <c r="AR32" i="30" s="1"/>
  <c r="X32" i="30"/>
  <c r="AB32" i="30" s="1"/>
  <c r="AQ32" i="30" s="1"/>
  <c r="W32" i="30"/>
  <c r="AA32" i="30" s="1"/>
  <c r="AP32" i="30" s="1"/>
  <c r="V32" i="30"/>
  <c r="Z32" i="30" s="1"/>
  <c r="AO32" i="30" s="1"/>
  <c r="AH31" i="30"/>
  <c r="AL31" i="30" s="1"/>
  <c r="AG31" i="30"/>
  <c r="AF31" i="30"/>
  <c r="AE31" i="30"/>
  <c r="Y31" i="30"/>
  <c r="AC31" i="30" s="1"/>
  <c r="AR31" i="30" s="1"/>
  <c r="X31" i="30"/>
  <c r="AB31" i="30" s="1"/>
  <c r="AQ31" i="30" s="1"/>
  <c r="W31" i="30"/>
  <c r="AA31" i="30" s="1"/>
  <c r="AP31" i="30" s="1"/>
  <c r="V31" i="30"/>
  <c r="Z31" i="30" s="1"/>
  <c r="AO31" i="30" s="1"/>
  <c r="AH30" i="30"/>
  <c r="AG30" i="30"/>
  <c r="AF30" i="30"/>
  <c r="AJ30" i="30" s="1"/>
  <c r="AE30" i="30"/>
  <c r="Y30" i="30"/>
  <c r="AC30" i="30" s="1"/>
  <c r="AR30" i="30" s="1"/>
  <c r="X30" i="30"/>
  <c r="AB30" i="30" s="1"/>
  <c r="AQ30" i="30" s="1"/>
  <c r="W30" i="30"/>
  <c r="AA30" i="30" s="1"/>
  <c r="AP30" i="30" s="1"/>
  <c r="V30" i="30"/>
  <c r="Z30" i="30" s="1"/>
  <c r="AO30" i="30" s="1"/>
  <c r="AH26" i="30"/>
  <c r="AG26" i="30"/>
  <c r="AF26" i="30"/>
  <c r="AE26" i="30"/>
  <c r="AI26" i="30" s="1"/>
  <c r="Y26" i="30"/>
  <c r="AC26" i="30" s="1"/>
  <c r="AR26" i="30" s="1"/>
  <c r="X26" i="30"/>
  <c r="AB26" i="30" s="1"/>
  <c r="AQ26" i="30" s="1"/>
  <c r="W26" i="30"/>
  <c r="AA26" i="30" s="1"/>
  <c r="AP26" i="30" s="1"/>
  <c r="V26" i="30"/>
  <c r="Z26" i="30" s="1"/>
  <c r="AO26" i="30" s="1"/>
  <c r="AH25" i="30"/>
  <c r="AG25" i="30"/>
  <c r="AF25" i="30"/>
  <c r="AE25" i="30"/>
  <c r="AI25" i="30" s="1"/>
  <c r="Y25" i="30"/>
  <c r="AC25" i="30" s="1"/>
  <c r="AR25" i="30" s="1"/>
  <c r="X25" i="30"/>
  <c r="AB25" i="30" s="1"/>
  <c r="AQ25" i="30" s="1"/>
  <c r="W25" i="30"/>
  <c r="AA25" i="30" s="1"/>
  <c r="AP25" i="30" s="1"/>
  <c r="V25" i="30"/>
  <c r="Z25" i="30" s="1"/>
  <c r="AH24" i="30"/>
  <c r="AG24" i="30"/>
  <c r="AF24" i="30"/>
  <c r="AE24" i="30"/>
  <c r="AI24" i="30" s="1"/>
  <c r="Y24" i="30"/>
  <c r="AC24" i="30" s="1"/>
  <c r="AR24" i="30" s="1"/>
  <c r="X24" i="30"/>
  <c r="AB24" i="30" s="1"/>
  <c r="AQ24" i="30" s="1"/>
  <c r="W24" i="30"/>
  <c r="AA24" i="30" s="1"/>
  <c r="AP24" i="30" s="1"/>
  <c r="V24" i="30"/>
  <c r="Z24" i="30" s="1"/>
  <c r="AH23" i="30"/>
  <c r="AG23" i="30"/>
  <c r="AF23" i="30"/>
  <c r="AE23" i="30"/>
  <c r="AI23" i="30" s="1"/>
  <c r="Y23" i="30"/>
  <c r="AC23" i="30" s="1"/>
  <c r="AR23" i="30" s="1"/>
  <c r="X23" i="30"/>
  <c r="AB23" i="30" s="1"/>
  <c r="W23" i="30"/>
  <c r="AA23" i="30" s="1"/>
  <c r="AP23" i="30" s="1"/>
  <c r="V23" i="30"/>
  <c r="Z23" i="30" s="1"/>
  <c r="AO23" i="30" s="1"/>
  <c r="AH22" i="30"/>
  <c r="AG22" i="30"/>
  <c r="AF22" i="30"/>
  <c r="AE22" i="30"/>
  <c r="AI22" i="30" s="1"/>
  <c r="Y22" i="30"/>
  <c r="AC22" i="30" s="1"/>
  <c r="AR22" i="30" s="1"/>
  <c r="X22" i="30"/>
  <c r="AB22" i="30" s="1"/>
  <c r="AQ22" i="30" s="1"/>
  <c r="W22" i="30"/>
  <c r="AA22" i="30" s="1"/>
  <c r="AP22" i="30" s="1"/>
  <c r="V22" i="30"/>
  <c r="Z22" i="30" s="1"/>
  <c r="AH21" i="30"/>
  <c r="AG21" i="30"/>
  <c r="AF21" i="30"/>
  <c r="AE21" i="30"/>
  <c r="AI21" i="30" s="1"/>
  <c r="Y21" i="30"/>
  <c r="AC21" i="30" s="1"/>
  <c r="AR21" i="30" s="1"/>
  <c r="X21" i="30"/>
  <c r="AB21" i="30" s="1"/>
  <c r="AQ21" i="30" s="1"/>
  <c r="W21" i="30"/>
  <c r="AA21" i="30" s="1"/>
  <c r="AP21" i="30" s="1"/>
  <c r="Z21" i="30"/>
  <c r="AH17" i="30"/>
  <c r="AG17" i="30"/>
  <c r="AF17" i="30"/>
  <c r="AE17" i="30"/>
  <c r="AI17" i="30" s="1"/>
  <c r="Y17" i="30"/>
  <c r="AC17" i="30" s="1"/>
  <c r="AR17" i="30" s="1"/>
  <c r="X17" i="30"/>
  <c r="AB17" i="30" s="1"/>
  <c r="AQ17" i="30" s="1"/>
  <c r="W17" i="30"/>
  <c r="AA17" i="30" s="1"/>
  <c r="AP17" i="30" s="1"/>
  <c r="V17" i="30"/>
  <c r="Z17" i="30" s="1"/>
  <c r="AH16" i="30"/>
  <c r="AG16" i="30"/>
  <c r="AF16" i="30"/>
  <c r="AE16" i="30"/>
  <c r="AI16" i="30" s="1"/>
  <c r="Y16" i="30"/>
  <c r="AC16" i="30" s="1"/>
  <c r="AR16" i="30" s="1"/>
  <c r="X16" i="30"/>
  <c r="AB16" i="30" s="1"/>
  <c r="AQ16" i="30" s="1"/>
  <c r="W16" i="30"/>
  <c r="AA16" i="30" s="1"/>
  <c r="AP16" i="30" s="1"/>
  <c r="V16" i="30"/>
  <c r="Z16" i="30" s="1"/>
  <c r="AO16" i="30" s="1"/>
  <c r="AH15" i="30"/>
  <c r="AG15" i="30"/>
  <c r="AF15" i="30"/>
  <c r="AE15" i="30"/>
  <c r="AI15" i="30" s="1"/>
  <c r="Y15" i="30"/>
  <c r="AC15" i="30" s="1"/>
  <c r="AR15" i="30" s="1"/>
  <c r="X15" i="30"/>
  <c r="AB15" i="30" s="1"/>
  <c r="AQ15" i="30" s="1"/>
  <c r="W15" i="30"/>
  <c r="AA15" i="30" s="1"/>
  <c r="AP15" i="30" s="1"/>
  <c r="V15" i="30"/>
  <c r="Z15" i="30" s="1"/>
  <c r="AO15" i="30" s="1"/>
  <c r="AH14" i="30"/>
  <c r="AG14" i="30"/>
  <c r="AF14" i="30"/>
  <c r="AE14" i="30"/>
  <c r="AI14" i="30" s="1"/>
  <c r="Y14" i="30"/>
  <c r="AC14" i="30" s="1"/>
  <c r="AR14" i="30" s="1"/>
  <c r="X14" i="30"/>
  <c r="AB14" i="30" s="1"/>
  <c r="AQ14" i="30" s="1"/>
  <c r="W14" i="30"/>
  <c r="AA14" i="30" s="1"/>
  <c r="AP14" i="30" s="1"/>
  <c r="V14" i="30"/>
  <c r="Z14" i="30" s="1"/>
  <c r="AO14" i="30" s="1"/>
  <c r="AH13" i="30"/>
  <c r="AG13" i="30"/>
  <c r="AF13" i="30"/>
  <c r="AE13" i="30"/>
  <c r="AI13" i="30" s="1"/>
  <c r="Y13" i="30"/>
  <c r="AC13" i="30" s="1"/>
  <c r="AR13" i="30" s="1"/>
  <c r="X13" i="30"/>
  <c r="AB13" i="30" s="1"/>
  <c r="AQ13" i="30" s="1"/>
  <c r="W13" i="30"/>
  <c r="AA13" i="30" s="1"/>
  <c r="AP13" i="30" s="1"/>
  <c r="V13" i="30"/>
  <c r="Z13" i="30" s="1"/>
  <c r="AH12" i="30"/>
  <c r="AG12" i="30"/>
  <c r="AF12" i="30"/>
  <c r="AE12" i="30"/>
  <c r="AI12" i="30" s="1"/>
  <c r="Y12" i="30"/>
  <c r="AC12" i="30" s="1"/>
  <c r="AR12" i="30" s="1"/>
  <c r="X12" i="30"/>
  <c r="AB12" i="30" s="1"/>
  <c r="AQ12" i="30" s="1"/>
  <c r="W12" i="30"/>
  <c r="AA12" i="30" s="1"/>
  <c r="AP12" i="30" s="1"/>
  <c r="Z12" i="30"/>
  <c r="AO12" i="30" s="1"/>
  <c r="X39" i="2"/>
  <c r="X38" i="2"/>
  <c r="X46" i="2" s="1"/>
  <c r="X34" i="2"/>
  <c r="X42" i="2" s="1"/>
  <c r="AO115" i="31"/>
  <c r="AH170" i="29"/>
  <c r="AG170" i="29"/>
  <c r="AF170" i="29"/>
  <c r="AE170" i="29"/>
  <c r="Y170" i="29"/>
  <c r="AC170" i="29" s="1"/>
  <c r="AR170" i="29" s="1"/>
  <c r="X170" i="29"/>
  <c r="AB170" i="29" s="1"/>
  <c r="AQ170" i="29" s="1"/>
  <c r="W170" i="29"/>
  <c r="AA170" i="29" s="1"/>
  <c r="AP170" i="29" s="1"/>
  <c r="V170" i="29"/>
  <c r="Z170" i="29" s="1"/>
  <c r="AO170" i="29" s="1"/>
  <c r="AH169" i="29"/>
  <c r="AG169" i="29"/>
  <c r="AF169" i="29"/>
  <c r="AE169" i="29"/>
  <c r="Y169" i="29"/>
  <c r="AC169" i="29" s="1"/>
  <c r="AR169" i="29" s="1"/>
  <c r="X169" i="29"/>
  <c r="AB169" i="29" s="1"/>
  <c r="AQ169" i="29" s="1"/>
  <c r="W169" i="29"/>
  <c r="AA169" i="29" s="1"/>
  <c r="AP169" i="29" s="1"/>
  <c r="V169" i="29"/>
  <c r="Z169" i="29" s="1"/>
  <c r="AH168" i="29"/>
  <c r="AG168" i="29"/>
  <c r="AF168" i="29"/>
  <c r="AE168" i="29"/>
  <c r="Y168" i="29"/>
  <c r="AC168" i="29" s="1"/>
  <c r="AR168" i="29" s="1"/>
  <c r="X168" i="29"/>
  <c r="AB168" i="29" s="1"/>
  <c r="AQ168" i="29" s="1"/>
  <c r="W168" i="29"/>
  <c r="AA168" i="29" s="1"/>
  <c r="AP168" i="29" s="1"/>
  <c r="V168" i="29"/>
  <c r="Z168" i="29" s="1"/>
  <c r="AO168" i="29" s="1"/>
  <c r="AH167" i="29"/>
  <c r="AG167" i="29"/>
  <c r="AF167" i="29"/>
  <c r="AE167" i="29"/>
  <c r="Y167" i="29"/>
  <c r="AC167" i="29" s="1"/>
  <c r="AR167" i="29" s="1"/>
  <c r="X167" i="29"/>
  <c r="AB167" i="29" s="1"/>
  <c r="AQ167" i="29" s="1"/>
  <c r="W167" i="29"/>
  <c r="AA167" i="29" s="1"/>
  <c r="AP167" i="29" s="1"/>
  <c r="V167" i="29"/>
  <c r="Z167" i="29" s="1"/>
  <c r="AO167" i="29" s="1"/>
  <c r="AH166" i="29"/>
  <c r="AG166" i="29"/>
  <c r="AF166" i="29"/>
  <c r="AE166" i="29"/>
  <c r="Y166" i="29"/>
  <c r="AC166" i="29" s="1"/>
  <c r="AR166" i="29" s="1"/>
  <c r="X166" i="29"/>
  <c r="AB166" i="29" s="1"/>
  <c r="AQ166" i="29" s="1"/>
  <c r="W166" i="29"/>
  <c r="AA166" i="29" s="1"/>
  <c r="AP166" i="29" s="1"/>
  <c r="V166" i="29"/>
  <c r="Z166" i="29" s="1"/>
  <c r="AO166" i="29" s="1"/>
  <c r="AH165" i="29"/>
  <c r="AG165" i="29"/>
  <c r="AF165" i="29"/>
  <c r="AE165" i="29"/>
  <c r="Y165" i="29"/>
  <c r="AC165" i="29" s="1"/>
  <c r="AR165" i="29" s="1"/>
  <c r="X165" i="29"/>
  <c r="AB165" i="29" s="1"/>
  <c r="AQ165" i="29" s="1"/>
  <c r="W165" i="29"/>
  <c r="AA165" i="29" s="1"/>
  <c r="AP165" i="29" s="1"/>
  <c r="V165" i="29"/>
  <c r="Z165" i="29" s="1"/>
  <c r="AO165" i="29" s="1"/>
  <c r="AH161" i="29"/>
  <c r="AG161" i="29"/>
  <c r="AF161" i="29"/>
  <c r="AE161" i="29"/>
  <c r="Y161" i="29"/>
  <c r="AC161" i="29" s="1"/>
  <c r="AR161" i="29" s="1"/>
  <c r="X161" i="29"/>
  <c r="AB161" i="29" s="1"/>
  <c r="AQ161" i="29" s="1"/>
  <c r="W161" i="29"/>
  <c r="AA161" i="29" s="1"/>
  <c r="AP161" i="29" s="1"/>
  <c r="V161" i="29"/>
  <c r="Z161" i="29" s="1"/>
  <c r="AO161" i="29" s="1"/>
  <c r="AH160" i="29"/>
  <c r="AG160" i="29"/>
  <c r="AF160" i="29"/>
  <c r="AE160" i="29"/>
  <c r="Y160" i="29"/>
  <c r="AC160" i="29" s="1"/>
  <c r="AR160" i="29" s="1"/>
  <c r="X160" i="29"/>
  <c r="AB160" i="29" s="1"/>
  <c r="AQ160" i="29" s="1"/>
  <c r="W160" i="29"/>
  <c r="AA160" i="29" s="1"/>
  <c r="AP160" i="29" s="1"/>
  <c r="V160" i="29"/>
  <c r="Z160" i="29" s="1"/>
  <c r="AO160" i="29" s="1"/>
  <c r="AH159" i="29"/>
  <c r="AG159" i="29"/>
  <c r="AF159" i="29"/>
  <c r="AE159" i="29"/>
  <c r="Y159" i="29"/>
  <c r="AC159" i="29" s="1"/>
  <c r="AR159" i="29" s="1"/>
  <c r="X159" i="29"/>
  <c r="AB159" i="29" s="1"/>
  <c r="AQ159" i="29" s="1"/>
  <c r="W159" i="29"/>
  <c r="AA159" i="29" s="1"/>
  <c r="AP159" i="29" s="1"/>
  <c r="V159" i="29"/>
  <c r="Z159" i="29" s="1"/>
  <c r="AO159" i="29" s="1"/>
  <c r="AH158" i="29"/>
  <c r="AG158" i="29"/>
  <c r="AF158" i="29"/>
  <c r="AE158" i="29"/>
  <c r="Y158" i="29"/>
  <c r="AC158" i="29" s="1"/>
  <c r="AR158" i="29" s="1"/>
  <c r="X158" i="29"/>
  <c r="AB158" i="29" s="1"/>
  <c r="AQ158" i="29" s="1"/>
  <c r="W158" i="29"/>
  <c r="AA158" i="29" s="1"/>
  <c r="AP158" i="29" s="1"/>
  <c r="V158" i="29"/>
  <c r="Z158" i="29" s="1"/>
  <c r="AO158" i="29" s="1"/>
  <c r="AH157" i="29"/>
  <c r="AG157" i="29"/>
  <c r="AF157" i="29"/>
  <c r="AE157" i="29"/>
  <c r="Y157" i="29"/>
  <c r="AC157" i="29" s="1"/>
  <c r="AR157" i="29" s="1"/>
  <c r="X157" i="29"/>
  <c r="AB157" i="29" s="1"/>
  <c r="AQ157" i="29" s="1"/>
  <c r="W157" i="29"/>
  <c r="AA157" i="29" s="1"/>
  <c r="AP157" i="29" s="1"/>
  <c r="V157" i="29"/>
  <c r="Z157" i="29" s="1"/>
  <c r="AO157" i="29" s="1"/>
  <c r="AH156" i="29"/>
  <c r="AG156" i="29"/>
  <c r="AF156" i="29"/>
  <c r="AE156" i="29"/>
  <c r="Y156" i="29"/>
  <c r="AC156" i="29" s="1"/>
  <c r="AR156" i="29" s="1"/>
  <c r="X156" i="29"/>
  <c r="AB156" i="29" s="1"/>
  <c r="AQ156" i="29" s="1"/>
  <c r="W156" i="29"/>
  <c r="AA156" i="29" s="1"/>
  <c r="AP156" i="29" s="1"/>
  <c r="V156" i="29"/>
  <c r="Z156" i="29" s="1"/>
  <c r="AO156" i="29" s="1"/>
  <c r="AH152" i="29"/>
  <c r="AG152" i="29"/>
  <c r="AF152" i="29"/>
  <c r="AE152" i="29"/>
  <c r="Y152" i="29"/>
  <c r="AC152" i="29" s="1"/>
  <c r="AR152" i="29" s="1"/>
  <c r="X152" i="29"/>
  <c r="AB152" i="29" s="1"/>
  <c r="AQ152" i="29" s="1"/>
  <c r="W152" i="29"/>
  <c r="AA152" i="29" s="1"/>
  <c r="AP152" i="29" s="1"/>
  <c r="V152" i="29"/>
  <c r="Z152" i="29" s="1"/>
  <c r="AO152" i="29" s="1"/>
  <c r="AH151" i="29"/>
  <c r="AG151" i="29"/>
  <c r="AF151" i="29"/>
  <c r="AE151" i="29"/>
  <c r="Y151" i="29"/>
  <c r="AC151" i="29" s="1"/>
  <c r="AR151" i="29" s="1"/>
  <c r="X151" i="29"/>
  <c r="AB151" i="29" s="1"/>
  <c r="AQ151" i="29" s="1"/>
  <c r="W151" i="29"/>
  <c r="AA151" i="29" s="1"/>
  <c r="AP151" i="29" s="1"/>
  <c r="V151" i="29"/>
  <c r="Z151" i="29" s="1"/>
  <c r="AO151" i="29" s="1"/>
  <c r="AH150" i="29"/>
  <c r="AG150" i="29"/>
  <c r="AF150" i="29"/>
  <c r="AE150" i="29"/>
  <c r="Y150" i="29"/>
  <c r="AC150" i="29" s="1"/>
  <c r="AR150" i="29" s="1"/>
  <c r="X150" i="29"/>
  <c r="AB150" i="29" s="1"/>
  <c r="AQ150" i="29" s="1"/>
  <c r="W150" i="29"/>
  <c r="AA150" i="29" s="1"/>
  <c r="AP150" i="29" s="1"/>
  <c r="V150" i="29"/>
  <c r="Z150" i="29" s="1"/>
  <c r="AO150" i="29" s="1"/>
  <c r="AH149" i="29"/>
  <c r="AG149" i="29"/>
  <c r="AF149" i="29"/>
  <c r="AE149" i="29"/>
  <c r="Y149" i="29"/>
  <c r="AC149" i="29" s="1"/>
  <c r="AR149" i="29" s="1"/>
  <c r="X149" i="29"/>
  <c r="AB149" i="29" s="1"/>
  <c r="AQ149" i="29" s="1"/>
  <c r="W149" i="29"/>
  <c r="AA149" i="29" s="1"/>
  <c r="AP149" i="29" s="1"/>
  <c r="V149" i="29"/>
  <c r="Z149" i="29" s="1"/>
  <c r="AO149" i="29" s="1"/>
  <c r="AH148" i="29"/>
  <c r="AG148" i="29"/>
  <c r="AF148" i="29"/>
  <c r="AE148" i="29"/>
  <c r="Y148" i="29"/>
  <c r="AC148" i="29" s="1"/>
  <c r="AR148" i="29" s="1"/>
  <c r="X148" i="29"/>
  <c r="AB148" i="29" s="1"/>
  <c r="AQ148" i="29" s="1"/>
  <c r="W148" i="29"/>
  <c r="AA148" i="29" s="1"/>
  <c r="AP148" i="29" s="1"/>
  <c r="V148" i="29"/>
  <c r="Z148" i="29" s="1"/>
  <c r="AO148" i="29" s="1"/>
  <c r="AH147" i="29"/>
  <c r="AG147" i="29"/>
  <c r="AF147" i="29"/>
  <c r="AE147" i="29"/>
  <c r="AI147" i="29" s="1"/>
  <c r="Y147" i="29"/>
  <c r="AC147" i="29" s="1"/>
  <c r="AR147" i="29" s="1"/>
  <c r="X147" i="29"/>
  <c r="AB147" i="29" s="1"/>
  <c r="AQ147" i="29" s="1"/>
  <c r="W147" i="29"/>
  <c r="AA147" i="29" s="1"/>
  <c r="AP147" i="29" s="1"/>
  <c r="V147" i="29"/>
  <c r="Z147" i="29" s="1"/>
  <c r="AO147" i="29" s="1"/>
  <c r="AH143" i="29"/>
  <c r="AG143" i="29"/>
  <c r="AF143" i="29"/>
  <c r="AE143" i="29"/>
  <c r="Y143" i="29"/>
  <c r="AC143" i="29" s="1"/>
  <c r="AR143" i="29" s="1"/>
  <c r="X143" i="29"/>
  <c r="AB143" i="29" s="1"/>
  <c r="AQ143" i="29" s="1"/>
  <c r="W143" i="29"/>
  <c r="AA143" i="29" s="1"/>
  <c r="AP143" i="29" s="1"/>
  <c r="V143" i="29"/>
  <c r="Z143" i="29" s="1"/>
  <c r="AO143" i="29" s="1"/>
  <c r="AH142" i="29"/>
  <c r="AG142" i="29"/>
  <c r="AF142" i="29"/>
  <c r="AE142" i="29"/>
  <c r="Y142" i="29"/>
  <c r="AC142" i="29" s="1"/>
  <c r="AR142" i="29" s="1"/>
  <c r="X142" i="29"/>
  <c r="AB142" i="29" s="1"/>
  <c r="AQ142" i="29" s="1"/>
  <c r="W142" i="29"/>
  <c r="AA142" i="29" s="1"/>
  <c r="AP142" i="29" s="1"/>
  <c r="V142" i="29"/>
  <c r="Z142" i="29" s="1"/>
  <c r="AO142" i="29" s="1"/>
  <c r="AH141" i="29"/>
  <c r="AG141" i="29"/>
  <c r="AF141" i="29"/>
  <c r="AE141" i="29"/>
  <c r="Y141" i="29"/>
  <c r="AC141" i="29" s="1"/>
  <c r="AR141" i="29" s="1"/>
  <c r="X141" i="29"/>
  <c r="AB141" i="29" s="1"/>
  <c r="AQ141" i="29" s="1"/>
  <c r="W141" i="29"/>
  <c r="AA141" i="29" s="1"/>
  <c r="AP141" i="29" s="1"/>
  <c r="V141" i="29"/>
  <c r="Z141" i="29" s="1"/>
  <c r="AO141" i="29" s="1"/>
  <c r="AH140" i="29"/>
  <c r="AG140" i="29"/>
  <c r="AF140" i="29"/>
  <c r="AE140" i="29"/>
  <c r="Y140" i="29"/>
  <c r="AC140" i="29" s="1"/>
  <c r="AR140" i="29" s="1"/>
  <c r="X140" i="29"/>
  <c r="AB140" i="29" s="1"/>
  <c r="AQ140" i="29" s="1"/>
  <c r="W140" i="29"/>
  <c r="AA140" i="29" s="1"/>
  <c r="AP140" i="29" s="1"/>
  <c r="V140" i="29"/>
  <c r="Z140" i="29" s="1"/>
  <c r="AO140" i="29" s="1"/>
  <c r="AH139" i="29"/>
  <c r="AG139" i="29"/>
  <c r="AF139" i="29"/>
  <c r="AE139" i="29"/>
  <c r="Y139" i="29"/>
  <c r="AC139" i="29" s="1"/>
  <c r="AR139" i="29" s="1"/>
  <c r="X139" i="29"/>
  <c r="AB139" i="29" s="1"/>
  <c r="AQ139" i="29" s="1"/>
  <c r="W139" i="29"/>
  <c r="AA139" i="29" s="1"/>
  <c r="AP139" i="29" s="1"/>
  <c r="V139" i="29"/>
  <c r="Z139" i="29" s="1"/>
  <c r="AO139" i="29" s="1"/>
  <c r="AH138" i="29"/>
  <c r="AG138" i="29"/>
  <c r="AF138" i="29"/>
  <c r="AE138" i="29"/>
  <c r="Y138" i="29"/>
  <c r="AC138" i="29" s="1"/>
  <c r="AR138" i="29" s="1"/>
  <c r="X138" i="29"/>
  <c r="AB138" i="29" s="1"/>
  <c r="AQ138" i="29" s="1"/>
  <c r="W138" i="29"/>
  <c r="AA138" i="29" s="1"/>
  <c r="AP138" i="29" s="1"/>
  <c r="V138" i="29"/>
  <c r="Z138" i="29" s="1"/>
  <c r="AO138" i="29" s="1"/>
  <c r="AH134" i="29"/>
  <c r="AG134" i="29"/>
  <c r="AF134" i="29"/>
  <c r="AE134" i="29"/>
  <c r="Y134" i="29"/>
  <c r="AC134" i="29" s="1"/>
  <c r="AR134" i="29" s="1"/>
  <c r="X134" i="29"/>
  <c r="AB134" i="29" s="1"/>
  <c r="AQ134" i="29" s="1"/>
  <c r="W134" i="29"/>
  <c r="AA134" i="29" s="1"/>
  <c r="AP134" i="29" s="1"/>
  <c r="V134" i="29"/>
  <c r="Z134" i="29" s="1"/>
  <c r="AO134" i="29" s="1"/>
  <c r="AH133" i="29"/>
  <c r="AG133" i="29"/>
  <c r="AF133" i="29"/>
  <c r="AE133" i="29"/>
  <c r="Y133" i="29"/>
  <c r="AC133" i="29" s="1"/>
  <c r="AR133" i="29" s="1"/>
  <c r="X133" i="29"/>
  <c r="AB133" i="29" s="1"/>
  <c r="AQ133" i="29" s="1"/>
  <c r="W133" i="29"/>
  <c r="AA133" i="29" s="1"/>
  <c r="AP133" i="29" s="1"/>
  <c r="V133" i="29"/>
  <c r="Z133" i="29" s="1"/>
  <c r="AO133" i="29" s="1"/>
  <c r="AH132" i="29"/>
  <c r="AG132" i="29"/>
  <c r="AF132" i="29"/>
  <c r="AE132" i="29"/>
  <c r="Y132" i="29"/>
  <c r="AC132" i="29" s="1"/>
  <c r="AR132" i="29" s="1"/>
  <c r="X132" i="29"/>
  <c r="AB132" i="29" s="1"/>
  <c r="AQ132" i="29" s="1"/>
  <c r="W132" i="29"/>
  <c r="AA132" i="29" s="1"/>
  <c r="AP132" i="29" s="1"/>
  <c r="V132" i="29"/>
  <c r="Z132" i="29" s="1"/>
  <c r="AO132" i="29" s="1"/>
  <c r="AH131" i="29"/>
  <c r="AG131" i="29"/>
  <c r="AF131" i="29"/>
  <c r="AE131" i="29"/>
  <c r="Y131" i="29"/>
  <c r="AC131" i="29" s="1"/>
  <c r="AR131" i="29" s="1"/>
  <c r="X131" i="29"/>
  <c r="AB131" i="29" s="1"/>
  <c r="AQ131" i="29" s="1"/>
  <c r="W131" i="29"/>
  <c r="AA131" i="29" s="1"/>
  <c r="AP131" i="29" s="1"/>
  <c r="V131" i="29"/>
  <c r="Z131" i="29" s="1"/>
  <c r="AO131" i="29" s="1"/>
  <c r="AH130" i="29"/>
  <c r="AG130" i="29"/>
  <c r="AF130" i="29"/>
  <c r="AE130" i="29"/>
  <c r="Y130" i="29"/>
  <c r="AC130" i="29" s="1"/>
  <c r="AR130" i="29" s="1"/>
  <c r="X130" i="29"/>
  <c r="AB130" i="29" s="1"/>
  <c r="AQ130" i="29" s="1"/>
  <c r="W130" i="29"/>
  <c r="AA130" i="29" s="1"/>
  <c r="AP130" i="29" s="1"/>
  <c r="V130" i="29"/>
  <c r="Z130" i="29" s="1"/>
  <c r="AO130" i="29" s="1"/>
  <c r="AH129" i="29"/>
  <c r="AG129" i="29"/>
  <c r="AF129" i="29"/>
  <c r="AE129" i="29"/>
  <c r="Y129" i="29"/>
  <c r="AC129" i="29" s="1"/>
  <c r="AR129" i="29" s="1"/>
  <c r="X129" i="29"/>
  <c r="AB129" i="29" s="1"/>
  <c r="AQ129" i="29" s="1"/>
  <c r="W129" i="29"/>
  <c r="AA129" i="29" s="1"/>
  <c r="AP129" i="29" s="1"/>
  <c r="V129" i="29"/>
  <c r="Z129" i="29" s="1"/>
  <c r="AO129" i="29" s="1"/>
  <c r="AH125" i="29"/>
  <c r="AG125" i="29"/>
  <c r="AF125" i="29"/>
  <c r="AE125" i="29"/>
  <c r="Y125" i="29"/>
  <c r="AC125" i="29" s="1"/>
  <c r="AR125" i="29" s="1"/>
  <c r="X125" i="29"/>
  <c r="AB125" i="29" s="1"/>
  <c r="AQ125" i="29" s="1"/>
  <c r="W125" i="29"/>
  <c r="AA125" i="29" s="1"/>
  <c r="AP125" i="29" s="1"/>
  <c r="V125" i="29"/>
  <c r="Z125" i="29" s="1"/>
  <c r="AO125" i="29" s="1"/>
  <c r="AH124" i="29"/>
  <c r="AG124" i="29"/>
  <c r="AF124" i="29"/>
  <c r="AE124" i="29"/>
  <c r="Y124" i="29"/>
  <c r="AC124" i="29" s="1"/>
  <c r="AR124" i="29" s="1"/>
  <c r="X124" i="29"/>
  <c r="AB124" i="29" s="1"/>
  <c r="AQ124" i="29" s="1"/>
  <c r="W124" i="29"/>
  <c r="AA124" i="29" s="1"/>
  <c r="AP124" i="29" s="1"/>
  <c r="V124" i="29"/>
  <c r="Z124" i="29" s="1"/>
  <c r="AO124" i="29" s="1"/>
  <c r="AH123" i="29"/>
  <c r="AG123" i="29"/>
  <c r="AF123" i="29"/>
  <c r="AE123" i="29"/>
  <c r="Y123" i="29"/>
  <c r="AC123" i="29" s="1"/>
  <c r="AR123" i="29" s="1"/>
  <c r="X123" i="29"/>
  <c r="AB123" i="29" s="1"/>
  <c r="AQ123" i="29" s="1"/>
  <c r="W123" i="29"/>
  <c r="AA123" i="29" s="1"/>
  <c r="AP123" i="29" s="1"/>
  <c r="V123" i="29"/>
  <c r="Z123" i="29" s="1"/>
  <c r="AO123" i="29" s="1"/>
  <c r="AH122" i="29"/>
  <c r="AG122" i="29"/>
  <c r="AF122" i="29"/>
  <c r="AE122" i="29"/>
  <c r="Y122" i="29"/>
  <c r="AC122" i="29" s="1"/>
  <c r="AR122" i="29" s="1"/>
  <c r="X122" i="29"/>
  <c r="AB122" i="29" s="1"/>
  <c r="AQ122" i="29" s="1"/>
  <c r="W122" i="29"/>
  <c r="AA122" i="29" s="1"/>
  <c r="AP122" i="29" s="1"/>
  <c r="V122" i="29"/>
  <c r="Z122" i="29" s="1"/>
  <c r="AO122" i="29" s="1"/>
  <c r="AH121" i="29"/>
  <c r="AG121" i="29"/>
  <c r="AF121" i="29"/>
  <c r="AE121" i="29"/>
  <c r="Y121" i="29"/>
  <c r="AC121" i="29" s="1"/>
  <c r="AR121" i="29" s="1"/>
  <c r="X121" i="29"/>
  <c r="AB121" i="29" s="1"/>
  <c r="AQ121" i="29" s="1"/>
  <c r="W121" i="29"/>
  <c r="AA121" i="29" s="1"/>
  <c r="AP121" i="29" s="1"/>
  <c r="V121" i="29"/>
  <c r="Z121" i="29" s="1"/>
  <c r="AO121" i="29" s="1"/>
  <c r="AH120" i="29"/>
  <c r="AG120" i="29"/>
  <c r="AF120" i="29"/>
  <c r="AE120" i="29"/>
  <c r="Y120" i="29"/>
  <c r="AC120" i="29" s="1"/>
  <c r="AR120" i="29" s="1"/>
  <c r="X120" i="29"/>
  <c r="AB120" i="29" s="1"/>
  <c r="AQ120" i="29" s="1"/>
  <c r="W120" i="29"/>
  <c r="AA120" i="29" s="1"/>
  <c r="AP120" i="29" s="1"/>
  <c r="V120" i="29"/>
  <c r="Z120" i="29" s="1"/>
  <c r="AO120" i="29" s="1"/>
  <c r="AH116" i="29"/>
  <c r="AG116" i="29"/>
  <c r="AF116" i="29"/>
  <c r="AE116" i="29"/>
  <c r="Y116" i="29"/>
  <c r="AC116" i="29" s="1"/>
  <c r="AR116" i="29" s="1"/>
  <c r="X116" i="29"/>
  <c r="AB116" i="29" s="1"/>
  <c r="AQ116" i="29" s="1"/>
  <c r="W116" i="29"/>
  <c r="AA116" i="29" s="1"/>
  <c r="AP116" i="29" s="1"/>
  <c r="V116" i="29"/>
  <c r="Z116" i="29" s="1"/>
  <c r="AO116" i="29" s="1"/>
  <c r="AH115" i="29"/>
  <c r="AG115" i="29"/>
  <c r="AF115" i="29"/>
  <c r="AE115" i="29"/>
  <c r="Y115" i="29"/>
  <c r="AC115" i="29" s="1"/>
  <c r="AR115" i="29" s="1"/>
  <c r="X115" i="29"/>
  <c r="AB115" i="29" s="1"/>
  <c r="AQ115" i="29" s="1"/>
  <c r="W115" i="29"/>
  <c r="AA115" i="29" s="1"/>
  <c r="AP115" i="29" s="1"/>
  <c r="V115" i="29"/>
  <c r="Z115" i="29" s="1"/>
  <c r="AO115" i="29" s="1"/>
  <c r="AH114" i="29"/>
  <c r="AG114" i="29"/>
  <c r="AF114" i="29"/>
  <c r="AE114" i="29"/>
  <c r="Y114" i="29"/>
  <c r="AC114" i="29" s="1"/>
  <c r="AR114" i="29" s="1"/>
  <c r="X114" i="29"/>
  <c r="AB114" i="29" s="1"/>
  <c r="AQ114" i="29" s="1"/>
  <c r="W114" i="29"/>
  <c r="AA114" i="29" s="1"/>
  <c r="AP114" i="29" s="1"/>
  <c r="V114" i="29"/>
  <c r="Z114" i="29" s="1"/>
  <c r="AO114" i="29" s="1"/>
  <c r="AH113" i="29"/>
  <c r="AG113" i="29"/>
  <c r="AF113" i="29"/>
  <c r="AE113" i="29"/>
  <c r="Y113" i="29"/>
  <c r="AC113" i="29" s="1"/>
  <c r="AR113" i="29" s="1"/>
  <c r="X113" i="29"/>
  <c r="AB113" i="29" s="1"/>
  <c r="AQ113" i="29" s="1"/>
  <c r="W113" i="29"/>
  <c r="AA113" i="29" s="1"/>
  <c r="AP113" i="29" s="1"/>
  <c r="V113" i="29"/>
  <c r="Z113" i="29" s="1"/>
  <c r="AO113" i="29" s="1"/>
  <c r="AH112" i="29"/>
  <c r="AG112" i="29"/>
  <c r="AF112" i="29"/>
  <c r="AE112" i="29"/>
  <c r="Y112" i="29"/>
  <c r="AC112" i="29" s="1"/>
  <c r="AR112" i="29" s="1"/>
  <c r="X112" i="29"/>
  <c r="AB112" i="29" s="1"/>
  <c r="AQ112" i="29" s="1"/>
  <c r="W112" i="29"/>
  <c r="AA112" i="29" s="1"/>
  <c r="AP112" i="29" s="1"/>
  <c r="V112" i="29"/>
  <c r="Z112" i="29" s="1"/>
  <c r="AO112" i="29" s="1"/>
  <c r="AH111" i="29"/>
  <c r="AG111" i="29"/>
  <c r="AF111" i="29"/>
  <c r="AE111" i="29"/>
  <c r="Y111" i="29"/>
  <c r="AC111" i="29" s="1"/>
  <c r="AR111" i="29" s="1"/>
  <c r="X111" i="29"/>
  <c r="AB111" i="29" s="1"/>
  <c r="AQ111" i="29" s="1"/>
  <c r="W111" i="29"/>
  <c r="AA111" i="29" s="1"/>
  <c r="AP111" i="29" s="1"/>
  <c r="V111" i="29"/>
  <c r="Z111" i="29" s="1"/>
  <c r="AO111" i="29" s="1"/>
  <c r="AH107" i="29"/>
  <c r="AG107" i="29"/>
  <c r="AF107" i="29"/>
  <c r="AE107" i="29"/>
  <c r="Y107" i="29"/>
  <c r="AC107" i="29" s="1"/>
  <c r="AR107" i="29" s="1"/>
  <c r="X107" i="29"/>
  <c r="AB107" i="29" s="1"/>
  <c r="AQ107" i="29" s="1"/>
  <c r="W107" i="29"/>
  <c r="AA107" i="29" s="1"/>
  <c r="AP107" i="29" s="1"/>
  <c r="V107" i="29"/>
  <c r="Z107" i="29" s="1"/>
  <c r="AO107" i="29" s="1"/>
  <c r="AH106" i="29"/>
  <c r="AG106" i="29"/>
  <c r="AF106" i="29"/>
  <c r="AE106" i="29"/>
  <c r="Y106" i="29"/>
  <c r="AC106" i="29" s="1"/>
  <c r="AR106" i="29" s="1"/>
  <c r="X106" i="29"/>
  <c r="AB106" i="29" s="1"/>
  <c r="AQ106" i="29" s="1"/>
  <c r="W106" i="29"/>
  <c r="AA106" i="29" s="1"/>
  <c r="AP106" i="29" s="1"/>
  <c r="V106" i="29"/>
  <c r="Z106" i="29" s="1"/>
  <c r="AO106" i="29" s="1"/>
  <c r="AH105" i="29"/>
  <c r="AG105" i="29"/>
  <c r="AF105" i="29"/>
  <c r="AE105" i="29"/>
  <c r="Y105" i="29"/>
  <c r="AC105" i="29" s="1"/>
  <c r="AR105" i="29" s="1"/>
  <c r="X105" i="29"/>
  <c r="AB105" i="29" s="1"/>
  <c r="AQ105" i="29" s="1"/>
  <c r="W105" i="29"/>
  <c r="AA105" i="29" s="1"/>
  <c r="AP105" i="29" s="1"/>
  <c r="V105" i="29"/>
  <c r="Z105" i="29" s="1"/>
  <c r="AO105" i="29" s="1"/>
  <c r="AH104" i="29"/>
  <c r="AG104" i="29"/>
  <c r="AF104" i="29"/>
  <c r="AE104" i="29"/>
  <c r="Y104" i="29"/>
  <c r="AC104" i="29" s="1"/>
  <c r="AR104" i="29" s="1"/>
  <c r="X104" i="29"/>
  <c r="AB104" i="29" s="1"/>
  <c r="AQ104" i="29" s="1"/>
  <c r="W104" i="29"/>
  <c r="AA104" i="29" s="1"/>
  <c r="AP104" i="29" s="1"/>
  <c r="V104" i="29"/>
  <c r="Z104" i="29" s="1"/>
  <c r="AO104" i="29" s="1"/>
  <c r="AH103" i="29"/>
  <c r="AG103" i="29"/>
  <c r="AF103" i="29"/>
  <c r="AE103" i="29"/>
  <c r="Y103" i="29"/>
  <c r="AC103" i="29" s="1"/>
  <c r="AR103" i="29" s="1"/>
  <c r="X103" i="29"/>
  <c r="AB103" i="29" s="1"/>
  <c r="AQ103" i="29" s="1"/>
  <c r="W103" i="29"/>
  <c r="AA103" i="29" s="1"/>
  <c r="AP103" i="29" s="1"/>
  <c r="V103" i="29"/>
  <c r="Z103" i="29" s="1"/>
  <c r="AO103" i="29" s="1"/>
  <c r="AH102" i="29"/>
  <c r="AG102" i="29"/>
  <c r="AF102" i="29"/>
  <c r="AE102" i="29"/>
  <c r="Y102" i="29"/>
  <c r="AC102" i="29" s="1"/>
  <c r="AR102" i="29" s="1"/>
  <c r="X102" i="29"/>
  <c r="AB102" i="29" s="1"/>
  <c r="AQ102" i="29" s="1"/>
  <c r="W102" i="29"/>
  <c r="AA102" i="29" s="1"/>
  <c r="AP102" i="29" s="1"/>
  <c r="V102" i="29"/>
  <c r="Z102" i="29" s="1"/>
  <c r="AO102" i="29" s="1"/>
  <c r="AH98" i="29"/>
  <c r="AG98" i="29"/>
  <c r="AF98" i="29"/>
  <c r="AE98" i="29"/>
  <c r="Y98" i="29"/>
  <c r="AC98" i="29" s="1"/>
  <c r="AR98" i="29" s="1"/>
  <c r="X98" i="29"/>
  <c r="AB98" i="29" s="1"/>
  <c r="AQ98" i="29" s="1"/>
  <c r="W98" i="29"/>
  <c r="AA98" i="29" s="1"/>
  <c r="AP98" i="29" s="1"/>
  <c r="V98" i="29"/>
  <c r="Z98" i="29" s="1"/>
  <c r="AO98" i="29" s="1"/>
  <c r="AH97" i="29"/>
  <c r="AG97" i="29"/>
  <c r="AF97" i="29"/>
  <c r="AE97" i="29"/>
  <c r="Y97" i="29"/>
  <c r="AC97" i="29" s="1"/>
  <c r="AR97" i="29" s="1"/>
  <c r="X97" i="29"/>
  <c r="AB97" i="29" s="1"/>
  <c r="AQ97" i="29" s="1"/>
  <c r="W97" i="29"/>
  <c r="AA97" i="29" s="1"/>
  <c r="AP97" i="29" s="1"/>
  <c r="V97" i="29"/>
  <c r="Z97" i="29" s="1"/>
  <c r="AO97" i="29" s="1"/>
  <c r="AH96" i="29"/>
  <c r="AG96" i="29"/>
  <c r="AF96" i="29"/>
  <c r="AE96" i="29"/>
  <c r="Y96" i="29"/>
  <c r="AC96" i="29" s="1"/>
  <c r="AR96" i="29" s="1"/>
  <c r="X96" i="29"/>
  <c r="AB96" i="29" s="1"/>
  <c r="AQ96" i="29" s="1"/>
  <c r="W96" i="29"/>
  <c r="AA96" i="29" s="1"/>
  <c r="AP96" i="29" s="1"/>
  <c r="V96" i="29"/>
  <c r="Z96" i="29" s="1"/>
  <c r="AH95" i="29"/>
  <c r="AG95" i="29"/>
  <c r="AF95" i="29"/>
  <c r="AE95" i="29"/>
  <c r="Y95" i="29"/>
  <c r="AC95" i="29" s="1"/>
  <c r="AR95" i="29" s="1"/>
  <c r="X95" i="29"/>
  <c r="AB95" i="29" s="1"/>
  <c r="AQ95" i="29" s="1"/>
  <c r="W95" i="29"/>
  <c r="AA95" i="29" s="1"/>
  <c r="AP95" i="29" s="1"/>
  <c r="V95" i="29"/>
  <c r="Z95" i="29" s="1"/>
  <c r="AH94" i="29"/>
  <c r="AG94" i="29"/>
  <c r="AF94" i="29"/>
  <c r="AE94" i="29"/>
  <c r="Y94" i="29"/>
  <c r="AC94" i="29" s="1"/>
  <c r="AR94" i="29" s="1"/>
  <c r="X94" i="29"/>
  <c r="AB94" i="29" s="1"/>
  <c r="AQ94" i="29" s="1"/>
  <c r="W94" i="29"/>
  <c r="AA94" i="29" s="1"/>
  <c r="AP94" i="29" s="1"/>
  <c r="V94" i="29"/>
  <c r="Z94" i="29" s="1"/>
  <c r="AH93" i="29"/>
  <c r="AG93" i="29"/>
  <c r="AF93" i="29"/>
  <c r="AE93" i="29"/>
  <c r="AI93" i="29" s="1"/>
  <c r="Y93" i="29"/>
  <c r="AC93" i="29" s="1"/>
  <c r="AR93" i="29" s="1"/>
  <c r="X93" i="29"/>
  <c r="AB93" i="29" s="1"/>
  <c r="AQ93" i="29" s="1"/>
  <c r="W93" i="29"/>
  <c r="AA93" i="29" s="1"/>
  <c r="V93" i="29"/>
  <c r="Z93" i="29" s="1"/>
  <c r="AO93" i="29" s="1"/>
  <c r="AH89" i="29"/>
  <c r="AG89" i="29"/>
  <c r="AF89" i="29"/>
  <c r="AE89" i="29"/>
  <c r="Y89" i="29"/>
  <c r="AC89" i="29" s="1"/>
  <c r="AR89" i="29" s="1"/>
  <c r="X89" i="29"/>
  <c r="AB89" i="29" s="1"/>
  <c r="AQ89" i="29" s="1"/>
  <c r="W89" i="29"/>
  <c r="AA89" i="29" s="1"/>
  <c r="AP89" i="29" s="1"/>
  <c r="V89" i="29"/>
  <c r="Z89" i="29" s="1"/>
  <c r="AO89" i="29" s="1"/>
  <c r="AH88" i="29"/>
  <c r="AG88" i="29"/>
  <c r="AF88" i="29"/>
  <c r="AE88" i="29"/>
  <c r="Y88" i="29"/>
  <c r="AC88" i="29" s="1"/>
  <c r="AR88" i="29" s="1"/>
  <c r="X88" i="29"/>
  <c r="AB88" i="29" s="1"/>
  <c r="AQ88" i="29" s="1"/>
  <c r="W88" i="29"/>
  <c r="AA88" i="29" s="1"/>
  <c r="AP88" i="29" s="1"/>
  <c r="V88" i="29"/>
  <c r="Z88" i="29" s="1"/>
  <c r="AO88" i="29" s="1"/>
  <c r="AH87" i="29"/>
  <c r="AG87" i="29"/>
  <c r="AF87" i="29"/>
  <c r="AE87" i="29"/>
  <c r="Y87" i="29"/>
  <c r="AC87" i="29" s="1"/>
  <c r="AR87" i="29" s="1"/>
  <c r="X87" i="29"/>
  <c r="AB87" i="29" s="1"/>
  <c r="AQ87" i="29" s="1"/>
  <c r="W87" i="29"/>
  <c r="AA87" i="29" s="1"/>
  <c r="AP87" i="29" s="1"/>
  <c r="V87" i="29"/>
  <c r="Z87" i="29" s="1"/>
  <c r="AO87" i="29" s="1"/>
  <c r="AH86" i="29"/>
  <c r="AG86" i="29"/>
  <c r="AF86" i="29"/>
  <c r="AE86" i="29"/>
  <c r="Y86" i="29"/>
  <c r="AC86" i="29" s="1"/>
  <c r="AR86" i="29" s="1"/>
  <c r="X86" i="29"/>
  <c r="AB86" i="29" s="1"/>
  <c r="AQ86" i="29" s="1"/>
  <c r="W86" i="29"/>
  <c r="AA86" i="29" s="1"/>
  <c r="AP86" i="29" s="1"/>
  <c r="V86" i="29"/>
  <c r="Z86" i="29" s="1"/>
  <c r="AO86" i="29" s="1"/>
  <c r="AH85" i="29"/>
  <c r="AG85" i="29"/>
  <c r="AF85" i="29"/>
  <c r="AE85" i="29"/>
  <c r="Y85" i="29"/>
  <c r="AC85" i="29" s="1"/>
  <c r="AR85" i="29" s="1"/>
  <c r="X85" i="29"/>
  <c r="AB85" i="29" s="1"/>
  <c r="AQ85" i="29" s="1"/>
  <c r="W85" i="29"/>
  <c r="AA85" i="29" s="1"/>
  <c r="AP85" i="29" s="1"/>
  <c r="V85" i="29"/>
  <c r="Z85" i="29" s="1"/>
  <c r="AO85" i="29" s="1"/>
  <c r="AH84" i="29"/>
  <c r="AG84" i="29"/>
  <c r="AF84" i="29"/>
  <c r="AE84" i="29"/>
  <c r="Y84" i="29"/>
  <c r="AC84" i="29" s="1"/>
  <c r="AR84" i="29" s="1"/>
  <c r="X84" i="29"/>
  <c r="AB84" i="29" s="1"/>
  <c r="AQ84" i="29" s="1"/>
  <c r="W84" i="29"/>
  <c r="AA84" i="29" s="1"/>
  <c r="AP84" i="29" s="1"/>
  <c r="V84" i="29"/>
  <c r="Z84" i="29" s="1"/>
  <c r="AO84" i="29" s="1"/>
  <c r="AH80" i="29"/>
  <c r="AG80" i="29"/>
  <c r="AF80" i="29"/>
  <c r="AE80" i="29"/>
  <c r="AI80" i="29" s="1"/>
  <c r="Y80" i="29"/>
  <c r="AC80" i="29" s="1"/>
  <c r="AR80" i="29" s="1"/>
  <c r="X80" i="29"/>
  <c r="AB80" i="29" s="1"/>
  <c r="AQ80" i="29" s="1"/>
  <c r="W80" i="29"/>
  <c r="AA80" i="29" s="1"/>
  <c r="V80" i="29"/>
  <c r="Z80" i="29" s="1"/>
  <c r="AO80" i="29" s="1"/>
  <c r="AH79" i="29"/>
  <c r="AG79" i="29"/>
  <c r="AF79" i="29"/>
  <c r="AE79" i="29"/>
  <c r="AI79" i="29" s="1"/>
  <c r="Y79" i="29"/>
  <c r="AC79" i="29" s="1"/>
  <c r="AR79" i="29" s="1"/>
  <c r="X79" i="29"/>
  <c r="AB79" i="29" s="1"/>
  <c r="AQ79" i="29" s="1"/>
  <c r="W79" i="29"/>
  <c r="AA79" i="29" s="1"/>
  <c r="V79" i="29"/>
  <c r="Z79" i="29" s="1"/>
  <c r="AO79" i="29" s="1"/>
  <c r="AH78" i="29"/>
  <c r="AG78" i="29"/>
  <c r="AF78" i="29"/>
  <c r="AE78" i="29"/>
  <c r="AI78" i="29" s="1"/>
  <c r="Y78" i="29"/>
  <c r="AC78" i="29" s="1"/>
  <c r="AR78" i="29" s="1"/>
  <c r="X78" i="29"/>
  <c r="AB78" i="29" s="1"/>
  <c r="AQ78" i="29" s="1"/>
  <c r="W78" i="29"/>
  <c r="AA78" i="29" s="1"/>
  <c r="V78" i="29"/>
  <c r="Z78" i="29" s="1"/>
  <c r="AO78" i="29" s="1"/>
  <c r="AH77" i="29"/>
  <c r="AG77" i="29"/>
  <c r="AF77" i="29"/>
  <c r="AE77" i="29"/>
  <c r="AI77" i="29" s="1"/>
  <c r="Y77" i="29"/>
  <c r="AC77" i="29" s="1"/>
  <c r="AR77" i="29" s="1"/>
  <c r="X77" i="29"/>
  <c r="AB77" i="29" s="1"/>
  <c r="AQ77" i="29" s="1"/>
  <c r="W77" i="29"/>
  <c r="AA77" i="29" s="1"/>
  <c r="V77" i="29"/>
  <c r="Z77" i="29" s="1"/>
  <c r="AO77" i="29" s="1"/>
  <c r="AH76" i="29"/>
  <c r="AG76" i="29"/>
  <c r="AF76" i="29"/>
  <c r="AE76" i="29"/>
  <c r="AI76" i="29" s="1"/>
  <c r="Y76" i="29"/>
  <c r="AC76" i="29" s="1"/>
  <c r="AR76" i="29" s="1"/>
  <c r="X76" i="29"/>
  <c r="AB76" i="29" s="1"/>
  <c r="AQ76" i="29" s="1"/>
  <c r="W76" i="29"/>
  <c r="AA76" i="29" s="1"/>
  <c r="V76" i="29"/>
  <c r="Z76" i="29" s="1"/>
  <c r="AO76" i="29" s="1"/>
  <c r="AH75" i="29"/>
  <c r="AG75" i="29"/>
  <c r="AF75" i="29"/>
  <c r="AE75" i="29"/>
  <c r="AI75" i="29" s="1"/>
  <c r="Y75" i="29"/>
  <c r="AC75" i="29" s="1"/>
  <c r="AR75" i="29" s="1"/>
  <c r="X75" i="29"/>
  <c r="AB75" i="29" s="1"/>
  <c r="AQ75" i="29" s="1"/>
  <c r="W75" i="29"/>
  <c r="AA75" i="29" s="1"/>
  <c r="V75" i="29"/>
  <c r="Z75" i="29" s="1"/>
  <c r="AO75" i="29" s="1"/>
  <c r="AH71" i="29"/>
  <c r="AG71" i="29"/>
  <c r="AF71" i="29"/>
  <c r="AE71" i="29"/>
  <c r="Y71" i="29"/>
  <c r="AC71" i="29" s="1"/>
  <c r="AR71" i="29" s="1"/>
  <c r="X71" i="29"/>
  <c r="AB71" i="29" s="1"/>
  <c r="AQ71" i="29" s="1"/>
  <c r="W71" i="29"/>
  <c r="AA71" i="29" s="1"/>
  <c r="AP71" i="29" s="1"/>
  <c r="V71" i="29"/>
  <c r="Z71" i="29" s="1"/>
  <c r="AO71" i="29" s="1"/>
  <c r="AH70" i="29"/>
  <c r="AG70" i="29"/>
  <c r="AF70" i="29"/>
  <c r="AE70" i="29"/>
  <c r="Y70" i="29"/>
  <c r="AC70" i="29" s="1"/>
  <c r="AR70" i="29" s="1"/>
  <c r="X70" i="29"/>
  <c r="AB70" i="29" s="1"/>
  <c r="AQ70" i="29" s="1"/>
  <c r="W70" i="29"/>
  <c r="AA70" i="29" s="1"/>
  <c r="AP70" i="29" s="1"/>
  <c r="V70" i="29"/>
  <c r="Z70" i="29" s="1"/>
  <c r="AO70" i="29" s="1"/>
  <c r="AH69" i="29"/>
  <c r="AG69" i="29"/>
  <c r="AF69" i="29"/>
  <c r="AE69" i="29"/>
  <c r="Y69" i="29"/>
  <c r="AC69" i="29" s="1"/>
  <c r="AR69" i="29" s="1"/>
  <c r="X69" i="29"/>
  <c r="AB69" i="29" s="1"/>
  <c r="AQ69" i="29" s="1"/>
  <c r="W69" i="29"/>
  <c r="AA69" i="29" s="1"/>
  <c r="AP69" i="29" s="1"/>
  <c r="V69" i="29"/>
  <c r="Z69" i="29" s="1"/>
  <c r="AO69" i="29" s="1"/>
  <c r="AH68" i="29"/>
  <c r="AG68" i="29"/>
  <c r="AF68" i="29"/>
  <c r="AE68" i="29"/>
  <c r="Y68" i="29"/>
  <c r="AC68" i="29" s="1"/>
  <c r="AR68" i="29" s="1"/>
  <c r="X68" i="29"/>
  <c r="AB68" i="29" s="1"/>
  <c r="AQ68" i="29" s="1"/>
  <c r="W68" i="29"/>
  <c r="AA68" i="29" s="1"/>
  <c r="AP68" i="29" s="1"/>
  <c r="V68" i="29"/>
  <c r="Z68" i="29" s="1"/>
  <c r="AO68" i="29" s="1"/>
  <c r="AH67" i="29"/>
  <c r="AG67" i="29"/>
  <c r="AF67" i="29"/>
  <c r="AE67" i="29"/>
  <c r="Y67" i="29"/>
  <c r="AC67" i="29" s="1"/>
  <c r="AR67" i="29" s="1"/>
  <c r="X67" i="29"/>
  <c r="AB67" i="29" s="1"/>
  <c r="AQ67" i="29" s="1"/>
  <c r="W67" i="29"/>
  <c r="AA67" i="29" s="1"/>
  <c r="AP67" i="29" s="1"/>
  <c r="V67" i="29"/>
  <c r="Z67" i="29" s="1"/>
  <c r="AO67" i="29" s="1"/>
  <c r="AH66" i="29"/>
  <c r="AG66" i="29"/>
  <c r="AF66" i="29"/>
  <c r="AE66" i="29"/>
  <c r="Y66" i="29"/>
  <c r="AC66" i="29" s="1"/>
  <c r="AR66" i="29" s="1"/>
  <c r="X66" i="29"/>
  <c r="AB66" i="29" s="1"/>
  <c r="AQ66" i="29" s="1"/>
  <c r="W66" i="29"/>
  <c r="AA66" i="29" s="1"/>
  <c r="AP66" i="29" s="1"/>
  <c r="V66" i="29"/>
  <c r="Z66" i="29" s="1"/>
  <c r="AO66" i="29" s="1"/>
  <c r="AH62" i="29"/>
  <c r="AG62" i="29"/>
  <c r="AF62" i="29"/>
  <c r="AE62" i="29"/>
  <c r="AI62" i="29" s="1"/>
  <c r="Y62" i="29"/>
  <c r="AC62" i="29" s="1"/>
  <c r="AR62" i="29" s="1"/>
  <c r="X62" i="29"/>
  <c r="AB62" i="29" s="1"/>
  <c r="AQ62" i="29" s="1"/>
  <c r="W62" i="29"/>
  <c r="AA62" i="29" s="1"/>
  <c r="V62" i="29"/>
  <c r="Z62" i="29" s="1"/>
  <c r="AO62" i="29" s="1"/>
  <c r="AH61" i="29"/>
  <c r="AG61" i="29"/>
  <c r="AF61" i="29"/>
  <c r="AE61" i="29"/>
  <c r="AI61" i="29" s="1"/>
  <c r="Y61" i="29"/>
  <c r="AC61" i="29" s="1"/>
  <c r="AR61" i="29" s="1"/>
  <c r="X61" i="29"/>
  <c r="AB61" i="29" s="1"/>
  <c r="AQ61" i="29" s="1"/>
  <c r="W61" i="29"/>
  <c r="AA61" i="29" s="1"/>
  <c r="V61" i="29"/>
  <c r="Z61" i="29" s="1"/>
  <c r="AO61" i="29" s="1"/>
  <c r="AH60" i="29"/>
  <c r="AG60" i="29"/>
  <c r="AF60" i="29"/>
  <c r="AE60" i="29"/>
  <c r="AI60" i="29" s="1"/>
  <c r="Y60" i="29"/>
  <c r="AC60" i="29" s="1"/>
  <c r="AR60" i="29" s="1"/>
  <c r="X60" i="29"/>
  <c r="AB60" i="29" s="1"/>
  <c r="AQ60" i="29" s="1"/>
  <c r="W60" i="29"/>
  <c r="AA60" i="29" s="1"/>
  <c r="V60" i="29"/>
  <c r="Z60" i="29" s="1"/>
  <c r="AO60" i="29" s="1"/>
  <c r="AH59" i="29"/>
  <c r="AG59" i="29"/>
  <c r="AF59" i="29"/>
  <c r="AE59" i="29"/>
  <c r="AI59" i="29" s="1"/>
  <c r="Y59" i="29"/>
  <c r="AC59" i="29" s="1"/>
  <c r="AR59" i="29" s="1"/>
  <c r="X59" i="29"/>
  <c r="AB59" i="29" s="1"/>
  <c r="AQ59" i="29" s="1"/>
  <c r="W59" i="29"/>
  <c r="AA59" i="29" s="1"/>
  <c r="V59" i="29"/>
  <c r="Z59" i="29" s="1"/>
  <c r="AO59" i="29" s="1"/>
  <c r="AH58" i="29"/>
  <c r="AG58" i="29"/>
  <c r="AF58" i="29"/>
  <c r="AE58" i="29"/>
  <c r="AI58" i="29" s="1"/>
  <c r="Y58" i="29"/>
  <c r="AC58" i="29" s="1"/>
  <c r="AR58" i="29" s="1"/>
  <c r="X58" i="29"/>
  <c r="AB58" i="29" s="1"/>
  <c r="AQ58" i="29" s="1"/>
  <c r="W58" i="29"/>
  <c r="AA58" i="29" s="1"/>
  <c r="V58" i="29"/>
  <c r="Z58" i="29" s="1"/>
  <c r="AO58" i="29" s="1"/>
  <c r="AH57" i="29"/>
  <c r="AG57" i="29"/>
  <c r="AF57" i="29"/>
  <c r="AE57" i="29"/>
  <c r="AI57" i="29" s="1"/>
  <c r="Y57" i="29"/>
  <c r="AC57" i="29" s="1"/>
  <c r="AR57" i="29" s="1"/>
  <c r="X57" i="29"/>
  <c r="AB57" i="29" s="1"/>
  <c r="AQ57" i="29" s="1"/>
  <c r="W57" i="29"/>
  <c r="AA57" i="29" s="1"/>
  <c r="V57" i="29"/>
  <c r="Z57" i="29" s="1"/>
  <c r="AO57" i="29" s="1"/>
  <c r="AH53" i="29"/>
  <c r="AG53" i="29"/>
  <c r="AF53" i="29"/>
  <c r="AE53" i="29"/>
  <c r="Y53" i="29"/>
  <c r="AC53" i="29" s="1"/>
  <c r="AR53" i="29" s="1"/>
  <c r="X53" i="29"/>
  <c r="AB53" i="29" s="1"/>
  <c r="AQ53" i="29" s="1"/>
  <c r="W53" i="29"/>
  <c r="AA53" i="29" s="1"/>
  <c r="AP53" i="29" s="1"/>
  <c r="V53" i="29"/>
  <c r="Z53" i="29" s="1"/>
  <c r="AO53" i="29" s="1"/>
  <c r="AH52" i="29"/>
  <c r="AG52" i="29"/>
  <c r="AF52" i="29"/>
  <c r="AE52" i="29"/>
  <c r="Y52" i="29"/>
  <c r="AC52" i="29" s="1"/>
  <c r="AR52" i="29" s="1"/>
  <c r="X52" i="29"/>
  <c r="AB52" i="29" s="1"/>
  <c r="AQ52" i="29" s="1"/>
  <c r="W52" i="29"/>
  <c r="AA52" i="29" s="1"/>
  <c r="AP52" i="29" s="1"/>
  <c r="V52" i="29"/>
  <c r="Z52" i="29" s="1"/>
  <c r="AO52" i="29" s="1"/>
  <c r="AH51" i="29"/>
  <c r="AG51" i="29"/>
  <c r="AF51" i="29"/>
  <c r="AE51" i="29"/>
  <c r="Y51" i="29"/>
  <c r="AC51" i="29" s="1"/>
  <c r="AR51" i="29" s="1"/>
  <c r="X51" i="29"/>
  <c r="AB51" i="29" s="1"/>
  <c r="AQ51" i="29" s="1"/>
  <c r="W51" i="29"/>
  <c r="AA51" i="29" s="1"/>
  <c r="AP51" i="29" s="1"/>
  <c r="V51" i="29"/>
  <c r="Z51" i="29" s="1"/>
  <c r="AO51" i="29" s="1"/>
  <c r="AH50" i="29"/>
  <c r="AG50" i="29"/>
  <c r="AF50" i="29"/>
  <c r="AE50" i="29"/>
  <c r="Y50" i="29"/>
  <c r="AC50" i="29" s="1"/>
  <c r="AR50" i="29" s="1"/>
  <c r="X50" i="29"/>
  <c r="AB50" i="29" s="1"/>
  <c r="AQ50" i="29" s="1"/>
  <c r="W50" i="29"/>
  <c r="AA50" i="29" s="1"/>
  <c r="AP50" i="29" s="1"/>
  <c r="V50" i="29"/>
  <c r="Z50" i="29" s="1"/>
  <c r="AO50" i="29" s="1"/>
  <c r="AH49" i="29"/>
  <c r="AG49" i="29"/>
  <c r="AF49" i="29"/>
  <c r="AE49" i="29"/>
  <c r="Y49" i="29"/>
  <c r="AC49" i="29" s="1"/>
  <c r="AR49" i="29" s="1"/>
  <c r="X49" i="29"/>
  <c r="AB49" i="29" s="1"/>
  <c r="AQ49" i="29" s="1"/>
  <c r="W49" i="29"/>
  <c r="AA49" i="29" s="1"/>
  <c r="AP49" i="29" s="1"/>
  <c r="V49" i="29"/>
  <c r="Z49" i="29" s="1"/>
  <c r="AO49" i="29" s="1"/>
  <c r="AH48" i="29"/>
  <c r="AG48" i="29"/>
  <c r="AF48" i="29"/>
  <c r="AE48" i="29"/>
  <c r="Y48" i="29"/>
  <c r="AC48" i="29" s="1"/>
  <c r="AR48" i="29" s="1"/>
  <c r="X48" i="29"/>
  <c r="AB48" i="29" s="1"/>
  <c r="AQ48" i="29" s="1"/>
  <c r="W48" i="29"/>
  <c r="AA48" i="29" s="1"/>
  <c r="AP48" i="29" s="1"/>
  <c r="V48" i="29"/>
  <c r="Z48" i="29" s="1"/>
  <c r="AO48" i="29" s="1"/>
  <c r="AH44" i="29"/>
  <c r="AG44" i="29"/>
  <c r="AF44" i="29"/>
  <c r="AE44" i="29"/>
  <c r="AI44" i="29" s="1"/>
  <c r="Y44" i="29"/>
  <c r="AC44" i="29" s="1"/>
  <c r="AR44" i="29" s="1"/>
  <c r="X44" i="29"/>
  <c r="AB44" i="29" s="1"/>
  <c r="AQ44" i="29" s="1"/>
  <c r="W44" i="29"/>
  <c r="AA44" i="29" s="1"/>
  <c r="V44" i="29"/>
  <c r="Z44" i="29" s="1"/>
  <c r="AO44" i="29" s="1"/>
  <c r="AH43" i="29"/>
  <c r="AG43" i="29"/>
  <c r="AF43" i="29"/>
  <c r="AE43" i="29"/>
  <c r="AI43" i="29" s="1"/>
  <c r="Y43" i="29"/>
  <c r="AC43" i="29" s="1"/>
  <c r="AR43" i="29" s="1"/>
  <c r="X43" i="29"/>
  <c r="AB43" i="29" s="1"/>
  <c r="AQ43" i="29" s="1"/>
  <c r="W43" i="29"/>
  <c r="AA43" i="29" s="1"/>
  <c r="V43" i="29"/>
  <c r="Z43" i="29" s="1"/>
  <c r="AO43" i="29" s="1"/>
  <c r="AH42" i="29"/>
  <c r="AG42" i="29"/>
  <c r="AF42" i="29"/>
  <c r="AE42" i="29"/>
  <c r="AI42" i="29" s="1"/>
  <c r="Y42" i="29"/>
  <c r="AC42" i="29" s="1"/>
  <c r="AR42" i="29" s="1"/>
  <c r="X42" i="29"/>
  <c r="AB42" i="29" s="1"/>
  <c r="AQ42" i="29" s="1"/>
  <c r="W42" i="29"/>
  <c r="AA42" i="29" s="1"/>
  <c r="V42" i="29"/>
  <c r="Z42" i="29" s="1"/>
  <c r="AO42" i="29" s="1"/>
  <c r="AH41" i="29"/>
  <c r="AG41" i="29"/>
  <c r="AF41" i="29"/>
  <c r="AE41" i="29"/>
  <c r="AI41" i="29" s="1"/>
  <c r="Y41" i="29"/>
  <c r="AC41" i="29" s="1"/>
  <c r="AR41" i="29" s="1"/>
  <c r="X41" i="29"/>
  <c r="AB41" i="29" s="1"/>
  <c r="AQ41" i="29" s="1"/>
  <c r="W41" i="29"/>
  <c r="AA41" i="29" s="1"/>
  <c r="V41" i="29"/>
  <c r="Z41" i="29" s="1"/>
  <c r="AO41" i="29" s="1"/>
  <c r="AH40" i="29"/>
  <c r="AG40" i="29"/>
  <c r="AF40" i="29"/>
  <c r="AE40" i="29"/>
  <c r="AI40" i="29" s="1"/>
  <c r="Y40" i="29"/>
  <c r="AC40" i="29" s="1"/>
  <c r="AR40" i="29" s="1"/>
  <c r="X40" i="29"/>
  <c r="AB40" i="29" s="1"/>
  <c r="AQ40" i="29" s="1"/>
  <c r="W40" i="29"/>
  <c r="AA40" i="29" s="1"/>
  <c r="V40" i="29"/>
  <c r="Z40" i="29" s="1"/>
  <c r="AO40" i="29" s="1"/>
  <c r="AH39" i="29"/>
  <c r="AG39" i="29"/>
  <c r="AF39" i="29"/>
  <c r="AE39" i="29"/>
  <c r="AI39" i="29" s="1"/>
  <c r="Y39" i="29"/>
  <c r="AC39" i="29" s="1"/>
  <c r="AR39" i="29" s="1"/>
  <c r="X39" i="29"/>
  <c r="AB39" i="29" s="1"/>
  <c r="AQ39" i="29" s="1"/>
  <c r="W39" i="29"/>
  <c r="AA39" i="29" s="1"/>
  <c r="V39" i="29"/>
  <c r="Z39" i="29" s="1"/>
  <c r="AO39" i="29" s="1"/>
  <c r="AH35" i="29"/>
  <c r="AG35" i="29"/>
  <c r="AF35" i="29"/>
  <c r="AE35" i="29"/>
  <c r="Y35" i="29"/>
  <c r="AC35" i="29" s="1"/>
  <c r="AR35" i="29" s="1"/>
  <c r="X35" i="29"/>
  <c r="AB35" i="29" s="1"/>
  <c r="AQ35" i="29" s="1"/>
  <c r="W35" i="29"/>
  <c r="AA35" i="29" s="1"/>
  <c r="AP35" i="29" s="1"/>
  <c r="V35" i="29"/>
  <c r="Z35" i="29" s="1"/>
  <c r="AO35" i="29" s="1"/>
  <c r="AH34" i="29"/>
  <c r="AG34" i="29"/>
  <c r="AF34" i="29"/>
  <c r="AE34" i="29"/>
  <c r="Y34" i="29"/>
  <c r="AC34" i="29" s="1"/>
  <c r="AR34" i="29" s="1"/>
  <c r="X34" i="29"/>
  <c r="AB34" i="29" s="1"/>
  <c r="AQ34" i="29" s="1"/>
  <c r="W34" i="29"/>
  <c r="AA34" i="29" s="1"/>
  <c r="AP34" i="29" s="1"/>
  <c r="V34" i="29"/>
  <c r="Z34" i="29" s="1"/>
  <c r="AO34" i="29" s="1"/>
  <c r="AH33" i="29"/>
  <c r="AG33" i="29"/>
  <c r="AF33" i="29"/>
  <c r="AE33" i="29"/>
  <c r="Y33" i="29"/>
  <c r="AC33" i="29" s="1"/>
  <c r="AR33" i="29" s="1"/>
  <c r="X33" i="29"/>
  <c r="AB33" i="29" s="1"/>
  <c r="AQ33" i="29" s="1"/>
  <c r="W33" i="29"/>
  <c r="AA33" i="29" s="1"/>
  <c r="AP33" i="29" s="1"/>
  <c r="V33" i="29"/>
  <c r="Z33" i="29" s="1"/>
  <c r="AO33" i="29" s="1"/>
  <c r="AH32" i="29"/>
  <c r="AG32" i="29"/>
  <c r="AF32" i="29"/>
  <c r="AE32" i="29"/>
  <c r="Y32" i="29"/>
  <c r="AC32" i="29" s="1"/>
  <c r="AR32" i="29" s="1"/>
  <c r="X32" i="29"/>
  <c r="AB32" i="29" s="1"/>
  <c r="AQ32" i="29" s="1"/>
  <c r="W32" i="29"/>
  <c r="AA32" i="29" s="1"/>
  <c r="AP32" i="29" s="1"/>
  <c r="V32" i="29"/>
  <c r="Z32" i="29" s="1"/>
  <c r="AO32" i="29" s="1"/>
  <c r="AH31" i="29"/>
  <c r="AG31" i="29"/>
  <c r="AF31" i="29"/>
  <c r="AE31" i="29"/>
  <c r="Y31" i="29"/>
  <c r="AC31" i="29" s="1"/>
  <c r="AR31" i="29" s="1"/>
  <c r="X31" i="29"/>
  <c r="AB31" i="29" s="1"/>
  <c r="AQ31" i="29" s="1"/>
  <c r="W31" i="29"/>
  <c r="AA31" i="29" s="1"/>
  <c r="AP31" i="29" s="1"/>
  <c r="V31" i="29"/>
  <c r="Z31" i="29" s="1"/>
  <c r="AO31" i="29" s="1"/>
  <c r="AH30" i="29"/>
  <c r="AG30" i="29"/>
  <c r="AF30" i="29"/>
  <c r="AE30" i="29"/>
  <c r="Y30" i="29"/>
  <c r="AC30" i="29" s="1"/>
  <c r="AR30" i="29" s="1"/>
  <c r="X30" i="29"/>
  <c r="AB30" i="29" s="1"/>
  <c r="AQ30" i="29" s="1"/>
  <c r="W30" i="29"/>
  <c r="AA30" i="29" s="1"/>
  <c r="AP30" i="29" s="1"/>
  <c r="V30" i="29"/>
  <c r="Z30" i="29" s="1"/>
  <c r="AO30" i="29" s="1"/>
  <c r="AH26" i="29"/>
  <c r="AG26" i="29"/>
  <c r="AF26" i="29"/>
  <c r="AE26" i="29"/>
  <c r="AI26" i="29" s="1"/>
  <c r="Y26" i="29"/>
  <c r="AC26" i="29" s="1"/>
  <c r="AR26" i="29" s="1"/>
  <c r="X26" i="29"/>
  <c r="AB26" i="29" s="1"/>
  <c r="AQ26" i="29" s="1"/>
  <c r="W26" i="29"/>
  <c r="AA26" i="29" s="1"/>
  <c r="V26" i="29"/>
  <c r="Z26" i="29" s="1"/>
  <c r="AO26" i="29" s="1"/>
  <c r="AH25" i="29"/>
  <c r="AG25" i="29"/>
  <c r="AF25" i="29"/>
  <c r="AE25" i="29"/>
  <c r="AI25" i="29" s="1"/>
  <c r="Y25" i="29"/>
  <c r="AC25" i="29" s="1"/>
  <c r="AR25" i="29" s="1"/>
  <c r="X25" i="29"/>
  <c r="AB25" i="29" s="1"/>
  <c r="AQ25" i="29" s="1"/>
  <c r="W25" i="29"/>
  <c r="AA25" i="29" s="1"/>
  <c r="V25" i="29"/>
  <c r="Z25" i="29" s="1"/>
  <c r="AO25" i="29" s="1"/>
  <c r="AH24" i="29"/>
  <c r="AG24" i="29"/>
  <c r="AF24" i="29"/>
  <c r="AE24" i="29"/>
  <c r="AI24" i="29" s="1"/>
  <c r="Y24" i="29"/>
  <c r="AC24" i="29" s="1"/>
  <c r="AR24" i="29" s="1"/>
  <c r="X24" i="29"/>
  <c r="AB24" i="29" s="1"/>
  <c r="AQ24" i="29" s="1"/>
  <c r="W24" i="29"/>
  <c r="AA24" i="29" s="1"/>
  <c r="V24" i="29"/>
  <c r="Z24" i="29" s="1"/>
  <c r="AO24" i="29" s="1"/>
  <c r="AH23" i="29"/>
  <c r="AG23" i="29"/>
  <c r="AF23" i="29"/>
  <c r="AE23" i="29"/>
  <c r="AI23" i="29" s="1"/>
  <c r="Y23" i="29"/>
  <c r="AC23" i="29" s="1"/>
  <c r="AR23" i="29" s="1"/>
  <c r="X23" i="29"/>
  <c r="AB23" i="29" s="1"/>
  <c r="AQ23" i="29" s="1"/>
  <c r="W23" i="29"/>
  <c r="AA23" i="29" s="1"/>
  <c r="V23" i="29"/>
  <c r="Z23" i="29" s="1"/>
  <c r="AO23" i="29" s="1"/>
  <c r="AH22" i="29"/>
  <c r="AG22" i="29"/>
  <c r="AF22" i="29"/>
  <c r="AE22" i="29"/>
  <c r="AI22" i="29" s="1"/>
  <c r="Y22" i="29"/>
  <c r="AC22" i="29" s="1"/>
  <c r="AR22" i="29" s="1"/>
  <c r="X22" i="29"/>
  <c r="AB22" i="29" s="1"/>
  <c r="AQ22" i="29" s="1"/>
  <c r="W22" i="29"/>
  <c r="AA22" i="29" s="1"/>
  <c r="V22" i="29"/>
  <c r="Z22" i="29" s="1"/>
  <c r="AO22" i="29" s="1"/>
  <c r="AH21" i="29"/>
  <c r="AG21" i="29"/>
  <c r="AF21" i="29"/>
  <c r="AE21" i="29"/>
  <c r="AI21" i="29" s="1"/>
  <c r="Y21" i="29"/>
  <c r="AC21" i="29" s="1"/>
  <c r="AR21" i="29" s="1"/>
  <c r="X21" i="29"/>
  <c r="AB21" i="29" s="1"/>
  <c r="AQ21" i="29" s="1"/>
  <c r="W21" i="29"/>
  <c r="AA21" i="29" s="1"/>
  <c r="V21" i="29"/>
  <c r="Z21" i="29" s="1"/>
  <c r="AO21" i="29" s="1"/>
  <c r="AH17" i="29"/>
  <c r="AG17" i="29"/>
  <c r="AF17" i="29"/>
  <c r="AE17" i="29"/>
  <c r="AI17" i="29" s="1"/>
  <c r="Y17" i="29"/>
  <c r="AC17" i="29" s="1"/>
  <c r="AR17" i="29" s="1"/>
  <c r="X17" i="29"/>
  <c r="AB17" i="29" s="1"/>
  <c r="AQ17" i="29" s="1"/>
  <c r="W17" i="29"/>
  <c r="AA17" i="29" s="1"/>
  <c r="V17" i="29"/>
  <c r="Z17" i="29" s="1"/>
  <c r="AO17" i="29" s="1"/>
  <c r="AH16" i="29"/>
  <c r="AG16" i="29"/>
  <c r="AF16" i="29"/>
  <c r="AE16" i="29"/>
  <c r="AI16" i="29" s="1"/>
  <c r="Y16" i="29"/>
  <c r="AC16" i="29" s="1"/>
  <c r="AR16" i="29" s="1"/>
  <c r="X16" i="29"/>
  <c r="AB16" i="29" s="1"/>
  <c r="AQ16" i="29" s="1"/>
  <c r="W16" i="29"/>
  <c r="AA16" i="29" s="1"/>
  <c r="V16" i="29"/>
  <c r="Z16" i="29" s="1"/>
  <c r="AO16" i="29" s="1"/>
  <c r="AH15" i="29"/>
  <c r="AG15" i="29"/>
  <c r="AF15" i="29"/>
  <c r="AE15" i="29"/>
  <c r="AI15" i="29" s="1"/>
  <c r="Y15" i="29"/>
  <c r="AC15" i="29" s="1"/>
  <c r="AR15" i="29" s="1"/>
  <c r="X15" i="29"/>
  <c r="AB15" i="29" s="1"/>
  <c r="AQ15" i="29" s="1"/>
  <c r="W15" i="29"/>
  <c r="AA15" i="29" s="1"/>
  <c r="V15" i="29"/>
  <c r="Z15" i="29" s="1"/>
  <c r="AO15" i="29" s="1"/>
  <c r="AH14" i="29"/>
  <c r="AG14" i="29"/>
  <c r="AF14" i="29"/>
  <c r="AE14" i="29"/>
  <c r="AI14" i="29" s="1"/>
  <c r="Y14" i="29"/>
  <c r="AC14" i="29" s="1"/>
  <c r="AR14" i="29" s="1"/>
  <c r="X14" i="29"/>
  <c r="AB14" i="29" s="1"/>
  <c r="AQ14" i="29" s="1"/>
  <c r="W14" i="29"/>
  <c r="AA14" i="29" s="1"/>
  <c r="V14" i="29"/>
  <c r="Z14" i="29" s="1"/>
  <c r="AO14" i="29" s="1"/>
  <c r="AH13" i="29"/>
  <c r="AG13" i="29"/>
  <c r="AF13" i="29"/>
  <c r="AE13" i="29"/>
  <c r="AI13" i="29" s="1"/>
  <c r="Y13" i="29"/>
  <c r="AC13" i="29" s="1"/>
  <c r="AR13" i="29" s="1"/>
  <c r="X13" i="29"/>
  <c r="AB13" i="29" s="1"/>
  <c r="AQ13" i="29" s="1"/>
  <c r="W13" i="29"/>
  <c r="AA13" i="29" s="1"/>
  <c r="V13" i="29"/>
  <c r="Z13" i="29" s="1"/>
  <c r="AO13" i="29" s="1"/>
  <c r="AH12" i="29"/>
  <c r="AG12" i="29"/>
  <c r="AF12" i="29"/>
  <c r="AE12" i="29"/>
  <c r="AI12" i="29" s="1"/>
  <c r="AU12" i="29" s="1"/>
  <c r="Y12" i="29"/>
  <c r="AC12" i="29" s="1"/>
  <c r="AR12" i="29" s="1"/>
  <c r="X12" i="29"/>
  <c r="AB12" i="29" s="1"/>
  <c r="AQ12" i="29" s="1"/>
  <c r="W12" i="29"/>
  <c r="AA12" i="29" s="1"/>
  <c r="V12" i="29"/>
  <c r="Z12" i="29" s="1"/>
  <c r="AO12" i="29" s="1"/>
  <c r="AA28" i="8"/>
  <c r="AB28" i="8"/>
  <c r="AA29" i="8"/>
  <c r="AB29" i="8"/>
  <c r="AA30" i="8"/>
  <c r="AB30" i="8"/>
  <c r="V28" i="8"/>
  <c r="V29" i="8"/>
  <c r="V30" i="8"/>
  <c r="U28" i="8"/>
  <c r="U29" i="8"/>
  <c r="U30" i="8"/>
  <c r="J28" i="8"/>
  <c r="L28" i="8" s="1"/>
  <c r="K28" i="8"/>
  <c r="M28" i="8"/>
  <c r="J29" i="8"/>
  <c r="L29" i="8" s="1"/>
  <c r="K29" i="8"/>
  <c r="M29" i="8"/>
  <c r="J30" i="8"/>
  <c r="L30" i="8" s="1"/>
  <c r="K30" i="8"/>
  <c r="M30" i="8" s="1"/>
  <c r="H180" i="27"/>
  <c r="G180" i="27"/>
  <c r="F180" i="27"/>
  <c r="E180" i="27"/>
  <c r="D180" i="27"/>
  <c r="H171" i="27"/>
  <c r="G171" i="27"/>
  <c r="F171" i="27"/>
  <c r="E171" i="27"/>
  <c r="D171" i="27"/>
  <c r="AH170" i="27"/>
  <c r="AL170" i="27" s="1"/>
  <c r="AX170" i="27" s="1"/>
  <c r="AG170" i="27"/>
  <c r="AK170" i="27" s="1"/>
  <c r="AW170" i="27" s="1"/>
  <c r="AF170" i="27"/>
  <c r="AJ170" i="27" s="1"/>
  <c r="AV170" i="27" s="1"/>
  <c r="AE170" i="27"/>
  <c r="AI170" i="27" s="1"/>
  <c r="AU170" i="27" s="1"/>
  <c r="Y170" i="27"/>
  <c r="AC170" i="27" s="1"/>
  <c r="AR170" i="27" s="1"/>
  <c r="X170" i="27"/>
  <c r="AB170" i="27" s="1"/>
  <c r="AQ170" i="27" s="1"/>
  <c r="W170" i="27"/>
  <c r="AA170" i="27" s="1"/>
  <c r="AP170" i="27" s="1"/>
  <c r="V170" i="27"/>
  <c r="Z170" i="27" s="1"/>
  <c r="AH169" i="27"/>
  <c r="AL169" i="27" s="1"/>
  <c r="AX169" i="27" s="1"/>
  <c r="AG169" i="27"/>
  <c r="AK169" i="27" s="1"/>
  <c r="AW169" i="27" s="1"/>
  <c r="AF169" i="27"/>
  <c r="AJ169" i="27" s="1"/>
  <c r="AV169" i="27" s="1"/>
  <c r="AE169" i="27"/>
  <c r="AI169" i="27" s="1"/>
  <c r="AU169" i="27" s="1"/>
  <c r="Y169" i="27"/>
  <c r="AC169" i="27" s="1"/>
  <c r="AR169" i="27" s="1"/>
  <c r="X169" i="27"/>
  <c r="AB169" i="27" s="1"/>
  <c r="AQ169" i="27" s="1"/>
  <c r="W169" i="27"/>
  <c r="AA169" i="27" s="1"/>
  <c r="AP169" i="27" s="1"/>
  <c r="V169" i="27"/>
  <c r="Z169" i="27" s="1"/>
  <c r="AH168" i="27"/>
  <c r="AL168" i="27" s="1"/>
  <c r="AX168" i="27" s="1"/>
  <c r="AG168" i="27"/>
  <c r="AK168" i="27" s="1"/>
  <c r="AW168" i="27" s="1"/>
  <c r="AF168" i="27"/>
  <c r="AJ168" i="27" s="1"/>
  <c r="AV168" i="27" s="1"/>
  <c r="AE168" i="27"/>
  <c r="AI168" i="27" s="1"/>
  <c r="AU168" i="27" s="1"/>
  <c r="Y168" i="27"/>
  <c r="AC168" i="27" s="1"/>
  <c r="AR168" i="27" s="1"/>
  <c r="X168" i="27"/>
  <c r="AB168" i="27" s="1"/>
  <c r="AQ168" i="27" s="1"/>
  <c r="W168" i="27"/>
  <c r="AA168" i="27" s="1"/>
  <c r="AP168" i="27" s="1"/>
  <c r="V168" i="27"/>
  <c r="Z168" i="27" s="1"/>
  <c r="AH167" i="27"/>
  <c r="AL167" i="27" s="1"/>
  <c r="AX167" i="27" s="1"/>
  <c r="AG167" i="27"/>
  <c r="AK167" i="27" s="1"/>
  <c r="AW167" i="27" s="1"/>
  <c r="AF167" i="27"/>
  <c r="AJ167" i="27" s="1"/>
  <c r="AV167" i="27" s="1"/>
  <c r="AE167" i="27"/>
  <c r="AI167" i="27" s="1"/>
  <c r="AU167" i="27" s="1"/>
  <c r="Y167" i="27"/>
  <c r="AC167" i="27" s="1"/>
  <c r="AR167" i="27" s="1"/>
  <c r="X167" i="27"/>
  <c r="AB167" i="27" s="1"/>
  <c r="AQ167" i="27" s="1"/>
  <c r="W167" i="27"/>
  <c r="AA167" i="27" s="1"/>
  <c r="AP167" i="27" s="1"/>
  <c r="V167" i="27"/>
  <c r="Z167" i="27" s="1"/>
  <c r="AH166" i="27"/>
  <c r="AL166" i="27" s="1"/>
  <c r="AX166" i="27" s="1"/>
  <c r="AG166" i="27"/>
  <c r="AK166" i="27" s="1"/>
  <c r="AW166" i="27" s="1"/>
  <c r="AF166" i="27"/>
  <c r="AJ166" i="27" s="1"/>
  <c r="AV166" i="27" s="1"/>
  <c r="AE166" i="27"/>
  <c r="AI166" i="27" s="1"/>
  <c r="AU166" i="27" s="1"/>
  <c r="Y166" i="27"/>
  <c r="AC166" i="27" s="1"/>
  <c r="AR166" i="27" s="1"/>
  <c r="X166" i="27"/>
  <c r="AB166" i="27" s="1"/>
  <c r="AQ166" i="27" s="1"/>
  <c r="W166" i="27"/>
  <c r="AA166" i="27" s="1"/>
  <c r="AP166" i="27" s="1"/>
  <c r="V166" i="27"/>
  <c r="Z166" i="27" s="1"/>
  <c r="AH165" i="27"/>
  <c r="AL165" i="27" s="1"/>
  <c r="AX165" i="27" s="1"/>
  <c r="AG165" i="27"/>
  <c r="AK165" i="27" s="1"/>
  <c r="AW165" i="27" s="1"/>
  <c r="AF165" i="27"/>
  <c r="AJ165" i="27" s="1"/>
  <c r="AV165" i="27" s="1"/>
  <c r="AE165" i="27"/>
  <c r="AI165" i="27" s="1"/>
  <c r="AU165" i="27" s="1"/>
  <c r="Y165" i="27"/>
  <c r="AC165" i="27" s="1"/>
  <c r="AR165" i="27" s="1"/>
  <c r="X165" i="27"/>
  <c r="AB165" i="27" s="1"/>
  <c r="AQ165" i="27" s="1"/>
  <c r="W165" i="27"/>
  <c r="AA165" i="27" s="1"/>
  <c r="AP165" i="27" s="1"/>
  <c r="V165" i="27"/>
  <c r="Z165" i="27" s="1"/>
  <c r="H162" i="27"/>
  <c r="G162" i="27"/>
  <c r="F162" i="27"/>
  <c r="E162" i="27"/>
  <c r="D162" i="27"/>
  <c r="AH161" i="27"/>
  <c r="AL161" i="27" s="1"/>
  <c r="AX161" i="27" s="1"/>
  <c r="AG161" i="27"/>
  <c r="AK161" i="27" s="1"/>
  <c r="AW161" i="27" s="1"/>
  <c r="AF161" i="27"/>
  <c r="AJ161" i="27" s="1"/>
  <c r="AE161" i="27"/>
  <c r="AI161" i="27" s="1"/>
  <c r="AU161" i="27" s="1"/>
  <c r="Y161" i="27"/>
  <c r="AC161" i="27" s="1"/>
  <c r="AR161" i="27" s="1"/>
  <c r="X161" i="27"/>
  <c r="AB161" i="27" s="1"/>
  <c r="AQ161" i="27" s="1"/>
  <c r="W161" i="27"/>
  <c r="AA161" i="27" s="1"/>
  <c r="AP161" i="27" s="1"/>
  <c r="V161" i="27"/>
  <c r="Z161" i="27" s="1"/>
  <c r="AH160" i="27"/>
  <c r="AL160" i="27" s="1"/>
  <c r="AX160" i="27" s="1"/>
  <c r="AG160" i="27"/>
  <c r="AK160" i="27" s="1"/>
  <c r="AW160" i="27" s="1"/>
  <c r="AF160" i="27"/>
  <c r="AJ160" i="27" s="1"/>
  <c r="AE160" i="27"/>
  <c r="AI160" i="27" s="1"/>
  <c r="AU160" i="27" s="1"/>
  <c r="Y160" i="27"/>
  <c r="AC160" i="27" s="1"/>
  <c r="AR160" i="27" s="1"/>
  <c r="X160" i="27"/>
  <c r="AB160" i="27" s="1"/>
  <c r="AQ160" i="27" s="1"/>
  <c r="W160" i="27"/>
  <c r="AA160" i="27" s="1"/>
  <c r="AP160" i="27" s="1"/>
  <c r="V160" i="27"/>
  <c r="Z160" i="27" s="1"/>
  <c r="AH159" i="27"/>
  <c r="AL159" i="27" s="1"/>
  <c r="AX159" i="27" s="1"/>
  <c r="AG159" i="27"/>
  <c r="AK159" i="27" s="1"/>
  <c r="AW159" i="27" s="1"/>
  <c r="AF159" i="27"/>
  <c r="AJ159" i="27" s="1"/>
  <c r="AE159" i="27"/>
  <c r="AI159" i="27" s="1"/>
  <c r="AU159" i="27" s="1"/>
  <c r="Y159" i="27"/>
  <c r="AC159" i="27" s="1"/>
  <c r="AR159" i="27" s="1"/>
  <c r="X159" i="27"/>
  <c r="AB159" i="27" s="1"/>
  <c r="AQ159" i="27" s="1"/>
  <c r="W159" i="27"/>
  <c r="AA159" i="27" s="1"/>
  <c r="AP159" i="27" s="1"/>
  <c r="V159" i="27"/>
  <c r="Z159" i="27" s="1"/>
  <c r="AH158" i="27"/>
  <c r="AL158" i="27" s="1"/>
  <c r="AX158" i="27" s="1"/>
  <c r="AG158" i="27"/>
  <c r="AK158" i="27" s="1"/>
  <c r="AW158" i="27" s="1"/>
  <c r="AF158" i="27"/>
  <c r="AJ158" i="27" s="1"/>
  <c r="AE158" i="27"/>
  <c r="AI158" i="27" s="1"/>
  <c r="AU158" i="27" s="1"/>
  <c r="Y158" i="27"/>
  <c r="AC158" i="27" s="1"/>
  <c r="AR158" i="27" s="1"/>
  <c r="X158" i="27"/>
  <c r="AB158" i="27" s="1"/>
  <c r="AQ158" i="27" s="1"/>
  <c r="W158" i="27"/>
  <c r="AA158" i="27" s="1"/>
  <c r="AP158" i="27" s="1"/>
  <c r="V158" i="27"/>
  <c r="Z158" i="27" s="1"/>
  <c r="AH157" i="27"/>
  <c r="AL157" i="27" s="1"/>
  <c r="AX157" i="27" s="1"/>
  <c r="AG157" i="27"/>
  <c r="AK157" i="27" s="1"/>
  <c r="AW157" i="27" s="1"/>
  <c r="AF157" i="27"/>
  <c r="AJ157" i="27" s="1"/>
  <c r="AE157" i="27"/>
  <c r="AI157" i="27" s="1"/>
  <c r="AU157" i="27" s="1"/>
  <c r="Y157" i="27"/>
  <c r="AC157" i="27" s="1"/>
  <c r="AR157" i="27" s="1"/>
  <c r="X157" i="27"/>
  <c r="AB157" i="27" s="1"/>
  <c r="AQ157" i="27" s="1"/>
  <c r="W157" i="27"/>
  <c r="AA157" i="27" s="1"/>
  <c r="AP157" i="27" s="1"/>
  <c r="V157" i="27"/>
  <c r="Z157" i="27" s="1"/>
  <c r="AH156" i="27"/>
  <c r="AL156" i="27" s="1"/>
  <c r="AX156" i="27" s="1"/>
  <c r="AG156" i="27"/>
  <c r="AK156" i="27" s="1"/>
  <c r="AW156" i="27" s="1"/>
  <c r="AF156" i="27"/>
  <c r="AJ156" i="27" s="1"/>
  <c r="AE156" i="27"/>
  <c r="AI156" i="27" s="1"/>
  <c r="AU156" i="27" s="1"/>
  <c r="Y156" i="27"/>
  <c r="AC156" i="27" s="1"/>
  <c r="AR156" i="27" s="1"/>
  <c r="X156" i="27"/>
  <c r="AB156" i="27" s="1"/>
  <c r="AQ156" i="27" s="1"/>
  <c r="W156" i="27"/>
  <c r="AA156" i="27" s="1"/>
  <c r="AP156" i="27" s="1"/>
  <c r="V156" i="27"/>
  <c r="Z156" i="27" s="1"/>
  <c r="H153" i="27"/>
  <c r="G153" i="27"/>
  <c r="F153" i="27"/>
  <c r="E153" i="27"/>
  <c r="D153" i="27"/>
  <c r="AH152" i="27"/>
  <c r="AL152" i="27" s="1"/>
  <c r="AX152" i="27" s="1"/>
  <c r="AG152" i="27"/>
  <c r="AK152" i="27" s="1"/>
  <c r="AW152" i="27" s="1"/>
  <c r="AF152" i="27"/>
  <c r="AJ152" i="27" s="1"/>
  <c r="AV152" i="27" s="1"/>
  <c r="AE152" i="27"/>
  <c r="AI152" i="27" s="1"/>
  <c r="AU152" i="27" s="1"/>
  <c r="Y152" i="27"/>
  <c r="AC152" i="27" s="1"/>
  <c r="AR152" i="27" s="1"/>
  <c r="X152" i="27"/>
  <c r="AB152" i="27" s="1"/>
  <c r="AQ152" i="27" s="1"/>
  <c r="W152" i="27"/>
  <c r="AA152" i="27" s="1"/>
  <c r="AP152" i="27" s="1"/>
  <c r="V152" i="27"/>
  <c r="Z152" i="27" s="1"/>
  <c r="AH151" i="27"/>
  <c r="AL151" i="27" s="1"/>
  <c r="AX151" i="27" s="1"/>
  <c r="AG151" i="27"/>
  <c r="AK151" i="27" s="1"/>
  <c r="AW151" i="27" s="1"/>
  <c r="AF151" i="27"/>
  <c r="AJ151" i="27" s="1"/>
  <c r="AV151" i="27" s="1"/>
  <c r="AE151" i="27"/>
  <c r="AI151" i="27" s="1"/>
  <c r="AU151" i="27" s="1"/>
  <c r="Y151" i="27"/>
  <c r="AC151" i="27" s="1"/>
  <c r="AR151" i="27" s="1"/>
  <c r="X151" i="27"/>
  <c r="AB151" i="27" s="1"/>
  <c r="AQ151" i="27" s="1"/>
  <c r="W151" i="27"/>
  <c r="AA151" i="27" s="1"/>
  <c r="AP151" i="27" s="1"/>
  <c r="V151" i="27"/>
  <c r="Z151" i="27" s="1"/>
  <c r="AH150" i="27"/>
  <c r="AL150" i="27" s="1"/>
  <c r="AX150" i="27" s="1"/>
  <c r="AG150" i="27"/>
  <c r="AK150" i="27" s="1"/>
  <c r="AW150" i="27" s="1"/>
  <c r="AF150" i="27"/>
  <c r="AJ150" i="27" s="1"/>
  <c r="AV150" i="27" s="1"/>
  <c r="AE150" i="27"/>
  <c r="AI150" i="27" s="1"/>
  <c r="AU150" i="27" s="1"/>
  <c r="Y150" i="27"/>
  <c r="AC150" i="27" s="1"/>
  <c r="AR150" i="27" s="1"/>
  <c r="X150" i="27"/>
  <c r="AB150" i="27" s="1"/>
  <c r="AQ150" i="27" s="1"/>
  <c r="W150" i="27"/>
  <c r="AA150" i="27" s="1"/>
  <c r="AP150" i="27" s="1"/>
  <c r="V150" i="27"/>
  <c r="Z150" i="27" s="1"/>
  <c r="AH149" i="27"/>
  <c r="AL149" i="27" s="1"/>
  <c r="AX149" i="27" s="1"/>
  <c r="AG149" i="27"/>
  <c r="AK149" i="27" s="1"/>
  <c r="AW149" i="27" s="1"/>
  <c r="AF149" i="27"/>
  <c r="AJ149" i="27" s="1"/>
  <c r="AV149" i="27" s="1"/>
  <c r="AE149" i="27"/>
  <c r="AI149" i="27" s="1"/>
  <c r="AU149" i="27" s="1"/>
  <c r="Y149" i="27"/>
  <c r="AC149" i="27" s="1"/>
  <c r="AR149" i="27" s="1"/>
  <c r="X149" i="27"/>
  <c r="AB149" i="27" s="1"/>
  <c r="AQ149" i="27" s="1"/>
  <c r="W149" i="27"/>
  <c r="AA149" i="27" s="1"/>
  <c r="AP149" i="27" s="1"/>
  <c r="V149" i="27"/>
  <c r="Z149" i="27" s="1"/>
  <c r="AH148" i="27"/>
  <c r="AL148" i="27" s="1"/>
  <c r="AX148" i="27" s="1"/>
  <c r="AG148" i="27"/>
  <c r="AK148" i="27" s="1"/>
  <c r="AW148" i="27" s="1"/>
  <c r="AF148" i="27"/>
  <c r="AJ148" i="27" s="1"/>
  <c r="AV148" i="27" s="1"/>
  <c r="AE148" i="27"/>
  <c r="AI148" i="27" s="1"/>
  <c r="AU148" i="27" s="1"/>
  <c r="Y148" i="27"/>
  <c r="AC148" i="27" s="1"/>
  <c r="AR148" i="27" s="1"/>
  <c r="X148" i="27"/>
  <c r="AB148" i="27" s="1"/>
  <c r="AQ148" i="27" s="1"/>
  <c r="W148" i="27"/>
  <c r="AA148" i="27" s="1"/>
  <c r="AP148" i="27" s="1"/>
  <c r="V148" i="27"/>
  <c r="Z148" i="27" s="1"/>
  <c r="AH147" i="27"/>
  <c r="AL147" i="27" s="1"/>
  <c r="AX147" i="27" s="1"/>
  <c r="AG147" i="27"/>
  <c r="AK147" i="27" s="1"/>
  <c r="AW147" i="27" s="1"/>
  <c r="AF147" i="27"/>
  <c r="AJ147" i="27" s="1"/>
  <c r="AV147" i="27" s="1"/>
  <c r="AE147" i="27"/>
  <c r="AI147" i="27" s="1"/>
  <c r="AU147" i="27" s="1"/>
  <c r="Y147" i="27"/>
  <c r="AC147" i="27" s="1"/>
  <c r="AR147" i="27" s="1"/>
  <c r="X147" i="27"/>
  <c r="AB147" i="27" s="1"/>
  <c r="AQ147" i="27" s="1"/>
  <c r="W147" i="27"/>
  <c r="AA147" i="27" s="1"/>
  <c r="AP147" i="27" s="1"/>
  <c r="V147" i="27"/>
  <c r="Z147" i="27" s="1"/>
  <c r="H144" i="27"/>
  <c r="G144" i="27"/>
  <c r="F144" i="27"/>
  <c r="E144" i="27"/>
  <c r="D144" i="27"/>
  <c r="AH143" i="27"/>
  <c r="AL143" i="27" s="1"/>
  <c r="AX143" i="27" s="1"/>
  <c r="AG143" i="27"/>
  <c r="AK143" i="27" s="1"/>
  <c r="AW143" i="27" s="1"/>
  <c r="AF143" i="27"/>
  <c r="AJ143" i="27" s="1"/>
  <c r="AE143" i="27"/>
  <c r="AI143" i="27" s="1"/>
  <c r="AU143" i="27" s="1"/>
  <c r="Y143" i="27"/>
  <c r="AC143" i="27" s="1"/>
  <c r="AR143" i="27" s="1"/>
  <c r="X143" i="27"/>
  <c r="AB143" i="27" s="1"/>
  <c r="AQ143" i="27" s="1"/>
  <c r="W143" i="27"/>
  <c r="AA143" i="27" s="1"/>
  <c r="AP143" i="27" s="1"/>
  <c r="V143" i="27"/>
  <c r="Z143" i="27" s="1"/>
  <c r="AH142" i="27"/>
  <c r="AL142" i="27" s="1"/>
  <c r="AX142" i="27" s="1"/>
  <c r="AG142" i="27"/>
  <c r="AK142" i="27" s="1"/>
  <c r="AW142" i="27" s="1"/>
  <c r="AF142" i="27"/>
  <c r="AJ142" i="27" s="1"/>
  <c r="AE142" i="27"/>
  <c r="AI142" i="27" s="1"/>
  <c r="AU142" i="27" s="1"/>
  <c r="Y142" i="27"/>
  <c r="AC142" i="27" s="1"/>
  <c r="AR142" i="27" s="1"/>
  <c r="X142" i="27"/>
  <c r="AB142" i="27" s="1"/>
  <c r="AQ142" i="27" s="1"/>
  <c r="W142" i="27"/>
  <c r="AA142" i="27" s="1"/>
  <c r="AP142" i="27" s="1"/>
  <c r="V142" i="27"/>
  <c r="Z142" i="27" s="1"/>
  <c r="AH141" i="27"/>
  <c r="AL141" i="27" s="1"/>
  <c r="AX141" i="27" s="1"/>
  <c r="AG141" i="27"/>
  <c r="AK141" i="27" s="1"/>
  <c r="AW141" i="27" s="1"/>
  <c r="AF141" i="27"/>
  <c r="AJ141" i="27" s="1"/>
  <c r="AE141" i="27"/>
  <c r="AI141" i="27" s="1"/>
  <c r="AU141" i="27" s="1"/>
  <c r="Y141" i="27"/>
  <c r="AC141" i="27" s="1"/>
  <c r="AR141" i="27" s="1"/>
  <c r="X141" i="27"/>
  <c r="AB141" i="27" s="1"/>
  <c r="AQ141" i="27" s="1"/>
  <c r="W141" i="27"/>
  <c r="AA141" i="27" s="1"/>
  <c r="AP141" i="27" s="1"/>
  <c r="V141" i="27"/>
  <c r="Z141" i="27" s="1"/>
  <c r="AH140" i="27"/>
  <c r="AL140" i="27" s="1"/>
  <c r="AX140" i="27" s="1"/>
  <c r="AG140" i="27"/>
  <c r="AK140" i="27" s="1"/>
  <c r="AW140" i="27" s="1"/>
  <c r="AF140" i="27"/>
  <c r="AJ140" i="27" s="1"/>
  <c r="AE140" i="27"/>
  <c r="AI140" i="27" s="1"/>
  <c r="AU140" i="27" s="1"/>
  <c r="Y140" i="27"/>
  <c r="AC140" i="27" s="1"/>
  <c r="AR140" i="27" s="1"/>
  <c r="X140" i="27"/>
  <c r="AB140" i="27" s="1"/>
  <c r="AQ140" i="27" s="1"/>
  <c r="W140" i="27"/>
  <c r="AA140" i="27" s="1"/>
  <c r="AP140" i="27" s="1"/>
  <c r="V140" i="27"/>
  <c r="Z140" i="27" s="1"/>
  <c r="AH139" i="27"/>
  <c r="AL139" i="27" s="1"/>
  <c r="AX139" i="27" s="1"/>
  <c r="AG139" i="27"/>
  <c r="AK139" i="27" s="1"/>
  <c r="AW139" i="27" s="1"/>
  <c r="AF139" i="27"/>
  <c r="AJ139" i="27" s="1"/>
  <c r="AE139" i="27"/>
  <c r="AI139" i="27" s="1"/>
  <c r="AU139" i="27" s="1"/>
  <c r="Y139" i="27"/>
  <c r="AC139" i="27" s="1"/>
  <c r="AR139" i="27" s="1"/>
  <c r="X139" i="27"/>
  <c r="AB139" i="27" s="1"/>
  <c r="AQ139" i="27" s="1"/>
  <c r="W139" i="27"/>
  <c r="AA139" i="27" s="1"/>
  <c r="AP139" i="27" s="1"/>
  <c r="V139" i="27"/>
  <c r="Z139" i="27" s="1"/>
  <c r="AH138" i="27"/>
  <c r="AL138" i="27" s="1"/>
  <c r="AX138" i="27" s="1"/>
  <c r="AG138" i="27"/>
  <c r="AK138" i="27" s="1"/>
  <c r="AW138" i="27" s="1"/>
  <c r="AF138" i="27"/>
  <c r="AJ138" i="27" s="1"/>
  <c r="AE138" i="27"/>
  <c r="AI138" i="27" s="1"/>
  <c r="AU138" i="27" s="1"/>
  <c r="Y138" i="27"/>
  <c r="AC138" i="27" s="1"/>
  <c r="AR138" i="27" s="1"/>
  <c r="X138" i="27"/>
  <c r="AB138" i="27" s="1"/>
  <c r="AQ138" i="27" s="1"/>
  <c r="W138" i="27"/>
  <c r="AA138" i="27" s="1"/>
  <c r="AP138" i="27" s="1"/>
  <c r="V138" i="27"/>
  <c r="Z138" i="27" s="1"/>
  <c r="H135" i="27"/>
  <c r="G135" i="27"/>
  <c r="F135" i="27"/>
  <c r="E135" i="27"/>
  <c r="D135" i="27"/>
  <c r="AH134" i="27"/>
  <c r="AL134" i="27" s="1"/>
  <c r="AX134" i="27" s="1"/>
  <c r="AG134" i="27"/>
  <c r="AK134" i="27" s="1"/>
  <c r="AW134" i="27" s="1"/>
  <c r="AF134" i="27"/>
  <c r="AJ134" i="27" s="1"/>
  <c r="AV134" i="27" s="1"/>
  <c r="AE134" i="27"/>
  <c r="AI134" i="27" s="1"/>
  <c r="AU134" i="27" s="1"/>
  <c r="Y134" i="27"/>
  <c r="AC134" i="27" s="1"/>
  <c r="AR134" i="27" s="1"/>
  <c r="X134" i="27"/>
  <c r="AB134" i="27" s="1"/>
  <c r="AQ134" i="27" s="1"/>
  <c r="W134" i="27"/>
  <c r="AA134" i="27" s="1"/>
  <c r="AP134" i="27" s="1"/>
  <c r="V134" i="27"/>
  <c r="Z134" i="27" s="1"/>
  <c r="AH133" i="27"/>
  <c r="AL133" i="27" s="1"/>
  <c r="AX133" i="27" s="1"/>
  <c r="AG133" i="27"/>
  <c r="AK133" i="27" s="1"/>
  <c r="AW133" i="27" s="1"/>
  <c r="AF133" i="27"/>
  <c r="AJ133" i="27" s="1"/>
  <c r="AV133" i="27" s="1"/>
  <c r="AE133" i="27"/>
  <c r="AI133" i="27" s="1"/>
  <c r="AU133" i="27" s="1"/>
  <c r="Y133" i="27"/>
  <c r="AC133" i="27" s="1"/>
  <c r="AR133" i="27" s="1"/>
  <c r="X133" i="27"/>
  <c r="AB133" i="27" s="1"/>
  <c r="AQ133" i="27" s="1"/>
  <c r="W133" i="27"/>
  <c r="AA133" i="27" s="1"/>
  <c r="AP133" i="27" s="1"/>
  <c r="V133" i="27"/>
  <c r="Z133" i="27" s="1"/>
  <c r="AH132" i="27"/>
  <c r="AL132" i="27" s="1"/>
  <c r="AX132" i="27" s="1"/>
  <c r="AG132" i="27"/>
  <c r="AK132" i="27" s="1"/>
  <c r="AW132" i="27" s="1"/>
  <c r="AF132" i="27"/>
  <c r="AJ132" i="27" s="1"/>
  <c r="AV132" i="27" s="1"/>
  <c r="AE132" i="27"/>
  <c r="AI132" i="27" s="1"/>
  <c r="AU132" i="27" s="1"/>
  <c r="Y132" i="27"/>
  <c r="AC132" i="27" s="1"/>
  <c r="AR132" i="27" s="1"/>
  <c r="X132" i="27"/>
  <c r="AB132" i="27" s="1"/>
  <c r="AQ132" i="27" s="1"/>
  <c r="W132" i="27"/>
  <c r="AA132" i="27" s="1"/>
  <c r="AP132" i="27" s="1"/>
  <c r="V132" i="27"/>
  <c r="Z132" i="27" s="1"/>
  <c r="AH131" i="27"/>
  <c r="AL131" i="27" s="1"/>
  <c r="AX131" i="27" s="1"/>
  <c r="AG131" i="27"/>
  <c r="AK131" i="27" s="1"/>
  <c r="AW131" i="27" s="1"/>
  <c r="AF131" i="27"/>
  <c r="AJ131" i="27" s="1"/>
  <c r="AV131" i="27" s="1"/>
  <c r="AE131" i="27"/>
  <c r="AI131" i="27" s="1"/>
  <c r="AU131" i="27" s="1"/>
  <c r="Y131" i="27"/>
  <c r="AC131" i="27" s="1"/>
  <c r="AR131" i="27" s="1"/>
  <c r="X131" i="27"/>
  <c r="AB131" i="27" s="1"/>
  <c r="AQ131" i="27" s="1"/>
  <c r="W131" i="27"/>
  <c r="AA131" i="27" s="1"/>
  <c r="AP131" i="27" s="1"/>
  <c r="V131" i="27"/>
  <c r="Z131" i="27" s="1"/>
  <c r="AH130" i="27"/>
  <c r="AL130" i="27" s="1"/>
  <c r="AX130" i="27" s="1"/>
  <c r="AG130" i="27"/>
  <c r="AK130" i="27" s="1"/>
  <c r="AW130" i="27" s="1"/>
  <c r="AF130" i="27"/>
  <c r="AJ130" i="27" s="1"/>
  <c r="AV130" i="27" s="1"/>
  <c r="AE130" i="27"/>
  <c r="AI130" i="27" s="1"/>
  <c r="AU130" i="27" s="1"/>
  <c r="Y130" i="27"/>
  <c r="AC130" i="27" s="1"/>
  <c r="AR130" i="27" s="1"/>
  <c r="X130" i="27"/>
  <c r="AB130" i="27" s="1"/>
  <c r="AQ130" i="27" s="1"/>
  <c r="W130" i="27"/>
  <c r="AA130" i="27" s="1"/>
  <c r="AP130" i="27" s="1"/>
  <c r="V130" i="27"/>
  <c r="Z130" i="27" s="1"/>
  <c r="AH129" i="27"/>
  <c r="AL129" i="27" s="1"/>
  <c r="AX129" i="27" s="1"/>
  <c r="AG129" i="27"/>
  <c r="AK129" i="27" s="1"/>
  <c r="AW129" i="27" s="1"/>
  <c r="AF129" i="27"/>
  <c r="AJ129" i="27" s="1"/>
  <c r="AV129" i="27" s="1"/>
  <c r="AE129" i="27"/>
  <c r="AI129" i="27" s="1"/>
  <c r="AU129" i="27" s="1"/>
  <c r="Y129" i="27"/>
  <c r="AC129" i="27" s="1"/>
  <c r="AR129" i="27" s="1"/>
  <c r="X129" i="27"/>
  <c r="AB129" i="27" s="1"/>
  <c r="AQ129" i="27" s="1"/>
  <c r="W129" i="27"/>
  <c r="AA129" i="27" s="1"/>
  <c r="AP129" i="27" s="1"/>
  <c r="V129" i="27"/>
  <c r="Z129" i="27" s="1"/>
  <c r="H126" i="27"/>
  <c r="G126" i="27"/>
  <c r="F126" i="27"/>
  <c r="E126" i="27"/>
  <c r="D126" i="27"/>
  <c r="AH125" i="27"/>
  <c r="AL125" i="27" s="1"/>
  <c r="AX125" i="27" s="1"/>
  <c r="AG125" i="27"/>
  <c r="AK125" i="27" s="1"/>
  <c r="AW125" i="27" s="1"/>
  <c r="AF125" i="27"/>
  <c r="AJ125" i="27" s="1"/>
  <c r="AV125" i="27" s="1"/>
  <c r="AE125" i="27"/>
  <c r="AI125" i="27" s="1"/>
  <c r="AU125" i="27" s="1"/>
  <c r="Y125" i="27"/>
  <c r="AC125" i="27" s="1"/>
  <c r="AR125" i="27" s="1"/>
  <c r="X125" i="27"/>
  <c r="AB125" i="27" s="1"/>
  <c r="AQ125" i="27" s="1"/>
  <c r="W125" i="27"/>
  <c r="AA125" i="27" s="1"/>
  <c r="AP125" i="27" s="1"/>
  <c r="V125" i="27"/>
  <c r="Z125" i="27" s="1"/>
  <c r="AH124" i="27"/>
  <c r="AL124" i="27" s="1"/>
  <c r="AX124" i="27" s="1"/>
  <c r="AG124" i="27"/>
  <c r="AK124" i="27" s="1"/>
  <c r="AW124" i="27" s="1"/>
  <c r="AF124" i="27"/>
  <c r="AJ124" i="27" s="1"/>
  <c r="AV124" i="27" s="1"/>
  <c r="AE124" i="27"/>
  <c r="AI124" i="27" s="1"/>
  <c r="AU124" i="27" s="1"/>
  <c r="Y124" i="27"/>
  <c r="AC124" i="27" s="1"/>
  <c r="AR124" i="27" s="1"/>
  <c r="X124" i="27"/>
  <c r="AB124" i="27" s="1"/>
  <c r="AQ124" i="27" s="1"/>
  <c r="W124" i="27"/>
  <c r="AA124" i="27" s="1"/>
  <c r="AP124" i="27" s="1"/>
  <c r="V124" i="27"/>
  <c r="Z124" i="27" s="1"/>
  <c r="AH123" i="27"/>
  <c r="AL123" i="27" s="1"/>
  <c r="AX123" i="27" s="1"/>
  <c r="AG123" i="27"/>
  <c r="AK123" i="27" s="1"/>
  <c r="AW123" i="27" s="1"/>
  <c r="AF123" i="27"/>
  <c r="AJ123" i="27" s="1"/>
  <c r="AV123" i="27" s="1"/>
  <c r="AE123" i="27"/>
  <c r="AI123" i="27" s="1"/>
  <c r="AU123" i="27" s="1"/>
  <c r="Y123" i="27"/>
  <c r="AC123" i="27" s="1"/>
  <c r="AR123" i="27" s="1"/>
  <c r="X123" i="27"/>
  <c r="AB123" i="27" s="1"/>
  <c r="AQ123" i="27" s="1"/>
  <c r="W123" i="27"/>
  <c r="AA123" i="27" s="1"/>
  <c r="AP123" i="27" s="1"/>
  <c r="V123" i="27"/>
  <c r="Z123" i="27" s="1"/>
  <c r="AH122" i="27"/>
  <c r="AL122" i="27" s="1"/>
  <c r="AX122" i="27" s="1"/>
  <c r="AG122" i="27"/>
  <c r="AK122" i="27" s="1"/>
  <c r="AW122" i="27" s="1"/>
  <c r="AF122" i="27"/>
  <c r="AJ122" i="27" s="1"/>
  <c r="AV122" i="27" s="1"/>
  <c r="AE122" i="27"/>
  <c r="AI122" i="27" s="1"/>
  <c r="AU122" i="27" s="1"/>
  <c r="Y122" i="27"/>
  <c r="AC122" i="27" s="1"/>
  <c r="AR122" i="27" s="1"/>
  <c r="X122" i="27"/>
  <c r="AB122" i="27" s="1"/>
  <c r="AQ122" i="27" s="1"/>
  <c r="W122" i="27"/>
  <c r="AA122" i="27" s="1"/>
  <c r="AP122" i="27" s="1"/>
  <c r="V122" i="27"/>
  <c r="Z122" i="27" s="1"/>
  <c r="AH121" i="27"/>
  <c r="AL121" i="27" s="1"/>
  <c r="AX121" i="27" s="1"/>
  <c r="AG121" i="27"/>
  <c r="AK121" i="27" s="1"/>
  <c r="AW121" i="27" s="1"/>
  <c r="AF121" i="27"/>
  <c r="AJ121" i="27" s="1"/>
  <c r="AV121" i="27" s="1"/>
  <c r="AE121" i="27"/>
  <c r="AI121" i="27" s="1"/>
  <c r="AU121" i="27" s="1"/>
  <c r="Y121" i="27"/>
  <c r="AC121" i="27" s="1"/>
  <c r="AR121" i="27" s="1"/>
  <c r="X121" i="27"/>
  <c r="AB121" i="27" s="1"/>
  <c r="AQ121" i="27" s="1"/>
  <c r="W121" i="27"/>
  <c r="AA121" i="27" s="1"/>
  <c r="AP121" i="27" s="1"/>
  <c r="V121" i="27"/>
  <c r="Z121" i="27" s="1"/>
  <c r="AH120" i="27"/>
  <c r="AL120" i="27" s="1"/>
  <c r="AX120" i="27" s="1"/>
  <c r="AG120" i="27"/>
  <c r="AK120" i="27" s="1"/>
  <c r="AW120" i="27" s="1"/>
  <c r="AF120" i="27"/>
  <c r="AJ120" i="27" s="1"/>
  <c r="AV120" i="27" s="1"/>
  <c r="AE120" i="27"/>
  <c r="AI120" i="27" s="1"/>
  <c r="AU120" i="27" s="1"/>
  <c r="Y120" i="27"/>
  <c r="AC120" i="27" s="1"/>
  <c r="AR120" i="27" s="1"/>
  <c r="X120" i="27"/>
  <c r="AB120" i="27" s="1"/>
  <c r="AQ120" i="27" s="1"/>
  <c r="W120" i="27"/>
  <c r="AA120" i="27" s="1"/>
  <c r="AP120" i="27" s="1"/>
  <c r="V120" i="27"/>
  <c r="Z120" i="27" s="1"/>
  <c r="H117" i="27"/>
  <c r="G117" i="27"/>
  <c r="F117" i="27"/>
  <c r="E117" i="27"/>
  <c r="D117" i="27"/>
  <c r="AH116" i="27"/>
  <c r="AL116" i="27" s="1"/>
  <c r="AX116" i="27" s="1"/>
  <c r="AG116" i="27"/>
  <c r="AK116" i="27" s="1"/>
  <c r="AW116" i="27" s="1"/>
  <c r="AF116" i="27"/>
  <c r="AJ116" i="27" s="1"/>
  <c r="AV116" i="27" s="1"/>
  <c r="AE116" i="27"/>
  <c r="AI116" i="27" s="1"/>
  <c r="AU116" i="27" s="1"/>
  <c r="Y116" i="27"/>
  <c r="AC116" i="27" s="1"/>
  <c r="AR116" i="27" s="1"/>
  <c r="X116" i="27"/>
  <c r="AB116" i="27" s="1"/>
  <c r="AQ116" i="27" s="1"/>
  <c r="W116" i="27"/>
  <c r="AA116" i="27" s="1"/>
  <c r="AP116" i="27" s="1"/>
  <c r="V116" i="27"/>
  <c r="Z116" i="27" s="1"/>
  <c r="AH115" i="27"/>
  <c r="AL115" i="27" s="1"/>
  <c r="AX115" i="27" s="1"/>
  <c r="AG115" i="27"/>
  <c r="AK115" i="27" s="1"/>
  <c r="AW115" i="27" s="1"/>
  <c r="AF115" i="27"/>
  <c r="AJ115" i="27" s="1"/>
  <c r="AV115" i="27" s="1"/>
  <c r="AE115" i="27"/>
  <c r="AI115" i="27" s="1"/>
  <c r="AU115" i="27" s="1"/>
  <c r="Y115" i="27"/>
  <c r="AC115" i="27" s="1"/>
  <c r="AR115" i="27" s="1"/>
  <c r="X115" i="27"/>
  <c r="AB115" i="27" s="1"/>
  <c r="AQ115" i="27" s="1"/>
  <c r="W115" i="27"/>
  <c r="AA115" i="27" s="1"/>
  <c r="AP115" i="27" s="1"/>
  <c r="V115" i="27"/>
  <c r="Z115" i="27" s="1"/>
  <c r="AH114" i="27"/>
  <c r="AL114" i="27" s="1"/>
  <c r="AX114" i="27" s="1"/>
  <c r="AG114" i="27"/>
  <c r="AK114" i="27" s="1"/>
  <c r="AW114" i="27" s="1"/>
  <c r="AF114" i="27"/>
  <c r="AJ114" i="27" s="1"/>
  <c r="AV114" i="27" s="1"/>
  <c r="AE114" i="27"/>
  <c r="AI114" i="27" s="1"/>
  <c r="AU114" i="27" s="1"/>
  <c r="Y114" i="27"/>
  <c r="AC114" i="27" s="1"/>
  <c r="AR114" i="27" s="1"/>
  <c r="X114" i="27"/>
  <c r="AB114" i="27" s="1"/>
  <c r="AQ114" i="27" s="1"/>
  <c r="W114" i="27"/>
  <c r="AA114" i="27" s="1"/>
  <c r="AP114" i="27" s="1"/>
  <c r="V114" i="27"/>
  <c r="Z114" i="27" s="1"/>
  <c r="AH113" i="27"/>
  <c r="AL113" i="27" s="1"/>
  <c r="AX113" i="27" s="1"/>
  <c r="AG113" i="27"/>
  <c r="AK113" i="27" s="1"/>
  <c r="AW113" i="27" s="1"/>
  <c r="AF113" i="27"/>
  <c r="AJ113" i="27" s="1"/>
  <c r="AV113" i="27" s="1"/>
  <c r="AE113" i="27"/>
  <c r="AI113" i="27" s="1"/>
  <c r="AU113" i="27" s="1"/>
  <c r="Y113" i="27"/>
  <c r="AC113" i="27" s="1"/>
  <c r="AR113" i="27" s="1"/>
  <c r="X113" i="27"/>
  <c r="AB113" i="27" s="1"/>
  <c r="AQ113" i="27" s="1"/>
  <c r="W113" i="27"/>
  <c r="AA113" i="27" s="1"/>
  <c r="AP113" i="27" s="1"/>
  <c r="V113" i="27"/>
  <c r="Z113" i="27" s="1"/>
  <c r="AH112" i="27"/>
  <c r="AL112" i="27" s="1"/>
  <c r="AX112" i="27" s="1"/>
  <c r="AG112" i="27"/>
  <c r="AK112" i="27" s="1"/>
  <c r="AW112" i="27" s="1"/>
  <c r="AF112" i="27"/>
  <c r="AJ112" i="27" s="1"/>
  <c r="AV112" i="27" s="1"/>
  <c r="AE112" i="27"/>
  <c r="AI112" i="27" s="1"/>
  <c r="AU112" i="27" s="1"/>
  <c r="Y112" i="27"/>
  <c r="AC112" i="27" s="1"/>
  <c r="AR112" i="27" s="1"/>
  <c r="X112" i="27"/>
  <c r="AB112" i="27" s="1"/>
  <c r="AQ112" i="27" s="1"/>
  <c r="W112" i="27"/>
  <c r="AA112" i="27" s="1"/>
  <c r="AP112" i="27" s="1"/>
  <c r="V112" i="27"/>
  <c r="Z112" i="27" s="1"/>
  <c r="AH111" i="27"/>
  <c r="AL111" i="27" s="1"/>
  <c r="AX111" i="27" s="1"/>
  <c r="AG111" i="27"/>
  <c r="AK111" i="27" s="1"/>
  <c r="AW111" i="27" s="1"/>
  <c r="AF111" i="27"/>
  <c r="AJ111" i="27" s="1"/>
  <c r="AV111" i="27" s="1"/>
  <c r="AE111" i="27"/>
  <c r="AI111" i="27" s="1"/>
  <c r="AU111" i="27" s="1"/>
  <c r="Y111" i="27"/>
  <c r="AC111" i="27" s="1"/>
  <c r="AR111" i="27" s="1"/>
  <c r="X111" i="27"/>
  <c r="AB111" i="27" s="1"/>
  <c r="AQ111" i="27" s="1"/>
  <c r="W111" i="27"/>
  <c r="AA111" i="27" s="1"/>
  <c r="AP111" i="27" s="1"/>
  <c r="V111" i="27"/>
  <c r="Z111" i="27" s="1"/>
  <c r="H108" i="27"/>
  <c r="G108" i="27"/>
  <c r="F108" i="27"/>
  <c r="E108" i="27"/>
  <c r="D108" i="27"/>
  <c r="AH107" i="27"/>
  <c r="AL107" i="27" s="1"/>
  <c r="AX107" i="27" s="1"/>
  <c r="AG107" i="27"/>
  <c r="AK107" i="27" s="1"/>
  <c r="AW107" i="27" s="1"/>
  <c r="AF107" i="27"/>
  <c r="AJ107" i="27" s="1"/>
  <c r="AV107" i="27" s="1"/>
  <c r="AE107" i="27"/>
  <c r="AI107" i="27" s="1"/>
  <c r="AU107" i="27" s="1"/>
  <c r="Y107" i="27"/>
  <c r="AC107" i="27" s="1"/>
  <c r="AR107" i="27" s="1"/>
  <c r="X107" i="27"/>
  <c r="AB107" i="27" s="1"/>
  <c r="AQ107" i="27" s="1"/>
  <c r="W107" i="27"/>
  <c r="AA107" i="27" s="1"/>
  <c r="AP107" i="27" s="1"/>
  <c r="V107" i="27"/>
  <c r="Z107" i="27" s="1"/>
  <c r="AH106" i="27"/>
  <c r="AL106" i="27" s="1"/>
  <c r="AX106" i="27" s="1"/>
  <c r="AG106" i="27"/>
  <c r="AK106" i="27" s="1"/>
  <c r="AW106" i="27" s="1"/>
  <c r="AF106" i="27"/>
  <c r="AJ106" i="27" s="1"/>
  <c r="AV106" i="27" s="1"/>
  <c r="AE106" i="27"/>
  <c r="AI106" i="27" s="1"/>
  <c r="AU106" i="27" s="1"/>
  <c r="Y106" i="27"/>
  <c r="AC106" i="27" s="1"/>
  <c r="AR106" i="27" s="1"/>
  <c r="X106" i="27"/>
  <c r="AB106" i="27" s="1"/>
  <c r="AQ106" i="27" s="1"/>
  <c r="W106" i="27"/>
  <c r="AA106" i="27" s="1"/>
  <c r="AP106" i="27" s="1"/>
  <c r="V106" i="27"/>
  <c r="Z106" i="27" s="1"/>
  <c r="AH105" i="27"/>
  <c r="AL105" i="27" s="1"/>
  <c r="AX105" i="27" s="1"/>
  <c r="AG105" i="27"/>
  <c r="AK105" i="27" s="1"/>
  <c r="AW105" i="27" s="1"/>
  <c r="AF105" i="27"/>
  <c r="AJ105" i="27" s="1"/>
  <c r="AV105" i="27" s="1"/>
  <c r="AE105" i="27"/>
  <c r="AI105" i="27" s="1"/>
  <c r="AU105" i="27" s="1"/>
  <c r="Y105" i="27"/>
  <c r="AC105" i="27" s="1"/>
  <c r="AR105" i="27" s="1"/>
  <c r="X105" i="27"/>
  <c r="AB105" i="27" s="1"/>
  <c r="AQ105" i="27" s="1"/>
  <c r="W105" i="27"/>
  <c r="AA105" i="27" s="1"/>
  <c r="AP105" i="27" s="1"/>
  <c r="V105" i="27"/>
  <c r="Z105" i="27" s="1"/>
  <c r="AH104" i="27"/>
  <c r="AL104" i="27" s="1"/>
  <c r="AX104" i="27" s="1"/>
  <c r="AG104" i="27"/>
  <c r="AK104" i="27" s="1"/>
  <c r="AW104" i="27" s="1"/>
  <c r="AF104" i="27"/>
  <c r="AJ104" i="27" s="1"/>
  <c r="AV104" i="27" s="1"/>
  <c r="AE104" i="27"/>
  <c r="AI104" i="27" s="1"/>
  <c r="AU104" i="27" s="1"/>
  <c r="Y104" i="27"/>
  <c r="AC104" i="27" s="1"/>
  <c r="AR104" i="27" s="1"/>
  <c r="X104" i="27"/>
  <c r="AB104" i="27" s="1"/>
  <c r="AQ104" i="27" s="1"/>
  <c r="W104" i="27"/>
  <c r="AA104" i="27" s="1"/>
  <c r="AP104" i="27" s="1"/>
  <c r="V104" i="27"/>
  <c r="Z104" i="27" s="1"/>
  <c r="AH103" i="27"/>
  <c r="AL103" i="27" s="1"/>
  <c r="AX103" i="27" s="1"/>
  <c r="AG103" i="27"/>
  <c r="AK103" i="27" s="1"/>
  <c r="AW103" i="27" s="1"/>
  <c r="AF103" i="27"/>
  <c r="AJ103" i="27" s="1"/>
  <c r="AV103" i="27" s="1"/>
  <c r="AE103" i="27"/>
  <c r="AI103" i="27" s="1"/>
  <c r="AU103" i="27" s="1"/>
  <c r="Y103" i="27"/>
  <c r="AC103" i="27" s="1"/>
  <c r="AR103" i="27" s="1"/>
  <c r="X103" i="27"/>
  <c r="AB103" i="27" s="1"/>
  <c r="AQ103" i="27" s="1"/>
  <c r="W103" i="27"/>
  <c r="AA103" i="27" s="1"/>
  <c r="AP103" i="27" s="1"/>
  <c r="V103" i="27"/>
  <c r="Z103" i="27" s="1"/>
  <c r="AH102" i="27"/>
  <c r="AL102" i="27" s="1"/>
  <c r="AX102" i="27" s="1"/>
  <c r="AG102" i="27"/>
  <c r="AK102" i="27" s="1"/>
  <c r="AW102" i="27" s="1"/>
  <c r="AF102" i="27"/>
  <c r="AJ102" i="27" s="1"/>
  <c r="AV102" i="27" s="1"/>
  <c r="AE102" i="27"/>
  <c r="AI102" i="27" s="1"/>
  <c r="AU102" i="27" s="1"/>
  <c r="Y102" i="27"/>
  <c r="AC102" i="27" s="1"/>
  <c r="AR102" i="27" s="1"/>
  <c r="X102" i="27"/>
  <c r="AB102" i="27" s="1"/>
  <c r="AQ102" i="27" s="1"/>
  <c r="W102" i="27"/>
  <c r="AA102" i="27" s="1"/>
  <c r="AP102" i="27" s="1"/>
  <c r="V102" i="27"/>
  <c r="Z102" i="27" s="1"/>
  <c r="H99" i="27"/>
  <c r="G99" i="27"/>
  <c r="F99" i="27"/>
  <c r="E99" i="27"/>
  <c r="D99" i="27"/>
  <c r="AH98" i="27"/>
  <c r="AL98" i="27" s="1"/>
  <c r="AX98" i="27" s="1"/>
  <c r="AG98" i="27"/>
  <c r="AK98" i="27" s="1"/>
  <c r="AW98" i="27" s="1"/>
  <c r="AF98" i="27"/>
  <c r="AJ98" i="27" s="1"/>
  <c r="AV98" i="27" s="1"/>
  <c r="AE98" i="27"/>
  <c r="AI98" i="27" s="1"/>
  <c r="AU98" i="27" s="1"/>
  <c r="Y98" i="27"/>
  <c r="AC98" i="27" s="1"/>
  <c r="AR98" i="27" s="1"/>
  <c r="X98" i="27"/>
  <c r="AB98" i="27" s="1"/>
  <c r="AQ98" i="27" s="1"/>
  <c r="W98" i="27"/>
  <c r="AA98" i="27" s="1"/>
  <c r="AP98" i="27" s="1"/>
  <c r="V98" i="27"/>
  <c r="Z98" i="27" s="1"/>
  <c r="AH97" i="27"/>
  <c r="AL97" i="27" s="1"/>
  <c r="AX97" i="27" s="1"/>
  <c r="AG97" i="27"/>
  <c r="AK97" i="27" s="1"/>
  <c r="AW97" i="27" s="1"/>
  <c r="AF97" i="27"/>
  <c r="AJ97" i="27" s="1"/>
  <c r="AV97" i="27" s="1"/>
  <c r="AE97" i="27"/>
  <c r="AI97" i="27" s="1"/>
  <c r="AU97" i="27" s="1"/>
  <c r="Y97" i="27"/>
  <c r="AC97" i="27" s="1"/>
  <c r="AR97" i="27" s="1"/>
  <c r="X97" i="27"/>
  <c r="AB97" i="27" s="1"/>
  <c r="AQ97" i="27" s="1"/>
  <c r="W97" i="27"/>
  <c r="AA97" i="27" s="1"/>
  <c r="AP97" i="27" s="1"/>
  <c r="V97" i="27"/>
  <c r="Z97" i="27" s="1"/>
  <c r="AH96" i="27"/>
  <c r="AL96" i="27" s="1"/>
  <c r="AX96" i="27" s="1"/>
  <c r="AG96" i="27"/>
  <c r="AK96" i="27" s="1"/>
  <c r="AW96" i="27" s="1"/>
  <c r="AF96" i="27"/>
  <c r="AJ96" i="27" s="1"/>
  <c r="AV96" i="27" s="1"/>
  <c r="AE96" i="27"/>
  <c r="AI96" i="27" s="1"/>
  <c r="AU96" i="27" s="1"/>
  <c r="Y96" i="27"/>
  <c r="AC96" i="27" s="1"/>
  <c r="AR96" i="27" s="1"/>
  <c r="X96" i="27"/>
  <c r="AB96" i="27" s="1"/>
  <c r="AQ96" i="27" s="1"/>
  <c r="W96" i="27"/>
  <c r="AA96" i="27" s="1"/>
  <c r="AP96" i="27" s="1"/>
  <c r="V96" i="27"/>
  <c r="Z96" i="27" s="1"/>
  <c r="AH95" i="27"/>
  <c r="AL95" i="27" s="1"/>
  <c r="AX95" i="27" s="1"/>
  <c r="AG95" i="27"/>
  <c r="AK95" i="27" s="1"/>
  <c r="AW95" i="27" s="1"/>
  <c r="AF95" i="27"/>
  <c r="AJ95" i="27" s="1"/>
  <c r="AV95" i="27" s="1"/>
  <c r="AE95" i="27"/>
  <c r="AI95" i="27" s="1"/>
  <c r="AU95" i="27" s="1"/>
  <c r="Y95" i="27"/>
  <c r="AC95" i="27" s="1"/>
  <c r="AR95" i="27" s="1"/>
  <c r="X95" i="27"/>
  <c r="AB95" i="27" s="1"/>
  <c r="AQ95" i="27" s="1"/>
  <c r="W95" i="27"/>
  <c r="AA95" i="27" s="1"/>
  <c r="AP95" i="27" s="1"/>
  <c r="V95" i="27"/>
  <c r="Z95" i="27" s="1"/>
  <c r="AH94" i="27"/>
  <c r="AL94" i="27" s="1"/>
  <c r="AX94" i="27" s="1"/>
  <c r="AG94" i="27"/>
  <c r="AK94" i="27" s="1"/>
  <c r="AW94" i="27" s="1"/>
  <c r="AF94" i="27"/>
  <c r="AJ94" i="27" s="1"/>
  <c r="AV94" i="27" s="1"/>
  <c r="AE94" i="27"/>
  <c r="AI94" i="27" s="1"/>
  <c r="AU94" i="27" s="1"/>
  <c r="Y94" i="27"/>
  <c r="AC94" i="27" s="1"/>
  <c r="AR94" i="27" s="1"/>
  <c r="X94" i="27"/>
  <c r="AB94" i="27" s="1"/>
  <c r="AQ94" i="27" s="1"/>
  <c r="W94" i="27"/>
  <c r="AA94" i="27" s="1"/>
  <c r="AP94" i="27" s="1"/>
  <c r="V94" i="27"/>
  <c r="Z94" i="27" s="1"/>
  <c r="AH93" i="27"/>
  <c r="AL93" i="27" s="1"/>
  <c r="AX93" i="27" s="1"/>
  <c r="AG93" i="27"/>
  <c r="AK93" i="27" s="1"/>
  <c r="AW93" i="27" s="1"/>
  <c r="AF93" i="27"/>
  <c r="AJ93" i="27" s="1"/>
  <c r="AV93" i="27" s="1"/>
  <c r="AE93" i="27"/>
  <c r="AI93" i="27" s="1"/>
  <c r="AU93" i="27" s="1"/>
  <c r="Y93" i="27"/>
  <c r="AC93" i="27" s="1"/>
  <c r="AR93" i="27" s="1"/>
  <c r="X93" i="27"/>
  <c r="AB93" i="27" s="1"/>
  <c r="AQ93" i="27" s="1"/>
  <c r="W93" i="27"/>
  <c r="AA93" i="27" s="1"/>
  <c r="AP93" i="27" s="1"/>
  <c r="V93" i="27"/>
  <c r="Z93" i="27" s="1"/>
  <c r="H90" i="27"/>
  <c r="G90" i="27"/>
  <c r="F90" i="27"/>
  <c r="E90" i="27"/>
  <c r="D90" i="27"/>
  <c r="AH89" i="27"/>
  <c r="AL89" i="27" s="1"/>
  <c r="AX89" i="27" s="1"/>
  <c r="AG89" i="27"/>
  <c r="AK89" i="27" s="1"/>
  <c r="AW89" i="27" s="1"/>
  <c r="AF89" i="27"/>
  <c r="AJ89" i="27" s="1"/>
  <c r="AE89" i="27"/>
  <c r="AI89" i="27" s="1"/>
  <c r="AU89" i="27" s="1"/>
  <c r="Y89" i="27"/>
  <c r="AC89" i="27" s="1"/>
  <c r="AR89" i="27" s="1"/>
  <c r="X89" i="27"/>
  <c r="AB89" i="27" s="1"/>
  <c r="AQ89" i="27" s="1"/>
  <c r="W89" i="27"/>
  <c r="AA89" i="27" s="1"/>
  <c r="AP89" i="27" s="1"/>
  <c r="V89" i="27"/>
  <c r="Z89" i="27" s="1"/>
  <c r="AH88" i="27"/>
  <c r="AL88" i="27" s="1"/>
  <c r="AX88" i="27" s="1"/>
  <c r="AG88" i="27"/>
  <c r="AK88" i="27" s="1"/>
  <c r="AW88" i="27" s="1"/>
  <c r="AF88" i="27"/>
  <c r="AJ88" i="27" s="1"/>
  <c r="AE88" i="27"/>
  <c r="AI88" i="27" s="1"/>
  <c r="AU88" i="27" s="1"/>
  <c r="Y88" i="27"/>
  <c r="AC88" i="27" s="1"/>
  <c r="AR88" i="27" s="1"/>
  <c r="X88" i="27"/>
  <c r="AB88" i="27" s="1"/>
  <c r="AQ88" i="27" s="1"/>
  <c r="W88" i="27"/>
  <c r="AA88" i="27" s="1"/>
  <c r="AP88" i="27" s="1"/>
  <c r="V88" i="27"/>
  <c r="Z88" i="27" s="1"/>
  <c r="AH87" i="27"/>
  <c r="AL87" i="27" s="1"/>
  <c r="AX87" i="27" s="1"/>
  <c r="AG87" i="27"/>
  <c r="AK87" i="27" s="1"/>
  <c r="AW87" i="27" s="1"/>
  <c r="AF87" i="27"/>
  <c r="AJ87" i="27" s="1"/>
  <c r="AE87" i="27"/>
  <c r="AI87" i="27" s="1"/>
  <c r="AU87" i="27" s="1"/>
  <c r="Y87" i="27"/>
  <c r="AC87" i="27" s="1"/>
  <c r="AR87" i="27" s="1"/>
  <c r="X87" i="27"/>
  <c r="AB87" i="27" s="1"/>
  <c r="AQ87" i="27" s="1"/>
  <c r="W87" i="27"/>
  <c r="AA87" i="27" s="1"/>
  <c r="AP87" i="27" s="1"/>
  <c r="V87" i="27"/>
  <c r="Z87" i="27" s="1"/>
  <c r="AH86" i="27"/>
  <c r="AL86" i="27" s="1"/>
  <c r="AX86" i="27" s="1"/>
  <c r="AG86" i="27"/>
  <c r="AK86" i="27" s="1"/>
  <c r="AW86" i="27" s="1"/>
  <c r="AF86" i="27"/>
  <c r="AJ86" i="27" s="1"/>
  <c r="AE86" i="27"/>
  <c r="AI86" i="27" s="1"/>
  <c r="AU86" i="27" s="1"/>
  <c r="Y86" i="27"/>
  <c r="AC86" i="27" s="1"/>
  <c r="AR86" i="27" s="1"/>
  <c r="X86" i="27"/>
  <c r="AB86" i="27" s="1"/>
  <c r="AQ86" i="27" s="1"/>
  <c r="W86" i="27"/>
  <c r="AA86" i="27" s="1"/>
  <c r="AP86" i="27" s="1"/>
  <c r="V86" i="27"/>
  <c r="Z86" i="27" s="1"/>
  <c r="AH85" i="27"/>
  <c r="AL85" i="27" s="1"/>
  <c r="AX85" i="27" s="1"/>
  <c r="AG85" i="27"/>
  <c r="AK85" i="27" s="1"/>
  <c r="AW85" i="27" s="1"/>
  <c r="AF85" i="27"/>
  <c r="AJ85" i="27" s="1"/>
  <c r="AE85" i="27"/>
  <c r="AI85" i="27" s="1"/>
  <c r="AU85" i="27" s="1"/>
  <c r="Y85" i="27"/>
  <c r="AC85" i="27" s="1"/>
  <c r="AR85" i="27" s="1"/>
  <c r="X85" i="27"/>
  <c r="AB85" i="27" s="1"/>
  <c r="AQ85" i="27" s="1"/>
  <c r="W85" i="27"/>
  <c r="AA85" i="27" s="1"/>
  <c r="AP85" i="27" s="1"/>
  <c r="V85" i="27"/>
  <c r="Z85" i="27" s="1"/>
  <c r="AH84" i="27"/>
  <c r="AL84" i="27" s="1"/>
  <c r="AX84" i="27" s="1"/>
  <c r="AG84" i="27"/>
  <c r="AK84" i="27" s="1"/>
  <c r="AW84" i="27" s="1"/>
  <c r="AF84" i="27"/>
  <c r="AJ84" i="27" s="1"/>
  <c r="AE84" i="27"/>
  <c r="AI84" i="27" s="1"/>
  <c r="AU84" i="27" s="1"/>
  <c r="Y84" i="27"/>
  <c r="AC84" i="27" s="1"/>
  <c r="AR84" i="27" s="1"/>
  <c r="X84" i="27"/>
  <c r="AB84" i="27" s="1"/>
  <c r="AQ84" i="27" s="1"/>
  <c r="W84" i="27"/>
  <c r="AA84" i="27" s="1"/>
  <c r="AP84" i="27" s="1"/>
  <c r="V84" i="27"/>
  <c r="Z84" i="27" s="1"/>
  <c r="H81" i="27"/>
  <c r="G81" i="27"/>
  <c r="F81" i="27"/>
  <c r="E81" i="27"/>
  <c r="D81" i="27"/>
  <c r="AH80" i="27"/>
  <c r="AL80" i="27" s="1"/>
  <c r="AX80" i="27" s="1"/>
  <c r="AG80" i="27"/>
  <c r="AK80" i="27" s="1"/>
  <c r="AW80" i="27" s="1"/>
  <c r="AF80" i="27"/>
  <c r="AJ80" i="27" s="1"/>
  <c r="AV80" i="27" s="1"/>
  <c r="AE80" i="27"/>
  <c r="AI80" i="27" s="1"/>
  <c r="AU80" i="27" s="1"/>
  <c r="Y80" i="27"/>
  <c r="AC80" i="27" s="1"/>
  <c r="AR80" i="27" s="1"/>
  <c r="X80" i="27"/>
  <c r="AB80" i="27" s="1"/>
  <c r="AQ80" i="27" s="1"/>
  <c r="W80" i="27"/>
  <c r="AA80" i="27" s="1"/>
  <c r="AP80" i="27" s="1"/>
  <c r="V80" i="27"/>
  <c r="Z80" i="27" s="1"/>
  <c r="AH79" i="27"/>
  <c r="AL79" i="27" s="1"/>
  <c r="AX79" i="27" s="1"/>
  <c r="AG79" i="27"/>
  <c r="AK79" i="27" s="1"/>
  <c r="AW79" i="27" s="1"/>
  <c r="AF79" i="27"/>
  <c r="AJ79" i="27" s="1"/>
  <c r="AV79" i="27" s="1"/>
  <c r="AE79" i="27"/>
  <c r="AI79" i="27" s="1"/>
  <c r="AU79" i="27" s="1"/>
  <c r="Y79" i="27"/>
  <c r="AC79" i="27" s="1"/>
  <c r="AR79" i="27" s="1"/>
  <c r="X79" i="27"/>
  <c r="AB79" i="27" s="1"/>
  <c r="AQ79" i="27" s="1"/>
  <c r="W79" i="27"/>
  <c r="AA79" i="27" s="1"/>
  <c r="AP79" i="27" s="1"/>
  <c r="V79" i="27"/>
  <c r="Z79" i="27" s="1"/>
  <c r="AH78" i="27"/>
  <c r="AL78" i="27" s="1"/>
  <c r="AX78" i="27" s="1"/>
  <c r="AG78" i="27"/>
  <c r="AK78" i="27" s="1"/>
  <c r="AW78" i="27" s="1"/>
  <c r="AF78" i="27"/>
  <c r="AJ78" i="27" s="1"/>
  <c r="AV78" i="27" s="1"/>
  <c r="AE78" i="27"/>
  <c r="AI78" i="27" s="1"/>
  <c r="AU78" i="27" s="1"/>
  <c r="Y78" i="27"/>
  <c r="AC78" i="27" s="1"/>
  <c r="AR78" i="27" s="1"/>
  <c r="X78" i="27"/>
  <c r="AB78" i="27" s="1"/>
  <c r="AQ78" i="27" s="1"/>
  <c r="W78" i="27"/>
  <c r="AA78" i="27" s="1"/>
  <c r="AP78" i="27" s="1"/>
  <c r="V78" i="27"/>
  <c r="Z78" i="27" s="1"/>
  <c r="AH77" i="27"/>
  <c r="AL77" i="27" s="1"/>
  <c r="AX77" i="27" s="1"/>
  <c r="AG77" i="27"/>
  <c r="AK77" i="27" s="1"/>
  <c r="AW77" i="27" s="1"/>
  <c r="AF77" i="27"/>
  <c r="AJ77" i="27" s="1"/>
  <c r="AV77" i="27" s="1"/>
  <c r="AE77" i="27"/>
  <c r="AI77" i="27" s="1"/>
  <c r="AU77" i="27" s="1"/>
  <c r="Y77" i="27"/>
  <c r="AC77" i="27" s="1"/>
  <c r="AR77" i="27" s="1"/>
  <c r="X77" i="27"/>
  <c r="AB77" i="27" s="1"/>
  <c r="AQ77" i="27" s="1"/>
  <c r="W77" i="27"/>
  <c r="AA77" i="27" s="1"/>
  <c r="AP77" i="27" s="1"/>
  <c r="V77" i="27"/>
  <c r="Z77" i="27" s="1"/>
  <c r="AH76" i="27"/>
  <c r="AL76" i="27" s="1"/>
  <c r="AX76" i="27" s="1"/>
  <c r="AG76" i="27"/>
  <c r="AK76" i="27" s="1"/>
  <c r="AW76" i="27" s="1"/>
  <c r="AF76" i="27"/>
  <c r="AJ76" i="27" s="1"/>
  <c r="AV76" i="27" s="1"/>
  <c r="AE76" i="27"/>
  <c r="AI76" i="27" s="1"/>
  <c r="AU76" i="27" s="1"/>
  <c r="Y76" i="27"/>
  <c r="AC76" i="27" s="1"/>
  <c r="AR76" i="27" s="1"/>
  <c r="X76" i="27"/>
  <c r="AB76" i="27" s="1"/>
  <c r="AQ76" i="27" s="1"/>
  <c r="W76" i="27"/>
  <c r="AA76" i="27" s="1"/>
  <c r="AP76" i="27" s="1"/>
  <c r="V76" i="27"/>
  <c r="Z76" i="27" s="1"/>
  <c r="AH75" i="27"/>
  <c r="AL75" i="27" s="1"/>
  <c r="AX75" i="27" s="1"/>
  <c r="AG75" i="27"/>
  <c r="AK75" i="27" s="1"/>
  <c r="AW75" i="27" s="1"/>
  <c r="AF75" i="27"/>
  <c r="AJ75" i="27" s="1"/>
  <c r="AV75" i="27" s="1"/>
  <c r="AE75" i="27"/>
  <c r="AI75" i="27" s="1"/>
  <c r="AU75" i="27" s="1"/>
  <c r="Y75" i="27"/>
  <c r="AC75" i="27" s="1"/>
  <c r="AR75" i="27" s="1"/>
  <c r="X75" i="27"/>
  <c r="AB75" i="27" s="1"/>
  <c r="AQ75" i="27" s="1"/>
  <c r="W75" i="27"/>
  <c r="AA75" i="27" s="1"/>
  <c r="AP75" i="27" s="1"/>
  <c r="V75" i="27"/>
  <c r="Z75" i="27" s="1"/>
  <c r="H72" i="27"/>
  <c r="G72" i="27"/>
  <c r="F72" i="27"/>
  <c r="E72" i="27"/>
  <c r="D72" i="27"/>
  <c r="AH71" i="27"/>
  <c r="AL71" i="27" s="1"/>
  <c r="AX71" i="27" s="1"/>
  <c r="AG71" i="27"/>
  <c r="AK71" i="27" s="1"/>
  <c r="AW71" i="27" s="1"/>
  <c r="AF71" i="27"/>
  <c r="AJ71" i="27" s="1"/>
  <c r="AE71" i="27"/>
  <c r="AI71" i="27" s="1"/>
  <c r="AU71" i="27" s="1"/>
  <c r="Y71" i="27"/>
  <c r="AC71" i="27" s="1"/>
  <c r="AR71" i="27" s="1"/>
  <c r="X71" i="27"/>
  <c r="AB71" i="27" s="1"/>
  <c r="AQ71" i="27" s="1"/>
  <c r="W71" i="27"/>
  <c r="AA71" i="27" s="1"/>
  <c r="AP71" i="27" s="1"/>
  <c r="V71" i="27"/>
  <c r="Z71" i="27" s="1"/>
  <c r="AH70" i="27"/>
  <c r="AL70" i="27" s="1"/>
  <c r="AX70" i="27" s="1"/>
  <c r="AG70" i="27"/>
  <c r="AK70" i="27" s="1"/>
  <c r="AW70" i="27" s="1"/>
  <c r="AF70" i="27"/>
  <c r="AJ70" i="27" s="1"/>
  <c r="AE70" i="27"/>
  <c r="AI70" i="27" s="1"/>
  <c r="AU70" i="27" s="1"/>
  <c r="Y70" i="27"/>
  <c r="AC70" i="27" s="1"/>
  <c r="AR70" i="27" s="1"/>
  <c r="X70" i="27"/>
  <c r="AB70" i="27" s="1"/>
  <c r="AQ70" i="27" s="1"/>
  <c r="W70" i="27"/>
  <c r="AA70" i="27" s="1"/>
  <c r="AP70" i="27" s="1"/>
  <c r="V70" i="27"/>
  <c r="Z70" i="27" s="1"/>
  <c r="AH69" i="27"/>
  <c r="AL69" i="27" s="1"/>
  <c r="AX69" i="27" s="1"/>
  <c r="AG69" i="27"/>
  <c r="AK69" i="27" s="1"/>
  <c r="AW69" i="27" s="1"/>
  <c r="AF69" i="27"/>
  <c r="AJ69" i="27" s="1"/>
  <c r="AE69" i="27"/>
  <c r="AI69" i="27" s="1"/>
  <c r="AU69" i="27" s="1"/>
  <c r="Y69" i="27"/>
  <c r="AC69" i="27" s="1"/>
  <c r="AR69" i="27" s="1"/>
  <c r="X69" i="27"/>
  <c r="AB69" i="27" s="1"/>
  <c r="AQ69" i="27" s="1"/>
  <c r="W69" i="27"/>
  <c r="AA69" i="27" s="1"/>
  <c r="AP69" i="27" s="1"/>
  <c r="V69" i="27"/>
  <c r="Z69" i="27" s="1"/>
  <c r="AH68" i="27"/>
  <c r="AL68" i="27" s="1"/>
  <c r="AX68" i="27" s="1"/>
  <c r="AG68" i="27"/>
  <c r="AK68" i="27" s="1"/>
  <c r="AW68" i="27" s="1"/>
  <c r="AF68" i="27"/>
  <c r="AJ68" i="27" s="1"/>
  <c r="AE68" i="27"/>
  <c r="AI68" i="27" s="1"/>
  <c r="AU68" i="27" s="1"/>
  <c r="Y68" i="27"/>
  <c r="AC68" i="27" s="1"/>
  <c r="AR68" i="27" s="1"/>
  <c r="X68" i="27"/>
  <c r="AB68" i="27" s="1"/>
  <c r="AQ68" i="27" s="1"/>
  <c r="W68" i="27"/>
  <c r="AA68" i="27" s="1"/>
  <c r="AP68" i="27" s="1"/>
  <c r="V68" i="27"/>
  <c r="Z68" i="27" s="1"/>
  <c r="AH67" i="27"/>
  <c r="AL67" i="27" s="1"/>
  <c r="AX67" i="27" s="1"/>
  <c r="AG67" i="27"/>
  <c r="AK67" i="27" s="1"/>
  <c r="AW67" i="27" s="1"/>
  <c r="AF67" i="27"/>
  <c r="AJ67" i="27" s="1"/>
  <c r="AE67" i="27"/>
  <c r="AI67" i="27" s="1"/>
  <c r="AU67" i="27" s="1"/>
  <c r="Y67" i="27"/>
  <c r="AC67" i="27" s="1"/>
  <c r="AR67" i="27" s="1"/>
  <c r="X67" i="27"/>
  <c r="AB67" i="27" s="1"/>
  <c r="AQ67" i="27" s="1"/>
  <c r="W67" i="27"/>
  <c r="AA67" i="27" s="1"/>
  <c r="AP67" i="27" s="1"/>
  <c r="V67" i="27"/>
  <c r="Z67" i="27" s="1"/>
  <c r="AH66" i="27"/>
  <c r="AL66" i="27" s="1"/>
  <c r="AX66" i="27" s="1"/>
  <c r="AG66" i="27"/>
  <c r="AK66" i="27" s="1"/>
  <c r="AW66" i="27" s="1"/>
  <c r="AF66" i="27"/>
  <c r="AJ66" i="27" s="1"/>
  <c r="AE66" i="27"/>
  <c r="AI66" i="27" s="1"/>
  <c r="AU66" i="27" s="1"/>
  <c r="Y66" i="27"/>
  <c r="AC66" i="27" s="1"/>
  <c r="AR66" i="27" s="1"/>
  <c r="X66" i="27"/>
  <c r="AB66" i="27" s="1"/>
  <c r="AQ66" i="27" s="1"/>
  <c r="W66" i="27"/>
  <c r="AA66" i="27" s="1"/>
  <c r="AP66" i="27" s="1"/>
  <c r="V66" i="27"/>
  <c r="Z66" i="27" s="1"/>
  <c r="H63" i="27"/>
  <c r="G63" i="27"/>
  <c r="F63" i="27"/>
  <c r="E63" i="27"/>
  <c r="D63" i="27"/>
  <c r="AH62" i="27"/>
  <c r="AL62" i="27" s="1"/>
  <c r="AX62" i="27" s="1"/>
  <c r="AG62" i="27"/>
  <c r="AK62" i="27" s="1"/>
  <c r="AW62" i="27" s="1"/>
  <c r="AF62" i="27"/>
  <c r="AJ62" i="27" s="1"/>
  <c r="AV62" i="27" s="1"/>
  <c r="AE62" i="27"/>
  <c r="AI62" i="27" s="1"/>
  <c r="AU62" i="27" s="1"/>
  <c r="Y62" i="27"/>
  <c r="AC62" i="27" s="1"/>
  <c r="AR62" i="27" s="1"/>
  <c r="X62" i="27"/>
  <c r="AB62" i="27" s="1"/>
  <c r="AQ62" i="27" s="1"/>
  <c r="W62" i="27"/>
  <c r="AA62" i="27" s="1"/>
  <c r="AP62" i="27" s="1"/>
  <c r="V62" i="27"/>
  <c r="Z62" i="27" s="1"/>
  <c r="AH61" i="27"/>
  <c r="AL61" i="27" s="1"/>
  <c r="AX61" i="27" s="1"/>
  <c r="AG61" i="27"/>
  <c r="AK61" i="27" s="1"/>
  <c r="AW61" i="27" s="1"/>
  <c r="AF61" i="27"/>
  <c r="AJ61" i="27" s="1"/>
  <c r="AV61" i="27" s="1"/>
  <c r="AE61" i="27"/>
  <c r="AI61" i="27" s="1"/>
  <c r="AU61" i="27" s="1"/>
  <c r="Y61" i="27"/>
  <c r="AC61" i="27" s="1"/>
  <c r="AR61" i="27" s="1"/>
  <c r="X61" i="27"/>
  <c r="AB61" i="27" s="1"/>
  <c r="AQ61" i="27" s="1"/>
  <c r="W61" i="27"/>
  <c r="AA61" i="27" s="1"/>
  <c r="AP61" i="27" s="1"/>
  <c r="V61" i="27"/>
  <c r="Z61" i="27" s="1"/>
  <c r="AH60" i="27"/>
  <c r="AL60" i="27" s="1"/>
  <c r="AX60" i="27" s="1"/>
  <c r="AG60" i="27"/>
  <c r="AK60" i="27" s="1"/>
  <c r="AW60" i="27" s="1"/>
  <c r="AF60" i="27"/>
  <c r="AJ60" i="27" s="1"/>
  <c r="AV60" i="27" s="1"/>
  <c r="AE60" i="27"/>
  <c r="AI60" i="27" s="1"/>
  <c r="AU60" i="27" s="1"/>
  <c r="Y60" i="27"/>
  <c r="AC60" i="27" s="1"/>
  <c r="AR60" i="27" s="1"/>
  <c r="X60" i="27"/>
  <c r="AB60" i="27" s="1"/>
  <c r="AQ60" i="27" s="1"/>
  <c r="W60" i="27"/>
  <c r="AA60" i="27" s="1"/>
  <c r="AP60" i="27" s="1"/>
  <c r="V60" i="27"/>
  <c r="Z60" i="27" s="1"/>
  <c r="AH59" i="27"/>
  <c r="AL59" i="27" s="1"/>
  <c r="AX59" i="27" s="1"/>
  <c r="AG59" i="27"/>
  <c r="AK59" i="27" s="1"/>
  <c r="AW59" i="27" s="1"/>
  <c r="AF59" i="27"/>
  <c r="AJ59" i="27" s="1"/>
  <c r="AV59" i="27" s="1"/>
  <c r="AE59" i="27"/>
  <c r="AI59" i="27" s="1"/>
  <c r="AU59" i="27" s="1"/>
  <c r="Y59" i="27"/>
  <c r="AC59" i="27" s="1"/>
  <c r="AR59" i="27" s="1"/>
  <c r="X59" i="27"/>
  <c r="AB59" i="27" s="1"/>
  <c r="AQ59" i="27" s="1"/>
  <c r="W59" i="27"/>
  <c r="AA59" i="27" s="1"/>
  <c r="AP59" i="27" s="1"/>
  <c r="V59" i="27"/>
  <c r="Z59" i="27" s="1"/>
  <c r="AH58" i="27"/>
  <c r="AL58" i="27" s="1"/>
  <c r="AX58" i="27" s="1"/>
  <c r="AG58" i="27"/>
  <c r="AK58" i="27" s="1"/>
  <c r="AW58" i="27" s="1"/>
  <c r="AF58" i="27"/>
  <c r="AJ58" i="27" s="1"/>
  <c r="AV58" i="27" s="1"/>
  <c r="AE58" i="27"/>
  <c r="AI58" i="27" s="1"/>
  <c r="AU58" i="27" s="1"/>
  <c r="Y58" i="27"/>
  <c r="AC58" i="27" s="1"/>
  <c r="AR58" i="27" s="1"/>
  <c r="X58" i="27"/>
  <c r="AB58" i="27" s="1"/>
  <c r="AQ58" i="27" s="1"/>
  <c r="W58" i="27"/>
  <c r="AA58" i="27" s="1"/>
  <c r="AP58" i="27" s="1"/>
  <c r="V58" i="27"/>
  <c r="Z58" i="27" s="1"/>
  <c r="AH57" i="27"/>
  <c r="AL57" i="27" s="1"/>
  <c r="AX57" i="27" s="1"/>
  <c r="AG57" i="27"/>
  <c r="AK57" i="27" s="1"/>
  <c r="AW57" i="27" s="1"/>
  <c r="AF57" i="27"/>
  <c r="AJ57" i="27" s="1"/>
  <c r="AV57" i="27" s="1"/>
  <c r="AE57" i="27"/>
  <c r="AI57" i="27" s="1"/>
  <c r="AU57" i="27" s="1"/>
  <c r="Y57" i="27"/>
  <c r="AC57" i="27" s="1"/>
  <c r="AR57" i="27" s="1"/>
  <c r="X57" i="27"/>
  <c r="AB57" i="27" s="1"/>
  <c r="AQ57" i="27" s="1"/>
  <c r="W57" i="27"/>
  <c r="AA57" i="27" s="1"/>
  <c r="AP57" i="27" s="1"/>
  <c r="V57" i="27"/>
  <c r="Z57" i="27" s="1"/>
  <c r="H54" i="27"/>
  <c r="G54" i="27"/>
  <c r="F54" i="27"/>
  <c r="E54" i="27"/>
  <c r="D54" i="27"/>
  <c r="AH53" i="27"/>
  <c r="AL53" i="27" s="1"/>
  <c r="AX53" i="27" s="1"/>
  <c r="AG53" i="27"/>
  <c r="AK53" i="27" s="1"/>
  <c r="AW53" i="27" s="1"/>
  <c r="AF53" i="27"/>
  <c r="AJ53" i="27" s="1"/>
  <c r="AE53" i="27"/>
  <c r="AI53" i="27" s="1"/>
  <c r="AU53" i="27" s="1"/>
  <c r="Y53" i="27"/>
  <c r="AC53" i="27" s="1"/>
  <c r="AR53" i="27" s="1"/>
  <c r="X53" i="27"/>
  <c r="AB53" i="27" s="1"/>
  <c r="AQ53" i="27" s="1"/>
  <c r="W53" i="27"/>
  <c r="AA53" i="27" s="1"/>
  <c r="AP53" i="27" s="1"/>
  <c r="V53" i="27"/>
  <c r="Z53" i="27" s="1"/>
  <c r="AH52" i="27"/>
  <c r="AL52" i="27" s="1"/>
  <c r="AX52" i="27" s="1"/>
  <c r="AG52" i="27"/>
  <c r="AK52" i="27" s="1"/>
  <c r="AW52" i="27" s="1"/>
  <c r="AF52" i="27"/>
  <c r="AJ52" i="27" s="1"/>
  <c r="AE52" i="27"/>
  <c r="AI52" i="27" s="1"/>
  <c r="AU52" i="27" s="1"/>
  <c r="Y52" i="27"/>
  <c r="AC52" i="27" s="1"/>
  <c r="AR52" i="27" s="1"/>
  <c r="X52" i="27"/>
  <c r="AB52" i="27" s="1"/>
  <c r="AQ52" i="27" s="1"/>
  <c r="W52" i="27"/>
  <c r="AA52" i="27" s="1"/>
  <c r="AP52" i="27" s="1"/>
  <c r="V52" i="27"/>
  <c r="Z52" i="27" s="1"/>
  <c r="AH51" i="27"/>
  <c r="AL51" i="27" s="1"/>
  <c r="AX51" i="27" s="1"/>
  <c r="AG51" i="27"/>
  <c r="AK51" i="27" s="1"/>
  <c r="AW51" i="27" s="1"/>
  <c r="AF51" i="27"/>
  <c r="AJ51" i="27" s="1"/>
  <c r="AE51" i="27"/>
  <c r="AI51" i="27" s="1"/>
  <c r="AU51" i="27" s="1"/>
  <c r="Y51" i="27"/>
  <c r="AC51" i="27" s="1"/>
  <c r="AR51" i="27" s="1"/>
  <c r="X51" i="27"/>
  <c r="AB51" i="27" s="1"/>
  <c r="AQ51" i="27" s="1"/>
  <c r="W51" i="27"/>
  <c r="AA51" i="27" s="1"/>
  <c r="AP51" i="27" s="1"/>
  <c r="V51" i="27"/>
  <c r="Z51" i="27" s="1"/>
  <c r="AH50" i="27"/>
  <c r="AL50" i="27" s="1"/>
  <c r="AX50" i="27" s="1"/>
  <c r="AG50" i="27"/>
  <c r="AK50" i="27" s="1"/>
  <c r="AW50" i="27" s="1"/>
  <c r="AF50" i="27"/>
  <c r="AJ50" i="27" s="1"/>
  <c r="AE50" i="27"/>
  <c r="AI50" i="27" s="1"/>
  <c r="AU50" i="27" s="1"/>
  <c r="Y50" i="27"/>
  <c r="AC50" i="27" s="1"/>
  <c r="AR50" i="27" s="1"/>
  <c r="X50" i="27"/>
  <c r="AB50" i="27" s="1"/>
  <c r="AQ50" i="27" s="1"/>
  <c r="W50" i="27"/>
  <c r="AA50" i="27" s="1"/>
  <c r="AP50" i="27" s="1"/>
  <c r="V50" i="27"/>
  <c r="Z50" i="27" s="1"/>
  <c r="AH49" i="27"/>
  <c r="AL49" i="27" s="1"/>
  <c r="AX49" i="27" s="1"/>
  <c r="AG49" i="27"/>
  <c r="AK49" i="27" s="1"/>
  <c r="AW49" i="27" s="1"/>
  <c r="AF49" i="27"/>
  <c r="AJ49" i="27" s="1"/>
  <c r="AE49" i="27"/>
  <c r="AI49" i="27" s="1"/>
  <c r="AU49" i="27" s="1"/>
  <c r="Y49" i="27"/>
  <c r="AC49" i="27" s="1"/>
  <c r="AR49" i="27" s="1"/>
  <c r="X49" i="27"/>
  <c r="AB49" i="27" s="1"/>
  <c r="AQ49" i="27" s="1"/>
  <c r="W49" i="27"/>
  <c r="AA49" i="27" s="1"/>
  <c r="AP49" i="27" s="1"/>
  <c r="V49" i="27"/>
  <c r="Z49" i="27" s="1"/>
  <c r="AH48" i="27"/>
  <c r="AL48" i="27" s="1"/>
  <c r="AX48" i="27" s="1"/>
  <c r="AG48" i="27"/>
  <c r="AK48" i="27" s="1"/>
  <c r="AW48" i="27" s="1"/>
  <c r="AF48" i="27"/>
  <c r="AJ48" i="27" s="1"/>
  <c r="AE48" i="27"/>
  <c r="AI48" i="27" s="1"/>
  <c r="AU48" i="27" s="1"/>
  <c r="Y48" i="27"/>
  <c r="AC48" i="27" s="1"/>
  <c r="AR48" i="27" s="1"/>
  <c r="X48" i="27"/>
  <c r="AB48" i="27" s="1"/>
  <c r="AQ48" i="27" s="1"/>
  <c r="W48" i="27"/>
  <c r="AA48" i="27" s="1"/>
  <c r="AP48" i="27" s="1"/>
  <c r="V48" i="27"/>
  <c r="Z48" i="27" s="1"/>
  <c r="H45" i="27"/>
  <c r="G45" i="27"/>
  <c r="F45" i="27"/>
  <c r="E45" i="27"/>
  <c r="D45" i="27"/>
  <c r="AH44" i="27"/>
  <c r="AL44" i="27" s="1"/>
  <c r="AX44" i="27" s="1"/>
  <c r="AG44" i="27"/>
  <c r="AK44" i="27" s="1"/>
  <c r="AW44" i="27" s="1"/>
  <c r="AF44" i="27"/>
  <c r="AJ44" i="27" s="1"/>
  <c r="AV44" i="27" s="1"/>
  <c r="AE44" i="27"/>
  <c r="AI44" i="27" s="1"/>
  <c r="AU44" i="27" s="1"/>
  <c r="Y44" i="27"/>
  <c r="AC44" i="27" s="1"/>
  <c r="AR44" i="27" s="1"/>
  <c r="X44" i="27"/>
  <c r="AB44" i="27" s="1"/>
  <c r="AQ44" i="27" s="1"/>
  <c r="W44" i="27"/>
  <c r="AA44" i="27" s="1"/>
  <c r="AP44" i="27" s="1"/>
  <c r="V44" i="27"/>
  <c r="Z44" i="27" s="1"/>
  <c r="AH43" i="27"/>
  <c r="AL43" i="27" s="1"/>
  <c r="AX43" i="27" s="1"/>
  <c r="AG43" i="27"/>
  <c r="AK43" i="27" s="1"/>
  <c r="AW43" i="27" s="1"/>
  <c r="AF43" i="27"/>
  <c r="AJ43" i="27" s="1"/>
  <c r="AV43" i="27" s="1"/>
  <c r="AE43" i="27"/>
  <c r="AI43" i="27" s="1"/>
  <c r="AU43" i="27" s="1"/>
  <c r="Y43" i="27"/>
  <c r="AC43" i="27" s="1"/>
  <c r="AR43" i="27" s="1"/>
  <c r="X43" i="27"/>
  <c r="AB43" i="27" s="1"/>
  <c r="AQ43" i="27" s="1"/>
  <c r="W43" i="27"/>
  <c r="AA43" i="27" s="1"/>
  <c r="AP43" i="27" s="1"/>
  <c r="V43" i="27"/>
  <c r="Z43" i="27" s="1"/>
  <c r="AH42" i="27"/>
  <c r="AL42" i="27" s="1"/>
  <c r="AX42" i="27" s="1"/>
  <c r="AG42" i="27"/>
  <c r="AK42" i="27" s="1"/>
  <c r="AW42" i="27" s="1"/>
  <c r="AF42" i="27"/>
  <c r="AJ42" i="27" s="1"/>
  <c r="AV42" i="27" s="1"/>
  <c r="AE42" i="27"/>
  <c r="AI42" i="27" s="1"/>
  <c r="AU42" i="27" s="1"/>
  <c r="Y42" i="27"/>
  <c r="AC42" i="27" s="1"/>
  <c r="AR42" i="27" s="1"/>
  <c r="X42" i="27"/>
  <c r="AB42" i="27" s="1"/>
  <c r="AQ42" i="27" s="1"/>
  <c r="W42" i="27"/>
  <c r="AA42" i="27" s="1"/>
  <c r="AP42" i="27" s="1"/>
  <c r="V42" i="27"/>
  <c r="Z42" i="27" s="1"/>
  <c r="AH41" i="27"/>
  <c r="AL41" i="27" s="1"/>
  <c r="AX41" i="27" s="1"/>
  <c r="AG41" i="27"/>
  <c r="AK41" i="27" s="1"/>
  <c r="AW41" i="27" s="1"/>
  <c r="AF41" i="27"/>
  <c r="AJ41" i="27" s="1"/>
  <c r="AV41" i="27" s="1"/>
  <c r="AE41" i="27"/>
  <c r="AI41" i="27" s="1"/>
  <c r="AU41" i="27" s="1"/>
  <c r="Y41" i="27"/>
  <c r="AC41" i="27" s="1"/>
  <c r="AR41" i="27" s="1"/>
  <c r="X41" i="27"/>
  <c r="AB41" i="27" s="1"/>
  <c r="AQ41" i="27" s="1"/>
  <c r="W41" i="27"/>
  <c r="AA41" i="27" s="1"/>
  <c r="AP41" i="27" s="1"/>
  <c r="V41" i="27"/>
  <c r="Z41" i="27" s="1"/>
  <c r="AH40" i="27"/>
  <c r="AL40" i="27" s="1"/>
  <c r="AX40" i="27" s="1"/>
  <c r="AG40" i="27"/>
  <c r="AK40" i="27" s="1"/>
  <c r="AW40" i="27" s="1"/>
  <c r="AF40" i="27"/>
  <c r="AJ40" i="27" s="1"/>
  <c r="AV40" i="27" s="1"/>
  <c r="AE40" i="27"/>
  <c r="AI40" i="27" s="1"/>
  <c r="AU40" i="27" s="1"/>
  <c r="Y40" i="27"/>
  <c r="AC40" i="27" s="1"/>
  <c r="AR40" i="27" s="1"/>
  <c r="X40" i="27"/>
  <c r="AB40" i="27" s="1"/>
  <c r="AQ40" i="27" s="1"/>
  <c r="W40" i="27"/>
  <c r="AA40" i="27" s="1"/>
  <c r="AP40" i="27" s="1"/>
  <c r="V40" i="27"/>
  <c r="Z40" i="27" s="1"/>
  <c r="AH39" i="27"/>
  <c r="AL39" i="27" s="1"/>
  <c r="AX39" i="27" s="1"/>
  <c r="AG39" i="27"/>
  <c r="AK39" i="27" s="1"/>
  <c r="AW39" i="27" s="1"/>
  <c r="AF39" i="27"/>
  <c r="AJ39" i="27" s="1"/>
  <c r="AV39" i="27" s="1"/>
  <c r="AE39" i="27"/>
  <c r="AI39" i="27" s="1"/>
  <c r="AU39" i="27" s="1"/>
  <c r="Y39" i="27"/>
  <c r="AC39" i="27" s="1"/>
  <c r="AR39" i="27" s="1"/>
  <c r="X39" i="27"/>
  <c r="AB39" i="27" s="1"/>
  <c r="AQ39" i="27" s="1"/>
  <c r="W39" i="27"/>
  <c r="AA39" i="27" s="1"/>
  <c r="AP39" i="27" s="1"/>
  <c r="V39" i="27"/>
  <c r="Z39" i="27" s="1"/>
  <c r="H36" i="27"/>
  <c r="G36" i="27"/>
  <c r="F36" i="27"/>
  <c r="E36" i="27"/>
  <c r="D36" i="27"/>
  <c r="AH35" i="27"/>
  <c r="AL35" i="27" s="1"/>
  <c r="AX35" i="27" s="1"/>
  <c r="AG35" i="27"/>
  <c r="AK35" i="27" s="1"/>
  <c r="AW35" i="27" s="1"/>
  <c r="AF35" i="27"/>
  <c r="AJ35" i="27" s="1"/>
  <c r="AE35" i="27"/>
  <c r="AI35" i="27" s="1"/>
  <c r="AU35" i="27" s="1"/>
  <c r="Y35" i="27"/>
  <c r="AC35" i="27" s="1"/>
  <c r="AR35" i="27" s="1"/>
  <c r="X35" i="27"/>
  <c r="AB35" i="27" s="1"/>
  <c r="AQ35" i="27" s="1"/>
  <c r="W35" i="27"/>
  <c r="AA35" i="27" s="1"/>
  <c r="AP35" i="27" s="1"/>
  <c r="V35" i="27"/>
  <c r="Z35" i="27" s="1"/>
  <c r="AH34" i="27"/>
  <c r="AL34" i="27" s="1"/>
  <c r="AX34" i="27" s="1"/>
  <c r="AG34" i="27"/>
  <c r="AK34" i="27" s="1"/>
  <c r="AW34" i="27" s="1"/>
  <c r="AF34" i="27"/>
  <c r="AJ34" i="27" s="1"/>
  <c r="AE34" i="27"/>
  <c r="AI34" i="27" s="1"/>
  <c r="AU34" i="27" s="1"/>
  <c r="Y34" i="27"/>
  <c r="AC34" i="27" s="1"/>
  <c r="AR34" i="27" s="1"/>
  <c r="X34" i="27"/>
  <c r="AB34" i="27" s="1"/>
  <c r="AQ34" i="27" s="1"/>
  <c r="W34" i="27"/>
  <c r="AA34" i="27" s="1"/>
  <c r="AP34" i="27" s="1"/>
  <c r="V34" i="27"/>
  <c r="Z34" i="27" s="1"/>
  <c r="AH33" i="27"/>
  <c r="AL33" i="27" s="1"/>
  <c r="AX33" i="27" s="1"/>
  <c r="AG33" i="27"/>
  <c r="AK33" i="27" s="1"/>
  <c r="AW33" i="27" s="1"/>
  <c r="AF33" i="27"/>
  <c r="AJ33" i="27" s="1"/>
  <c r="AE33" i="27"/>
  <c r="AI33" i="27" s="1"/>
  <c r="AU33" i="27" s="1"/>
  <c r="Y33" i="27"/>
  <c r="AC33" i="27" s="1"/>
  <c r="AR33" i="27" s="1"/>
  <c r="X33" i="27"/>
  <c r="AB33" i="27" s="1"/>
  <c r="AQ33" i="27" s="1"/>
  <c r="W33" i="27"/>
  <c r="AA33" i="27" s="1"/>
  <c r="AP33" i="27" s="1"/>
  <c r="V33" i="27"/>
  <c r="Z33" i="27" s="1"/>
  <c r="AH32" i="27"/>
  <c r="AL32" i="27" s="1"/>
  <c r="AX32" i="27" s="1"/>
  <c r="AG32" i="27"/>
  <c r="AK32" i="27" s="1"/>
  <c r="AW32" i="27" s="1"/>
  <c r="AF32" i="27"/>
  <c r="AJ32" i="27" s="1"/>
  <c r="AE32" i="27"/>
  <c r="AI32" i="27" s="1"/>
  <c r="AU32" i="27" s="1"/>
  <c r="Y32" i="27"/>
  <c r="AC32" i="27" s="1"/>
  <c r="AR32" i="27" s="1"/>
  <c r="X32" i="27"/>
  <c r="AB32" i="27" s="1"/>
  <c r="AQ32" i="27" s="1"/>
  <c r="W32" i="27"/>
  <c r="AA32" i="27" s="1"/>
  <c r="AP32" i="27" s="1"/>
  <c r="V32" i="27"/>
  <c r="Z32" i="27" s="1"/>
  <c r="AH31" i="27"/>
  <c r="AL31" i="27" s="1"/>
  <c r="AX31" i="27" s="1"/>
  <c r="AG31" i="27"/>
  <c r="AK31" i="27" s="1"/>
  <c r="AW31" i="27" s="1"/>
  <c r="AF31" i="27"/>
  <c r="AJ31" i="27" s="1"/>
  <c r="AE31" i="27"/>
  <c r="AI31" i="27" s="1"/>
  <c r="AU31" i="27" s="1"/>
  <c r="Y31" i="27"/>
  <c r="AC31" i="27" s="1"/>
  <c r="AR31" i="27" s="1"/>
  <c r="X31" i="27"/>
  <c r="AB31" i="27" s="1"/>
  <c r="AQ31" i="27" s="1"/>
  <c r="W31" i="27"/>
  <c r="AA31" i="27" s="1"/>
  <c r="AP31" i="27" s="1"/>
  <c r="V31" i="27"/>
  <c r="Z31" i="27" s="1"/>
  <c r="AH30" i="27"/>
  <c r="AL30" i="27" s="1"/>
  <c r="AX30" i="27" s="1"/>
  <c r="AG30" i="27"/>
  <c r="AK30" i="27" s="1"/>
  <c r="AW30" i="27" s="1"/>
  <c r="AF30" i="27"/>
  <c r="AJ30" i="27" s="1"/>
  <c r="AE30" i="27"/>
  <c r="AI30" i="27" s="1"/>
  <c r="AU30" i="27" s="1"/>
  <c r="Y30" i="27"/>
  <c r="AC30" i="27" s="1"/>
  <c r="AR30" i="27" s="1"/>
  <c r="X30" i="27"/>
  <c r="AB30" i="27" s="1"/>
  <c r="AQ30" i="27" s="1"/>
  <c r="W30" i="27"/>
  <c r="AA30" i="27" s="1"/>
  <c r="AP30" i="27" s="1"/>
  <c r="V30" i="27"/>
  <c r="Z30" i="27" s="1"/>
  <c r="H27" i="27"/>
  <c r="G27" i="27"/>
  <c r="F27" i="27"/>
  <c r="E27" i="27"/>
  <c r="D27" i="27"/>
  <c r="AH26" i="27"/>
  <c r="AL26" i="27" s="1"/>
  <c r="AX26" i="27" s="1"/>
  <c r="AG26" i="27"/>
  <c r="AK26" i="27" s="1"/>
  <c r="AW26" i="27" s="1"/>
  <c r="AF26" i="27"/>
  <c r="AJ26" i="27" s="1"/>
  <c r="AV26" i="27" s="1"/>
  <c r="AE26" i="27"/>
  <c r="AI26" i="27" s="1"/>
  <c r="AU26" i="27" s="1"/>
  <c r="Y26" i="27"/>
  <c r="AC26" i="27" s="1"/>
  <c r="AR26" i="27" s="1"/>
  <c r="X26" i="27"/>
  <c r="AB26" i="27" s="1"/>
  <c r="AQ26" i="27" s="1"/>
  <c r="W26" i="27"/>
  <c r="AA26" i="27" s="1"/>
  <c r="AP26" i="27" s="1"/>
  <c r="V26" i="27"/>
  <c r="Z26" i="27" s="1"/>
  <c r="AH25" i="27"/>
  <c r="AL25" i="27" s="1"/>
  <c r="AX25" i="27" s="1"/>
  <c r="AG25" i="27"/>
  <c r="AK25" i="27" s="1"/>
  <c r="AW25" i="27" s="1"/>
  <c r="AF25" i="27"/>
  <c r="AJ25" i="27" s="1"/>
  <c r="AV25" i="27" s="1"/>
  <c r="AE25" i="27"/>
  <c r="AI25" i="27" s="1"/>
  <c r="AU25" i="27" s="1"/>
  <c r="Y25" i="27"/>
  <c r="AC25" i="27" s="1"/>
  <c r="AR25" i="27" s="1"/>
  <c r="X25" i="27"/>
  <c r="AB25" i="27" s="1"/>
  <c r="AQ25" i="27" s="1"/>
  <c r="W25" i="27"/>
  <c r="AA25" i="27" s="1"/>
  <c r="AP25" i="27" s="1"/>
  <c r="V25" i="27"/>
  <c r="Z25" i="27" s="1"/>
  <c r="AH24" i="27"/>
  <c r="AL24" i="27" s="1"/>
  <c r="AX24" i="27" s="1"/>
  <c r="AG24" i="27"/>
  <c r="AK24" i="27" s="1"/>
  <c r="AW24" i="27" s="1"/>
  <c r="AF24" i="27"/>
  <c r="AJ24" i="27" s="1"/>
  <c r="AV24" i="27" s="1"/>
  <c r="AE24" i="27"/>
  <c r="AI24" i="27" s="1"/>
  <c r="AU24" i="27" s="1"/>
  <c r="Y24" i="27"/>
  <c r="AC24" i="27" s="1"/>
  <c r="AR24" i="27" s="1"/>
  <c r="X24" i="27"/>
  <c r="AB24" i="27" s="1"/>
  <c r="AQ24" i="27" s="1"/>
  <c r="W24" i="27"/>
  <c r="AA24" i="27" s="1"/>
  <c r="AP24" i="27" s="1"/>
  <c r="V24" i="27"/>
  <c r="Z24" i="27" s="1"/>
  <c r="AH23" i="27"/>
  <c r="AL23" i="27" s="1"/>
  <c r="AX23" i="27" s="1"/>
  <c r="AG23" i="27"/>
  <c r="AK23" i="27" s="1"/>
  <c r="AW23" i="27" s="1"/>
  <c r="AF23" i="27"/>
  <c r="AJ23" i="27" s="1"/>
  <c r="AV23" i="27" s="1"/>
  <c r="AE23" i="27"/>
  <c r="AI23" i="27" s="1"/>
  <c r="AU23" i="27" s="1"/>
  <c r="Y23" i="27"/>
  <c r="AC23" i="27" s="1"/>
  <c r="AR23" i="27" s="1"/>
  <c r="X23" i="27"/>
  <c r="AB23" i="27" s="1"/>
  <c r="AQ23" i="27" s="1"/>
  <c r="W23" i="27"/>
  <c r="AA23" i="27" s="1"/>
  <c r="AP23" i="27" s="1"/>
  <c r="V23" i="27"/>
  <c r="Z23" i="27" s="1"/>
  <c r="AH22" i="27"/>
  <c r="AL22" i="27" s="1"/>
  <c r="AX22" i="27" s="1"/>
  <c r="AG22" i="27"/>
  <c r="AK22" i="27" s="1"/>
  <c r="AW22" i="27" s="1"/>
  <c r="AF22" i="27"/>
  <c r="AJ22" i="27" s="1"/>
  <c r="AE22" i="27"/>
  <c r="AI22" i="27" s="1"/>
  <c r="AU22" i="27" s="1"/>
  <c r="Y22" i="27"/>
  <c r="AC22" i="27" s="1"/>
  <c r="AR22" i="27" s="1"/>
  <c r="X22" i="27"/>
  <c r="AB22" i="27" s="1"/>
  <c r="AQ22" i="27" s="1"/>
  <c r="W22" i="27"/>
  <c r="AA22" i="27" s="1"/>
  <c r="AP22" i="27" s="1"/>
  <c r="V22" i="27"/>
  <c r="Z22" i="27" s="1"/>
  <c r="AH21" i="27"/>
  <c r="AL21" i="27" s="1"/>
  <c r="AX21" i="27" s="1"/>
  <c r="AG21" i="27"/>
  <c r="AK21" i="27" s="1"/>
  <c r="AW21" i="27" s="1"/>
  <c r="AF21" i="27"/>
  <c r="AJ21" i="27" s="1"/>
  <c r="AV21" i="27" s="1"/>
  <c r="AE21" i="27"/>
  <c r="AI21" i="27" s="1"/>
  <c r="AU21" i="27" s="1"/>
  <c r="Y21" i="27"/>
  <c r="AC21" i="27" s="1"/>
  <c r="AR21" i="27" s="1"/>
  <c r="X21" i="27"/>
  <c r="AB21" i="27" s="1"/>
  <c r="AQ21" i="27" s="1"/>
  <c r="W21" i="27"/>
  <c r="AA21" i="27" s="1"/>
  <c r="AP21" i="27" s="1"/>
  <c r="V21" i="27"/>
  <c r="Z21" i="27" s="1"/>
  <c r="H18" i="27"/>
  <c r="G18" i="27"/>
  <c r="F18" i="27"/>
  <c r="E18" i="27"/>
  <c r="D18" i="27"/>
  <c r="AH17" i="27"/>
  <c r="AL17" i="27" s="1"/>
  <c r="AX17" i="27" s="1"/>
  <c r="AG17" i="27"/>
  <c r="AK17" i="27" s="1"/>
  <c r="AW17" i="27" s="1"/>
  <c r="AF17" i="27"/>
  <c r="AJ17" i="27" s="1"/>
  <c r="AE17" i="27"/>
  <c r="AI17" i="27" s="1"/>
  <c r="AU17" i="27" s="1"/>
  <c r="Y17" i="27"/>
  <c r="AC17" i="27" s="1"/>
  <c r="AR17" i="27" s="1"/>
  <c r="X17" i="27"/>
  <c r="AB17" i="27" s="1"/>
  <c r="AQ17" i="27" s="1"/>
  <c r="W17" i="27"/>
  <c r="AA17" i="27" s="1"/>
  <c r="AP17" i="27" s="1"/>
  <c r="V17" i="27"/>
  <c r="Z17" i="27" s="1"/>
  <c r="AH16" i="27"/>
  <c r="AL16" i="27" s="1"/>
  <c r="AX16" i="27" s="1"/>
  <c r="AG16" i="27"/>
  <c r="AK16" i="27" s="1"/>
  <c r="AW16" i="27" s="1"/>
  <c r="AF16" i="27"/>
  <c r="AJ16" i="27" s="1"/>
  <c r="AE16" i="27"/>
  <c r="AI16" i="27" s="1"/>
  <c r="AU16" i="27" s="1"/>
  <c r="Y16" i="27"/>
  <c r="AC16" i="27" s="1"/>
  <c r="AR16" i="27" s="1"/>
  <c r="X16" i="27"/>
  <c r="AB16" i="27" s="1"/>
  <c r="AQ16" i="27" s="1"/>
  <c r="W16" i="27"/>
  <c r="AA16" i="27" s="1"/>
  <c r="AP16" i="27" s="1"/>
  <c r="V16" i="27"/>
  <c r="Z16" i="27" s="1"/>
  <c r="AH15" i="27"/>
  <c r="AL15" i="27" s="1"/>
  <c r="AX15" i="27" s="1"/>
  <c r="AG15" i="27"/>
  <c r="AK15" i="27" s="1"/>
  <c r="AW15" i="27" s="1"/>
  <c r="AF15" i="27"/>
  <c r="AJ15" i="27" s="1"/>
  <c r="AE15" i="27"/>
  <c r="AI15" i="27" s="1"/>
  <c r="AU15" i="27" s="1"/>
  <c r="Y15" i="27"/>
  <c r="AC15" i="27" s="1"/>
  <c r="AR15" i="27" s="1"/>
  <c r="X15" i="27"/>
  <c r="AB15" i="27" s="1"/>
  <c r="AQ15" i="27" s="1"/>
  <c r="W15" i="27"/>
  <c r="AA15" i="27" s="1"/>
  <c r="AP15" i="27" s="1"/>
  <c r="V15" i="27"/>
  <c r="Z15" i="27" s="1"/>
  <c r="AH14" i="27"/>
  <c r="AL14" i="27" s="1"/>
  <c r="AX14" i="27" s="1"/>
  <c r="AG14" i="27"/>
  <c r="AK14" i="27" s="1"/>
  <c r="AW14" i="27" s="1"/>
  <c r="AF14" i="27"/>
  <c r="AJ14" i="27" s="1"/>
  <c r="AE14" i="27"/>
  <c r="AI14" i="27" s="1"/>
  <c r="AU14" i="27" s="1"/>
  <c r="Y14" i="27"/>
  <c r="AC14" i="27" s="1"/>
  <c r="AR14" i="27" s="1"/>
  <c r="X14" i="27"/>
  <c r="AB14" i="27" s="1"/>
  <c r="AQ14" i="27" s="1"/>
  <c r="W14" i="27"/>
  <c r="AA14" i="27" s="1"/>
  <c r="AP14" i="27" s="1"/>
  <c r="V14" i="27"/>
  <c r="Z14" i="27" s="1"/>
  <c r="AH13" i="27"/>
  <c r="AL13" i="27" s="1"/>
  <c r="AX13" i="27" s="1"/>
  <c r="AG13" i="27"/>
  <c r="AK13" i="27" s="1"/>
  <c r="AW13" i="27" s="1"/>
  <c r="AF13" i="27"/>
  <c r="AJ13" i="27" s="1"/>
  <c r="AE13" i="27"/>
  <c r="AI13" i="27" s="1"/>
  <c r="AU13" i="27" s="1"/>
  <c r="Y13" i="27"/>
  <c r="AC13" i="27" s="1"/>
  <c r="AR13" i="27" s="1"/>
  <c r="X13" i="27"/>
  <c r="AB13" i="27" s="1"/>
  <c r="AQ13" i="27" s="1"/>
  <c r="W13" i="27"/>
  <c r="AA13" i="27" s="1"/>
  <c r="AP13" i="27" s="1"/>
  <c r="V13" i="27"/>
  <c r="Z13" i="27" s="1"/>
  <c r="AH12" i="27"/>
  <c r="AL12" i="27" s="1"/>
  <c r="AX12" i="27" s="1"/>
  <c r="AG12" i="27"/>
  <c r="AK12" i="27" s="1"/>
  <c r="AW12" i="27" s="1"/>
  <c r="AF12" i="27"/>
  <c r="AJ12" i="27" s="1"/>
  <c r="AE12" i="27"/>
  <c r="AI12" i="27" s="1"/>
  <c r="AU12" i="27" s="1"/>
  <c r="Y12" i="27"/>
  <c r="AC12" i="27" s="1"/>
  <c r="AR12" i="27" s="1"/>
  <c r="X12" i="27"/>
  <c r="AB12" i="27" s="1"/>
  <c r="AQ12" i="27" s="1"/>
  <c r="W12" i="27"/>
  <c r="AA12" i="27" s="1"/>
  <c r="AP12" i="27" s="1"/>
  <c r="V12" i="27"/>
  <c r="Z12" i="27" s="1"/>
  <c r="H180" i="26"/>
  <c r="G180" i="26"/>
  <c r="F180" i="26"/>
  <c r="E180" i="26"/>
  <c r="D180" i="26"/>
  <c r="H171" i="26"/>
  <c r="G171" i="26"/>
  <c r="F171" i="26"/>
  <c r="E171" i="26"/>
  <c r="D171" i="26"/>
  <c r="AH170" i="26"/>
  <c r="AL170" i="26" s="1"/>
  <c r="AX170" i="26" s="1"/>
  <c r="AG170" i="26"/>
  <c r="AK170" i="26" s="1"/>
  <c r="AW170" i="26" s="1"/>
  <c r="AF170" i="26"/>
  <c r="AJ170" i="26" s="1"/>
  <c r="AV170" i="26" s="1"/>
  <c r="AE170" i="26"/>
  <c r="AI170" i="26" s="1"/>
  <c r="AU170" i="26" s="1"/>
  <c r="Y170" i="26"/>
  <c r="AC170" i="26" s="1"/>
  <c r="AR170" i="26" s="1"/>
  <c r="X170" i="26"/>
  <c r="AB170" i="26" s="1"/>
  <c r="AQ170" i="26" s="1"/>
  <c r="W170" i="26"/>
  <c r="AA170" i="26" s="1"/>
  <c r="AP170" i="26" s="1"/>
  <c r="V170" i="26"/>
  <c r="Z170" i="26" s="1"/>
  <c r="AH169" i="26"/>
  <c r="AL169" i="26" s="1"/>
  <c r="AX169" i="26" s="1"/>
  <c r="AG169" i="26"/>
  <c r="AK169" i="26" s="1"/>
  <c r="AW169" i="26" s="1"/>
  <c r="AF169" i="26"/>
  <c r="AJ169" i="26" s="1"/>
  <c r="AV169" i="26" s="1"/>
  <c r="AE169" i="26"/>
  <c r="AI169" i="26" s="1"/>
  <c r="AU169" i="26" s="1"/>
  <c r="Y169" i="26"/>
  <c r="AC169" i="26" s="1"/>
  <c r="AR169" i="26" s="1"/>
  <c r="X169" i="26"/>
  <c r="AB169" i="26" s="1"/>
  <c r="AQ169" i="26" s="1"/>
  <c r="W169" i="26"/>
  <c r="AA169" i="26" s="1"/>
  <c r="AP169" i="26" s="1"/>
  <c r="V169" i="26"/>
  <c r="Z169" i="26" s="1"/>
  <c r="AH168" i="26"/>
  <c r="AL168" i="26" s="1"/>
  <c r="AX168" i="26" s="1"/>
  <c r="AG168" i="26"/>
  <c r="AK168" i="26" s="1"/>
  <c r="AW168" i="26" s="1"/>
  <c r="AF168" i="26"/>
  <c r="AJ168" i="26" s="1"/>
  <c r="AV168" i="26" s="1"/>
  <c r="AE168" i="26"/>
  <c r="AI168" i="26" s="1"/>
  <c r="AU168" i="26" s="1"/>
  <c r="Y168" i="26"/>
  <c r="AC168" i="26" s="1"/>
  <c r="AR168" i="26" s="1"/>
  <c r="X168" i="26"/>
  <c r="AB168" i="26" s="1"/>
  <c r="AQ168" i="26" s="1"/>
  <c r="W168" i="26"/>
  <c r="AA168" i="26" s="1"/>
  <c r="AP168" i="26" s="1"/>
  <c r="V168" i="26"/>
  <c r="Z168" i="26" s="1"/>
  <c r="AH167" i="26"/>
  <c r="AL167" i="26" s="1"/>
  <c r="AX167" i="26" s="1"/>
  <c r="AG167" i="26"/>
  <c r="AK167" i="26" s="1"/>
  <c r="AW167" i="26" s="1"/>
  <c r="AF167" i="26"/>
  <c r="AJ167" i="26" s="1"/>
  <c r="AV167" i="26" s="1"/>
  <c r="AE167" i="26"/>
  <c r="AI167" i="26" s="1"/>
  <c r="AU167" i="26" s="1"/>
  <c r="Y167" i="26"/>
  <c r="AC167" i="26" s="1"/>
  <c r="AR167" i="26" s="1"/>
  <c r="X167" i="26"/>
  <c r="AB167" i="26" s="1"/>
  <c r="AQ167" i="26" s="1"/>
  <c r="W167" i="26"/>
  <c r="AA167" i="26" s="1"/>
  <c r="AP167" i="26" s="1"/>
  <c r="V167" i="26"/>
  <c r="Z167" i="26" s="1"/>
  <c r="AH166" i="26"/>
  <c r="AL166" i="26" s="1"/>
  <c r="AX166" i="26" s="1"/>
  <c r="AG166" i="26"/>
  <c r="AK166" i="26" s="1"/>
  <c r="AW166" i="26" s="1"/>
  <c r="AF166" i="26"/>
  <c r="AJ166" i="26" s="1"/>
  <c r="AV166" i="26" s="1"/>
  <c r="AE166" i="26"/>
  <c r="AI166" i="26" s="1"/>
  <c r="AU166" i="26" s="1"/>
  <c r="Y166" i="26"/>
  <c r="AC166" i="26" s="1"/>
  <c r="AR166" i="26" s="1"/>
  <c r="X166" i="26"/>
  <c r="AB166" i="26" s="1"/>
  <c r="AQ166" i="26" s="1"/>
  <c r="W166" i="26"/>
  <c r="AA166" i="26" s="1"/>
  <c r="AP166" i="26" s="1"/>
  <c r="V166" i="26"/>
  <c r="Z166" i="26" s="1"/>
  <c r="AH165" i="26"/>
  <c r="AL165" i="26" s="1"/>
  <c r="AX165" i="26" s="1"/>
  <c r="AG165" i="26"/>
  <c r="AK165" i="26" s="1"/>
  <c r="AW165" i="26" s="1"/>
  <c r="AF165" i="26"/>
  <c r="AJ165" i="26" s="1"/>
  <c r="AV165" i="26" s="1"/>
  <c r="AE165" i="26"/>
  <c r="AI165" i="26" s="1"/>
  <c r="AU165" i="26" s="1"/>
  <c r="Y165" i="26"/>
  <c r="AC165" i="26" s="1"/>
  <c r="AR165" i="26" s="1"/>
  <c r="X165" i="26"/>
  <c r="AB165" i="26" s="1"/>
  <c r="AQ165" i="26" s="1"/>
  <c r="W165" i="26"/>
  <c r="AA165" i="26" s="1"/>
  <c r="AP165" i="26" s="1"/>
  <c r="V165" i="26"/>
  <c r="Z165" i="26" s="1"/>
  <c r="H162" i="26"/>
  <c r="G162" i="26"/>
  <c r="F162" i="26"/>
  <c r="E162" i="26"/>
  <c r="D162" i="26"/>
  <c r="AH161" i="26"/>
  <c r="AL161" i="26" s="1"/>
  <c r="AX161" i="26" s="1"/>
  <c r="AG161" i="26"/>
  <c r="AK161" i="26" s="1"/>
  <c r="AW161" i="26" s="1"/>
  <c r="AF161" i="26"/>
  <c r="AJ161" i="26" s="1"/>
  <c r="AE161" i="26"/>
  <c r="AI161" i="26" s="1"/>
  <c r="AU161" i="26" s="1"/>
  <c r="Y161" i="26"/>
  <c r="AC161" i="26" s="1"/>
  <c r="AR161" i="26" s="1"/>
  <c r="X161" i="26"/>
  <c r="AB161" i="26" s="1"/>
  <c r="AQ161" i="26" s="1"/>
  <c r="W161" i="26"/>
  <c r="AA161" i="26" s="1"/>
  <c r="AP161" i="26" s="1"/>
  <c r="V161" i="26"/>
  <c r="Z161" i="26" s="1"/>
  <c r="AH160" i="26"/>
  <c r="AL160" i="26" s="1"/>
  <c r="AX160" i="26" s="1"/>
  <c r="AG160" i="26"/>
  <c r="AK160" i="26" s="1"/>
  <c r="AW160" i="26" s="1"/>
  <c r="AF160" i="26"/>
  <c r="AJ160" i="26" s="1"/>
  <c r="AE160" i="26"/>
  <c r="AI160" i="26" s="1"/>
  <c r="AU160" i="26" s="1"/>
  <c r="Y160" i="26"/>
  <c r="AC160" i="26" s="1"/>
  <c r="AR160" i="26" s="1"/>
  <c r="X160" i="26"/>
  <c r="AB160" i="26" s="1"/>
  <c r="AQ160" i="26" s="1"/>
  <c r="W160" i="26"/>
  <c r="AA160" i="26" s="1"/>
  <c r="AP160" i="26" s="1"/>
  <c r="V160" i="26"/>
  <c r="Z160" i="26" s="1"/>
  <c r="AH159" i="26"/>
  <c r="AL159" i="26" s="1"/>
  <c r="AX159" i="26" s="1"/>
  <c r="AG159" i="26"/>
  <c r="AK159" i="26" s="1"/>
  <c r="AW159" i="26" s="1"/>
  <c r="AF159" i="26"/>
  <c r="AJ159" i="26" s="1"/>
  <c r="AE159" i="26"/>
  <c r="AI159" i="26" s="1"/>
  <c r="AU159" i="26" s="1"/>
  <c r="Y159" i="26"/>
  <c r="AC159" i="26" s="1"/>
  <c r="AR159" i="26" s="1"/>
  <c r="X159" i="26"/>
  <c r="AB159" i="26" s="1"/>
  <c r="AQ159" i="26" s="1"/>
  <c r="W159" i="26"/>
  <c r="AA159" i="26" s="1"/>
  <c r="AP159" i="26" s="1"/>
  <c r="V159" i="26"/>
  <c r="Z159" i="26" s="1"/>
  <c r="AH158" i="26"/>
  <c r="AL158" i="26" s="1"/>
  <c r="AX158" i="26" s="1"/>
  <c r="AG158" i="26"/>
  <c r="AK158" i="26" s="1"/>
  <c r="AW158" i="26" s="1"/>
  <c r="AF158" i="26"/>
  <c r="AJ158" i="26" s="1"/>
  <c r="AE158" i="26"/>
  <c r="AI158" i="26" s="1"/>
  <c r="AU158" i="26" s="1"/>
  <c r="Y158" i="26"/>
  <c r="AC158" i="26" s="1"/>
  <c r="AR158" i="26" s="1"/>
  <c r="X158" i="26"/>
  <c r="AB158" i="26" s="1"/>
  <c r="AQ158" i="26" s="1"/>
  <c r="W158" i="26"/>
  <c r="AA158" i="26" s="1"/>
  <c r="AP158" i="26" s="1"/>
  <c r="V158" i="26"/>
  <c r="Z158" i="26" s="1"/>
  <c r="AH157" i="26"/>
  <c r="AL157" i="26" s="1"/>
  <c r="AX157" i="26" s="1"/>
  <c r="AG157" i="26"/>
  <c r="AK157" i="26" s="1"/>
  <c r="AW157" i="26" s="1"/>
  <c r="AF157" i="26"/>
  <c r="AJ157" i="26" s="1"/>
  <c r="AE157" i="26"/>
  <c r="AI157" i="26" s="1"/>
  <c r="AU157" i="26" s="1"/>
  <c r="Y157" i="26"/>
  <c r="AC157" i="26" s="1"/>
  <c r="AR157" i="26" s="1"/>
  <c r="X157" i="26"/>
  <c r="AB157" i="26" s="1"/>
  <c r="AQ157" i="26" s="1"/>
  <c r="W157" i="26"/>
  <c r="AA157" i="26" s="1"/>
  <c r="AP157" i="26" s="1"/>
  <c r="V157" i="26"/>
  <c r="Z157" i="26" s="1"/>
  <c r="AH156" i="26"/>
  <c r="AL156" i="26" s="1"/>
  <c r="AX156" i="26" s="1"/>
  <c r="AG156" i="26"/>
  <c r="AK156" i="26" s="1"/>
  <c r="AW156" i="26" s="1"/>
  <c r="AF156" i="26"/>
  <c r="AJ156" i="26" s="1"/>
  <c r="AE156" i="26"/>
  <c r="AI156" i="26" s="1"/>
  <c r="AU156" i="26" s="1"/>
  <c r="Y156" i="26"/>
  <c r="AC156" i="26" s="1"/>
  <c r="AR156" i="26" s="1"/>
  <c r="X156" i="26"/>
  <c r="AB156" i="26" s="1"/>
  <c r="AQ156" i="26" s="1"/>
  <c r="W156" i="26"/>
  <c r="AA156" i="26" s="1"/>
  <c r="AP156" i="26" s="1"/>
  <c r="V156" i="26"/>
  <c r="Z156" i="26" s="1"/>
  <c r="H153" i="26"/>
  <c r="G153" i="26"/>
  <c r="F153" i="26"/>
  <c r="E153" i="26"/>
  <c r="D153" i="26"/>
  <c r="AH152" i="26"/>
  <c r="AL152" i="26" s="1"/>
  <c r="AX152" i="26" s="1"/>
  <c r="AG152" i="26"/>
  <c r="AK152" i="26" s="1"/>
  <c r="AW152" i="26" s="1"/>
  <c r="AF152" i="26"/>
  <c r="AJ152" i="26" s="1"/>
  <c r="AV152" i="26" s="1"/>
  <c r="AE152" i="26"/>
  <c r="AI152" i="26" s="1"/>
  <c r="AU152" i="26" s="1"/>
  <c r="Y152" i="26"/>
  <c r="AC152" i="26" s="1"/>
  <c r="AR152" i="26" s="1"/>
  <c r="X152" i="26"/>
  <c r="AB152" i="26" s="1"/>
  <c r="AQ152" i="26" s="1"/>
  <c r="W152" i="26"/>
  <c r="AA152" i="26" s="1"/>
  <c r="AP152" i="26" s="1"/>
  <c r="V152" i="26"/>
  <c r="Z152" i="26" s="1"/>
  <c r="AH151" i="26"/>
  <c r="AL151" i="26" s="1"/>
  <c r="AX151" i="26" s="1"/>
  <c r="AG151" i="26"/>
  <c r="AK151" i="26" s="1"/>
  <c r="AW151" i="26" s="1"/>
  <c r="AF151" i="26"/>
  <c r="AJ151" i="26" s="1"/>
  <c r="AV151" i="26" s="1"/>
  <c r="AE151" i="26"/>
  <c r="AI151" i="26" s="1"/>
  <c r="AU151" i="26" s="1"/>
  <c r="Y151" i="26"/>
  <c r="AC151" i="26" s="1"/>
  <c r="AR151" i="26" s="1"/>
  <c r="X151" i="26"/>
  <c r="AB151" i="26" s="1"/>
  <c r="AQ151" i="26" s="1"/>
  <c r="W151" i="26"/>
  <c r="AA151" i="26" s="1"/>
  <c r="AP151" i="26" s="1"/>
  <c r="V151" i="26"/>
  <c r="Z151" i="26" s="1"/>
  <c r="AH150" i="26"/>
  <c r="AL150" i="26" s="1"/>
  <c r="AX150" i="26" s="1"/>
  <c r="AG150" i="26"/>
  <c r="AK150" i="26" s="1"/>
  <c r="AW150" i="26" s="1"/>
  <c r="AF150" i="26"/>
  <c r="AJ150" i="26" s="1"/>
  <c r="AV150" i="26" s="1"/>
  <c r="AE150" i="26"/>
  <c r="AI150" i="26" s="1"/>
  <c r="AU150" i="26" s="1"/>
  <c r="Y150" i="26"/>
  <c r="AC150" i="26" s="1"/>
  <c r="AR150" i="26" s="1"/>
  <c r="X150" i="26"/>
  <c r="AB150" i="26" s="1"/>
  <c r="AQ150" i="26" s="1"/>
  <c r="W150" i="26"/>
  <c r="AA150" i="26" s="1"/>
  <c r="AP150" i="26" s="1"/>
  <c r="V150" i="26"/>
  <c r="Z150" i="26" s="1"/>
  <c r="AH149" i="26"/>
  <c r="AL149" i="26" s="1"/>
  <c r="AX149" i="26" s="1"/>
  <c r="AG149" i="26"/>
  <c r="AK149" i="26" s="1"/>
  <c r="AW149" i="26" s="1"/>
  <c r="AF149" i="26"/>
  <c r="AJ149" i="26" s="1"/>
  <c r="AV149" i="26" s="1"/>
  <c r="AE149" i="26"/>
  <c r="AI149" i="26" s="1"/>
  <c r="AU149" i="26" s="1"/>
  <c r="Y149" i="26"/>
  <c r="AC149" i="26" s="1"/>
  <c r="AR149" i="26" s="1"/>
  <c r="X149" i="26"/>
  <c r="AB149" i="26" s="1"/>
  <c r="AQ149" i="26" s="1"/>
  <c r="W149" i="26"/>
  <c r="AA149" i="26" s="1"/>
  <c r="AP149" i="26" s="1"/>
  <c r="V149" i="26"/>
  <c r="Z149" i="26" s="1"/>
  <c r="AH148" i="26"/>
  <c r="AL148" i="26" s="1"/>
  <c r="AX148" i="26" s="1"/>
  <c r="AG148" i="26"/>
  <c r="AK148" i="26" s="1"/>
  <c r="AW148" i="26" s="1"/>
  <c r="AF148" i="26"/>
  <c r="AJ148" i="26" s="1"/>
  <c r="AV148" i="26" s="1"/>
  <c r="AE148" i="26"/>
  <c r="AI148" i="26" s="1"/>
  <c r="AU148" i="26" s="1"/>
  <c r="Y148" i="26"/>
  <c r="AC148" i="26" s="1"/>
  <c r="AR148" i="26" s="1"/>
  <c r="X148" i="26"/>
  <c r="AB148" i="26" s="1"/>
  <c r="AQ148" i="26" s="1"/>
  <c r="W148" i="26"/>
  <c r="AA148" i="26" s="1"/>
  <c r="AP148" i="26" s="1"/>
  <c r="V148" i="26"/>
  <c r="Z148" i="26" s="1"/>
  <c r="AH147" i="26"/>
  <c r="AL147" i="26" s="1"/>
  <c r="AX147" i="26" s="1"/>
  <c r="AG147" i="26"/>
  <c r="AK147" i="26" s="1"/>
  <c r="AW147" i="26" s="1"/>
  <c r="AF147" i="26"/>
  <c r="AJ147" i="26" s="1"/>
  <c r="AV147" i="26" s="1"/>
  <c r="AE147" i="26"/>
  <c r="AI147" i="26" s="1"/>
  <c r="AU147" i="26" s="1"/>
  <c r="Y147" i="26"/>
  <c r="AC147" i="26" s="1"/>
  <c r="AR147" i="26" s="1"/>
  <c r="X147" i="26"/>
  <c r="AB147" i="26" s="1"/>
  <c r="AQ147" i="26" s="1"/>
  <c r="W147" i="26"/>
  <c r="AA147" i="26" s="1"/>
  <c r="AP147" i="26" s="1"/>
  <c r="V147" i="26"/>
  <c r="Z147" i="26" s="1"/>
  <c r="H144" i="26"/>
  <c r="G144" i="26"/>
  <c r="F144" i="26"/>
  <c r="E144" i="26"/>
  <c r="D144" i="26"/>
  <c r="AH143" i="26"/>
  <c r="AL143" i="26" s="1"/>
  <c r="AX143" i="26" s="1"/>
  <c r="AG143" i="26"/>
  <c r="AK143" i="26" s="1"/>
  <c r="AW143" i="26" s="1"/>
  <c r="AF143" i="26"/>
  <c r="AJ143" i="26" s="1"/>
  <c r="AE143" i="26"/>
  <c r="AI143" i="26" s="1"/>
  <c r="AU143" i="26" s="1"/>
  <c r="Y143" i="26"/>
  <c r="AC143" i="26" s="1"/>
  <c r="AR143" i="26" s="1"/>
  <c r="X143" i="26"/>
  <c r="AB143" i="26" s="1"/>
  <c r="AQ143" i="26" s="1"/>
  <c r="W143" i="26"/>
  <c r="AA143" i="26" s="1"/>
  <c r="AP143" i="26" s="1"/>
  <c r="V143" i="26"/>
  <c r="Z143" i="26" s="1"/>
  <c r="AH142" i="26"/>
  <c r="AL142" i="26" s="1"/>
  <c r="AX142" i="26" s="1"/>
  <c r="AG142" i="26"/>
  <c r="AK142" i="26" s="1"/>
  <c r="AW142" i="26" s="1"/>
  <c r="AF142" i="26"/>
  <c r="AJ142" i="26" s="1"/>
  <c r="AE142" i="26"/>
  <c r="AI142" i="26" s="1"/>
  <c r="AU142" i="26" s="1"/>
  <c r="Y142" i="26"/>
  <c r="AC142" i="26" s="1"/>
  <c r="AR142" i="26" s="1"/>
  <c r="X142" i="26"/>
  <c r="AB142" i="26" s="1"/>
  <c r="AQ142" i="26" s="1"/>
  <c r="W142" i="26"/>
  <c r="AA142" i="26" s="1"/>
  <c r="AP142" i="26" s="1"/>
  <c r="V142" i="26"/>
  <c r="Z142" i="26" s="1"/>
  <c r="AH141" i="26"/>
  <c r="AL141" i="26" s="1"/>
  <c r="AX141" i="26" s="1"/>
  <c r="AG141" i="26"/>
  <c r="AK141" i="26" s="1"/>
  <c r="AW141" i="26" s="1"/>
  <c r="AF141" i="26"/>
  <c r="AJ141" i="26" s="1"/>
  <c r="AE141" i="26"/>
  <c r="AI141" i="26" s="1"/>
  <c r="AU141" i="26" s="1"/>
  <c r="Y141" i="26"/>
  <c r="AC141" i="26" s="1"/>
  <c r="AR141" i="26" s="1"/>
  <c r="X141" i="26"/>
  <c r="AB141" i="26" s="1"/>
  <c r="AQ141" i="26" s="1"/>
  <c r="W141" i="26"/>
  <c r="AA141" i="26" s="1"/>
  <c r="AP141" i="26" s="1"/>
  <c r="V141" i="26"/>
  <c r="Z141" i="26" s="1"/>
  <c r="AH140" i="26"/>
  <c r="AL140" i="26" s="1"/>
  <c r="AX140" i="26" s="1"/>
  <c r="AG140" i="26"/>
  <c r="AK140" i="26" s="1"/>
  <c r="AW140" i="26" s="1"/>
  <c r="AF140" i="26"/>
  <c r="AJ140" i="26" s="1"/>
  <c r="AE140" i="26"/>
  <c r="AI140" i="26" s="1"/>
  <c r="AU140" i="26" s="1"/>
  <c r="Y140" i="26"/>
  <c r="AC140" i="26" s="1"/>
  <c r="AR140" i="26" s="1"/>
  <c r="X140" i="26"/>
  <c r="AB140" i="26" s="1"/>
  <c r="AQ140" i="26" s="1"/>
  <c r="W140" i="26"/>
  <c r="AA140" i="26" s="1"/>
  <c r="AP140" i="26" s="1"/>
  <c r="V140" i="26"/>
  <c r="Z140" i="26" s="1"/>
  <c r="AH139" i="26"/>
  <c r="AL139" i="26" s="1"/>
  <c r="AX139" i="26" s="1"/>
  <c r="AG139" i="26"/>
  <c r="AK139" i="26" s="1"/>
  <c r="AW139" i="26" s="1"/>
  <c r="AF139" i="26"/>
  <c r="AJ139" i="26" s="1"/>
  <c r="AE139" i="26"/>
  <c r="AI139" i="26" s="1"/>
  <c r="AU139" i="26" s="1"/>
  <c r="Y139" i="26"/>
  <c r="AC139" i="26" s="1"/>
  <c r="AR139" i="26" s="1"/>
  <c r="X139" i="26"/>
  <c r="AB139" i="26" s="1"/>
  <c r="AQ139" i="26" s="1"/>
  <c r="W139" i="26"/>
  <c r="AA139" i="26" s="1"/>
  <c r="AP139" i="26" s="1"/>
  <c r="V139" i="26"/>
  <c r="Z139" i="26" s="1"/>
  <c r="AH138" i="26"/>
  <c r="AL138" i="26" s="1"/>
  <c r="AX138" i="26" s="1"/>
  <c r="AG138" i="26"/>
  <c r="AK138" i="26" s="1"/>
  <c r="AW138" i="26" s="1"/>
  <c r="AF138" i="26"/>
  <c r="AJ138" i="26" s="1"/>
  <c r="AE138" i="26"/>
  <c r="AI138" i="26" s="1"/>
  <c r="AU138" i="26" s="1"/>
  <c r="Y138" i="26"/>
  <c r="AC138" i="26" s="1"/>
  <c r="AR138" i="26" s="1"/>
  <c r="X138" i="26"/>
  <c r="AB138" i="26" s="1"/>
  <c r="AQ138" i="26" s="1"/>
  <c r="W138" i="26"/>
  <c r="AA138" i="26" s="1"/>
  <c r="AP138" i="26" s="1"/>
  <c r="V138" i="26"/>
  <c r="Z138" i="26" s="1"/>
  <c r="H135" i="26"/>
  <c r="G135" i="26"/>
  <c r="F135" i="26"/>
  <c r="E135" i="26"/>
  <c r="D135" i="26"/>
  <c r="AH134" i="26"/>
  <c r="AL134" i="26" s="1"/>
  <c r="AX134" i="26" s="1"/>
  <c r="AG134" i="26"/>
  <c r="AK134" i="26" s="1"/>
  <c r="AW134" i="26" s="1"/>
  <c r="AF134" i="26"/>
  <c r="AJ134" i="26" s="1"/>
  <c r="AV134" i="26" s="1"/>
  <c r="AE134" i="26"/>
  <c r="AI134" i="26" s="1"/>
  <c r="AU134" i="26" s="1"/>
  <c r="Y134" i="26"/>
  <c r="AC134" i="26" s="1"/>
  <c r="AR134" i="26" s="1"/>
  <c r="X134" i="26"/>
  <c r="AB134" i="26" s="1"/>
  <c r="AQ134" i="26" s="1"/>
  <c r="W134" i="26"/>
  <c r="AA134" i="26" s="1"/>
  <c r="AP134" i="26" s="1"/>
  <c r="V134" i="26"/>
  <c r="Z134" i="26" s="1"/>
  <c r="AH133" i="26"/>
  <c r="AL133" i="26" s="1"/>
  <c r="AX133" i="26" s="1"/>
  <c r="AG133" i="26"/>
  <c r="AK133" i="26" s="1"/>
  <c r="AW133" i="26" s="1"/>
  <c r="AF133" i="26"/>
  <c r="AJ133" i="26" s="1"/>
  <c r="AV133" i="26" s="1"/>
  <c r="AE133" i="26"/>
  <c r="AI133" i="26" s="1"/>
  <c r="AU133" i="26" s="1"/>
  <c r="Y133" i="26"/>
  <c r="AC133" i="26" s="1"/>
  <c r="AR133" i="26" s="1"/>
  <c r="X133" i="26"/>
  <c r="AB133" i="26" s="1"/>
  <c r="AQ133" i="26" s="1"/>
  <c r="W133" i="26"/>
  <c r="AA133" i="26" s="1"/>
  <c r="AP133" i="26" s="1"/>
  <c r="V133" i="26"/>
  <c r="Z133" i="26" s="1"/>
  <c r="AH132" i="26"/>
  <c r="AL132" i="26" s="1"/>
  <c r="AX132" i="26" s="1"/>
  <c r="AG132" i="26"/>
  <c r="AK132" i="26" s="1"/>
  <c r="AW132" i="26" s="1"/>
  <c r="AF132" i="26"/>
  <c r="AJ132" i="26" s="1"/>
  <c r="AV132" i="26" s="1"/>
  <c r="AE132" i="26"/>
  <c r="AI132" i="26" s="1"/>
  <c r="AU132" i="26" s="1"/>
  <c r="Y132" i="26"/>
  <c r="AC132" i="26" s="1"/>
  <c r="AR132" i="26" s="1"/>
  <c r="X132" i="26"/>
  <c r="AB132" i="26" s="1"/>
  <c r="AQ132" i="26" s="1"/>
  <c r="W132" i="26"/>
  <c r="AA132" i="26" s="1"/>
  <c r="AP132" i="26" s="1"/>
  <c r="V132" i="26"/>
  <c r="Z132" i="26" s="1"/>
  <c r="AH131" i="26"/>
  <c r="AL131" i="26" s="1"/>
  <c r="AX131" i="26" s="1"/>
  <c r="AG131" i="26"/>
  <c r="AK131" i="26" s="1"/>
  <c r="AW131" i="26" s="1"/>
  <c r="AF131" i="26"/>
  <c r="AJ131" i="26" s="1"/>
  <c r="AV131" i="26" s="1"/>
  <c r="AE131" i="26"/>
  <c r="AI131" i="26" s="1"/>
  <c r="AU131" i="26" s="1"/>
  <c r="Y131" i="26"/>
  <c r="AC131" i="26" s="1"/>
  <c r="AR131" i="26" s="1"/>
  <c r="X131" i="26"/>
  <c r="AB131" i="26" s="1"/>
  <c r="AQ131" i="26" s="1"/>
  <c r="W131" i="26"/>
  <c r="AA131" i="26" s="1"/>
  <c r="AP131" i="26" s="1"/>
  <c r="V131" i="26"/>
  <c r="Z131" i="26" s="1"/>
  <c r="AH130" i="26"/>
  <c r="AL130" i="26" s="1"/>
  <c r="AX130" i="26" s="1"/>
  <c r="AG130" i="26"/>
  <c r="AK130" i="26" s="1"/>
  <c r="AW130" i="26" s="1"/>
  <c r="AF130" i="26"/>
  <c r="AJ130" i="26" s="1"/>
  <c r="AV130" i="26" s="1"/>
  <c r="AE130" i="26"/>
  <c r="AI130" i="26" s="1"/>
  <c r="AU130" i="26" s="1"/>
  <c r="Y130" i="26"/>
  <c r="AC130" i="26" s="1"/>
  <c r="AR130" i="26" s="1"/>
  <c r="X130" i="26"/>
  <c r="AB130" i="26" s="1"/>
  <c r="AQ130" i="26" s="1"/>
  <c r="W130" i="26"/>
  <c r="AA130" i="26" s="1"/>
  <c r="AP130" i="26" s="1"/>
  <c r="V130" i="26"/>
  <c r="Z130" i="26" s="1"/>
  <c r="AH129" i="26"/>
  <c r="AL129" i="26" s="1"/>
  <c r="AX129" i="26" s="1"/>
  <c r="AG129" i="26"/>
  <c r="AK129" i="26" s="1"/>
  <c r="AW129" i="26" s="1"/>
  <c r="AF129" i="26"/>
  <c r="AJ129" i="26" s="1"/>
  <c r="AV129" i="26" s="1"/>
  <c r="AE129" i="26"/>
  <c r="AI129" i="26" s="1"/>
  <c r="AU129" i="26" s="1"/>
  <c r="Y129" i="26"/>
  <c r="AC129" i="26" s="1"/>
  <c r="AR129" i="26" s="1"/>
  <c r="X129" i="26"/>
  <c r="AB129" i="26" s="1"/>
  <c r="AQ129" i="26" s="1"/>
  <c r="W129" i="26"/>
  <c r="AA129" i="26" s="1"/>
  <c r="AP129" i="26" s="1"/>
  <c r="V129" i="26"/>
  <c r="Z129" i="26" s="1"/>
  <c r="H126" i="26"/>
  <c r="G126" i="26"/>
  <c r="F126" i="26"/>
  <c r="E126" i="26"/>
  <c r="D126" i="26"/>
  <c r="AH125" i="26"/>
  <c r="AL125" i="26" s="1"/>
  <c r="AX125" i="26" s="1"/>
  <c r="AG125" i="26"/>
  <c r="AK125" i="26" s="1"/>
  <c r="AW125" i="26" s="1"/>
  <c r="AF125" i="26"/>
  <c r="AJ125" i="26" s="1"/>
  <c r="AV125" i="26" s="1"/>
  <c r="AE125" i="26"/>
  <c r="AI125" i="26" s="1"/>
  <c r="AU125" i="26" s="1"/>
  <c r="Y125" i="26"/>
  <c r="AC125" i="26" s="1"/>
  <c r="AR125" i="26" s="1"/>
  <c r="X125" i="26"/>
  <c r="AB125" i="26" s="1"/>
  <c r="AQ125" i="26" s="1"/>
  <c r="W125" i="26"/>
  <c r="AA125" i="26" s="1"/>
  <c r="AP125" i="26" s="1"/>
  <c r="V125" i="26"/>
  <c r="Z125" i="26" s="1"/>
  <c r="AH124" i="26"/>
  <c r="AL124" i="26" s="1"/>
  <c r="AX124" i="26" s="1"/>
  <c r="AG124" i="26"/>
  <c r="AK124" i="26" s="1"/>
  <c r="AW124" i="26" s="1"/>
  <c r="AF124" i="26"/>
  <c r="AJ124" i="26" s="1"/>
  <c r="AV124" i="26" s="1"/>
  <c r="AE124" i="26"/>
  <c r="AI124" i="26" s="1"/>
  <c r="AU124" i="26" s="1"/>
  <c r="Y124" i="26"/>
  <c r="AC124" i="26" s="1"/>
  <c r="AR124" i="26" s="1"/>
  <c r="X124" i="26"/>
  <c r="AB124" i="26" s="1"/>
  <c r="AQ124" i="26" s="1"/>
  <c r="W124" i="26"/>
  <c r="AA124" i="26" s="1"/>
  <c r="AP124" i="26" s="1"/>
  <c r="V124" i="26"/>
  <c r="Z124" i="26" s="1"/>
  <c r="AH123" i="26"/>
  <c r="AL123" i="26" s="1"/>
  <c r="AX123" i="26" s="1"/>
  <c r="AG123" i="26"/>
  <c r="AK123" i="26" s="1"/>
  <c r="AW123" i="26" s="1"/>
  <c r="AF123" i="26"/>
  <c r="AJ123" i="26" s="1"/>
  <c r="AV123" i="26" s="1"/>
  <c r="AE123" i="26"/>
  <c r="AI123" i="26" s="1"/>
  <c r="AU123" i="26" s="1"/>
  <c r="Y123" i="26"/>
  <c r="AC123" i="26" s="1"/>
  <c r="AR123" i="26" s="1"/>
  <c r="X123" i="26"/>
  <c r="AB123" i="26" s="1"/>
  <c r="AQ123" i="26" s="1"/>
  <c r="W123" i="26"/>
  <c r="AA123" i="26" s="1"/>
  <c r="AP123" i="26" s="1"/>
  <c r="V123" i="26"/>
  <c r="Z123" i="26" s="1"/>
  <c r="AH122" i="26"/>
  <c r="AL122" i="26" s="1"/>
  <c r="AX122" i="26" s="1"/>
  <c r="AG122" i="26"/>
  <c r="AK122" i="26" s="1"/>
  <c r="AW122" i="26" s="1"/>
  <c r="AF122" i="26"/>
  <c r="AJ122" i="26" s="1"/>
  <c r="AV122" i="26" s="1"/>
  <c r="AE122" i="26"/>
  <c r="AI122" i="26" s="1"/>
  <c r="AU122" i="26" s="1"/>
  <c r="Y122" i="26"/>
  <c r="AC122" i="26" s="1"/>
  <c r="AR122" i="26" s="1"/>
  <c r="X122" i="26"/>
  <c r="AB122" i="26" s="1"/>
  <c r="AQ122" i="26" s="1"/>
  <c r="W122" i="26"/>
  <c r="AA122" i="26" s="1"/>
  <c r="AP122" i="26" s="1"/>
  <c r="V122" i="26"/>
  <c r="Z122" i="26" s="1"/>
  <c r="AH121" i="26"/>
  <c r="AL121" i="26" s="1"/>
  <c r="AX121" i="26" s="1"/>
  <c r="AG121" i="26"/>
  <c r="AK121" i="26" s="1"/>
  <c r="AW121" i="26" s="1"/>
  <c r="AF121" i="26"/>
  <c r="AJ121" i="26" s="1"/>
  <c r="AV121" i="26" s="1"/>
  <c r="AE121" i="26"/>
  <c r="AI121" i="26" s="1"/>
  <c r="AU121" i="26" s="1"/>
  <c r="Y121" i="26"/>
  <c r="AC121" i="26" s="1"/>
  <c r="AR121" i="26" s="1"/>
  <c r="X121" i="26"/>
  <c r="AB121" i="26" s="1"/>
  <c r="AQ121" i="26" s="1"/>
  <c r="W121" i="26"/>
  <c r="AA121" i="26" s="1"/>
  <c r="AP121" i="26" s="1"/>
  <c r="V121" i="26"/>
  <c r="Z121" i="26" s="1"/>
  <c r="AH120" i="26"/>
  <c r="AL120" i="26" s="1"/>
  <c r="AX120" i="26" s="1"/>
  <c r="AG120" i="26"/>
  <c r="AK120" i="26" s="1"/>
  <c r="AW120" i="26" s="1"/>
  <c r="AF120" i="26"/>
  <c r="AJ120" i="26" s="1"/>
  <c r="AV120" i="26" s="1"/>
  <c r="AE120" i="26"/>
  <c r="AI120" i="26" s="1"/>
  <c r="AU120" i="26" s="1"/>
  <c r="Y120" i="26"/>
  <c r="AC120" i="26" s="1"/>
  <c r="AR120" i="26" s="1"/>
  <c r="X120" i="26"/>
  <c r="AB120" i="26" s="1"/>
  <c r="AQ120" i="26" s="1"/>
  <c r="W120" i="26"/>
  <c r="AA120" i="26" s="1"/>
  <c r="AP120" i="26" s="1"/>
  <c r="V120" i="26"/>
  <c r="Z120" i="26" s="1"/>
  <c r="H117" i="26"/>
  <c r="G117" i="26"/>
  <c r="F117" i="26"/>
  <c r="E117" i="26"/>
  <c r="D117" i="26"/>
  <c r="AH116" i="26"/>
  <c r="AL116" i="26" s="1"/>
  <c r="AX116" i="26" s="1"/>
  <c r="AG116" i="26"/>
  <c r="AK116" i="26" s="1"/>
  <c r="AW116" i="26" s="1"/>
  <c r="AF116" i="26"/>
  <c r="AJ116" i="26" s="1"/>
  <c r="AV116" i="26" s="1"/>
  <c r="AE116" i="26"/>
  <c r="AI116" i="26" s="1"/>
  <c r="AU116" i="26" s="1"/>
  <c r="Y116" i="26"/>
  <c r="AC116" i="26" s="1"/>
  <c r="AR116" i="26" s="1"/>
  <c r="X116" i="26"/>
  <c r="AB116" i="26" s="1"/>
  <c r="AQ116" i="26" s="1"/>
  <c r="W116" i="26"/>
  <c r="AA116" i="26" s="1"/>
  <c r="AP116" i="26" s="1"/>
  <c r="V116" i="26"/>
  <c r="Z116" i="26" s="1"/>
  <c r="AH115" i="26"/>
  <c r="AL115" i="26" s="1"/>
  <c r="AX115" i="26" s="1"/>
  <c r="AG115" i="26"/>
  <c r="AK115" i="26" s="1"/>
  <c r="AW115" i="26" s="1"/>
  <c r="AF115" i="26"/>
  <c r="AJ115" i="26" s="1"/>
  <c r="AV115" i="26" s="1"/>
  <c r="AE115" i="26"/>
  <c r="AI115" i="26" s="1"/>
  <c r="AU115" i="26" s="1"/>
  <c r="Y115" i="26"/>
  <c r="AC115" i="26" s="1"/>
  <c r="AR115" i="26" s="1"/>
  <c r="X115" i="26"/>
  <c r="AB115" i="26" s="1"/>
  <c r="AQ115" i="26" s="1"/>
  <c r="W115" i="26"/>
  <c r="AA115" i="26" s="1"/>
  <c r="AP115" i="26" s="1"/>
  <c r="V115" i="26"/>
  <c r="Z115" i="26" s="1"/>
  <c r="AH114" i="26"/>
  <c r="AL114" i="26" s="1"/>
  <c r="AX114" i="26" s="1"/>
  <c r="AG114" i="26"/>
  <c r="AK114" i="26" s="1"/>
  <c r="AW114" i="26" s="1"/>
  <c r="AF114" i="26"/>
  <c r="AJ114" i="26" s="1"/>
  <c r="AV114" i="26" s="1"/>
  <c r="AE114" i="26"/>
  <c r="AI114" i="26" s="1"/>
  <c r="AU114" i="26" s="1"/>
  <c r="Y114" i="26"/>
  <c r="AC114" i="26" s="1"/>
  <c r="AR114" i="26" s="1"/>
  <c r="X114" i="26"/>
  <c r="AB114" i="26" s="1"/>
  <c r="AQ114" i="26" s="1"/>
  <c r="W114" i="26"/>
  <c r="AA114" i="26" s="1"/>
  <c r="AP114" i="26" s="1"/>
  <c r="V114" i="26"/>
  <c r="Z114" i="26" s="1"/>
  <c r="AH113" i="26"/>
  <c r="AL113" i="26" s="1"/>
  <c r="AX113" i="26" s="1"/>
  <c r="AG113" i="26"/>
  <c r="AK113" i="26" s="1"/>
  <c r="AW113" i="26" s="1"/>
  <c r="AF113" i="26"/>
  <c r="AJ113" i="26" s="1"/>
  <c r="AV113" i="26" s="1"/>
  <c r="AE113" i="26"/>
  <c r="AI113" i="26" s="1"/>
  <c r="AU113" i="26" s="1"/>
  <c r="Y113" i="26"/>
  <c r="AC113" i="26" s="1"/>
  <c r="AR113" i="26" s="1"/>
  <c r="X113" i="26"/>
  <c r="AB113" i="26" s="1"/>
  <c r="AQ113" i="26" s="1"/>
  <c r="W113" i="26"/>
  <c r="AA113" i="26" s="1"/>
  <c r="AP113" i="26" s="1"/>
  <c r="V113" i="26"/>
  <c r="Z113" i="26" s="1"/>
  <c r="AH112" i="26"/>
  <c r="AL112" i="26" s="1"/>
  <c r="AX112" i="26" s="1"/>
  <c r="AG112" i="26"/>
  <c r="AK112" i="26" s="1"/>
  <c r="AW112" i="26" s="1"/>
  <c r="AF112" i="26"/>
  <c r="AJ112" i="26" s="1"/>
  <c r="AV112" i="26" s="1"/>
  <c r="AE112" i="26"/>
  <c r="AI112" i="26" s="1"/>
  <c r="AU112" i="26" s="1"/>
  <c r="Y112" i="26"/>
  <c r="AC112" i="26" s="1"/>
  <c r="AR112" i="26" s="1"/>
  <c r="X112" i="26"/>
  <c r="AB112" i="26" s="1"/>
  <c r="AQ112" i="26" s="1"/>
  <c r="W112" i="26"/>
  <c r="AA112" i="26" s="1"/>
  <c r="AP112" i="26" s="1"/>
  <c r="V112" i="26"/>
  <c r="Z112" i="26" s="1"/>
  <c r="AH111" i="26"/>
  <c r="AL111" i="26" s="1"/>
  <c r="AX111" i="26" s="1"/>
  <c r="AG111" i="26"/>
  <c r="AK111" i="26" s="1"/>
  <c r="AW111" i="26" s="1"/>
  <c r="AF111" i="26"/>
  <c r="AJ111" i="26" s="1"/>
  <c r="AV111" i="26" s="1"/>
  <c r="AE111" i="26"/>
  <c r="AI111" i="26" s="1"/>
  <c r="AU111" i="26" s="1"/>
  <c r="Y111" i="26"/>
  <c r="AC111" i="26" s="1"/>
  <c r="AR111" i="26" s="1"/>
  <c r="X111" i="26"/>
  <c r="AB111" i="26" s="1"/>
  <c r="AQ111" i="26" s="1"/>
  <c r="W111" i="26"/>
  <c r="AA111" i="26" s="1"/>
  <c r="AP111" i="26" s="1"/>
  <c r="V111" i="26"/>
  <c r="Z111" i="26" s="1"/>
  <c r="H108" i="26"/>
  <c r="G108" i="26"/>
  <c r="F108" i="26"/>
  <c r="E108" i="26"/>
  <c r="D108" i="26"/>
  <c r="AH107" i="26"/>
  <c r="AL107" i="26" s="1"/>
  <c r="AX107" i="26" s="1"/>
  <c r="AG107" i="26"/>
  <c r="AK107" i="26" s="1"/>
  <c r="AW107" i="26" s="1"/>
  <c r="AF107" i="26"/>
  <c r="AJ107" i="26" s="1"/>
  <c r="AV107" i="26" s="1"/>
  <c r="AE107" i="26"/>
  <c r="AI107" i="26" s="1"/>
  <c r="AU107" i="26" s="1"/>
  <c r="Y107" i="26"/>
  <c r="AC107" i="26" s="1"/>
  <c r="AR107" i="26" s="1"/>
  <c r="X107" i="26"/>
  <c r="AB107" i="26" s="1"/>
  <c r="AQ107" i="26" s="1"/>
  <c r="W107" i="26"/>
  <c r="AA107" i="26" s="1"/>
  <c r="AP107" i="26" s="1"/>
  <c r="V107" i="26"/>
  <c r="Z107" i="26" s="1"/>
  <c r="AH106" i="26"/>
  <c r="AL106" i="26" s="1"/>
  <c r="AX106" i="26" s="1"/>
  <c r="AG106" i="26"/>
  <c r="AK106" i="26" s="1"/>
  <c r="AW106" i="26" s="1"/>
  <c r="AF106" i="26"/>
  <c r="AJ106" i="26" s="1"/>
  <c r="AV106" i="26" s="1"/>
  <c r="AE106" i="26"/>
  <c r="AI106" i="26" s="1"/>
  <c r="AU106" i="26" s="1"/>
  <c r="Y106" i="26"/>
  <c r="AC106" i="26" s="1"/>
  <c r="AR106" i="26" s="1"/>
  <c r="X106" i="26"/>
  <c r="AB106" i="26" s="1"/>
  <c r="AQ106" i="26" s="1"/>
  <c r="W106" i="26"/>
  <c r="AA106" i="26" s="1"/>
  <c r="AP106" i="26" s="1"/>
  <c r="V106" i="26"/>
  <c r="Z106" i="26" s="1"/>
  <c r="AH105" i="26"/>
  <c r="AL105" i="26" s="1"/>
  <c r="AX105" i="26" s="1"/>
  <c r="AG105" i="26"/>
  <c r="AK105" i="26" s="1"/>
  <c r="AW105" i="26" s="1"/>
  <c r="AF105" i="26"/>
  <c r="AJ105" i="26" s="1"/>
  <c r="AV105" i="26" s="1"/>
  <c r="AE105" i="26"/>
  <c r="AI105" i="26" s="1"/>
  <c r="AU105" i="26" s="1"/>
  <c r="Y105" i="26"/>
  <c r="AC105" i="26" s="1"/>
  <c r="AR105" i="26" s="1"/>
  <c r="X105" i="26"/>
  <c r="AB105" i="26" s="1"/>
  <c r="AQ105" i="26" s="1"/>
  <c r="W105" i="26"/>
  <c r="AA105" i="26" s="1"/>
  <c r="AP105" i="26" s="1"/>
  <c r="V105" i="26"/>
  <c r="Z105" i="26" s="1"/>
  <c r="AH104" i="26"/>
  <c r="AL104" i="26" s="1"/>
  <c r="AX104" i="26" s="1"/>
  <c r="AG104" i="26"/>
  <c r="AK104" i="26" s="1"/>
  <c r="AW104" i="26" s="1"/>
  <c r="AF104" i="26"/>
  <c r="AJ104" i="26" s="1"/>
  <c r="AV104" i="26" s="1"/>
  <c r="AE104" i="26"/>
  <c r="AI104" i="26" s="1"/>
  <c r="AU104" i="26" s="1"/>
  <c r="Y104" i="26"/>
  <c r="AC104" i="26" s="1"/>
  <c r="AR104" i="26" s="1"/>
  <c r="X104" i="26"/>
  <c r="AB104" i="26" s="1"/>
  <c r="AQ104" i="26" s="1"/>
  <c r="W104" i="26"/>
  <c r="AA104" i="26" s="1"/>
  <c r="AP104" i="26" s="1"/>
  <c r="V104" i="26"/>
  <c r="Z104" i="26" s="1"/>
  <c r="AH103" i="26"/>
  <c r="AL103" i="26" s="1"/>
  <c r="AX103" i="26" s="1"/>
  <c r="AG103" i="26"/>
  <c r="AK103" i="26" s="1"/>
  <c r="AW103" i="26" s="1"/>
  <c r="AF103" i="26"/>
  <c r="AJ103" i="26" s="1"/>
  <c r="AV103" i="26" s="1"/>
  <c r="AE103" i="26"/>
  <c r="AI103" i="26" s="1"/>
  <c r="AU103" i="26" s="1"/>
  <c r="Y103" i="26"/>
  <c r="AC103" i="26" s="1"/>
  <c r="AR103" i="26" s="1"/>
  <c r="X103" i="26"/>
  <c r="AB103" i="26" s="1"/>
  <c r="AQ103" i="26" s="1"/>
  <c r="W103" i="26"/>
  <c r="AA103" i="26" s="1"/>
  <c r="AP103" i="26" s="1"/>
  <c r="V103" i="26"/>
  <c r="Z103" i="26" s="1"/>
  <c r="AH102" i="26"/>
  <c r="AL102" i="26" s="1"/>
  <c r="AX102" i="26" s="1"/>
  <c r="AG102" i="26"/>
  <c r="AK102" i="26" s="1"/>
  <c r="AW102" i="26" s="1"/>
  <c r="AF102" i="26"/>
  <c r="AJ102" i="26" s="1"/>
  <c r="AV102" i="26" s="1"/>
  <c r="AE102" i="26"/>
  <c r="AI102" i="26" s="1"/>
  <c r="AU102" i="26" s="1"/>
  <c r="Y102" i="26"/>
  <c r="AC102" i="26" s="1"/>
  <c r="AR102" i="26" s="1"/>
  <c r="X102" i="26"/>
  <c r="AB102" i="26" s="1"/>
  <c r="AQ102" i="26" s="1"/>
  <c r="W102" i="26"/>
  <c r="AA102" i="26" s="1"/>
  <c r="AP102" i="26" s="1"/>
  <c r="V102" i="26"/>
  <c r="Z102" i="26" s="1"/>
  <c r="H99" i="26"/>
  <c r="G99" i="26"/>
  <c r="F99" i="26"/>
  <c r="E99" i="26"/>
  <c r="D99" i="26"/>
  <c r="AH98" i="26"/>
  <c r="AL98" i="26" s="1"/>
  <c r="AX98" i="26" s="1"/>
  <c r="AG98" i="26"/>
  <c r="AK98" i="26" s="1"/>
  <c r="AW98" i="26" s="1"/>
  <c r="AF98" i="26"/>
  <c r="AJ98" i="26" s="1"/>
  <c r="AV98" i="26" s="1"/>
  <c r="AE98" i="26"/>
  <c r="AI98" i="26" s="1"/>
  <c r="AU98" i="26" s="1"/>
  <c r="Y98" i="26"/>
  <c r="AC98" i="26" s="1"/>
  <c r="AR98" i="26" s="1"/>
  <c r="X98" i="26"/>
  <c r="AB98" i="26" s="1"/>
  <c r="AQ98" i="26" s="1"/>
  <c r="W98" i="26"/>
  <c r="AA98" i="26" s="1"/>
  <c r="AP98" i="26" s="1"/>
  <c r="V98" i="26"/>
  <c r="Z98" i="26" s="1"/>
  <c r="AH97" i="26"/>
  <c r="AL97" i="26" s="1"/>
  <c r="AX97" i="26" s="1"/>
  <c r="AG97" i="26"/>
  <c r="AK97" i="26" s="1"/>
  <c r="AW97" i="26" s="1"/>
  <c r="AF97" i="26"/>
  <c r="AJ97" i="26" s="1"/>
  <c r="AV97" i="26" s="1"/>
  <c r="AE97" i="26"/>
  <c r="AI97" i="26" s="1"/>
  <c r="AU97" i="26" s="1"/>
  <c r="Y97" i="26"/>
  <c r="AC97" i="26" s="1"/>
  <c r="AR97" i="26" s="1"/>
  <c r="X97" i="26"/>
  <c r="AB97" i="26" s="1"/>
  <c r="AQ97" i="26" s="1"/>
  <c r="W97" i="26"/>
  <c r="AA97" i="26" s="1"/>
  <c r="AP97" i="26" s="1"/>
  <c r="V97" i="26"/>
  <c r="Z97" i="26" s="1"/>
  <c r="AH96" i="26"/>
  <c r="AL96" i="26" s="1"/>
  <c r="AX96" i="26" s="1"/>
  <c r="AG96" i="26"/>
  <c r="AK96" i="26" s="1"/>
  <c r="AW96" i="26" s="1"/>
  <c r="AF96" i="26"/>
  <c r="AJ96" i="26" s="1"/>
  <c r="AV96" i="26" s="1"/>
  <c r="AE96" i="26"/>
  <c r="AI96" i="26" s="1"/>
  <c r="AU96" i="26" s="1"/>
  <c r="Y96" i="26"/>
  <c r="AC96" i="26" s="1"/>
  <c r="AR96" i="26" s="1"/>
  <c r="X96" i="26"/>
  <c r="AB96" i="26" s="1"/>
  <c r="AQ96" i="26" s="1"/>
  <c r="W96" i="26"/>
  <c r="AA96" i="26" s="1"/>
  <c r="AP96" i="26" s="1"/>
  <c r="V96" i="26"/>
  <c r="Z96" i="26" s="1"/>
  <c r="AH95" i="26"/>
  <c r="AL95" i="26" s="1"/>
  <c r="AX95" i="26" s="1"/>
  <c r="AG95" i="26"/>
  <c r="AK95" i="26" s="1"/>
  <c r="AW95" i="26" s="1"/>
  <c r="AF95" i="26"/>
  <c r="AJ95" i="26" s="1"/>
  <c r="AV95" i="26" s="1"/>
  <c r="AE95" i="26"/>
  <c r="AI95" i="26" s="1"/>
  <c r="AU95" i="26" s="1"/>
  <c r="Y95" i="26"/>
  <c r="AC95" i="26" s="1"/>
  <c r="AR95" i="26" s="1"/>
  <c r="X95" i="26"/>
  <c r="AB95" i="26" s="1"/>
  <c r="AQ95" i="26" s="1"/>
  <c r="W95" i="26"/>
  <c r="AA95" i="26" s="1"/>
  <c r="AP95" i="26" s="1"/>
  <c r="V95" i="26"/>
  <c r="Z95" i="26" s="1"/>
  <c r="AH94" i="26"/>
  <c r="AL94" i="26" s="1"/>
  <c r="AX94" i="26" s="1"/>
  <c r="AG94" i="26"/>
  <c r="AK94" i="26" s="1"/>
  <c r="AW94" i="26" s="1"/>
  <c r="AF94" i="26"/>
  <c r="AJ94" i="26" s="1"/>
  <c r="AV94" i="26" s="1"/>
  <c r="AE94" i="26"/>
  <c r="AI94" i="26" s="1"/>
  <c r="AU94" i="26" s="1"/>
  <c r="Y94" i="26"/>
  <c r="AC94" i="26" s="1"/>
  <c r="AR94" i="26" s="1"/>
  <c r="X94" i="26"/>
  <c r="AB94" i="26" s="1"/>
  <c r="AQ94" i="26" s="1"/>
  <c r="W94" i="26"/>
  <c r="AA94" i="26" s="1"/>
  <c r="AP94" i="26" s="1"/>
  <c r="V94" i="26"/>
  <c r="Z94" i="26" s="1"/>
  <c r="AH93" i="26"/>
  <c r="AL93" i="26" s="1"/>
  <c r="AX93" i="26" s="1"/>
  <c r="AG93" i="26"/>
  <c r="AK93" i="26" s="1"/>
  <c r="AW93" i="26" s="1"/>
  <c r="AF93" i="26"/>
  <c r="AJ93" i="26" s="1"/>
  <c r="AV93" i="26" s="1"/>
  <c r="AE93" i="26"/>
  <c r="AI93" i="26" s="1"/>
  <c r="AU93" i="26" s="1"/>
  <c r="Y93" i="26"/>
  <c r="AC93" i="26" s="1"/>
  <c r="AR93" i="26" s="1"/>
  <c r="X93" i="26"/>
  <c r="AB93" i="26" s="1"/>
  <c r="AQ93" i="26" s="1"/>
  <c r="W93" i="26"/>
  <c r="AA93" i="26" s="1"/>
  <c r="AP93" i="26" s="1"/>
  <c r="V93" i="26"/>
  <c r="Z93" i="26" s="1"/>
  <c r="H90" i="26"/>
  <c r="G90" i="26"/>
  <c r="F90" i="26"/>
  <c r="E90" i="26"/>
  <c r="D90" i="26"/>
  <c r="AH89" i="26"/>
  <c r="AL89" i="26" s="1"/>
  <c r="AX89" i="26" s="1"/>
  <c r="AG89" i="26"/>
  <c r="AK89" i="26" s="1"/>
  <c r="AW89" i="26" s="1"/>
  <c r="AF89" i="26"/>
  <c r="AJ89" i="26" s="1"/>
  <c r="AV89" i="26" s="1"/>
  <c r="AE89" i="26"/>
  <c r="AI89" i="26" s="1"/>
  <c r="AU89" i="26" s="1"/>
  <c r="Y89" i="26"/>
  <c r="AC89" i="26" s="1"/>
  <c r="AR89" i="26" s="1"/>
  <c r="X89" i="26"/>
  <c r="AB89" i="26" s="1"/>
  <c r="AQ89" i="26" s="1"/>
  <c r="W89" i="26"/>
  <c r="AA89" i="26" s="1"/>
  <c r="AP89" i="26" s="1"/>
  <c r="V89" i="26"/>
  <c r="Z89" i="26" s="1"/>
  <c r="AH88" i="26"/>
  <c r="AL88" i="26" s="1"/>
  <c r="AX88" i="26" s="1"/>
  <c r="AG88" i="26"/>
  <c r="AK88" i="26" s="1"/>
  <c r="AW88" i="26" s="1"/>
  <c r="AF88" i="26"/>
  <c r="AJ88" i="26" s="1"/>
  <c r="AV88" i="26" s="1"/>
  <c r="AE88" i="26"/>
  <c r="AI88" i="26" s="1"/>
  <c r="AU88" i="26" s="1"/>
  <c r="Y88" i="26"/>
  <c r="AC88" i="26" s="1"/>
  <c r="AR88" i="26" s="1"/>
  <c r="X88" i="26"/>
  <c r="AB88" i="26" s="1"/>
  <c r="AQ88" i="26" s="1"/>
  <c r="W88" i="26"/>
  <c r="AA88" i="26" s="1"/>
  <c r="AP88" i="26" s="1"/>
  <c r="V88" i="26"/>
  <c r="Z88" i="26" s="1"/>
  <c r="AH87" i="26"/>
  <c r="AL87" i="26" s="1"/>
  <c r="AX87" i="26" s="1"/>
  <c r="AG87" i="26"/>
  <c r="AK87" i="26" s="1"/>
  <c r="AW87" i="26" s="1"/>
  <c r="AF87" i="26"/>
  <c r="AJ87" i="26" s="1"/>
  <c r="AV87" i="26" s="1"/>
  <c r="AE87" i="26"/>
  <c r="AI87" i="26" s="1"/>
  <c r="AU87" i="26" s="1"/>
  <c r="Y87" i="26"/>
  <c r="AC87" i="26" s="1"/>
  <c r="AR87" i="26" s="1"/>
  <c r="X87" i="26"/>
  <c r="AB87" i="26" s="1"/>
  <c r="AQ87" i="26" s="1"/>
  <c r="W87" i="26"/>
  <c r="AA87" i="26" s="1"/>
  <c r="AP87" i="26" s="1"/>
  <c r="V87" i="26"/>
  <c r="Z87" i="26" s="1"/>
  <c r="AH86" i="26"/>
  <c r="AL86" i="26" s="1"/>
  <c r="AX86" i="26" s="1"/>
  <c r="AG86" i="26"/>
  <c r="AK86" i="26" s="1"/>
  <c r="AW86" i="26" s="1"/>
  <c r="AF86" i="26"/>
  <c r="AJ86" i="26" s="1"/>
  <c r="AV86" i="26" s="1"/>
  <c r="AE86" i="26"/>
  <c r="AI86" i="26" s="1"/>
  <c r="AU86" i="26" s="1"/>
  <c r="Y86" i="26"/>
  <c r="AC86" i="26" s="1"/>
  <c r="AR86" i="26" s="1"/>
  <c r="X86" i="26"/>
  <c r="AB86" i="26" s="1"/>
  <c r="AQ86" i="26" s="1"/>
  <c r="W86" i="26"/>
  <c r="AA86" i="26" s="1"/>
  <c r="AP86" i="26" s="1"/>
  <c r="V86" i="26"/>
  <c r="Z86" i="26" s="1"/>
  <c r="AH85" i="26"/>
  <c r="AL85" i="26" s="1"/>
  <c r="AX85" i="26" s="1"/>
  <c r="AG85" i="26"/>
  <c r="AK85" i="26" s="1"/>
  <c r="AW85" i="26" s="1"/>
  <c r="AF85" i="26"/>
  <c r="AJ85" i="26" s="1"/>
  <c r="AV85" i="26" s="1"/>
  <c r="AE85" i="26"/>
  <c r="AI85" i="26" s="1"/>
  <c r="AU85" i="26" s="1"/>
  <c r="Y85" i="26"/>
  <c r="AC85" i="26" s="1"/>
  <c r="AR85" i="26" s="1"/>
  <c r="X85" i="26"/>
  <c r="AB85" i="26" s="1"/>
  <c r="AQ85" i="26" s="1"/>
  <c r="W85" i="26"/>
  <c r="AA85" i="26" s="1"/>
  <c r="AP85" i="26" s="1"/>
  <c r="V85" i="26"/>
  <c r="Z85" i="26" s="1"/>
  <c r="AH84" i="26"/>
  <c r="AL84" i="26" s="1"/>
  <c r="AX84" i="26" s="1"/>
  <c r="AG84" i="26"/>
  <c r="AK84" i="26" s="1"/>
  <c r="AW84" i="26" s="1"/>
  <c r="AF84" i="26"/>
  <c r="AJ84" i="26" s="1"/>
  <c r="AV84" i="26" s="1"/>
  <c r="AE84" i="26"/>
  <c r="AI84" i="26" s="1"/>
  <c r="AU84" i="26" s="1"/>
  <c r="Y84" i="26"/>
  <c r="AC84" i="26" s="1"/>
  <c r="AR84" i="26" s="1"/>
  <c r="X84" i="26"/>
  <c r="AB84" i="26" s="1"/>
  <c r="AQ84" i="26" s="1"/>
  <c r="W84" i="26"/>
  <c r="AA84" i="26" s="1"/>
  <c r="AP84" i="26" s="1"/>
  <c r="V84" i="26"/>
  <c r="Z84" i="26" s="1"/>
  <c r="H81" i="26"/>
  <c r="G81" i="26"/>
  <c r="F81" i="26"/>
  <c r="E81" i="26"/>
  <c r="D81" i="26"/>
  <c r="AH80" i="26"/>
  <c r="AL80" i="26" s="1"/>
  <c r="AX80" i="26" s="1"/>
  <c r="AG80" i="26"/>
  <c r="AK80" i="26" s="1"/>
  <c r="AW80" i="26" s="1"/>
  <c r="AF80" i="26"/>
  <c r="AJ80" i="26" s="1"/>
  <c r="AV80" i="26" s="1"/>
  <c r="AE80" i="26"/>
  <c r="AI80" i="26" s="1"/>
  <c r="AU80" i="26" s="1"/>
  <c r="Y80" i="26"/>
  <c r="AC80" i="26" s="1"/>
  <c r="AR80" i="26" s="1"/>
  <c r="X80" i="26"/>
  <c r="AB80" i="26" s="1"/>
  <c r="AQ80" i="26" s="1"/>
  <c r="W80" i="26"/>
  <c r="AA80" i="26" s="1"/>
  <c r="AP80" i="26" s="1"/>
  <c r="V80" i="26"/>
  <c r="Z80" i="26" s="1"/>
  <c r="AH79" i="26"/>
  <c r="AL79" i="26" s="1"/>
  <c r="AX79" i="26" s="1"/>
  <c r="AG79" i="26"/>
  <c r="AK79" i="26" s="1"/>
  <c r="AW79" i="26" s="1"/>
  <c r="AF79" i="26"/>
  <c r="AJ79" i="26" s="1"/>
  <c r="AV79" i="26" s="1"/>
  <c r="AE79" i="26"/>
  <c r="AI79" i="26" s="1"/>
  <c r="AU79" i="26" s="1"/>
  <c r="Y79" i="26"/>
  <c r="AC79" i="26" s="1"/>
  <c r="AR79" i="26" s="1"/>
  <c r="X79" i="26"/>
  <c r="AB79" i="26" s="1"/>
  <c r="AQ79" i="26" s="1"/>
  <c r="W79" i="26"/>
  <c r="AA79" i="26" s="1"/>
  <c r="AP79" i="26" s="1"/>
  <c r="V79" i="26"/>
  <c r="Z79" i="26" s="1"/>
  <c r="AH78" i="26"/>
  <c r="AL78" i="26" s="1"/>
  <c r="AX78" i="26" s="1"/>
  <c r="AG78" i="26"/>
  <c r="AK78" i="26" s="1"/>
  <c r="AW78" i="26" s="1"/>
  <c r="AF78" i="26"/>
  <c r="AJ78" i="26" s="1"/>
  <c r="AV78" i="26" s="1"/>
  <c r="AE78" i="26"/>
  <c r="AI78" i="26" s="1"/>
  <c r="AU78" i="26" s="1"/>
  <c r="Y78" i="26"/>
  <c r="AC78" i="26" s="1"/>
  <c r="AR78" i="26" s="1"/>
  <c r="X78" i="26"/>
  <c r="AB78" i="26" s="1"/>
  <c r="AQ78" i="26" s="1"/>
  <c r="W78" i="26"/>
  <c r="AA78" i="26" s="1"/>
  <c r="AP78" i="26" s="1"/>
  <c r="V78" i="26"/>
  <c r="Z78" i="26" s="1"/>
  <c r="AH77" i="26"/>
  <c r="AL77" i="26" s="1"/>
  <c r="AX77" i="26" s="1"/>
  <c r="AG77" i="26"/>
  <c r="AK77" i="26" s="1"/>
  <c r="AW77" i="26" s="1"/>
  <c r="AF77" i="26"/>
  <c r="AJ77" i="26" s="1"/>
  <c r="AV77" i="26" s="1"/>
  <c r="AE77" i="26"/>
  <c r="AI77" i="26" s="1"/>
  <c r="AU77" i="26" s="1"/>
  <c r="Y77" i="26"/>
  <c r="AC77" i="26" s="1"/>
  <c r="AR77" i="26" s="1"/>
  <c r="X77" i="26"/>
  <c r="AB77" i="26" s="1"/>
  <c r="AQ77" i="26" s="1"/>
  <c r="W77" i="26"/>
  <c r="AA77" i="26" s="1"/>
  <c r="AP77" i="26" s="1"/>
  <c r="V77" i="26"/>
  <c r="Z77" i="26" s="1"/>
  <c r="AH76" i="26"/>
  <c r="AL76" i="26" s="1"/>
  <c r="AX76" i="26" s="1"/>
  <c r="AG76" i="26"/>
  <c r="AK76" i="26" s="1"/>
  <c r="AW76" i="26" s="1"/>
  <c r="AF76" i="26"/>
  <c r="AJ76" i="26" s="1"/>
  <c r="AV76" i="26" s="1"/>
  <c r="AE76" i="26"/>
  <c r="AI76" i="26" s="1"/>
  <c r="AU76" i="26" s="1"/>
  <c r="Y76" i="26"/>
  <c r="AC76" i="26" s="1"/>
  <c r="AR76" i="26" s="1"/>
  <c r="X76" i="26"/>
  <c r="AB76" i="26" s="1"/>
  <c r="AQ76" i="26" s="1"/>
  <c r="W76" i="26"/>
  <c r="AA76" i="26" s="1"/>
  <c r="AP76" i="26" s="1"/>
  <c r="V76" i="26"/>
  <c r="Z76" i="26" s="1"/>
  <c r="AH75" i="26"/>
  <c r="AL75" i="26" s="1"/>
  <c r="AX75" i="26" s="1"/>
  <c r="AG75" i="26"/>
  <c r="AK75" i="26" s="1"/>
  <c r="AW75" i="26" s="1"/>
  <c r="AF75" i="26"/>
  <c r="AJ75" i="26" s="1"/>
  <c r="AV75" i="26" s="1"/>
  <c r="AE75" i="26"/>
  <c r="AI75" i="26" s="1"/>
  <c r="AU75" i="26" s="1"/>
  <c r="Y75" i="26"/>
  <c r="AC75" i="26" s="1"/>
  <c r="AR75" i="26" s="1"/>
  <c r="X75" i="26"/>
  <c r="AB75" i="26" s="1"/>
  <c r="AQ75" i="26" s="1"/>
  <c r="W75" i="26"/>
  <c r="AA75" i="26" s="1"/>
  <c r="AP75" i="26" s="1"/>
  <c r="V75" i="26"/>
  <c r="Z75" i="26" s="1"/>
  <c r="H72" i="26"/>
  <c r="G72" i="26"/>
  <c r="F72" i="26"/>
  <c r="E72" i="26"/>
  <c r="D72" i="26"/>
  <c r="AH71" i="26"/>
  <c r="AL71" i="26" s="1"/>
  <c r="AX71" i="26" s="1"/>
  <c r="AG71" i="26"/>
  <c r="AK71" i="26" s="1"/>
  <c r="AW71" i="26" s="1"/>
  <c r="AF71" i="26"/>
  <c r="AJ71" i="26" s="1"/>
  <c r="AV71" i="26" s="1"/>
  <c r="AE71" i="26"/>
  <c r="AI71" i="26" s="1"/>
  <c r="AU71" i="26" s="1"/>
  <c r="Y71" i="26"/>
  <c r="AC71" i="26" s="1"/>
  <c r="AR71" i="26" s="1"/>
  <c r="X71" i="26"/>
  <c r="AB71" i="26" s="1"/>
  <c r="AQ71" i="26" s="1"/>
  <c r="W71" i="26"/>
  <c r="AA71" i="26" s="1"/>
  <c r="AP71" i="26" s="1"/>
  <c r="V71" i="26"/>
  <c r="Z71" i="26" s="1"/>
  <c r="AH70" i="26"/>
  <c r="AL70" i="26" s="1"/>
  <c r="AX70" i="26" s="1"/>
  <c r="AG70" i="26"/>
  <c r="AK70" i="26" s="1"/>
  <c r="AW70" i="26" s="1"/>
  <c r="AF70" i="26"/>
  <c r="AJ70" i="26" s="1"/>
  <c r="AV70" i="26" s="1"/>
  <c r="AE70" i="26"/>
  <c r="AI70" i="26" s="1"/>
  <c r="AU70" i="26" s="1"/>
  <c r="Y70" i="26"/>
  <c r="AC70" i="26" s="1"/>
  <c r="AR70" i="26" s="1"/>
  <c r="X70" i="26"/>
  <c r="AB70" i="26" s="1"/>
  <c r="AQ70" i="26" s="1"/>
  <c r="W70" i="26"/>
  <c r="AA70" i="26" s="1"/>
  <c r="AP70" i="26" s="1"/>
  <c r="V70" i="26"/>
  <c r="Z70" i="26" s="1"/>
  <c r="AH69" i="26"/>
  <c r="AL69" i="26" s="1"/>
  <c r="AX69" i="26" s="1"/>
  <c r="AG69" i="26"/>
  <c r="AK69" i="26" s="1"/>
  <c r="AW69" i="26" s="1"/>
  <c r="AF69" i="26"/>
  <c r="AJ69" i="26" s="1"/>
  <c r="AV69" i="26" s="1"/>
  <c r="AE69" i="26"/>
  <c r="AI69" i="26" s="1"/>
  <c r="AU69" i="26" s="1"/>
  <c r="Y69" i="26"/>
  <c r="AC69" i="26" s="1"/>
  <c r="AR69" i="26" s="1"/>
  <c r="X69" i="26"/>
  <c r="AB69" i="26" s="1"/>
  <c r="AQ69" i="26" s="1"/>
  <c r="W69" i="26"/>
  <c r="AA69" i="26" s="1"/>
  <c r="AP69" i="26" s="1"/>
  <c r="V69" i="26"/>
  <c r="Z69" i="26" s="1"/>
  <c r="AH68" i="26"/>
  <c r="AL68" i="26" s="1"/>
  <c r="AX68" i="26" s="1"/>
  <c r="AG68" i="26"/>
  <c r="AK68" i="26" s="1"/>
  <c r="AW68" i="26" s="1"/>
  <c r="AF68" i="26"/>
  <c r="AJ68" i="26" s="1"/>
  <c r="AV68" i="26" s="1"/>
  <c r="AE68" i="26"/>
  <c r="AI68" i="26" s="1"/>
  <c r="AU68" i="26" s="1"/>
  <c r="Y68" i="26"/>
  <c r="AC68" i="26" s="1"/>
  <c r="AR68" i="26" s="1"/>
  <c r="X68" i="26"/>
  <c r="AB68" i="26" s="1"/>
  <c r="AQ68" i="26" s="1"/>
  <c r="W68" i="26"/>
  <c r="AA68" i="26" s="1"/>
  <c r="AP68" i="26" s="1"/>
  <c r="V68" i="26"/>
  <c r="Z68" i="26" s="1"/>
  <c r="AH67" i="26"/>
  <c r="AL67" i="26" s="1"/>
  <c r="AX67" i="26" s="1"/>
  <c r="AG67" i="26"/>
  <c r="AK67" i="26" s="1"/>
  <c r="AW67" i="26" s="1"/>
  <c r="AF67" i="26"/>
  <c r="AJ67" i="26" s="1"/>
  <c r="AV67" i="26" s="1"/>
  <c r="AE67" i="26"/>
  <c r="AI67" i="26" s="1"/>
  <c r="AU67" i="26" s="1"/>
  <c r="Y67" i="26"/>
  <c r="AC67" i="26" s="1"/>
  <c r="AR67" i="26" s="1"/>
  <c r="X67" i="26"/>
  <c r="AB67" i="26" s="1"/>
  <c r="AQ67" i="26" s="1"/>
  <c r="W67" i="26"/>
  <c r="AA67" i="26" s="1"/>
  <c r="AP67" i="26" s="1"/>
  <c r="V67" i="26"/>
  <c r="Z67" i="26" s="1"/>
  <c r="AH66" i="26"/>
  <c r="AL66" i="26" s="1"/>
  <c r="AX66" i="26" s="1"/>
  <c r="AG66" i="26"/>
  <c r="AK66" i="26" s="1"/>
  <c r="AW66" i="26" s="1"/>
  <c r="AF66" i="26"/>
  <c r="AJ66" i="26" s="1"/>
  <c r="AV66" i="26" s="1"/>
  <c r="AE66" i="26"/>
  <c r="AI66" i="26" s="1"/>
  <c r="AU66" i="26" s="1"/>
  <c r="Y66" i="26"/>
  <c r="AC66" i="26" s="1"/>
  <c r="AR66" i="26" s="1"/>
  <c r="X66" i="26"/>
  <c r="AB66" i="26" s="1"/>
  <c r="AQ66" i="26" s="1"/>
  <c r="W66" i="26"/>
  <c r="AA66" i="26" s="1"/>
  <c r="AP66" i="26" s="1"/>
  <c r="V66" i="26"/>
  <c r="Z66" i="26" s="1"/>
  <c r="H63" i="26"/>
  <c r="G63" i="26"/>
  <c r="F63" i="26"/>
  <c r="E63" i="26"/>
  <c r="D63" i="26"/>
  <c r="AH62" i="26"/>
  <c r="AL62" i="26" s="1"/>
  <c r="AX62" i="26" s="1"/>
  <c r="AG62" i="26"/>
  <c r="AK62" i="26" s="1"/>
  <c r="AW62" i="26" s="1"/>
  <c r="AF62" i="26"/>
  <c r="AJ62" i="26" s="1"/>
  <c r="AV62" i="26" s="1"/>
  <c r="AE62" i="26"/>
  <c r="AI62" i="26" s="1"/>
  <c r="AU62" i="26" s="1"/>
  <c r="Y62" i="26"/>
  <c r="AC62" i="26" s="1"/>
  <c r="AR62" i="26" s="1"/>
  <c r="X62" i="26"/>
  <c r="AB62" i="26" s="1"/>
  <c r="AQ62" i="26" s="1"/>
  <c r="W62" i="26"/>
  <c r="AA62" i="26" s="1"/>
  <c r="AP62" i="26" s="1"/>
  <c r="V62" i="26"/>
  <c r="Z62" i="26" s="1"/>
  <c r="AH61" i="26"/>
  <c r="AL61" i="26" s="1"/>
  <c r="AX61" i="26" s="1"/>
  <c r="AG61" i="26"/>
  <c r="AK61" i="26" s="1"/>
  <c r="AW61" i="26" s="1"/>
  <c r="AF61" i="26"/>
  <c r="AJ61" i="26" s="1"/>
  <c r="AV61" i="26" s="1"/>
  <c r="AE61" i="26"/>
  <c r="AI61" i="26" s="1"/>
  <c r="AU61" i="26" s="1"/>
  <c r="Y61" i="26"/>
  <c r="AC61" i="26" s="1"/>
  <c r="AR61" i="26" s="1"/>
  <c r="X61" i="26"/>
  <c r="AB61" i="26" s="1"/>
  <c r="AQ61" i="26" s="1"/>
  <c r="W61" i="26"/>
  <c r="AA61" i="26" s="1"/>
  <c r="AP61" i="26" s="1"/>
  <c r="V61" i="26"/>
  <c r="Z61" i="26" s="1"/>
  <c r="AH60" i="26"/>
  <c r="AL60" i="26" s="1"/>
  <c r="AX60" i="26" s="1"/>
  <c r="AG60" i="26"/>
  <c r="AK60" i="26" s="1"/>
  <c r="AW60" i="26" s="1"/>
  <c r="AF60" i="26"/>
  <c r="AJ60" i="26" s="1"/>
  <c r="AV60" i="26" s="1"/>
  <c r="AE60" i="26"/>
  <c r="AI60" i="26" s="1"/>
  <c r="AU60" i="26" s="1"/>
  <c r="Y60" i="26"/>
  <c r="AC60" i="26" s="1"/>
  <c r="AR60" i="26" s="1"/>
  <c r="X60" i="26"/>
  <c r="AB60" i="26" s="1"/>
  <c r="AQ60" i="26" s="1"/>
  <c r="W60" i="26"/>
  <c r="AA60" i="26" s="1"/>
  <c r="AP60" i="26" s="1"/>
  <c r="V60" i="26"/>
  <c r="Z60" i="26" s="1"/>
  <c r="AH59" i="26"/>
  <c r="AL59" i="26" s="1"/>
  <c r="AX59" i="26" s="1"/>
  <c r="AG59" i="26"/>
  <c r="AK59" i="26" s="1"/>
  <c r="AW59" i="26" s="1"/>
  <c r="AF59" i="26"/>
  <c r="AJ59" i="26" s="1"/>
  <c r="AV59" i="26" s="1"/>
  <c r="AE59" i="26"/>
  <c r="AI59" i="26" s="1"/>
  <c r="AU59" i="26" s="1"/>
  <c r="Y59" i="26"/>
  <c r="AC59" i="26" s="1"/>
  <c r="AR59" i="26" s="1"/>
  <c r="X59" i="26"/>
  <c r="AB59" i="26" s="1"/>
  <c r="AQ59" i="26" s="1"/>
  <c r="W59" i="26"/>
  <c r="AA59" i="26" s="1"/>
  <c r="AP59" i="26" s="1"/>
  <c r="V59" i="26"/>
  <c r="Z59" i="26" s="1"/>
  <c r="AH58" i="26"/>
  <c r="AL58" i="26" s="1"/>
  <c r="AX58" i="26" s="1"/>
  <c r="AG58" i="26"/>
  <c r="AK58" i="26" s="1"/>
  <c r="AW58" i="26" s="1"/>
  <c r="AF58" i="26"/>
  <c r="AJ58" i="26" s="1"/>
  <c r="AV58" i="26" s="1"/>
  <c r="AE58" i="26"/>
  <c r="AI58" i="26" s="1"/>
  <c r="AU58" i="26" s="1"/>
  <c r="Y58" i="26"/>
  <c r="AC58" i="26" s="1"/>
  <c r="AR58" i="26" s="1"/>
  <c r="X58" i="26"/>
  <c r="AB58" i="26" s="1"/>
  <c r="AQ58" i="26" s="1"/>
  <c r="W58" i="26"/>
  <c r="AA58" i="26" s="1"/>
  <c r="AP58" i="26" s="1"/>
  <c r="V58" i="26"/>
  <c r="Z58" i="26" s="1"/>
  <c r="AH57" i="26"/>
  <c r="AL57" i="26" s="1"/>
  <c r="AX57" i="26" s="1"/>
  <c r="AG57" i="26"/>
  <c r="AK57" i="26" s="1"/>
  <c r="AW57" i="26" s="1"/>
  <c r="AF57" i="26"/>
  <c r="AJ57" i="26" s="1"/>
  <c r="AV57" i="26" s="1"/>
  <c r="AE57" i="26"/>
  <c r="AI57" i="26" s="1"/>
  <c r="AU57" i="26" s="1"/>
  <c r="Y57" i="26"/>
  <c r="AC57" i="26" s="1"/>
  <c r="AR57" i="26" s="1"/>
  <c r="X57" i="26"/>
  <c r="AB57" i="26" s="1"/>
  <c r="AQ57" i="26" s="1"/>
  <c r="W57" i="26"/>
  <c r="AA57" i="26" s="1"/>
  <c r="AP57" i="26" s="1"/>
  <c r="V57" i="26"/>
  <c r="Z57" i="26" s="1"/>
  <c r="H54" i="26"/>
  <c r="G54" i="26"/>
  <c r="F54" i="26"/>
  <c r="E54" i="26"/>
  <c r="D54" i="26"/>
  <c r="AH53" i="26"/>
  <c r="AL53" i="26" s="1"/>
  <c r="AX53" i="26" s="1"/>
  <c r="AG53" i="26"/>
  <c r="AK53" i="26" s="1"/>
  <c r="AW53" i="26" s="1"/>
  <c r="AF53" i="26"/>
  <c r="AJ53" i="26" s="1"/>
  <c r="AV53" i="26" s="1"/>
  <c r="AE53" i="26"/>
  <c r="AI53" i="26" s="1"/>
  <c r="AU53" i="26" s="1"/>
  <c r="Y53" i="26"/>
  <c r="AC53" i="26" s="1"/>
  <c r="AR53" i="26" s="1"/>
  <c r="X53" i="26"/>
  <c r="AB53" i="26" s="1"/>
  <c r="AQ53" i="26" s="1"/>
  <c r="W53" i="26"/>
  <c r="AA53" i="26" s="1"/>
  <c r="AP53" i="26" s="1"/>
  <c r="V53" i="26"/>
  <c r="Z53" i="26" s="1"/>
  <c r="AH52" i="26"/>
  <c r="AL52" i="26" s="1"/>
  <c r="AX52" i="26" s="1"/>
  <c r="AG52" i="26"/>
  <c r="AK52" i="26" s="1"/>
  <c r="AW52" i="26" s="1"/>
  <c r="AF52" i="26"/>
  <c r="AJ52" i="26" s="1"/>
  <c r="AV52" i="26" s="1"/>
  <c r="AE52" i="26"/>
  <c r="AI52" i="26" s="1"/>
  <c r="AU52" i="26" s="1"/>
  <c r="Y52" i="26"/>
  <c r="AC52" i="26" s="1"/>
  <c r="AR52" i="26" s="1"/>
  <c r="X52" i="26"/>
  <c r="AB52" i="26" s="1"/>
  <c r="AQ52" i="26" s="1"/>
  <c r="W52" i="26"/>
  <c r="AA52" i="26" s="1"/>
  <c r="AP52" i="26" s="1"/>
  <c r="V52" i="26"/>
  <c r="Z52" i="26" s="1"/>
  <c r="AH51" i="26"/>
  <c r="AL51" i="26" s="1"/>
  <c r="AX51" i="26" s="1"/>
  <c r="AG51" i="26"/>
  <c r="AK51" i="26" s="1"/>
  <c r="AW51" i="26" s="1"/>
  <c r="AF51" i="26"/>
  <c r="AJ51" i="26" s="1"/>
  <c r="AV51" i="26" s="1"/>
  <c r="AE51" i="26"/>
  <c r="AI51" i="26" s="1"/>
  <c r="AU51" i="26" s="1"/>
  <c r="Y51" i="26"/>
  <c r="AC51" i="26" s="1"/>
  <c r="AR51" i="26" s="1"/>
  <c r="X51" i="26"/>
  <c r="AB51" i="26" s="1"/>
  <c r="AQ51" i="26" s="1"/>
  <c r="W51" i="26"/>
  <c r="AA51" i="26" s="1"/>
  <c r="AP51" i="26" s="1"/>
  <c r="V51" i="26"/>
  <c r="Z51" i="26" s="1"/>
  <c r="AH50" i="26"/>
  <c r="AL50" i="26" s="1"/>
  <c r="AX50" i="26" s="1"/>
  <c r="AG50" i="26"/>
  <c r="AK50" i="26" s="1"/>
  <c r="AW50" i="26" s="1"/>
  <c r="AF50" i="26"/>
  <c r="AJ50" i="26" s="1"/>
  <c r="AV50" i="26" s="1"/>
  <c r="AE50" i="26"/>
  <c r="AI50" i="26" s="1"/>
  <c r="AU50" i="26" s="1"/>
  <c r="Y50" i="26"/>
  <c r="AC50" i="26" s="1"/>
  <c r="AR50" i="26" s="1"/>
  <c r="X50" i="26"/>
  <c r="AB50" i="26" s="1"/>
  <c r="AQ50" i="26" s="1"/>
  <c r="W50" i="26"/>
  <c r="AA50" i="26" s="1"/>
  <c r="AP50" i="26" s="1"/>
  <c r="V50" i="26"/>
  <c r="Z50" i="26" s="1"/>
  <c r="AH49" i="26"/>
  <c r="AL49" i="26" s="1"/>
  <c r="AX49" i="26" s="1"/>
  <c r="AG49" i="26"/>
  <c r="AK49" i="26" s="1"/>
  <c r="AW49" i="26" s="1"/>
  <c r="AF49" i="26"/>
  <c r="AJ49" i="26" s="1"/>
  <c r="AV49" i="26" s="1"/>
  <c r="AE49" i="26"/>
  <c r="AI49" i="26" s="1"/>
  <c r="AU49" i="26" s="1"/>
  <c r="Y49" i="26"/>
  <c r="AC49" i="26" s="1"/>
  <c r="AR49" i="26" s="1"/>
  <c r="X49" i="26"/>
  <c r="AB49" i="26" s="1"/>
  <c r="AQ49" i="26" s="1"/>
  <c r="W49" i="26"/>
  <c r="AA49" i="26" s="1"/>
  <c r="AP49" i="26" s="1"/>
  <c r="V49" i="26"/>
  <c r="Z49" i="26" s="1"/>
  <c r="AH48" i="26"/>
  <c r="AL48" i="26" s="1"/>
  <c r="AX48" i="26" s="1"/>
  <c r="AG48" i="26"/>
  <c r="AK48" i="26" s="1"/>
  <c r="AW48" i="26" s="1"/>
  <c r="AF48" i="26"/>
  <c r="AJ48" i="26" s="1"/>
  <c r="AV48" i="26" s="1"/>
  <c r="AE48" i="26"/>
  <c r="AI48" i="26" s="1"/>
  <c r="AU48" i="26" s="1"/>
  <c r="Y48" i="26"/>
  <c r="AC48" i="26" s="1"/>
  <c r="AR48" i="26" s="1"/>
  <c r="X48" i="26"/>
  <c r="AB48" i="26" s="1"/>
  <c r="AQ48" i="26" s="1"/>
  <c r="W48" i="26"/>
  <c r="AA48" i="26" s="1"/>
  <c r="AP48" i="26" s="1"/>
  <c r="V48" i="26"/>
  <c r="Z48" i="26" s="1"/>
  <c r="H45" i="26"/>
  <c r="G45" i="26"/>
  <c r="F45" i="26"/>
  <c r="E45" i="26"/>
  <c r="D45" i="26"/>
  <c r="AH44" i="26"/>
  <c r="AL44" i="26" s="1"/>
  <c r="AX44" i="26" s="1"/>
  <c r="AG44" i="26"/>
  <c r="AK44" i="26" s="1"/>
  <c r="AW44" i="26" s="1"/>
  <c r="AF44" i="26"/>
  <c r="AJ44" i="26" s="1"/>
  <c r="AV44" i="26" s="1"/>
  <c r="AE44" i="26"/>
  <c r="AI44" i="26" s="1"/>
  <c r="AU44" i="26" s="1"/>
  <c r="Y44" i="26"/>
  <c r="AC44" i="26" s="1"/>
  <c r="AR44" i="26" s="1"/>
  <c r="X44" i="26"/>
  <c r="AB44" i="26" s="1"/>
  <c r="AQ44" i="26" s="1"/>
  <c r="W44" i="26"/>
  <c r="AA44" i="26" s="1"/>
  <c r="AP44" i="26" s="1"/>
  <c r="V44" i="26"/>
  <c r="Z44" i="26" s="1"/>
  <c r="AH43" i="26"/>
  <c r="AL43" i="26" s="1"/>
  <c r="AX43" i="26" s="1"/>
  <c r="AG43" i="26"/>
  <c r="AK43" i="26" s="1"/>
  <c r="AW43" i="26" s="1"/>
  <c r="AF43" i="26"/>
  <c r="AJ43" i="26" s="1"/>
  <c r="AV43" i="26" s="1"/>
  <c r="AE43" i="26"/>
  <c r="AI43" i="26" s="1"/>
  <c r="AU43" i="26" s="1"/>
  <c r="Y43" i="26"/>
  <c r="AC43" i="26" s="1"/>
  <c r="AR43" i="26" s="1"/>
  <c r="X43" i="26"/>
  <c r="AB43" i="26" s="1"/>
  <c r="AQ43" i="26" s="1"/>
  <c r="W43" i="26"/>
  <c r="AA43" i="26" s="1"/>
  <c r="AP43" i="26" s="1"/>
  <c r="V43" i="26"/>
  <c r="Z43" i="26" s="1"/>
  <c r="AH42" i="26"/>
  <c r="AL42" i="26" s="1"/>
  <c r="AX42" i="26" s="1"/>
  <c r="AG42" i="26"/>
  <c r="AK42" i="26" s="1"/>
  <c r="AW42" i="26" s="1"/>
  <c r="AF42" i="26"/>
  <c r="AJ42" i="26" s="1"/>
  <c r="AV42" i="26" s="1"/>
  <c r="AE42" i="26"/>
  <c r="AI42" i="26" s="1"/>
  <c r="AU42" i="26" s="1"/>
  <c r="Y42" i="26"/>
  <c r="AC42" i="26" s="1"/>
  <c r="AR42" i="26" s="1"/>
  <c r="X42" i="26"/>
  <c r="AB42" i="26" s="1"/>
  <c r="AQ42" i="26" s="1"/>
  <c r="W42" i="26"/>
  <c r="AA42" i="26" s="1"/>
  <c r="AP42" i="26" s="1"/>
  <c r="V42" i="26"/>
  <c r="Z42" i="26" s="1"/>
  <c r="AH41" i="26"/>
  <c r="AL41" i="26" s="1"/>
  <c r="AX41" i="26" s="1"/>
  <c r="AG41" i="26"/>
  <c r="AK41" i="26" s="1"/>
  <c r="AW41" i="26" s="1"/>
  <c r="AF41" i="26"/>
  <c r="AJ41" i="26" s="1"/>
  <c r="AV41" i="26" s="1"/>
  <c r="AE41" i="26"/>
  <c r="AI41" i="26" s="1"/>
  <c r="AU41" i="26" s="1"/>
  <c r="Y41" i="26"/>
  <c r="AC41" i="26" s="1"/>
  <c r="AR41" i="26" s="1"/>
  <c r="X41" i="26"/>
  <c r="AB41" i="26" s="1"/>
  <c r="AQ41" i="26" s="1"/>
  <c r="W41" i="26"/>
  <c r="AA41" i="26" s="1"/>
  <c r="AP41" i="26" s="1"/>
  <c r="V41" i="26"/>
  <c r="Z41" i="26" s="1"/>
  <c r="AH40" i="26"/>
  <c r="AL40" i="26" s="1"/>
  <c r="AX40" i="26" s="1"/>
  <c r="AG40" i="26"/>
  <c r="AK40" i="26" s="1"/>
  <c r="AW40" i="26" s="1"/>
  <c r="AF40" i="26"/>
  <c r="AJ40" i="26" s="1"/>
  <c r="AV40" i="26" s="1"/>
  <c r="AE40" i="26"/>
  <c r="AI40" i="26" s="1"/>
  <c r="AU40" i="26" s="1"/>
  <c r="Y40" i="26"/>
  <c r="AC40" i="26" s="1"/>
  <c r="AR40" i="26" s="1"/>
  <c r="X40" i="26"/>
  <c r="AB40" i="26" s="1"/>
  <c r="AQ40" i="26" s="1"/>
  <c r="W40" i="26"/>
  <c r="AA40" i="26" s="1"/>
  <c r="AP40" i="26" s="1"/>
  <c r="V40" i="26"/>
  <c r="Z40" i="26" s="1"/>
  <c r="AH39" i="26"/>
  <c r="AL39" i="26" s="1"/>
  <c r="AX39" i="26" s="1"/>
  <c r="AG39" i="26"/>
  <c r="AK39" i="26" s="1"/>
  <c r="AW39" i="26" s="1"/>
  <c r="AF39" i="26"/>
  <c r="AJ39" i="26" s="1"/>
  <c r="AV39" i="26" s="1"/>
  <c r="AE39" i="26"/>
  <c r="AI39" i="26" s="1"/>
  <c r="AU39" i="26" s="1"/>
  <c r="Y39" i="26"/>
  <c r="AC39" i="26" s="1"/>
  <c r="AR39" i="26" s="1"/>
  <c r="X39" i="26"/>
  <c r="AB39" i="26" s="1"/>
  <c r="AQ39" i="26" s="1"/>
  <c r="W39" i="26"/>
  <c r="AA39" i="26" s="1"/>
  <c r="AP39" i="26" s="1"/>
  <c r="V39" i="26"/>
  <c r="Z39" i="26" s="1"/>
  <c r="H36" i="26"/>
  <c r="G36" i="26"/>
  <c r="F36" i="26"/>
  <c r="E36" i="26"/>
  <c r="D36" i="26"/>
  <c r="AH35" i="26"/>
  <c r="AL35" i="26" s="1"/>
  <c r="AX35" i="26" s="1"/>
  <c r="AG35" i="26"/>
  <c r="AK35" i="26" s="1"/>
  <c r="AW35" i="26" s="1"/>
  <c r="AF35" i="26"/>
  <c r="AJ35" i="26" s="1"/>
  <c r="AV35" i="26" s="1"/>
  <c r="AE35" i="26"/>
  <c r="AI35" i="26" s="1"/>
  <c r="AU35" i="26" s="1"/>
  <c r="Y35" i="26"/>
  <c r="AC35" i="26" s="1"/>
  <c r="AR35" i="26" s="1"/>
  <c r="X35" i="26"/>
  <c r="AB35" i="26" s="1"/>
  <c r="AQ35" i="26" s="1"/>
  <c r="W35" i="26"/>
  <c r="AA35" i="26" s="1"/>
  <c r="AP35" i="26" s="1"/>
  <c r="V35" i="26"/>
  <c r="Z35" i="26" s="1"/>
  <c r="AH34" i="26"/>
  <c r="AL34" i="26" s="1"/>
  <c r="AX34" i="26" s="1"/>
  <c r="AG34" i="26"/>
  <c r="AK34" i="26" s="1"/>
  <c r="AW34" i="26" s="1"/>
  <c r="AF34" i="26"/>
  <c r="AJ34" i="26" s="1"/>
  <c r="AV34" i="26" s="1"/>
  <c r="AE34" i="26"/>
  <c r="AI34" i="26" s="1"/>
  <c r="AU34" i="26" s="1"/>
  <c r="Y34" i="26"/>
  <c r="AC34" i="26" s="1"/>
  <c r="AR34" i="26" s="1"/>
  <c r="X34" i="26"/>
  <c r="AB34" i="26" s="1"/>
  <c r="AQ34" i="26" s="1"/>
  <c r="W34" i="26"/>
  <c r="AA34" i="26" s="1"/>
  <c r="AP34" i="26" s="1"/>
  <c r="V34" i="26"/>
  <c r="Z34" i="26" s="1"/>
  <c r="AH33" i="26"/>
  <c r="AL33" i="26" s="1"/>
  <c r="AX33" i="26" s="1"/>
  <c r="AG33" i="26"/>
  <c r="AK33" i="26" s="1"/>
  <c r="AW33" i="26" s="1"/>
  <c r="AF33" i="26"/>
  <c r="AJ33" i="26" s="1"/>
  <c r="AV33" i="26" s="1"/>
  <c r="AE33" i="26"/>
  <c r="AI33" i="26" s="1"/>
  <c r="AU33" i="26" s="1"/>
  <c r="Y33" i="26"/>
  <c r="AC33" i="26" s="1"/>
  <c r="AR33" i="26" s="1"/>
  <c r="X33" i="26"/>
  <c r="AB33" i="26" s="1"/>
  <c r="AQ33" i="26" s="1"/>
  <c r="W33" i="26"/>
  <c r="AA33" i="26" s="1"/>
  <c r="AP33" i="26" s="1"/>
  <c r="V33" i="26"/>
  <c r="Z33" i="26" s="1"/>
  <c r="AH32" i="26"/>
  <c r="AL32" i="26" s="1"/>
  <c r="AX32" i="26" s="1"/>
  <c r="AG32" i="26"/>
  <c r="AK32" i="26" s="1"/>
  <c r="AW32" i="26" s="1"/>
  <c r="AF32" i="26"/>
  <c r="AJ32" i="26" s="1"/>
  <c r="AV32" i="26" s="1"/>
  <c r="AE32" i="26"/>
  <c r="AI32" i="26" s="1"/>
  <c r="AU32" i="26" s="1"/>
  <c r="Y32" i="26"/>
  <c r="AC32" i="26" s="1"/>
  <c r="AR32" i="26" s="1"/>
  <c r="X32" i="26"/>
  <c r="AB32" i="26" s="1"/>
  <c r="AQ32" i="26" s="1"/>
  <c r="W32" i="26"/>
  <c r="AA32" i="26" s="1"/>
  <c r="AP32" i="26" s="1"/>
  <c r="V32" i="26"/>
  <c r="Z32" i="26" s="1"/>
  <c r="AH31" i="26"/>
  <c r="AL31" i="26" s="1"/>
  <c r="AX31" i="26" s="1"/>
  <c r="AG31" i="26"/>
  <c r="AK31" i="26" s="1"/>
  <c r="AW31" i="26" s="1"/>
  <c r="AF31" i="26"/>
  <c r="AJ31" i="26" s="1"/>
  <c r="AV31" i="26" s="1"/>
  <c r="AE31" i="26"/>
  <c r="AI31" i="26" s="1"/>
  <c r="AU31" i="26" s="1"/>
  <c r="Y31" i="26"/>
  <c r="AC31" i="26" s="1"/>
  <c r="AR31" i="26" s="1"/>
  <c r="X31" i="26"/>
  <c r="AB31" i="26" s="1"/>
  <c r="AQ31" i="26" s="1"/>
  <c r="W31" i="26"/>
  <c r="AA31" i="26" s="1"/>
  <c r="AP31" i="26" s="1"/>
  <c r="V31" i="26"/>
  <c r="Z31" i="26" s="1"/>
  <c r="AH30" i="26"/>
  <c r="AL30" i="26" s="1"/>
  <c r="AX30" i="26" s="1"/>
  <c r="AG30" i="26"/>
  <c r="AK30" i="26" s="1"/>
  <c r="AW30" i="26" s="1"/>
  <c r="AF30" i="26"/>
  <c r="AJ30" i="26" s="1"/>
  <c r="AV30" i="26" s="1"/>
  <c r="AE30" i="26"/>
  <c r="AI30" i="26" s="1"/>
  <c r="AU30" i="26" s="1"/>
  <c r="Y30" i="26"/>
  <c r="AC30" i="26" s="1"/>
  <c r="AR30" i="26" s="1"/>
  <c r="X30" i="26"/>
  <c r="AB30" i="26" s="1"/>
  <c r="AQ30" i="26" s="1"/>
  <c r="W30" i="26"/>
  <c r="AA30" i="26" s="1"/>
  <c r="AP30" i="26" s="1"/>
  <c r="V30" i="26"/>
  <c r="Z30" i="26" s="1"/>
  <c r="H27" i="26"/>
  <c r="G27" i="26"/>
  <c r="F27" i="26"/>
  <c r="E27" i="26"/>
  <c r="D27" i="26"/>
  <c r="AH26" i="26"/>
  <c r="AL26" i="26" s="1"/>
  <c r="AX26" i="26" s="1"/>
  <c r="AG26" i="26"/>
  <c r="AK26" i="26" s="1"/>
  <c r="AW26" i="26" s="1"/>
  <c r="AF26" i="26"/>
  <c r="AJ26" i="26" s="1"/>
  <c r="AV26" i="26" s="1"/>
  <c r="AE26" i="26"/>
  <c r="AI26" i="26" s="1"/>
  <c r="AU26" i="26" s="1"/>
  <c r="Y26" i="26"/>
  <c r="AC26" i="26" s="1"/>
  <c r="AR26" i="26" s="1"/>
  <c r="X26" i="26"/>
  <c r="AB26" i="26" s="1"/>
  <c r="AQ26" i="26" s="1"/>
  <c r="W26" i="26"/>
  <c r="AA26" i="26" s="1"/>
  <c r="AP26" i="26" s="1"/>
  <c r="V26" i="26"/>
  <c r="Z26" i="26" s="1"/>
  <c r="AH25" i="26"/>
  <c r="AL25" i="26" s="1"/>
  <c r="AX25" i="26" s="1"/>
  <c r="AG25" i="26"/>
  <c r="AK25" i="26" s="1"/>
  <c r="AW25" i="26" s="1"/>
  <c r="AF25" i="26"/>
  <c r="AJ25" i="26" s="1"/>
  <c r="AV25" i="26" s="1"/>
  <c r="AE25" i="26"/>
  <c r="AI25" i="26" s="1"/>
  <c r="AU25" i="26" s="1"/>
  <c r="Y25" i="26"/>
  <c r="AC25" i="26" s="1"/>
  <c r="AR25" i="26" s="1"/>
  <c r="X25" i="26"/>
  <c r="AB25" i="26" s="1"/>
  <c r="AQ25" i="26" s="1"/>
  <c r="W25" i="26"/>
  <c r="AA25" i="26" s="1"/>
  <c r="AP25" i="26" s="1"/>
  <c r="V25" i="26"/>
  <c r="Z25" i="26" s="1"/>
  <c r="AH24" i="26"/>
  <c r="AL24" i="26" s="1"/>
  <c r="AX24" i="26" s="1"/>
  <c r="AG24" i="26"/>
  <c r="AK24" i="26" s="1"/>
  <c r="AW24" i="26" s="1"/>
  <c r="AF24" i="26"/>
  <c r="AJ24" i="26" s="1"/>
  <c r="AV24" i="26" s="1"/>
  <c r="AE24" i="26"/>
  <c r="AI24" i="26" s="1"/>
  <c r="AU24" i="26" s="1"/>
  <c r="Y24" i="26"/>
  <c r="AC24" i="26" s="1"/>
  <c r="AR24" i="26" s="1"/>
  <c r="X24" i="26"/>
  <c r="AB24" i="26" s="1"/>
  <c r="AQ24" i="26" s="1"/>
  <c r="W24" i="26"/>
  <c r="AA24" i="26" s="1"/>
  <c r="AP24" i="26" s="1"/>
  <c r="V24" i="26"/>
  <c r="Z24" i="26" s="1"/>
  <c r="AH23" i="26"/>
  <c r="AL23" i="26" s="1"/>
  <c r="AX23" i="26" s="1"/>
  <c r="AG23" i="26"/>
  <c r="AK23" i="26" s="1"/>
  <c r="AW23" i="26" s="1"/>
  <c r="AF23" i="26"/>
  <c r="AJ23" i="26" s="1"/>
  <c r="AV23" i="26" s="1"/>
  <c r="AE23" i="26"/>
  <c r="AI23" i="26" s="1"/>
  <c r="AU23" i="26" s="1"/>
  <c r="Y23" i="26"/>
  <c r="AC23" i="26" s="1"/>
  <c r="AR23" i="26" s="1"/>
  <c r="X23" i="26"/>
  <c r="AB23" i="26" s="1"/>
  <c r="AQ23" i="26" s="1"/>
  <c r="W23" i="26"/>
  <c r="AA23" i="26" s="1"/>
  <c r="AP23" i="26" s="1"/>
  <c r="V23" i="26"/>
  <c r="Z23" i="26" s="1"/>
  <c r="AH22" i="26"/>
  <c r="AL22" i="26" s="1"/>
  <c r="AX22" i="26" s="1"/>
  <c r="AG22" i="26"/>
  <c r="AK22" i="26" s="1"/>
  <c r="AW22" i="26" s="1"/>
  <c r="AF22" i="26"/>
  <c r="AJ22" i="26" s="1"/>
  <c r="AV22" i="26" s="1"/>
  <c r="AE22" i="26"/>
  <c r="AI22" i="26" s="1"/>
  <c r="AU22" i="26" s="1"/>
  <c r="Y22" i="26"/>
  <c r="AC22" i="26" s="1"/>
  <c r="AR22" i="26" s="1"/>
  <c r="X22" i="26"/>
  <c r="AB22" i="26" s="1"/>
  <c r="AQ22" i="26" s="1"/>
  <c r="W22" i="26"/>
  <c r="AA22" i="26" s="1"/>
  <c r="AP22" i="26" s="1"/>
  <c r="V22" i="26"/>
  <c r="Z22" i="26" s="1"/>
  <c r="AH21" i="26"/>
  <c r="AL21" i="26" s="1"/>
  <c r="AX21" i="26" s="1"/>
  <c r="AG21" i="26"/>
  <c r="AK21" i="26" s="1"/>
  <c r="AW21" i="26" s="1"/>
  <c r="AF21" i="26"/>
  <c r="AJ21" i="26" s="1"/>
  <c r="AV21" i="26" s="1"/>
  <c r="AE21" i="26"/>
  <c r="AI21" i="26" s="1"/>
  <c r="AU21" i="26" s="1"/>
  <c r="Y21" i="26"/>
  <c r="AC21" i="26" s="1"/>
  <c r="AR21" i="26" s="1"/>
  <c r="X21" i="26"/>
  <c r="AB21" i="26" s="1"/>
  <c r="AQ21" i="26" s="1"/>
  <c r="W21" i="26"/>
  <c r="AA21" i="26" s="1"/>
  <c r="AP21" i="26" s="1"/>
  <c r="V21" i="26"/>
  <c r="Z21" i="26" s="1"/>
  <c r="H18" i="26"/>
  <c r="G18" i="26"/>
  <c r="F18" i="26"/>
  <c r="E18" i="26"/>
  <c r="D18" i="26"/>
  <c r="AH17" i="26"/>
  <c r="AL17" i="26" s="1"/>
  <c r="AX17" i="26" s="1"/>
  <c r="AG17" i="26"/>
  <c r="AK17" i="26" s="1"/>
  <c r="AW17" i="26" s="1"/>
  <c r="AF17" i="26"/>
  <c r="AJ17" i="26" s="1"/>
  <c r="AV17" i="26" s="1"/>
  <c r="AE17" i="26"/>
  <c r="AI17" i="26" s="1"/>
  <c r="AU17" i="26" s="1"/>
  <c r="Y17" i="26"/>
  <c r="AC17" i="26" s="1"/>
  <c r="AR17" i="26" s="1"/>
  <c r="X17" i="26"/>
  <c r="AB17" i="26" s="1"/>
  <c r="AQ17" i="26" s="1"/>
  <c r="W17" i="26"/>
  <c r="AA17" i="26" s="1"/>
  <c r="AP17" i="26" s="1"/>
  <c r="V17" i="26"/>
  <c r="Z17" i="26" s="1"/>
  <c r="AH16" i="26"/>
  <c r="AL16" i="26" s="1"/>
  <c r="AX16" i="26" s="1"/>
  <c r="AG16" i="26"/>
  <c r="AK16" i="26" s="1"/>
  <c r="AW16" i="26" s="1"/>
  <c r="AF16" i="26"/>
  <c r="AJ16" i="26" s="1"/>
  <c r="AV16" i="26" s="1"/>
  <c r="AE16" i="26"/>
  <c r="AI16" i="26" s="1"/>
  <c r="AU16" i="26" s="1"/>
  <c r="Y16" i="26"/>
  <c r="AC16" i="26" s="1"/>
  <c r="AR16" i="26" s="1"/>
  <c r="X16" i="26"/>
  <c r="AB16" i="26" s="1"/>
  <c r="AQ16" i="26" s="1"/>
  <c r="W16" i="26"/>
  <c r="AA16" i="26" s="1"/>
  <c r="AP16" i="26" s="1"/>
  <c r="V16" i="26"/>
  <c r="Z16" i="26" s="1"/>
  <c r="AH15" i="26"/>
  <c r="AL15" i="26" s="1"/>
  <c r="AX15" i="26" s="1"/>
  <c r="AG15" i="26"/>
  <c r="AK15" i="26" s="1"/>
  <c r="AW15" i="26" s="1"/>
  <c r="AF15" i="26"/>
  <c r="AJ15" i="26" s="1"/>
  <c r="AV15" i="26" s="1"/>
  <c r="AE15" i="26"/>
  <c r="AI15" i="26" s="1"/>
  <c r="AU15" i="26" s="1"/>
  <c r="Y15" i="26"/>
  <c r="AC15" i="26" s="1"/>
  <c r="AR15" i="26" s="1"/>
  <c r="X15" i="26"/>
  <c r="AB15" i="26" s="1"/>
  <c r="AQ15" i="26" s="1"/>
  <c r="W15" i="26"/>
  <c r="AA15" i="26" s="1"/>
  <c r="AP15" i="26" s="1"/>
  <c r="V15" i="26"/>
  <c r="Z15" i="26" s="1"/>
  <c r="AH14" i="26"/>
  <c r="AL14" i="26" s="1"/>
  <c r="AX14" i="26" s="1"/>
  <c r="AG14" i="26"/>
  <c r="AK14" i="26" s="1"/>
  <c r="AW14" i="26" s="1"/>
  <c r="AF14" i="26"/>
  <c r="AJ14" i="26" s="1"/>
  <c r="AV14" i="26" s="1"/>
  <c r="AE14" i="26"/>
  <c r="AI14" i="26" s="1"/>
  <c r="AU14" i="26" s="1"/>
  <c r="Y14" i="26"/>
  <c r="AC14" i="26" s="1"/>
  <c r="AR14" i="26" s="1"/>
  <c r="X14" i="26"/>
  <c r="AB14" i="26" s="1"/>
  <c r="AQ14" i="26" s="1"/>
  <c r="W14" i="26"/>
  <c r="AA14" i="26" s="1"/>
  <c r="AP14" i="26" s="1"/>
  <c r="V14" i="26"/>
  <c r="Z14" i="26" s="1"/>
  <c r="AH13" i="26"/>
  <c r="AL13" i="26" s="1"/>
  <c r="AX13" i="26" s="1"/>
  <c r="AG13" i="26"/>
  <c r="AK13" i="26" s="1"/>
  <c r="AW13" i="26" s="1"/>
  <c r="AF13" i="26"/>
  <c r="AJ13" i="26" s="1"/>
  <c r="AV13" i="26" s="1"/>
  <c r="AE13" i="26"/>
  <c r="AI13" i="26" s="1"/>
  <c r="AU13" i="26" s="1"/>
  <c r="Y13" i="26"/>
  <c r="AC13" i="26" s="1"/>
  <c r="AR13" i="26" s="1"/>
  <c r="X13" i="26"/>
  <c r="AB13" i="26" s="1"/>
  <c r="AQ13" i="26" s="1"/>
  <c r="W13" i="26"/>
  <c r="AA13" i="26" s="1"/>
  <c r="AP13" i="26" s="1"/>
  <c r="V13" i="26"/>
  <c r="Z13" i="26" s="1"/>
  <c r="AH12" i="26"/>
  <c r="AL12" i="26" s="1"/>
  <c r="AX12" i="26" s="1"/>
  <c r="AG12" i="26"/>
  <c r="AK12" i="26" s="1"/>
  <c r="AW12" i="26" s="1"/>
  <c r="AF12" i="26"/>
  <c r="AJ12" i="26" s="1"/>
  <c r="AV12" i="26" s="1"/>
  <c r="AE12" i="26"/>
  <c r="AI12" i="26" s="1"/>
  <c r="AU12" i="26" s="1"/>
  <c r="Y12" i="26"/>
  <c r="AC12" i="26" s="1"/>
  <c r="AR12" i="26" s="1"/>
  <c r="X12" i="26"/>
  <c r="AB12" i="26" s="1"/>
  <c r="AQ12" i="26" s="1"/>
  <c r="W12" i="26"/>
  <c r="AA12" i="26" s="1"/>
  <c r="AP12" i="26" s="1"/>
  <c r="V12" i="26"/>
  <c r="Z12" i="26" s="1"/>
  <c r="H180" i="25"/>
  <c r="G180" i="25"/>
  <c r="F180" i="25"/>
  <c r="E180" i="25"/>
  <c r="D180" i="25"/>
  <c r="H171" i="25"/>
  <c r="G171" i="25"/>
  <c r="F171" i="25"/>
  <c r="E171" i="25"/>
  <c r="D171" i="25"/>
  <c r="AH170" i="25"/>
  <c r="AL170" i="25" s="1"/>
  <c r="AX170" i="25" s="1"/>
  <c r="AG170" i="25"/>
  <c r="AK170" i="25" s="1"/>
  <c r="AW170" i="25" s="1"/>
  <c r="AF170" i="25"/>
  <c r="AJ170" i="25" s="1"/>
  <c r="AV170" i="25" s="1"/>
  <c r="AE170" i="25"/>
  <c r="AI170" i="25" s="1"/>
  <c r="AU170" i="25" s="1"/>
  <c r="Y170" i="25"/>
  <c r="AC170" i="25" s="1"/>
  <c r="AR170" i="25" s="1"/>
  <c r="X170" i="25"/>
  <c r="AB170" i="25" s="1"/>
  <c r="AQ170" i="25" s="1"/>
  <c r="W170" i="25"/>
  <c r="AA170" i="25" s="1"/>
  <c r="AP170" i="25" s="1"/>
  <c r="V170" i="25"/>
  <c r="Z170" i="25" s="1"/>
  <c r="AO170" i="25" s="1"/>
  <c r="AH169" i="25"/>
  <c r="AL169" i="25" s="1"/>
  <c r="AX169" i="25" s="1"/>
  <c r="AG169" i="25"/>
  <c r="AK169" i="25" s="1"/>
  <c r="AW169" i="25" s="1"/>
  <c r="AF169" i="25"/>
  <c r="AJ169" i="25" s="1"/>
  <c r="AV169" i="25" s="1"/>
  <c r="AE169" i="25"/>
  <c r="AI169" i="25" s="1"/>
  <c r="AU169" i="25" s="1"/>
  <c r="Y169" i="25"/>
  <c r="AC169" i="25" s="1"/>
  <c r="AR169" i="25" s="1"/>
  <c r="X169" i="25"/>
  <c r="AB169" i="25" s="1"/>
  <c r="AQ169" i="25" s="1"/>
  <c r="W169" i="25"/>
  <c r="AA169" i="25" s="1"/>
  <c r="AP169" i="25" s="1"/>
  <c r="V169" i="25"/>
  <c r="Z169" i="25" s="1"/>
  <c r="AO169" i="25" s="1"/>
  <c r="AH168" i="25"/>
  <c r="AL168" i="25" s="1"/>
  <c r="AX168" i="25" s="1"/>
  <c r="AG168" i="25"/>
  <c r="AK168" i="25" s="1"/>
  <c r="AW168" i="25" s="1"/>
  <c r="AF168" i="25"/>
  <c r="AJ168" i="25" s="1"/>
  <c r="AV168" i="25" s="1"/>
  <c r="AE168" i="25"/>
  <c r="AI168" i="25" s="1"/>
  <c r="AU168" i="25" s="1"/>
  <c r="Y168" i="25"/>
  <c r="AC168" i="25" s="1"/>
  <c r="AR168" i="25" s="1"/>
  <c r="X168" i="25"/>
  <c r="AB168" i="25" s="1"/>
  <c r="AQ168" i="25" s="1"/>
  <c r="W168" i="25"/>
  <c r="AA168" i="25" s="1"/>
  <c r="AP168" i="25" s="1"/>
  <c r="V168" i="25"/>
  <c r="Z168" i="25" s="1"/>
  <c r="AO168" i="25" s="1"/>
  <c r="AH167" i="25"/>
  <c r="AL167" i="25" s="1"/>
  <c r="AX167" i="25" s="1"/>
  <c r="AG167" i="25"/>
  <c r="AK167" i="25" s="1"/>
  <c r="AW167" i="25" s="1"/>
  <c r="AF167" i="25"/>
  <c r="AJ167" i="25" s="1"/>
  <c r="AV167" i="25" s="1"/>
  <c r="AE167" i="25"/>
  <c r="AI167" i="25" s="1"/>
  <c r="Y167" i="25"/>
  <c r="AC167" i="25" s="1"/>
  <c r="AR167" i="25" s="1"/>
  <c r="X167" i="25"/>
  <c r="AB167" i="25" s="1"/>
  <c r="AQ167" i="25" s="1"/>
  <c r="W167" i="25"/>
  <c r="AA167" i="25" s="1"/>
  <c r="AP167" i="25" s="1"/>
  <c r="V167" i="25"/>
  <c r="Z167" i="25" s="1"/>
  <c r="AO167" i="25" s="1"/>
  <c r="AH166" i="25"/>
  <c r="AL166" i="25" s="1"/>
  <c r="AX166" i="25" s="1"/>
  <c r="AG166" i="25"/>
  <c r="AK166" i="25" s="1"/>
  <c r="AW166" i="25" s="1"/>
  <c r="AF166" i="25"/>
  <c r="AJ166" i="25" s="1"/>
  <c r="AV166" i="25" s="1"/>
  <c r="AE166" i="25"/>
  <c r="AI166" i="25" s="1"/>
  <c r="AU166" i="25" s="1"/>
  <c r="Y166" i="25"/>
  <c r="AC166" i="25" s="1"/>
  <c r="AR166" i="25" s="1"/>
  <c r="X166" i="25"/>
  <c r="AB166" i="25" s="1"/>
  <c r="AQ166" i="25" s="1"/>
  <c r="W166" i="25"/>
  <c r="AA166" i="25" s="1"/>
  <c r="AP166" i="25" s="1"/>
  <c r="V166" i="25"/>
  <c r="Z166" i="25" s="1"/>
  <c r="AO166" i="25" s="1"/>
  <c r="AH165" i="25"/>
  <c r="AL165" i="25" s="1"/>
  <c r="AX165" i="25" s="1"/>
  <c r="AG165" i="25"/>
  <c r="AK165" i="25" s="1"/>
  <c r="AW165" i="25" s="1"/>
  <c r="AF165" i="25"/>
  <c r="AJ165" i="25" s="1"/>
  <c r="AV165" i="25" s="1"/>
  <c r="AE165" i="25"/>
  <c r="AI165" i="25" s="1"/>
  <c r="AU165" i="25" s="1"/>
  <c r="Y165" i="25"/>
  <c r="AC165" i="25" s="1"/>
  <c r="AR165" i="25" s="1"/>
  <c r="X165" i="25"/>
  <c r="AB165" i="25" s="1"/>
  <c r="AQ165" i="25" s="1"/>
  <c r="W165" i="25"/>
  <c r="AA165" i="25" s="1"/>
  <c r="AP165" i="25" s="1"/>
  <c r="V165" i="25"/>
  <c r="Z165" i="25" s="1"/>
  <c r="AO165" i="25" s="1"/>
  <c r="H162" i="25"/>
  <c r="G162" i="25"/>
  <c r="F162" i="25"/>
  <c r="E162" i="25"/>
  <c r="D162" i="25"/>
  <c r="AH161" i="25"/>
  <c r="AL161" i="25" s="1"/>
  <c r="AX161" i="25" s="1"/>
  <c r="AG161" i="25"/>
  <c r="AK161" i="25" s="1"/>
  <c r="AW161" i="25" s="1"/>
  <c r="AF161" i="25"/>
  <c r="AJ161" i="25" s="1"/>
  <c r="AE161" i="25"/>
  <c r="AI161" i="25" s="1"/>
  <c r="AU161" i="25" s="1"/>
  <c r="Y161" i="25"/>
  <c r="AC161" i="25" s="1"/>
  <c r="AR161" i="25" s="1"/>
  <c r="X161" i="25"/>
  <c r="AB161" i="25" s="1"/>
  <c r="AQ161" i="25" s="1"/>
  <c r="W161" i="25"/>
  <c r="AA161" i="25" s="1"/>
  <c r="V161" i="25"/>
  <c r="Z161" i="25" s="1"/>
  <c r="AO161" i="25" s="1"/>
  <c r="AH160" i="25"/>
  <c r="AL160" i="25" s="1"/>
  <c r="AX160" i="25" s="1"/>
  <c r="AG160" i="25"/>
  <c r="AK160" i="25" s="1"/>
  <c r="AW160" i="25" s="1"/>
  <c r="AF160" i="25"/>
  <c r="AJ160" i="25" s="1"/>
  <c r="AE160" i="25"/>
  <c r="AI160" i="25" s="1"/>
  <c r="AU160" i="25" s="1"/>
  <c r="Y160" i="25"/>
  <c r="AC160" i="25" s="1"/>
  <c r="AR160" i="25" s="1"/>
  <c r="X160" i="25"/>
  <c r="AB160" i="25" s="1"/>
  <c r="AQ160" i="25" s="1"/>
  <c r="W160" i="25"/>
  <c r="AA160" i="25" s="1"/>
  <c r="V160" i="25"/>
  <c r="Z160" i="25" s="1"/>
  <c r="AO160" i="25" s="1"/>
  <c r="AH159" i="25"/>
  <c r="AL159" i="25" s="1"/>
  <c r="AX159" i="25" s="1"/>
  <c r="AG159" i="25"/>
  <c r="AK159" i="25" s="1"/>
  <c r="AW159" i="25" s="1"/>
  <c r="AF159" i="25"/>
  <c r="AJ159" i="25" s="1"/>
  <c r="AE159" i="25"/>
  <c r="AI159" i="25" s="1"/>
  <c r="AU159" i="25" s="1"/>
  <c r="Y159" i="25"/>
  <c r="AC159" i="25" s="1"/>
  <c r="AR159" i="25" s="1"/>
  <c r="X159" i="25"/>
  <c r="AB159" i="25" s="1"/>
  <c r="AQ159" i="25" s="1"/>
  <c r="W159" i="25"/>
  <c r="AA159" i="25" s="1"/>
  <c r="V159" i="25"/>
  <c r="Z159" i="25" s="1"/>
  <c r="AO159" i="25" s="1"/>
  <c r="AH158" i="25"/>
  <c r="AL158" i="25" s="1"/>
  <c r="AX158" i="25" s="1"/>
  <c r="AG158" i="25"/>
  <c r="AK158" i="25" s="1"/>
  <c r="AW158" i="25" s="1"/>
  <c r="AF158" i="25"/>
  <c r="AJ158" i="25" s="1"/>
  <c r="AE158" i="25"/>
  <c r="AI158" i="25" s="1"/>
  <c r="AU158" i="25" s="1"/>
  <c r="Y158" i="25"/>
  <c r="AC158" i="25" s="1"/>
  <c r="AR158" i="25" s="1"/>
  <c r="X158" i="25"/>
  <c r="AB158" i="25" s="1"/>
  <c r="AQ158" i="25" s="1"/>
  <c r="W158" i="25"/>
  <c r="AA158" i="25" s="1"/>
  <c r="V158" i="25"/>
  <c r="Z158" i="25" s="1"/>
  <c r="AO158" i="25" s="1"/>
  <c r="AH157" i="25"/>
  <c r="AL157" i="25" s="1"/>
  <c r="AX157" i="25" s="1"/>
  <c r="AG157" i="25"/>
  <c r="AK157" i="25" s="1"/>
  <c r="AW157" i="25" s="1"/>
  <c r="AF157" i="25"/>
  <c r="AJ157" i="25" s="1"/>
  <c r="AE157" i="25"/>
  <c r="AI157" i="25" s="1"/>
  <c r="AU157" i="25" s="1"/>
  <c r="Y157" i="25"/>
  <c r="AC157" i="25" s="1"/>
  <c r="AR157" i="25" s="1"/>
  <c r="X157" i="25"/>
  <c r="AB157" i="25" s="1"/>
  <c r="AQ157" i="25" s="1"/>
  <c r="W157" i="25"/>
  <c r="AA157" i="25" s="1"/>
  <c r="V157" i="25"/>
  <c r="Z157" i="25" s="1"/>
  <c r="AO157" i="25" s="1"/>
  <c r="AH156" i="25"/>
  <c r="AL156" i="25" s="1"/>
  <c r="AX156" i="25" s="1"/>
  <c r="AG156" i="25"/>
  <c r="AK156" i="25" s="1"/>
  <c r="AW156" i="25" s="1"/>
  <c r="AF156" i="25"/>
  <c r="AJ156" i="25" s="1"/>
  <c r="AE156" i="25"/>
  <c r="AI156" i="25" s="1"/>
  <c r="AU156" i="25" s="1"/>
  <c r="Y156" i="25"/>
  <c r="AC156" i="25" s="1"/>
  <c r="AR156" i="25" s="1"/>
  <c r="X156" i="25"/>
  <c r="AB156" i="25" s="1"/>
  <c r="AQ156" i="25" s="1"/>
  <c r="W156" i="25"/>
  <c r="AA156" i="25" s="1"/>
  <c r="V156" i="25"/>
  <c r="Z156" i="25" s="1"/>
  <c r="AO156" i="25" s="1"/>
  <c r="H153" i="25"/>
  <c r="G153" i="25"/>
  <c r="F153" i="25"/>
  <c r="E153" i="25"/>
  <c r="D153" i="25"/>
  <c r="AH152" i="25"/>
  <c r="AL152" i="25" s="1"/>
  <c r="AX152" i="25" s="1"/>
  <c r="AG152" i="25"/>
  <c r="AK152" i="25" s="1"/>
  <c r="AW152" i="25" s="1"/>
  <c r="AF152" i="25"/>
  <c r="AJ152" i="25" s="1"/>
  <c r="AV152" i="25" s="1"/>
  <c r="AE152" i="25"/>
  <c r="AI152" i="25" s="1"/>
  <c r="AU152" i="25" s="1"/>
  <c r="Y152" i="25"/>
  <c r="AC152" i="25" s="1"/>
  <c r="AR152" i="25" s="1"/>
  <c r="X152" i="25"/>
  <c r="AB152" i="25" s="1"/>
  <c r="AQ152" i="25" s="1"/>
  <c r="W152" i="25"/>
  <c r="AA152" i="25" s="1"/>
  <c r="AP152" i="25" s="1"/>
  <c r="V152" i="25"/>
  <c r="Z152" i="25" s="1"/>
  <c r="AO152" i="25" s="1"/>
  <c r="AH151" i="25"/>
  <c r="AL151" i="25" s="1"/>
  <c r="AX151" i="25" s="1"/>
  <c r="AG151" i="25"/>
  <c r="AK151" i="25" s="1"/>
  <c r="AW151" i="25" s="1"/>
  <c r="AF151" i="25"/>
  <c r="AJ151" i="25" s="1"/>
  <c r="AV151" i="25" s="1"/>
  <c r="AE151" i="25"/>
  <c r="AI151" i="25" s="1"/>
  <c r="Y151" i="25"/>
  <c r="AC151" i="25" s="1"/>
  <c r="AR151" i="25" s="1"/>
  <c r="X151" i="25"/>
  <c r="AB151" i="25" s="1"/>
  <c r="AQ151" i="25" s="1"/>
  <c r="W151" i="25"/>
  <c r="AA151" i="25" s="1"/>
  <c r="AP151" i="25" s="1"/>
  <c r="V151" i="25"/>
  <c r="Z151" i="25" s="1"/>
  <c r="AO151" i="25" s="1"/>
  <c r="AH150" i="25"/>
  <c r="AL150" i="25" s="1"/>
  <c r="AX150" i="25" s="1"/>
  <c r="AG150" i="25"/>
  <c r="AK150" i="25" s="1"/>
  <c r="AW150" i="25" s="1"/>
  <c r="AF150" i="25"/>
  <c r="AJ150" i="25" s="1"/>
  <c r="AV150" i="25" s="1"/>
  <c r="AE150" i="25"/>
  <c r="AI150" i="25" s="1"/>
  <c r="AU150" i="25" s="1"/>
  <c r="Y150" i="25"/>
  <c r="AC150" i="25" s="1"/>
  <c r="AR150" i="25" s="1"/>
  <c r="X150" i="25"/>
  <c r="AB150" i="25" s="1"/>
  <c r="AQ150" i="25" s="1"/>
  <c r="W150" i="25"/>
  <c r="AA150" i="25" s="1"/>
  <c r="AP150" i="25" s="1"/>
  <c r="V150" i="25"/>
  <c r="Z150" i="25" s="1"/>
  <c r="AO150" i="25" s="1"/>
  <c r="AH149" i="25"/>
  <c r="AL149" i="25" s="1"/>
  <c r="AX149" i="25" s="1"/>
  <c r="AG149" i="25"/>
  <c r="AK149" i="25" s="1"/>
  <c r="AW149" i="25" s="1"/>
  <c r="AF149" i="25"/>
  <c r="AJ149" i="25" s="1"/>
  <c r="AV149" i="25" s="1"/>
  <c r="AE149" i="25"/>
  <c r="AI149" i="25" s="1"/>
  <c r="AU149" i="25" s="1"/>
  <c r="Y149" i="25"/>
  <c r="AC149" i="25" s="1"/>
  <c r="AR149" i="25" s="1"/>
  <c r="X149" i="25"/>
  <c r="AB149" i="25" s="1"/>
  <c r="AQ149" i="25" s="1"/>
  <c r="W149" i="25"/>
  <c r="AA149" i="25" s="1"/>
  <c r="AP149" i="25" s="1"/>
  <c r="V149" i="25"/>
  <c r="Z149" i="25" s="1"/>
  <c r="AO149" i="25" s="1"/>
  <c r="AH148" i="25"/>
  <c r="AL148" i="25" s="1"/>
  <c r="AX148" i="25" s="1"/>
  <c r="AG148" i="25"/>
  <c r="AK148" i="25" s="1"/>
  <c r="AW148" i="25" s="1"/>
  <c r="AF148" i="25"/>
  <c r="AJ148" i="25" s="1"/>
  <c r="AV148" i="25" s="1"/>
  <c r="AE148" i="25"/>
  <c r="AI148" i="25" s="1"/>
  <c r="AU148" i="25" s="1"/>
  <c r="Y148" i="25"/>
  <c r="AC148" i="25" s="1"/>
  <c r="AR148" i="25" s="1"/>
  <c r="X148" i="25"/>
  <c r="AB148" i="25" s="1"/>
  <c r="AQ148" i="25" s="1"/>
  <c r="W148" i="25"/>
  <c r="AA148" i="25" s="1"/>
  <c r="AP148" i="25" s="1"/>
  <c r="V148" i="25"/>
  <c r="Z148" i="25" s="1"/>
  <c r="AO148" i="25" s="1"/>
  <c r="AH147" i="25"/>
  <c r="AL147" i="25" s="1"/>
  <c r="AX147" i="25" s="1"/>
  <c r="AG147" i="25"/>
  <c r="AK147" i="25" s="1"/>
  <c r="AW147" i="25" s="1"/>
  <c r="AF147" i="25"/>
  <c r="AJ147" i="25" s="1"/>
  <c r="AV147" i="25" s="1"/>
  <c r="AE147" i="25"/>
  <c r="AI147" i="25" s="1"/>
  <c r="AU147" i="25" s="1"/>
  <c r="Y147" i="25"/>
  <c r="AC147" i="25" s="1"/>
  <c r="AR147" i="25" s="1"/>
  <c r="X147" i="25"/>
  <c r="AB147" i="25" s="1"/>
  <c r="AQ147" i="25" s="1"/>
  <c r="W147" i="25"/>
  <c r="AA147" i="25" s="1"/>
  <c r="AP147" i="25" s="1"/>
  <c r="V147" i="25"/>
  <c r="Z147" i="25" s="1"/>
  <c r="AO147" i="25" s="1"/>
  <c r="H144" i="25"/>
  <c r="G144" i="25"/>
  <c r="F144" i="25"/>
  <c r="E144" i="25"/>
  <c r="D144" i="25"/>
  <c r="AH143" i="25"/>
  <c r="AL143" i="25" s="1"/>
  <c r="AX143" i="25" s="1"/>
  <c r="AG143" i="25"/>
  <c r="AK143" i="25" s="1"/>
  <c r="AW143" i="25" s="1"/>
  <c r="AF143" i="25"/>
  <c r="AJ143" i="25" s="1"/>
  <c r="AE143" i="25"/>
  <c r="AI143" i="25" s="1"/>
  <c r="AU143" i="25" s="1"/>
  <c r="Y143" i="25"/>
  <c r="AC143" i="25" s="1"/>
  <c r="AR143" i="25" s="1"/>
  <c r="X143" i="25"/>
  <c r="AB143" i="25" s="1"/>
  <c r="AQ143" i="25" s="1"/>
  <c r="W143" i="25"/>
  <c r="AA143" i="25" s="1"/>
  <c r="V143" i="25"/>
  <c r="Z143" i="25" s="1"/>
  <c r="AO143" i="25" s="1"/>
  <c r="AH142" i="25"/>
  <c r="AL142" i="25" s="1"/>
  <c r="AX142" i="25" s="1"/>
  <c r="AG142" i="25"/>
  <c r="AK142" i="25" s="1"/>
  <c r="AW142" i="25" s="1"/>
  <c r="AF142" i="25"/>
  <c r="AJ142" i="25" s="1"/>
  <c r="AE142" i="25"/>
  <c r="AI142" i="25" s="1"/>
  <c r="AU142" i="25" s="1"/>
  <c r="Y142" i="25"/>
  <c r="AC142" i="25" s="1"/>
  <c r="AR142" i="25" s="1"/>
  <c r="X142" i="25"/>
  <c r="AB142" i="25" s="1"/>
  <c r="AQ142" i="25" s="1"/>
  <c r="W142" i="25"/>
  <c r="AA142" i="25" s="1"/>
  <c r="V142" i="25"/>
  <c r="Z142" i="25" s="1"/>
  <c r="AO142" i="25" s="1"/>
  <c r="AH141" i="25"/>
  <c r="AL141" i="25" s="1"/>
  <c r="AX141" i="25" s="1"/>
  <c r="AG141" i="25"/>
  <c r="AK141" i="25" s="1"/>
  <c r="AW141" i="25" s="1"/>
  <c r="AF141" i="25"/>
  <c r="AJ141" i="25" s="1"/>
  <c r="AE141" i="25"/>
  <c r="AI141" i="25" s="1"/>
  <c r="Y141" i="25"/>
  <c r="AC141" i="25" s="1"/>
  <c r="AR141" i="25" s="1"/>
  <c r="X141" i="25"/>
  <c r="AB141" i="25" s="1"/>
  <c r="AQ141" i="25" s="1"/>
  <c r="W141" i="25"/>
  <c r="AA141" i="25" s="1"/>
  <c r="V141" i="25"/>
  <c r="Z141" i="25" s="1"/>
  <c r="AO141" i="25" s="1"/>
  <c r="AH140" i="25"/>
  <c r="AL140" i="25" s="1"/>
  <c r="AX140" i="25" s="1"/>
  <c r="AG140" i="25"/>
  <c r="AK140" i="25" s="1"/>
  <c r="AW140" i="25" s="1"/>
  <c r="AF140" i="25"/>
  <c r="AJ140" i="25" s="1"/>
  <c r="AE140" i="25"/>
  <c r="AI140" i="25" s="1"/>
  <c r="AU140" i="25" s="1"/>
  <c r="Y140" i="25"/>
  <c r="AC140" i="25" s="1"/>
  <c r="AR140" i="25" s="1"/>
  <c r="X140" i="25"/>
  <c r="AB140" i="25" s="1"/>
  <c r="AQ140" i="25" s="1"/>
  <c r="W140" i="25"/>
  <c r="AA140" i="25" s="1"/>
  <c r="V140" i="25"/>
  <c r="Z140" i="25" s="1"/>
  <c r="AO140" i="25" s="1"/>
  <c r="AH139" i="25"/>
  <c r="AL139" i="25" s="1"/>
  <c r="AX139" i="25" s="1"/>
  <c r="AG139" i="25"/>
  <c r="AK139" i="25" s="1"/>
  <c r="AW139" i="25" s="1"/>
  <c r="AF139" i="25"/>
  <c r="AJ139" i="25" s="1"/>
  <c r="AE139" i="25"/>
  <c r="AI139" i="25" s="1"/>
  <c r="AU139" i="25" s="1"/>
  <c r="Y139" i="25"/>
  <c r="AC139" i="25" s="1"/>
  <c r="AR139" i="25" s="1"/>
  <c r="X139" i="25"/>
  <c r="AB139" i="25" s="1"/>
  <c r="AQ139" i="25" s="1"/>
  <c r="W139" i="25"/>
  <c r="AA139" i="25" s="1"/>
  <c r="V139" i="25"/>
  <c r="Z139" i="25" s="1"/>
  <c r="AO139" i="25" s="1"/>
  <c r="AH138" i="25"/>
  <c r="AL138" i="25" s="1"/>
  <c r="AX138" i="25" s="1"/>
  <c r="AG138" i="25"/>
  <c r="AK138" i="25" s="1"/>
  <c r="AW138" i="25" s="1"/>
  <c r="AF138" i="25"/>
  <c r="AJ138" i="25" s="1"/>
  <c r="AE138" i="25"/>
  <c r="AI138" i="25" s="1"/>
  <c r="AU138" i="25" s="1"/>
  <c r="Y138" i="25"/>
  <c r="AC138" i="25" s="1"/>
  <c r="AR138" i="25" s="1"/>
  <c r="X138" i="25"/>
  <c r="AB138" i="25" s="1"/>
  <c r="AQ138" i="25" s="1"/>
  <c r="W138" i="25"/>
  <c r="AA138" i="25" s="1"/>
  <c r="V138" i="25"/>
  <c r="Z138" i="25" s="1"/>
  <c r="AO138" i="25" s="1"/>
  <c r="H135" i="25"/>
  <c r="G135" i="25"/>
  <c r="F135" i="25"/>
  <c r="E135" i="25"/>
  <c r="D135" i="25"/>
  <c r="AH134" i="25"/>
  <c r="AL134" i="25" s="1"/>
  <c r="AX134" i="25" s="1"/>
  <c r="AG134" i="25"/>
  <c r="AK134" i="25" s="1"/>
  <c r="AW134" i="25" s="1"/>
  <c r="AF134" i="25"/>
  <c r="AJ134" i="25" s="1"/>
  <c r="AV134" i="25" s="1"/>
  <c r="AE134" i="25"/>
  <c r="AI134" i="25" s="1"/>
  <c r="AU134" i="25" s="1"/>
  <c r="Y134" i="25"/>
  <c r="AC134" i="25" s="1"/>
  <c r="AR134" i="25" s="1"/>
  <c r="X134" i="25"/>
  <c r="AB134" i="25" s="1"/>
  <c r="AQ134" i="25" s="1"/>
  <c r="W134" i="25"/>
  <c r="AA134" i="25" s="1"/>
  <c r="AP134" i="25" s="1"/>
  <c r="V134" i="25"/>
  <c r="Z134" i="25" s="1"/>
  <c r="AH133" i="25"/>
  <c r="AL133" i="25" s="1"/>
  <c r="AX133" i="25" s="1"/>
  <c r="AG133" i="25"/>
  <c r="AK133" i="25" s="1"/>
  <c r="AW133" i="25" s="1"/>
  <c r="AF133" i="25"/>
  <c r="AJ133" i="25" s="1"/>
  <c r="AV133" i="25" s="1"/>
  <c r="AE133" i="25"/>
  <c r="AI133" i="25" s="1"/>
  <c r="AU133" i="25" s="1"/>
  <c r="Y133" i="25"/>
  <c r="AC133" i="25" s="1"/>
  <c r="AR133" i="25" s="1"/>
  <c r="X133" i="25"/>
  <c r="AB133" i="25" s="1"/>
  <c r="AQ133" i="25" s="1"/>
  <c r="W133" i="25"/>
  <c r="AA133" i="25" s="1"/>
  <c r="AP133" i="25" s="1"/>
  <c r="V133" i="25"/>
  <c r="Z133" i="25" s="1"/>
  <c r="AO133" i="25" s="1"/>
  <c r="AH132" i="25"/>
  <c r="AL132" i="25" s="1"/>
  <c r="AX132" i="25" s="1"/>
  <c r="AG132" i="25"/>
  <c r="AK132" i="25" s="1"/>
  <c r="AW132" i="25" s="1"/>
  <c r="AF132" i="25"/>
  <c r="AJ132" i="25" s="1"/>
  <c r="AV132" i="25" s="1"/>
  <c r="AE132" i="25"/>
  <c r="AI132" i="25" s="1"/>
  <c r="AU132" i="25" s="1"/>
  <c r="Y132" i="25"/>
  <c r="AC132" i="25" s="1"/>
  <c r="AR132" i="25" s="1"/>
  <c r="X132" i="25"/>
  <c r="AB132" i="25" s="1"/>
  <c r="AQ132" i="25" s="1"/>
  <c r="W132" i="25"/>
  <c r="AA132" i="25" s="1"/>
  <c r="AP132" i="25" s="1"/>
  <c r="V132" i="25"/>
  <c r="Z132" i="25" s="1"/>
  <c r="AH131" i="25"/>
  <c r="AL131" i="25" s="1"/>
  <c r="AX131" i="25" s="1"/>
  <c r="AG131" i="25"/>
  <c r="AK131" i="25" s="1"/>
  <c r="AW131" i="25" s="1"/>
  <c r="AF131" i="25"/>
  <c r="AJ131" i="25" s="1"/>
  <c r="AV131" i="25" s="1"/>
  <c r="AE131" i="25"/>
  <c r="AI131" i="25" s="1"/>
  <c r="AU131" i="25" s="1"/>
  <c r="Y131" i="25"/>
  <c r="AC131" i="25" s="1"/>
  <c r="AR131" i="25" s="1"/>
  <c r="X131" i="25"/>
  <c r="AB131" i="25" s="1"/>
  <c r="AQ131" i="25" s="1"/>
  <c r="W131" i="25"/>
  <c r="AA131" i="25" s="1"/>
  <c r="AP131" i="25" s="1"/>
  <c r="V131" i="25"/>
  <c r="Z131" i="25" s="1"/>
  <c r="AO131" i="25" s="1"/>
  <c r="AH130" i="25"/>
  <c r="AL130" i="25" s="1"/>
  <c r="AX130" i="25" s="1"/>
  <c r="AG130" i="25"/>
  <c r="AK130" i="25" s="1"/>
  <c r="AW130" i="25" s="1"/>
  <c r="AF130" i="25"/>
  <c r="AJ130" i="25" s="1"/>
  <c r="AV130" i="25" s="1"/>
  <c r="AE130" i="25"/>
  <c r="AI130" i="25" s="1"/>
  <c r="AU130" i="25" s="1"/>
  <c r="Y130" i="25"/>
  <c r="AC130" i="25" s="1"/>
  <c r="AR130" i="25" s="1"/>
  <c r="X130" i="25"/>
  <c r="AB130" i="25" s="1"/>
  <c r="AQ130" i="25" s="1"/>
  <c r="W130" i="25"/>
  <c r="AA130" i="25" s="1"/>
  <c r="AP130" i="25" s="1"/>
  <c r="V130" i="25"/>
  <c r="Z130" i="25" s="1"/>
  <c r="AH129" i="25"/>
  <c r="AL129" i="25" s="1"/>
  <c r="AX129" i="25" s="1"/>
  <c r="AG129" i="25"/>
  <c r="AK129" i="25" s="1"/>
  <c r="AW129" i="25" s="1"/>
  <c r="AF129" i="25"/>
  <c r="AJ129" i="25" s="1"/>
  <c r="AV129" i="25" s="1"/>
  <c r="AE129" i="25"/>
  <c r="AI129" i="25" s="1"/>
  <c r="AU129" i="25" s="1"/>
  <c r="Y129" i="25"/>
  <c r="AC129" i="25" s="1"/>
  <c r="AR129" i="25" s="1"/>
  <c r="X129" i="25"/>
  <c r="AB129" i="25" s="1"/>
  <c r="AQ129" i="25" s="1"/>
  <c r="W129" i="25"/>
  <c r="AA129" i="25" s="1"/>
  <c r="AP129" i="25" s="1"/>
  <c r="V129" i="25"/>
  <c r="Z129" i="25" s="1"/>
  <c r="AO129" i="25" s="1"/>
  <c r="H126" i="25"/>
  <c r="G126" i="25"/>
  <c r="F126" i="25"/>
  <c r="E126" i="25"/>
  <c r="D126" i="25"/>
  <c r="AH125" i="25"/>
  <c r="AL125" i="25" s="1"/>
  <c r="AX125" i="25" s="1"/>
  <c r="AG125" i="25"/>
  <c r="AK125" i="25" s="1"/>
  <c r="AW125" i="25" s="1"/>
  <c r="AF125" i="25"/>
  <c r="AJ125" i="25" s="1"/>
  <c r="AE125" i="25"/>
  <c r="AI125" i="25" s="1"/>
  <c r="AU125" i="25" s="1"/>
  <c r="Y125" i="25"/>
  <c r="AC125" i="25" s="1"/>
  <c r="AR125" i="25" s="1"/>
  <c r="X125" i="25"/>
  <c r="AB125" i="25" s="1"/>
  <c r="AQ125" i="25" s="1"/>
  <c r="W125" i="25"/>
  <c r="AA125" i="25" s="1"/>
  <c r="AP125" i="25" s="1"/>
  <c r="V125" i="25"/>
  <c r="Z125" i="25" s="1"/>
  <c r="AH124" i="25"/>
  <c r="AL124" i="25" s="1"/>
  <c r="AX124" i="25" s="1"/>
  <c r="AG124" i="25"/>
  <c r="AK124" i="25" s="1"/>
  <c r="AW124" i="25" s="1"/>
  <c r="AF124" i="25"/>
  <c r="AJ124" i="25" s="1"/>
  <c r="AV124" i="25" s="1"/>
  <c r="AE124" i="25"/>
  <c r="AI124" i="25" s="1"/>
  <c r="AU124" i="25" s="1"/>
  <c r="Y124" i="25"/>
  <c r="AC124" i="25" s="1"/>
  <c r="AR124" i="25" s="1"/>
  <c r="X124" i="25"/>
  <c r="AB124" i="25" s="1"/>
  <c r="AQ124" i="25" s="1"/>
  <c r="W124" i="25"/>
  <c r="AA124" i="25" s="1"/>
  <c r="AP124" i="25" s="1"/>
  <c r="V124" i="25"/>
  <c r="Z124" i="25" s="1"/>
  <c r="AO124" i="25" s="1"/>
  <c r="AH123" i="25"/>
  <c r="AL123" i="25" s="1"/>
  <c r="AX123" i="25" s="1"/>
  <c r="AG123" i="25"/>
  <c r="AK123" i="25" s="1"/>
  <c r="AW123" i="25" s="1"/>
  <c r="AF123" i="25"/>
  <c r="AJ123" i="25" s="1"/>
  <c r="AE123" i="25"/>
  <c r="AI123" i="25" s="1"/>
  <c r="AU123" i="25" s="1"/>
  <c r="Y123" i="25"/>
  <c r="AC123" i="25" s="1"/>
  <c r="AR123" i="25" s="1"/>
  <c r="X123" i="25"/>
  <c r="AB123" i="25" s="1"/>
  <c r="AQ123" i="25" s="1"/>
  <c r="W123" i="25"/>
  <c r="AA123" i="25" s="1"/>
  <c r="AP123" i="25" s="1"/>
  <c r="V123" i="25"/>
  <c r="Z123" i="25" s="1"/>
  <c r="AO123" i="25" s="1"/>
  <c r="AH122" i="25"/>
  <c r="AL122" i="25" s="1"/>
  <c r="AX122" i="25" s="1"/>
  <c r="AG122" i="25"/>
  <c r="AK122" i="25" s="1"/>
  <c r="AW122" i="25" s="1"/>
  <c r="AF122" i="25"/>
  <c r="AJ122" i="25" s="1"/>
  <c r="AV122" i="25" s="1"/>
  <c r="AE122" i="25"/>
  <c r="AI122" i="25" s="1"/>
  <c r="AU122" i="25" s="1"/>
  <c r="Y122" i="25"/>
  <c r="AC122" i="25" s="1"/>
  <c r="AR122" i="25" s="1"/>
  <c r="X122" i="25"/>
  <c r="AB122" i="25" s="1"/>
  <c r="AQ122" i="25" s="1"/>
  <c r="W122" i="25"/>
  <c r="AA122" i="25" s="1"/>
  <c r="AP122" i="25" s="1"/>
  <c r="V122" i="25"/>
  <c r="Z122" i="25" s="1"/>
  <c r="AO122" i="25" s="1"/>
  <c r="AH121" i="25"/>
  <c r="AL121" i="25" s="1"/>
  <c r="AX121" i="25" s="1"/>
  <c r="AG121" i="25"/>
  <c r="AK121" i="25" s="1"/>
  <c r="AW121" i="25" s="1"/>
  <c r="AF121" i="25"/>
  <c r="AJ121" i="25" s="1"/>
  <c r="AE121" i="25"/>
  <c r="AI121" i="25" s="1"/>
  <c r="AU121" i="25" s="1"/>
  <c r="Y121" i="25"/>
  <c r="AC121" i="25" s="1"/>
  <c r="AR121" i="25" s="1"/>
  <c r="X121" i="25"/>
  <c r="AB121" i="25" s="1"/>
  <c r="AQ121" i="25" s="1"/>
  <c r="W121" i="25"/>
  <c r="AA121" i="25" s="1"/>
  <c r="AP121" i="25" s="1"/>
  <c r="V121" i="25"/>
  <c r="Z121" i="25" s="1"/>
  <c r="AH120" i="25"/>
  <c r="AL120" i="25" s="1"/>
  <c r="AX120" i="25" s="1"/>
  <c r="AG120" i="25"/>
  <c r="AK120" i="25" s="1"/>
  <c r="AW120" i="25" s="1"/>
  <c r="AF120" i="25"/>
  <c r="AJ120" i="25" s="1"/>
  <c r="AV120" i="25" s="1"/>
  <c r="AE120" i="25"/>
  <c r="AI120" i="25" s="1"/>
  <c r="AU120" i="25" s="1"/>
  <c r="Y120" i="25"/>
  <c r="AC120" i="25" s="1"/>
  <c r="AR120" i="25" s="1"/>
  <c r="X120" i="25"/>
  <c r="AB120" i="25" s="1"/>
  <c r="AQ120" i="25" s="1"/>
  <c r="W120" i="25"/>
  <c r="AA120" i="25" s="1"/>
  <c r="AP120" i="25" s="1"/>
  <c r="V120" i="25"/>
  <c r="Z120" i="25" s="1"/>
  <c r="AO120" i="25" s="1"/>
  <c r="H117" i="25"/>
  <c r="G117" i="25"/>
  <c r="F117" i="25"/>
  <c r="E117" i="25"/>
  <c r="D117" i="25"/>
  <c r="AH116" i="25"/>
  <c r="AL116" i="25" s="1"/>
  <c r="AX116" i="25" s="1"/>
  <c r="AG116" i="25"/>
  <c r="AK116" i="25" s="1"/>
  <c r="AW116" i="25" s="1"/>
  <c r="AF116" i="25"/>
  <c r="AJ116" i="25" s="1"/>
  <c r="AV116" i="25" s="1"/>
  <c r="AE116" i="25"/>
  <c r="AI116" i="25" s="1"/>
  <c r="Y116" i="25"/>
  <c r="AC116" i="25" s="1"/>
  <c r="AR116" i="25" s="1"/>
  <c r="X116" i="25"/>
  <c r="AB116" i="25" s="1"/>
  <c r="AQ116" i="25" s="1"/>
  <c r="W116" i="25"/>
  <c r="AA116" i="25" s="1"/>
  <c r="AP116" i="25" s="1"/>
  <c r="V116" i="25"/>
  <c r="Z116" i="25" s="1"/>
  <c r="AH115" i="25"/>
  <c r="AL115" i="25" s="1"/>
  <c r="AX115" i="25" s="1"/>
  <c r="AG115" i="25"/>
  <c r="AK115" i="25" s="1"/>
  <c r="AW115" i="25" s="1"/>
  <c r="AF115" i="25"/>
  <c r="AJ115" i="25" s="1"/>
  <c r="AV115" i="25" s="1"/>
  <c r="AE115" i="25"/>
  <c r="AI115" i="25" s="1"/>
  <c r="AU115" i="25" s="1"/>
  <c r="Y115" i="25"/>
  <c r="AC115" i="25" s="1"/>
  <c r="AR115" i="25" s="1"/>
  <c r="X115" i="25"/>
  <c r="AB115" i="25" s="1"/>
  <c r="AQ115" i="25" s="1"/>
  <c r="W115" i="25"/>
  <c r="AA115" i="25" s="1"/>
  <c r="AP115" i="25" s="1"/>
  <c r="V115" i="25"/>
  <c r="Z115" i="25" s="1"/>
  <c r="AO115" i="25" s="1"/>
  <c r="AH114" i="25"/>
  <c r="AL114" i="25" s="1"/>
  <c r="AX114" i="25" s="1"/>
  <c r="AG114" i="25"/>
  <c r="AK114" i="25" s="1"/>
  <c r="AW114" i="25" s="1"/>
  <c r="AF114" i="25"/>
  <c r="AJ114" i="25" s="1"/>
  <c r="AV114" i="25" s="1"/>
  <c r="AE114" i="25"/>
  <c r="AI114" i="25" s="1"/>
  <c r="AU114" i="25" s="1"/>
  <c r="Y114" i="25"/>
  <c r="AC114" i="25" s="1"/>
  <c r="AR114" i="25" s="1"/>
  <c r="X114" i="25"/>
  <c r="AB114" i="25" s="1"/>
  <c r="AQ114" i="25" s="1"/>
  <c r="W114" i="25"/>
  <c r="AA114" i="25" s="1"/>
  <c r="AP114" i="25" s="1"/>
  <c r="V114" i="25"/>
  <c r="Z114" i="25" s="1"/>
  <c r="AH113" i="25"/>
  <c r="AL113" i="25" s="1"/>
  <c r="AX113" i="25" s="1"/>
  <c r="AG113" i="25"/>
  <c r="AK113" i="25" s="1"/>
  <c r="AW113" i="25" s="1"/>
  <c r="AF113" i="25"/>
  <c r="AJ113" i="25" s="1"/>
  <c r="AV113" i="25" s="1"/>
  <c r="AE113" i="25"/>
  <c r="AI113" i="25" s="1"/>
  <c r="AU113" i="25" s="1"/>
  <c r="Y113" i="25"/>
  <c r="AC113" i="25" s="1"/>
  <c r="AR113" i="25" s="1"/>
  <c r="X113" i="25"/>
  <c r="AB113" i="25" s="1"/>
  <c r="AQ113" i="25" s="1"/>
  <c r="W113" i="25"/>
  <c r="AA113" i="25" s="1"/>
  <c r="AP113" i="25" s="1"/>
  <c r="V113" i="25"/>
  <c r="Z113" i="25" s="1"/>
  <c r="AO113" i="25" s="1"/>
  <c r="AH112" i="25"/>
  <c r="AL112" i="25" s="1"/>
  <c r="AX112" i="25" s="1"/>
  <c r="AG112" i="25"/>
  <c r="AK112" i="25" s="1"/>
  <c r="AW112" i="25" s="1"/>
  <c r="AF112" i="25"/>
  <c r="AJ112" i="25" s="1"/>
  <c r="AV112" i="25" s="1"/>
  <c r="AE112" i="25"/>
  <c r="AI112" i="25" s="1"/>
  <c r="AU112" i="25" s="1"/>
  <c r="Y112" i="25"/>
  <c r="AC112" i="25" s="1"/>
  <c r="AR112" i="25" s="1"/>
  <c r="X112" i="25"/>
  <c r="AB112" i="25" s="1"/>
  <c r="AQ112" i="25" s="1"/>
  <c r="W112" i="25"/>
  <c r="AA112" i="25" s="1"/>
  <c r="AP112" i="25" s="1"/>
  <c r="V112" i="25"/>
  <c r="Z112" i="25" s="1"/>
  <c r="AH111" i="25"/>
  <c r="AL111" i="25" s="1"/>
  <c r="AX111" i="25" s="1"/>
  <c r="AG111" i="25"/>
  <c r="AK111" i="25" s="1"/>
  <c r="AW111" i="25" s="1"/>
  <c r="AF111" i="25"/>
  <c r="AJ111" i="25" s="1"/>
  <c r="AV111" i="25" s="1"/>
  <c r="AE111" i="25"/>
  <c r="AI111" i="25" s="1"/>
  <c r="AU111" i="25" s="1"/>
  <c r="Y111" i="25"/>
  <c r="AC111" i="25" s="1"/>
  <c r="AR111" i="25" s="1"/>
  <c r="X111" i="25"/>
  <c r="AB111" i="25" s="1"/>
  <c r="AQ111" i="25" s="1"/>
  <c r="W111" i="25"/>
  <c r="AA111" i="25" s="1"/>
  <c r="AP111" i="25" s="1"/>
  <c r="V111" i="25"/>
  <c r="Z111" i="25" s="1"/>
  <c r="AO111" i="25" s="1"/>
  <c r="H108" i="25"/>
  <c r="G108" i="25"/>
  <c r="F108" i="25"/>
  <c r="E108" i="25"/>
  <c r="D108" i="25"/>
  <c r="AH107" i="25"/>
  <c r="AL107" i="25" s="1"/>
  <c r="AX107" i="25" s="1"/>
  <c r="AG107" i="25"/>
  <c r="AK107" i="25" s="1"/>
  <c r="AW107" i="25" s="1"/>
  <c r="AF107" i="25"/>
  <c r="AJ107" i="25" s="1"/>
  <c r="AE107" i="25"/>
  <c r="AI107" i="25" s="1"/>
  <c r="AU107" i="25" s="1"/>
  <c r="Y107" i="25"/>
  <c r="AC107" i="25" s="1"/>
  <c r="AR107" i="25" s="1"/>
  <c r="X107" i="25"/>
  <c r="AB107" i="25" s="1"/>
  <c r="AQ107" i="25" s="1"/>
  <c r="W107" i="25"/>
  <c r="AA107" i="25" s="1"/>
  <c r="AP107" i="25" s="1"/>
  <c r="V107" i="25"/>
  <c r="Z107" i="25" s="1"/>
  <c r="AO107" i="25" s="1"/>
  <c r="AH106" i="25"/>
  <c r="AL106" i="25" s="1"/>
  <c r="AX106" i="25" s="1"/>
  <c r="AG106" i="25"/>
  <c r="AK106" i="25" s="1"/>
  <c r="AW106" i="25" s="1"/>
  <c r="AF106" i="25"/>
  <c r="AJ106" i="25" s="1"/>
  <c r="AV106" i="25" s="1"/>
  <c r="AE106" i="25"/>
  <c r="AI106" i="25" s="1"/>
  <c r="AU106" i="25" s="1"/>
  <c r="Y106" i="25"/>
  <c r="AC106" i="25" s="1"/>
  <c r="AR106" i="25" s="1"/>
  <c r="X106" i="25"/>
  <c r="AB106" i="25" s="1"/>
  <c r="AQ106" i="25" s="1"/>
  <c r="W106" i="25"/>
  <c r="AA106" i="25" s="1"/>
  <c r="V106" i="25"/>
  <c r="Z106" i="25" s="1"/>
  <c r="AO106" i="25" s="1"/>
  <c r="AH105" i="25"/>
  <c r="AL105" i="25" s="1"/>
  <c r="AX105" i="25" s="1"/>
  <c r="AG105" i="25"/>
  <c r="AK105" i="25" s="1"/>
  <c r="AW105" i="25" s="1"/>
  <c r="AF105" i="25"/>
  <c r="AJ105" i="25" s="1"/>
  <c r="AE105" i="25"/>
  <c r="AI105" i="25" s="1"/>
  <c r="AU105" i="25" s="1"/>
  <c r="Y105" i="25"/>
  <c r="AC105" i="25" s="1"/>
  <c r="AR105" i="25" s="1"/>
  <c r="X105" i="25"/>
  <c r="AB105" i="25" s="1"/>
  <c r="AQ105" i="25" s="1"/>
  <c r="W105" i="25"/>
  <c r="AA105" i="25" s="1"/>
  <c r="AP105" i="25" s="1"/>
  <c r="V105" i="25"/>
  <c r="Z105" i="25" s="1"/>
  <c r="AH104" i="25"/>
  <c r="AL104" i="25" s="1"/>
  <c r="AX104" i="25" s="1"/>
  <c r="AG104" i="25"/>
  <c r="AK104" i="25" s="1"/>
  <c r="AW104" i="25" s="1"/>
  <c r="AF104" i="25"/>
  <c r="AJ104" i="25" s="1"/>
  <c r="AV104" i="25" s="1"/>
  <c r="AE104" i="25"/>
  <c r="AI104" i="25" s="1"/>
  <c r="AU104" i="25" s="1"/>
  <c r="Y104" i="25"/>
  <c r="AC104" i="25" s="1"/>
  <c r="AR104" i="25" s="1"/>
  <c r="X104" i="25"/>
  <c r="AB104" i="25" s="1"/>
  <c r="AQ104" i="25" s="1"/>
  <c r="W104" i="25"/>
  <c r="AA104" i="25" s="1"/>
  <c r="AP104" i="25" s="1"/>
  <c r="V104" i="25"/>
  <c r="Z104" i="25" s="1"/>
  <c r="AO104" i="25" s="1"/>
  <c r="AH103" i="25"/>
  <c r="AL103" i="25" s="1"/>
  <c r="AX103" i="25" s="1"/>
  <c r="AG103" i="25"/>
  <c r="AK103" i="25" s="1"/>
  <c r="AW103" i="25" s="1"/>
  <c r="AF103" i="25"/>
  <c r="AJ103" i="25" s="1"/>
  <c r="AE103" i="25"/>
  <c r="AI103" i="25" s="1"/>
  <c r="AU103" i="25" s="1"/>
  <c r="Y103" i="25"/>
  <c r="AC103" i="25" s="1"/>
  <c r="AR103" i="25" s="1"/>
  <c r="X103" i="25"/>
  <c r="AB103" i="25" s="1"/>
  <c r="AQ103" i="25" s="1"/>
  <c r="W103" i="25"/>
  <c r="AA103" i="25" s="1"/>
  <c r="AP103" i="25" s="1"/>
  <c r="V103" i="25"/>
  <c r="Z103" i="25" s="1"/>
  <c r="AO103" i="25" s="1"/>
  <c r="AH102" i="25"/>
  <c r="AL102" i="25" s="1"/>
  <c r="AX102" i="25" s="1"/>
  <c r="AG102" i="25"/>
  <c r="AK102" i="25" s="1"/>
  <c r="AW102" i="25" s="1"/>
  <c r="AF102" i="25"/>
  <c r="AJ102" i="25" s="1"/>
  <c r="AV102" i="25" s="1"/>
  <c r="AE102" i="25"/>
  <c r="AI102" i="25" s="1"/>
  <c r="AU102" i="25" s="1"/>
  <c r="Y102" i="25"/>
  <c r="AC102" i="25" s="1"/>
  <c r="AR102" i="25" s="1"/>
  <c r="X102" i="25"/>
  <c r="AB102" i="25" s="1"/>
  <c r="AQ102" i="25" s="1"/>
  <c r="W102" i="25"/>
  <c r="AA102" i="25" s="1"/>
  <c r="V102" i="25"/>
  <c r="Z102" i="25" s="1"/>
  <c r="AO102" i="25" s="1"/>
  <c r="H99" i="25"/>
  <c r="G99" i="25"/>
  <c r="F99" i="25"/>
  <c r="E99" i="25"/>
  <c r="D99" i="25"/>
  <c r="AH98" i="25"/>
  <c r="AL98" i="25" s="1"/>
  <c r="AX98" i="25" s="1"/>
  <c r="AG98" i="25"/>
  <c r="AK98" i="25" s="1"/>
  <c r="AW98" i="25" s="1"/>
  <c r="AF98" i="25"/>
  <c r="AJ98" i="25" s="1"/>
  <c r="AV98" i="25" s="1"/>
  <c r="AE98" i="25"/>
  <c r="AI98" i="25" s="1"/>
  <c r="AU98" i="25" s="1"/>
  <c r="Y98" i="25"/>
  <c r="AC98" i="25" s="1"/>
  <c r="AR98" i="25" s="1"/>
  <c r="X98" i="25"/>
  <c r="AB98" i="25" s="1"/>
  <c r="AQ98" i="25" s="1"/>
  <c r="W98" i="25"/>
  <c r="AA98" i="25" s="1"/>
  <c r="AP98" i="25" s="1"/>
  <c r="V98" i="25"/>
  <c r="Z98" i="25" s="1"/>
  <c r="AH97" i="25"/>
  <c r="AL97" i="25" s="1"/>
  <c r="AX97" i="25" s="1"/>
  <c r="AG97" i="25"/>
  <c r="AK97" i="25" s="1"/>
  <c r="AW97" i="25" s="1"/>
  <c r="AF97" i="25"/>
  <c r="AJ97" i="25" s="1"/>
  <c r="AV97" i="25" s="1"/>
  <c r="AE97" i="25"/>
  <c r="AI97" i="25" s="1"/>
  <c r="AU97" i="25" s="1"/>
  <c r="Y97" i="25"/>
  <c r="AC97" i="25" s="1"/>
  <c r="AR97" i="25" s="1"/>
  <c r="X97" i="25"/>
  <c r="AB97" i="25" s="1"/>
  <c r="AQ97" i="25" s="1"/>
  <c r="W97" i="25"/>
  <c r="AA97" i="25" s="1"/>
  <c r="AP97" i="25" s="1"/>
  <c r="V97" i="25"/>
  <c r="Z97" i="25" s="1"/>
  <c r="AO97" i="25" s="1"/>
  <c r="AH96" i="25"/>
  <c r="AL96" i="25" s="1"/>
  <c r="AX96" i="25" s="1"/>
  <c r="AG96" i="25"/>
  <c r="AK96" i="25" s="1"/>
  <c r="AW96" i="25" s="1"/>
  <c r="AF96" i="25"/>
  <c r="AJ96" i="25" s="1"/>
  <c r="AV96" i="25" s="1"/>
  <c r="AE96" i="25"/>
  <c r="AI96" i="25" s="1"/>
  <c r="AU96" i="25" s="1"/>
  <c r="Y96" i="25"/>
  <c r="AC96" i="25" s="1"/>
  <c r="AR96" i="25" s="1"/>
  <c r="X96" i="25"/>
  <c r="AB96" i="25" s="1"/>
  <c r="AQ96" i="25" s="1"/>
  <c r="W96" i="25"/>
  <c r="AA96" i="25" s="1"/>
  <c r="AP96" i="25" s="1"/>
  <c r="V96" i="25"/>
  <c r="Z96" i="25" s="1"/>
  <c r="AH95" i="25"/>
  <c r="AL95" i="25" s="1"/>
  <c r="AX95" i="25" s="1"/>
  <c r="AG95" i="25"/>
  <c r="AK95" i="25" s="1"/>
  <c r="AW95" i="25" s="1"/>
  <c r="AF95" i="25"/>
  <c r="AJ95" i="25" s="1"/>
  <c r="AV95" i="25" s="1"/>
  <c r="AE95" i="25"/>
  <c r="AI95" i="25" s="1"/>
  <c r="AU95" i="25" s="1"/>
  <c r="Y95" i="25"/>
  <c r="AC95" i="25" s="1"/>
  <c r="AR95" i="25" s="1"/>
  <c r="X95" i="25"/>
  <c r="AB95" i="25" s="1"/>
  <c r="AQ95" i="25" s="1"/>
  <c r="W95" i="25"/>
  <c r="AA95" i="25" s="1"/>
  <c r="AP95" i="25" s="1"/>
  <c r="V95" i="25"/>
  <c r="Z95" i="25" s="1"/>
  <c r="AO95" i="25" s="1"/>
  <c r="AH94" i="25"/>
  <c r="AL94" i="25" s="1"/>
  <c r="AX94" i="25" s="1"/>
  <c r="AG94" i="25"/>
  <c r="AK94" i="25" s="1"/>
  <c r="AW94" i="25" s="1"/>
  <c r="AF94" i="25"/>
  <c r="AJ94" i="25" s="1"/>
  <c r="AV94" i="25" s="1"/>
  <c r="AE94" i="25"/>
  <c r="AI94" i="25" s="1"/>
  <c r="AU94" i="25" s="1"/>
  <c r="Y94" i="25"/>
  <c r="AC94" i="25" s="1"/>
  <c r="AR94" i="25" s="1"/>
  <c r="X94" i="25"/>
  <c r="AB94" i="25" s="1"/>
  <c r="AQ94" i="25" s="1"/>
  <c r="W94" i="25"/>
  <c r="AA94" i="25" s="1"/>
  <c r="AP94" i="25" s="1"/>
  <c r="V94" i="25"/>
  <c r="Z94" i="25" s="1"/>
  <c r="AH93" i="25"/>
  <c r="AL93" i="25" s="1"/>
  <c r="AX93" i="25" s="1"/>
  <c r="AG93" i="25"/>
  <c r="AK93" i="25" s="1"/>
  <c r="AW93" i="25" s="1"/>
  <c r="AF93" i="25"/>
  <c r="AJ93" i="25" s="1"/>
  <c r="AV93" i="25" s="1"/>
  <c r="AE93" i="25"/>
  <c r="AI93" i="25" s="1"/>
  <c r="AU93" i="25" s="1"/>
  <c r="Y93" i="25"/>
  <c r="AC93" i="25" s="1"/>
  <c r="AR93" i="25" s="1"/>
  <c r="X93" i="25"/>
  <c r="AB93" i="25" s="1"/>
  <c r="AQ93" i="25" s="1"/>
  <c r="W93" i="25"/>
  <c r="AA93" i="25" s="1"/>
  <c r="AP93" i="25" s="1"/>
  <c r="V93" i="25"/>
  <c r="Z93" i="25" s="1"/>
  <c r="H90" i="25"/>
  <c r="G90" i="25"/>
  <c r="F90" i="25"/>
  <c r="E90" i="25"/>
  <c r="D90" i="25"/>
  <c r="AH89" i="25"/>
  <c r="AL89" i="25" s="1"/>
  <c r="AX89" i="25" s="1"/>
  <c r="AG89" i="25"/>
  <c r="AK89" i="25" s="1"/>
  <c r="AW89" i="25" s="1"/>
  <c r="AF89" i="25"/>
  <c r="AJ89" i="25" s="1"/>
  <c r="AE89" i="25"/>
  <c r="AI89" i="25" s="1"/>
  <c r="AU89" i="25" s="1"/>
  <c r="Y89" i="25"/>
  <c r="AC89" i="25" s="1"/>
  <c r="AR89" i="25" s="1"/>
  <c r="X89" i="25"/>
  <c r="AB89" i="25" s="1"/>
  <c r="AQ89" i="25" s="1"/>
  <c r="W89" i="25"/>
  <c r="AA89" i="25" s="1"/>
  <c r="AP89" i="25" s="1"/>
  <c r="V89" i="25"/>
  <c r="Z89" i="25" s="1"/>
  <c r="AO89" i="25" s="1"/>
  <c r="AH88" i="25"/>
  <c r="AL88" i="25" s="1"/>
  <c r="AX88" i="25" s="1"/>
  <c r="AG88" i="25"/>
  <c r="AK88" i="25" s="1"/>
  <c r="AW88" i="25" s="1"/>
  <c r="AF88" i="25"/>
  <c r="AJ88" i="25" s="1"/>
  <c r="AE88" i="25"/>
  <c r="AI88" i="25" s="1"/>
  <c r="AU88" i="25" s="1"/>
  <c r="Y88" i="25"/>
  <c r="AC88" i="25" s="1"/>
  <c r="AR88" i="25" s="1"/>
  <c r="X88" i="25"/>
  <c r="AB88" i="25" s="1"/>
  <c r="AQ88" i="25" s="1"/>
  <c r="W88" i="25"/>
  <c r="AA88" i="25" s="1"/>
  <c r="AP88" i="25" s="1"/>
  <c r="V88" i="25"/>
  <c r="Z88" i="25" s="1"/>
  <c r="AO88" i="25" s="1"/>
  <c r="AH87" i="25"/>
  <c r="AL87" i="25" s="1"/>
  <c r="AX87" i="25" s="1"/>
  <c r="AG87" i="25"/>
  <c r="AK87" i="25" s="1"/>
  <c r="AW87" i="25" s="1"/>
  <c r="AF87" i="25"/>
  <c r="AJ87" i="25" s="1"/>
  <c r="AE87" i="25"/>
  <c r="AI87" i="25" s="1"/>
  <c r="AU87" i="25" s="1"/>
  <c r="Y87" i="25"/>
  <c r="AC87" i="25" s="1"/>
  <c r="AR87" i="25" s="1"/>
  <c r="X87" i="25"/>
  <c r="AB87" i="25" s="1"/>
  <c r="AQ87" i="25" s="1"/>
  <c r="W87" i="25"/>
  <c r="AA87" i="25" s="1"/>
  <c r="AP87" i="25" s="1"/>
  <c r="V87" i="25"/>
  <c r="Z87" i="25" s="1"/>
  <c r="AO87" i="25" s="1"/>
  <c r="AH86" i="25"/>
  <c r="AL86" i="25" s="1"/>
  <c r="AX86" i="25" s="1"/>
  <c r="AG86" i="25"/>
  <c r="AK86" i="25" s="1"/>
  <c r="AW86" i="25" s="1"/>
  <c r="AF86" i="25"/>
  <c r="AJ86" i="25" s="1"/>
  <c r="AE86" i="25"/>
  <c r="AI86" i="25" s="1"/>
  <c r="AU86" i="25" s="1"/>
  <c r="Y86" i="25"/>
  <c r="AC86" i="25" s="1"/>
  <c r="AR86" i="25" s="1"/>
  <c r="X86" i="25"/>
  <c r="AB86" i="25" s="1"/>
  <c r="AQ86" i="25" s="1"/>
  <c r="W86" i="25"/>
  <c r="AA86" i="25" s="1"/>
  <c r="AP86" i="25" s="1"/>
  <c r="V86" i="25"/>
  <c r="Z86" i="25" s="1"/>
  <c r="AH85" i="25"/>
  <c r="AL85" i="25" s="1"/>
  <c r="AX85" i="25" s="1"/>
  <c r="AG85" i="25"/>
  <c r="AK85" i="25" s="1"/>
  <c r="AW85" i="25" s="1"/>
  <c r="AF85" i="25"/>
  <c r="AJ85" i="25" s="1"/>
  <c r="AE85" i="25"/>
  <c r="AI85" i="25" s="1"/>
  <c r="AU85" i="25" s="1"/>
  <c r="Y85" i="25"/>
  <c r="AC85" i="25" s="1"/>
  <c r="AR85" i="25" s="1"/>
  <c r="X85" i="25"/>
  <c r="AB85" i="25" s="1"/>
  <c r="AQ85" i="25" s="1"/>
  <c r="W85" i="25"/>
  <c r="AA85" i="25" s="1"/>
  <c r="AP85" i="25" s="1"/>
  <c r="V85" i="25"/>
  <c r="Z85" i="25" s="1"/>
  <c r="AO85" i="25" s="1"/>
  <c r="AH84" i="25"/>
  <c r="AL84" i="25" s="1"/>
  <c r="AX84" i="25" s="1"/>
  <c r="AG84" i="25"/>
  <c r="AK84" i="25" s="1"/>
  <c r="AW84" i="25" s="1"/>
  <c r="AF84" i="25"/>
  <c r="AJ84" i="25" s="1"/>
  <c r="AE84" i="25"/>
  <c r="AI84" i="25" s="1"/>
  <c r="AU84" i="25" s="1"/>
  <c r="Y84" i="25"/>
  <c r="AC84" i="25" s="1"/>
  <c r="AR84" i="25" s="1"/>
  <c r="X84" i="25"/>
  <c r="AB84" i="25" s="1"/>
  <c r="AQ84" i="25" s="1"/>
  <c r="W84" i="25"/>
  <c r="AA84" i="25" s="1"/>
  <c r="AP84" i="25" s="1"/>
  <c r="V84" i="25"/>
  <c r="Z84" i="25" s="1"/>
  <c r="AO84" i="25" s="1"/>
  <c r="H81" i="25"/>
  <c r="G81" i="25"/>
  <c r="F81" i="25"/>
  <c r="E81" i="25"/>
  <c r="D81" i="25"/>
  <c r="AH80" i="25"/>
  <c r="AL80" i="25" s="1"/>
  <c r="AX80" i="25" s="1"/>
  <c r="AG80" i="25"/>
  <c r="AK80" i="25" s="1"/>
  <c r="AW80" i="25" s="1"/>
  <c r="AF80" i="25"/>
  <c r="AJ80" i="25" s="1"/>
  <c r="AV80" i="25" s="1"/>
  <c r="AE80" i="25"/>
  <c r="AI80" i="25" s="1"/>
  <c r="AU80" i="25" s="1"/>
  <c r="Y80" i="25"/>
  <c r="AC80" i="25" s="1"/>
  <c r="AR80" i="25" s="1"/>
  <c r="X80" i="25"/>
  <c r="AB80" i="25" s="1"/>
  <c r="AQ80" i="25" s="1"/>
  <c r="W80" i="25"/>
  <c r="AA80" i="25" s="1"/>
  <c r="AP80" i="25" s="1"/>
  <c r="V80" i="25"/>
  <c r="Z80" i="25" s="1"/>
  <c r="AH79" i="25"/>
  <c r="AL79" i="25" s="1"/>
  <c r="AX79" i="25" s="1"/>
  <c r="AG79" i="25"/>
  <c r="AK79" i="25" s="1"/>
  <c r="AW79" i="25" s="1"/>
  <c r="AF79" i="25"/>
  <c r="AJ79" i="25" s="1"/>
  <c r="AV79" i="25" s="1"/>
  <c r="AE79" i="25"/>
  <c r="AI79" i="25" s="1"/>
  <c r="AU79" i="25" s="1"/>
  <c r="Y79" i="25"/>
  <c r="AC79" i="25" s="1"/>
  <c r="AR79" i="25" s="1"/>
  <c r="X79" i="25"/>
  <c r="AB79" i="25" s="1"/>
  <c r="AQ79" i="25" s="1"/>
  <c r="W79" i="25"/>
  <c r="AA79" i="25" s="1"/>
  <c r="AP79" i="25" s="1"/>
  <c r="V79" i="25"/>
  <c r="Z79" i="25" s="1"/>
  <c r="AO79" i="25" s="1"/>
  <c r="AH78" i="25"/>
  <c r="AL78" i="25" s="1"/>
  <c r="AX78" i="25" s="1"/>
  <c r="AG78" i="25"/>
  <c r="AK78" i="25" s="1"/>
  <c r="AW78" i="25" s="1"/>
  <c r="AF78" i="25"/>
  <c r="AJ78" i="25" s="1"/>
  <c r="AV78" i="25" s="1"/>
  <c r="AE78" i="25"/>
  <c r="AI78" i="25" s="1"/>
  <c r="AU78" i="25" s="1"/>
  <c r="Y78" i="25"/>
  <c r="AC78" i="25" s="1"/>
  <c r="AR78" i="25" s="1"/>
  <c r="X78" i="25"/>
  <c r="AB78" i="25" s="1"/>
  <c r="AQ78" i="25" s="1"/>
  <c r="W78" i="25"/>
  <c r="AA78" i="25" s="1"/>
  <c r="AP78" i="25" s="1"/>
  <c r="V78" i="25"/>
  <c r="Z78" i="25" s="1"/>
  <c r="AH77" i="25"/>
  <c r="AL77" i="25" s="1"/>
  <c r="AX77" i="25" s="1"/>
  <c r="AG77" i="25"/>
  <c r="AK77" i="25" s="1"/>
  <c r="AW77" i="25" s="1"/>
  <c r="AF77" i="25"/>
  <c r="AJ77" i="25" s="1"/>
  <c r="AV77" i="25" s="1"/>
  <c r="AE77" i="25"/>
  <c r="AI77" i="25" s="1"/>
  <c r="AU77" i="25" s="1"/>
  <c r="Y77" i="25"/>
  <c r="AC77" i="25" s="1"/>
  <c r="AR77" i="25" s="1"/>
  <c r="X77" i="25"/>
  <c r="AB77" i="25" s="1"/>
  <c r="AQ77" i="25" s="1"/>
  <c r="W77" i="25"/>
  <c r="AA77" i="25" s="1"/>
  <c r="AP77" i="25" s="1"/>
  <c r="V77" i="25"/>
  <c r="Z77" i="25" s="1"/>
  <c r="AO77" i="25" s="1"/>
  <c r="AH76" i="25"/>
  <c r="AL76" i="25" s="1"/>
  <c r="AX76" i="25" s="1"/>
  <c r="AG76" i="25"/>
  <c r="AK76" i="25" s="1"/>
  <c r="AW76" i="25" s="1"/>
  <c r="AF76" i="25"/>
  <c r="AJ76" i="25" s="1"/>
  <c r="AV76" i="25" s="1"/>
  <c r="AE76" i="25"/>
  <c r="AI76" i="25" s="1"/>
  <c r="AU76" i="25" s="1"/>
  <c r="Y76" i="25"/>
  <c r="AC76" i="25" s="1"/>
  <c r="AR76" i="25" s="1"/>
  <c r="X76" i="25"/>
  <c r="AB76" i="25" s="1"/>
  <c r="AQ76" i="25" s="1"/>
  <c r="W76" i="25"/>
  <c r="AA76" i="25" s="1"/>
  <c r="AP76" i="25" s="1"/>
  <c r="V76" i="25"/>
  <c r="Z76" i="25" s="1"/>
  <c r="AH75" i="25"/>
  <c r="AL75" i="25" s="1"/>
  <c r="AX75" i="25" s="1"/>
  <c r="AG75" i="25"/>
  <c r="AK75" i="25" s="1"/>
  <c r="AW75" i="25" s="1"/>
  <c r="AF75" i="25"/>
  <c r="AJ75" i="25" s="1"/>
  <c r="AV75" i="25" s="1"/>
  <c r="AE75" i="25"/>
  <c r="AI75" i="25" s="1"/>
  <c r="AU75" i="25" s="1"/>
  <c r="Y75" i="25"/>
  <c r="AC75" i="25" s="1"/>
  <c r="AR75" i="25" s="1"/>
  <c r="X75" i="25"/>
  <c r="AB75" i="25" s="1"/>
  <c r="AQ75" i="25" s="1"/>
  <c r="W75" i="25"/>
  <c r="AA75" i="25" s="1"/>
  <c r="AP75" i="25" s="1"/>
  <c r="V75" i="25"/>
  <c r="Z75" i="25" s="1"/>
  <c r="AO75" i="25" s="1"/>
  <c r="H72" i="25"/>
  <c r="G72" i="25"/>
  <c r="F72" i="25"/>
  <c r="E72" i="25"/>
  <c r="D72" i="25"/>
  <c r="AH71" i="25"/>
  <c r="AL71" i="25" s="1"/>
  <c r="AX71" i="25" s="1"/>
  <c r="AG71" i="25"/>
  <c r="AK71" i="25" s="1"/>
  <c r="AW71" i="25" s="1"/>
  <c r="AF71" i="25"/>
  <c r="AJ71" i="25" s="1"/>
  <c r="AE71" i="25"/>
  <c r="AI71" i="25" s="1"/>
  <c r="AU71" i="25" s="1"/>
  <c r="Y71" i="25"/>
  <c r="AC71" i="25" s="1"/>
  <c r="AR71" i="25" s="1"/>
  <c r="X71" i="25"/>
  <c r="AB71" i="25" s="1"/>
  <c r="AQ71" i="25" s="1"/>
  <c r="W71" i="25"/>
  <c r="AA71" i="25" s="1"/>
  <c r="AP71" i="25" s="1"/>
  <c r="V71" i="25"/>
  <c r="Z71" i="25" s="1"/>
  <c r="AO71" i="25" s="1"/>
  <c r="AH70" i="25"/>
  <c r="AL70" i="25" s="1"/>
  <c r="AX70" i="25" s="1"/>
  <c r="AG70" i="25"/>
  <c r="AK70" i="25" s="1"/>
  <c r="AW70" i="25" s="1"/>
  <c r="AF70" i="25"/>
  <c r="AJ70" i="25" s="1"/>
  <c r="AE70" i="25"/>
  <c r="AI70" i="25" s="1"/>
  <c r="AU70" i="25" s="1"/>
  <c r="Y70" i="25"/>
  <c r="AC70" i="25" s="1"/>
  <c r="AR70" i="25" s="1"/>
  <c r="X70" i="25"/>
  <c r="AB70" i="25" s="1"/>
  <c r="AQ70" i="25" s="1"/>
  <c r="W70" i="25"/>
  <c r="AA70" i="25" s="1"/>
  <c r="AP70" i="25" s="1"/>
  <c r="V70" i="25"/>
  <c r="Z70" i="25" s="1"/>
  <c r="AO70" i="25" s="1"/>
  <c r="AH69" i="25"/>
  <c r="AL69" i="25" s="1"/>
  <c r="AX69" i="25" s="1"/>
  <c r="AG69" i="25"/>
  <c r="AK69" i="25" s="1"/>
  <c r="AW69" i="25" s="1"/>
  <c r="AF69" i="25"/>
  <c r="AJ69" i="25" s="1"/>
  <c r="AE69" i="25"/>
  <c r="AI69" i="25" s="1"/>
  <c r="AU69" i="25" s="1"/>
  <c r="Y69" i="25"/>
  <c r="AC69" i="25" s="1"/>
  <c r="AR69" i="25" s="1"/>
  <c r="X69" i="25"/>
  <c r="AB69" i="25" s="1"/>
  <c r="AQ69" i="25" s="1"/>
  <c r="W69" i="25"/>
  <c r="AA69" i="25" s="1"/>
  <c r="AP69" i="25" s="1"/>
  <c r="V69" i="25"/>
  <c r="Z69" i="25" s="1"/>
  <c r="AO69" i="25" s="1"/>
  <c r="AH68" i="25"/>
  <c r="AL68" i="25" s="1"/>
  <c r="AX68" i="25" s="1"/>
  <c r="AG68" i="25"/>
  <c r="AK68" i="25" s="1"/>
  <c r="AW68" i="25" s="1"/>
  <c r="AF68" i="25"/>
  <c r="AJ68" i="25" s="1"/>
  <c r="AE68" i="25"/>
  <c r="AI68" i="25" s="1"/>
  <c r="AU68" i="25" s="1"/>
  <c r="Y68" i="25"/>
  <c r="AC68" i="25" s="1"/>
  <c r="AR68" i="25" s="1"/>
  <c r="X68" i="25"/>
  <c r="AB68" i="25" s="1"/>
  <c r="AQ68" i="25" s="1"/>
  <c r="W68" i="25"/>
  <c r="AA68" i="25" s="1"/>
  <c r="AP68" i="25" s="1"/>
  <c r="V68" i="25"/>
  <c r="Z68" i="25" s="1"/>
  <c r="AO68" i="25" s="1"/>
  <c r="AH67" i="25"/>
  <c r="AL67" i="25" s="1"/>
  <c r="AX67" i="25" s="1"/>
  <c r="AG67" i="25"/>
  <c r="AK67" i="25" s="1"/>
  <c r="AW67" i="25" s="1"/>
  <c r="AF67" i="25"/>
  <c r="AJ67" i="25" s="1"/>
  <c r="AE67" i="25"/>
  <c r="AI67" i="25" s="1"/>
  <c r="AU67" i="25" s="1"/>
  <c r="Y67" i="25"/>
  <c r="AC67" i="25" s="1"/>
  <c r="AR67" i="25" s="1"/>
  <c r="X67" i="25"/>
  <c r="AB67" i="25" s="1"/>
  <c r="AQ67" i="25" s="1"/>
  <c r="W67" i="25"/>
  <c r="AA67" i="25" s="1"/>
  <c r="AP67" i="25" s="1"/>
  <c r="V67" i="25"/>
  <c r="Z67" i="25" s="1"/>
  <c r="AO67" i="25" s="1"/>
  <c r="AH66" i="25"/>
  <c r="AL66" i="25" s="1"/>
  <c r="AX66" i="25" s="1"/>
  <c r="AG66" i="25"/>
  <c r="AK66" i="25" s="1"/>
  <c r="AW66" i="25" s="1"/>
  <c r="AF66" i="25"/>
  <c r="AJ66" i="25" s="1"/>
  <c r="AE66" i="25"/>
  <c r="AI66" i="25" s="1"/>
  <c r="AU66" i="25" s="1"/>
  <c r="Y66" i="25"/>
  <c r="AC66" i="25" s="1"/>
  <c r="AR66" i="25" s="1"/>
  <c r="X66" i="25"/>
  <c r="AB66" i="25" s="1"/>
  <c r="AQ66" i="25" s="1"/>
  <c r="W66" i="25"/>
  <c r="AA66" i="25" s="1"/>
  <c r="AP66" i="25" s="1"/>
  <c r="V66" i="25"/>
  <c r="Z66" i="25" s="1"/>
  <c r="AO66" i="25" s="1"/>
  <c r="H63" i="25"/>
  <c r="G63" i="25"/>
  <c r="F63" i="25"/>
  <c r="E63" i="25"/>
  <c r="D63" i="25"/>
  <c r="AH62" i="25"/>
  <c r="AL62" i="25" s="1"/>
  <c r="AX62" i="25" s="1"/>
  <c r="AG62" i="25"/>
  <c r="AK62" i="25" s="1"/>
  <c r="AW62" i="25" s="1"/>
  <c r="AF62" i="25"/>
  <c r="AJ62" i="25" s="1"/>
  <c r="AV62" i="25" s="1"/>
  <c r="AE62" i="25"/>
  <c r="AI62" i="25" s="1"/>
  <c r="Y62" i="25"/>
  <c r="AC62" i="25" s="1"/>
  <c r="AR62" i="25" s="1"/>
  <c r="X62" i="25"/>
  <c r="AB62" i="25" s="1"/>
  <c r="AQ62" i="25" s="1"/>
  <c r="W62" i="25"/>
  <c r="AA62" i="25" s="1"/>
  <c r="AP62" i="25" s="1"/>
  <c r="V62" i="25"/>
  <c r="Z62" i="25" s="1"/>
  <c r="AH61" i="25"/>
  <c r="AL61" i="25" s="1"/>
  <c r="AX61" i="25" s="1"/>
  <c r="AG61" i="25"/>
  <c r="AK61" i="25" s="1"/>
  <c r="AW61" i="25" s="1"/>
  <c r="AF61" i="25"/>
  <c r="AJ61" i="25" s="1"/>
  <c r="AV61" i="25" s="1"/>
  <c r="AE61" i="25"/>
  <c r="AI61" i="25" s="1"/>
  <c r="AU61" i="25" s="1"/>
  <c r="Y61" i="25"/>
  <c r="AC61" i="25" s="1"/>
  <c r="AR61" i="25" s="1"/>
  <c r="X61" i="25"/>
  <c r="AB61" i="25" s="1"/>
  <c r="AQ61" i="25" s="1"/>
  <c r="W61" i="25"/>
  <c r="AA61" i="25" s="1"/>
  <c r="AP61" i="25" s="1"/>
  <c r="V61" i="25"/>
  <c r="Z61" i="25" s="1"/>
  <c r="AO61" i="25" s="1"/>
  <c r="AH60" i="25"/>
  <c r="AL60" i="25" s="1"/>
  <c r="AX60" i="25" s="1"/>
  <c r="AG60" i="25"/>
  <c r="AK60" i="25" s="1"/>
  <c r="AW60" i="25" s="1"/>
  <c r="AF60" i="25"/>
  <c r="AJ60" i="25" s="1"/>
  <c r="AV60" i="25" s="1"/>
  <c r="AE60" i="25"/>
  <c r="AI60" i="25" s="1"/>
  <c r="AU60" i="25" s="1"/>
  <c r="Y60" i="25"/>
  <c r="AC60" i="25" s="1"/>
  <c r="AR60" i="25" s="1"/>
  <c r="X60" i="25"/>
  <c r="AB60" i="25" s="1"/>
  <c r="AQ60" i="25" s="1"/>
  <c r="W60" i="25"/>
  <c r="AA60" i="25" s="1"/>
  <c r="AP60" i="25" s="1"/>
  <c r="V60" i="25"/>
  <c r="Z60" i="25" s="1"/>
  <c r="AH59" i="25"/>
  <c r="AL59" i="25" s="1"/>
  <c r="AX59" i="25" s="1"/>
  <c r="AG59" i="25"/>
  <c r="AK59" i="25" s="1"/>
  <c r="AW59" i="25" s="1"/>
  <c r="AF59" i="25"/>
  <c r="AJ59" i="25" s="1"/>
  <c r="AV59" i="25" s="1"/>
  <c r="AE59" i="25"/>
  <c r="AI59" i="25" s="1"/>
  <c r="AU59" i="25" s="1"/>
  <c r="Y59" i="25"/>
  <c r="AC59" i="25" s="1"/>
  <c r="AR59" i="25" s="1"/>
  <c r="X59" i="25"/>
  <c r="AB59" i="25" s="1"/>
  <c r="AQ59" i="25" s="1"/>
  <c r="W59" i="25"/>
  <c r="AA59" i="25" s="1"/>
  <c r="AP59" i="25" s="1"/>
  <c r="V59" i="25"/>
  <c r="Z59" i="25" s="1"/>
  <c r="AO59" i="25" s="1"/>
  <c r="AH58" i="25"/>
  <c r="AL58" i="25" s="1"/>
  <c r="AX58" i="25" s="1"/>
  <c r="AG58" i="25"/>
  <c r="AK58" i="25" s="1"/>
  <c r="AW58" i="25" s="1"/>
  <c r="AF58" i="25"/>
  <c r="AJ58" i="25" s="1"/>
  <c r="AV58" i="25" s="1"/>
  <c r="AE58" i="25"/>
  <c r="AI58" i="25" s="1"/>
  <c r="AU58" i="25" s="1"/>
  <c r="Y58" i="25"/>
  <c r="AC58" i="25" s="1"/>
  <c r="AR58" i="25" s="1"/>
  <c r="X58" i="25"/>
  <c r="AB58" i="25" s="1"/>
  <c r="AQ58" i="25" s="1"/>
  <c r="W58" i="25"/>
  <c r="AA58" i="25" s="1"/>
  <c r="AP58" i="25" s="1"/>
  <c r="V58" i="25"/>
  <c r="Z58" i="25" s="1"/>
  <c r="AH57" i="25"/>
  <c r="AL57" i="25" s="1"/>
  <c r="AX57" i="25" s="1"/>
  <c r="AG57" i="25"/>
  <c r="AK57" i="25" s="1"/>
  <c r="AW57" i="25" s="1"/>
  <c r="AF57" i="25"/>
  <c r="AJ57" i="25" s="1"/>
  <c r="AV57" i="25" s="1"/>
  <c r="AE57" i="25"/>
  <c r="AI57" i="25" s="1"/>
  <c r="AU57" i="25" s="1"/>
  <c r="Y57" i="25"/>
  <c r="AC57" i="25" s="1"/>
  <c r="AR57" i="25" s="1"/>
  <c r="X57" i="25"/>
  <c r="AB57" i="25" s="1"/>
  <c r="AQ57" i="25" s="1"/>
  <c r="W57" i="25"/>
  <c r="AA57" i="25" s="1"/>
  <c r="AP57" i="25" s="1"/>
  <c r="V57" i="25"/>
  <c r="Z57" i="25" s="1"/>
  <c r="AO57" i="25" s="1"/>
  <c r="H54" i="25"/>
  <c r="G54" i="25"/>
  <c r="F54" i="25"/>
  <c r="E54" i="25"/>
  <c r="D54" i="25"/>
  <c r="AH53" i="25"/>
  <c r="AL53" i="25" s="1"/>
  <c r="AX53" i="25" s="1"/>
  <c r="AG53" i="25"/>
  <c r="AK53" i="25" s="1"/>
  <c r="AW53" i="25" s="1"/>
  <c r="AF53" i="25"/>
  <c r="AJ53" i="25" s="1"/>
  <c r="AE53" i="25"/>
  <c r="AI53" i="25" s="1"/>
  <c r="AU53" i="25" s="1"/>
  <c r="Y53" i="25"/>
  <c r="AC53" i="25" s="1"/>
  <c r="AR53" i="25" s="1"/>
  <c r="X53" i="25"/>
  <c r="AB53" i="25" s="1"/>
  <c r="AQ53" i="25" s="1"/>
  <c r="W53" i="25"/>
  <c r="AA53" i="25" s="1"/>
  <c r="AP53" i="25" s="1"/>
  <c r="V53" i="25"/>
  <c r="Z53" i="25" s="1"/>
  <c r="AO53" i="25" s="1"/>
  <c r="AH52" i="25"/>
  <c r="AL52" i="25" s="1"/>
  <c r="AX52" i="25" s="1"/>
  <c r="AG52" i="25"/>
  <c r="AK52" i="25" s="1"/>
  <c r="AW52" i="25" s="1"/>
  <c r="AF52" i="25"/>
  <c r="AJ52" i="25" s="1"/>
  <c r="AE52" i="25"/>
  <c r="AI52" i="25" s="1"/>
  <c r="AU52" i="25" s="1"/>
  <c r="Y52" i="25"/>
  <c r="AC52" i="25" s="1"/>
  <c r="AR52" i="25" s="1"/>
  <c r="X52" i="25"/>
  <c r="AB52" i="25" s="1"/>
  <c r="AQ52" i="25" s="1"/>
  <c r="W52" i="25"/>
  <c r="AA52" i="25" s="1"/>
  <c r="AP52" i="25" s="1"/>
  <c r="V52" i="25"/>
  <c r="Z52" i="25" s="1"/>
  <c r="AO52" i="25" s="1"/>
  <c r="AH51" i="25"/>
  <c r="AL51" i="25" s="1"/>
  <c r="AX51" i="25" s="1"/>
  <c r="AG51" i="25"/>
  <c r="AK51" i="25" s="1"/>
  <c r="AW51" i="25" s="1"/>
  <c r="AF51" i="25"/>
  <c r="AJ51" i="25" s="1"/>
  <c r="AE51" i="25"/>
  <c r="AI51" i="25" s="1"/>
  <c r="AU51" i="25" s="1"/>
  <c r="Y51" i="25"/>
  <c r="AC51" i="25" s="1"/>
  <c r="AR51" i="25" s="1"/>
  <c r="X51" i="25"/>
  <c r="AB51" i="25" s="1"/>
  <c r="AQ51" i="25" s="1"/>
  <c r="W51" i="25"/>
  <c r="AA51" i="25" s="1"/>
  <c r="AP51" i="25" s="1"/>
  <c r="V51" i="25"/>
  <c r="Z51" i="25" s="1"/>
  <c r="AO51" i="25" s="1"/>
  <c r="AH50" i="25"/>
  <c r="AL50" i="25" s="1"/>
  <c r="AX50" i="25" s="1"/>
  <c r="AG50" i="25"/>
  <c r="AK50" i="25" s="1"/>
  <c r="AW50" i="25" s="1"/>
  <c r="AF50" i="25"/>
  <c r="AJ50" i="25" s="1"/>
  <c r="AE50" i="25"/>
  <c r="AI50" i="25" s="1"/>
  <c r="AU50" i="25" s="1"/>
  <c r="Y50" i="25"/>
  <c r="AC50" i="25" s="1"/>
  <c r="AR50" i="25" s="1"/>
  <c r="X50" i="25"/>
  <c r="AB50" i="25" s="1"/>
  <c r="AQ50" i="25" s="1"/>
  <c r="W50" i="25"/>
  <c r="AA50" i="25" s="1"/>
  <c r="AP50" i="25" s="1"/>
  <c r="V50" i="25"/>
  <c r="Z50" i="25" s="1"/>
  <c r="AO50" i="25" s="1"/>
  <c r="AH49" i="25"/>
  <c r="AL49" i="25" s="1"/>
  <c r="AX49" i="25" s="1"/>
  <c r="AG49" i="25"/>
  <c r="AK49" i="25" s="1"/>
  <c r="AW49" i="25" s="1"/>
  <c r="AF49" i="25"/>
  <c r="AJ49" i="25" s="1"/>
  <c r="AE49" i="25"/>
  <c r="AI49" i="25" s="1"/>
  <c r="AU49" i="25" s="1"/>
  <c r="Y49" i="25"/>
  <c r="AC49" i="25" s="1"/>
  <c r="AR49" i="25" s="1"/>
  <c r="X49" i="25"/>
  <c r="AB49" i="25" s="1"/>
  <c r="AQ49" i="25" s="1"/>
  <c r="W49" i="25"/>
  <c r="AA49" i="25" s="1"/>
  <c r="AP49" i="25" s="1"/>
  <c r="V49" i="25"/>
  <c r="Z49" i="25" s="1"/>
  <c r="AO49" i="25" s="1"/>
  <c r="AH48" i="25"/>
  <c r="AL48" i="25" s="1"/>
  <c r="AX48" i="25" s="1"/>
  <c r="AG48" i="25"/>
  <c r="AK48" i="25" s="1"/>
  <c r="AW48" i="25" s="1"/>
  <c r="AF48" i="25"/>
  <c r="AJ48" i="25" s="1"/>
  <c r="AE48" i="25"/>
  <c r="AI48" i="25" s="1"/>
  <c r="AU48" i="25" s="1"/>
  <c r="Y48" i="25"/>
  <c r="AC48" i="25" s="1"/>
  <c r="AR48" i="25" s="1"/>
  <c r="X48" i="25"/>
  <c r="AB48" i="25" s="1"/>
  <c r="AQ48" i="25" s="1"/>
  <c r="W48" i="25"/>
  <c r="AA48" i="25" s="1"/>
  <c r="AP48" i="25" s="1"/>
  <c r="V48" i="25"/>
  <c r="Z48" i="25" s="1"/>
  <c r="AO48" i="25" s="1"/>
  <c r="H45" i="25"/>
  <c r="G45" i="25"/>
  <c r="F45" i="25"/>
  <c r="E45" i="25"/>
  <c r="D45" i="25"/>
  <c r="AH44" i="25"/>
  <c r="AL44" i="25" s="1"/>
  <c r="AX44" i="25" s="1"/>
  <c r="AG44" i="25"/>
  <c r="AK44" i="25" s="1"/>
  <c r="AW44" i="25" s="1"/>
  <c r="AF44" i="25"/>
  <c r="AJ44" i="25" s="1"/>
  <c r="AV44" i="25" s="1"/>
  <c r="AE44" i="25"/>
  <c r="AI44" i="25" s="1"/>
  <c r="AU44" i="25" s="1"/>
  <c r="Y44" i="25"/>
  <c r="AC44" i="25" s="1"/>
  <c r="AR44" i="25" s="1"/>
  <c r="X44" i="25"/>
  <c r="AB44" i="25" s="1"/>
  <c r="AQ44" i="25" s="1"/>
  <c r="W44" i="25"/>
  <c r="AA44" i="25" s="1"/>
  <c r="AP44" i="25" s="1"/>
  <c r="V44" i="25"/>
  <c r="Z44" i="25" s="1"/>
  <c r="AH43" i="25"/>
  <c r="AL43" i="25" s="1"/>
  <c r="AX43" i="25" s="1"/>
  <c r="AG43" i="25"/>
  <c r="AK43" i="25" s="1"/>
  <c r="AW43" i="25" s="1"/>
  <c r="AF43" i="25"/>
  <c r="AJ43" i="25" s="1"/>
  <c r="AV43" i="25" s="1"/>
  <c r="AE43" i="25"/>
  <c r="AI43" i="25" s="1"/>
  <c r="AU43" i="25" s="1"/>
  <c r="Y43" i="25"/>
  <c r="AC43" i="25" s="1"/>
  <c r="AR43" i="25" s="1"/>
  <c r="X43" i="25"/>
  <c r="AB43" i="25" s="1"/>
  <c r="AQ43" i="25" s="1"/>
  <c r="W43" i="25"/>
  <c r="AA43" i="25" s="1"/>
  <c r="AP43" i="25" s="1"/>
  <c r="V43" i="25"/>
  <c r="Z43" i="25" s="1"/>
  <c r="AO43" i="25" s="1"/>
  <c r="AH42" i="25"/>
  <c r="AL42" i="25" s="1"/>
  <c r="AX42" i="25" s="1"/>
  <c r="AG42" i="25"/>
  <c r="AK42" i="25" s="1"/>
  <c r="AW42" i="25" s="1"/>
  <c r="AF42" i="25"/>
  <c r="AJ42" i="25" s="1"/>
  <c r="AV42" i="25" s="1"/>
  <c r="AE42" i="25"/>
  <c r="AI42" i="25" s="1"/>
  <c r="Y42" i="25"/>
  <c r="AC42" i="25" s="1"/>
  <c r="AR42" i="25" s="1"/>
  <c r="X42" i="25"/>
  <c r="AB42" i="25" s="1"/>
  <c r="AQ42" i="25" s="1"/>
  <c r="W42" i="25"/>
  <c r="AA42" i="25" s="1"/>
  <c r="AP42" i="25" s="1"/>
  <c r="V42" i="25"/>
  <c r="Z42" i="25" s="1"/>
  <c r="AH41" i="25"/>
  <c r="AL41" i="25" s="1"/>
  <c r="AX41" i="25" s="1"/>
  <c r="AG41" i="25"/>
  <c r="AK41" i="25" s="1"/>
  <c r="AW41" i="25" s="1"/>
  <c r="AF41" i="25"/>
  <c r="AJ41" i="25" s="1"/>
  <c r="AV41" i="25" s="1"/>
  <c r="AE41" i="25"/>
  <c r="AI41" i="25" s="1"/>
  <c r="AU41" i="25" s="1"/>
  <c r="Y41" i="25"/>
  <c r="AC41" i="25" s="1"/>
  <c r="AR41" i="25" s="1"/>
  <c r="X41" i="25"/>
  <c r="AB41" i="25" s="1"/>
  <c r="AQ41" i="25" s="1"/>
  <c r="W41" i="25"/>
  <c r="AA41" i="25" s="1"/>
  <c r="AP41" i="25" s="1"/>
  <c r="V41" i="25"/>
  <c r="Z41" i="25" s="1"/>
  <c r="AO41" i="25" s="1"/>
  <c r="AH40" i="25"/>
  <c r="AL40" i="25" s="1"/>
  <c r="AX40" i="25" s="1"/>
  <c r="AG40" i="25"/>
  <c r="AK40" i="25" s="1"/>
  <c r="AW40" i="25" s="1"/>
  <c r="AF40" i="25"/>
  <c r="AJ40" i="25" s="1"/>
  <c r="AV40" i="25" s="1"/>
  <c r="AE40" i="25"/>
  <c r="AI40" i="25" s="1"/>
  <c r="Y40" i="25"/>
  <c r="AC40" i="25" s="1"/>
  <c r="AR40" i="25" s="1"/>
  <c r="X40" i="25"/>
  <c r="AB40" i="25" s="1"/>
  <c r="AQ40" i="25" s="1"/>
  <c r="W40" i="25"/>
  <c r="AA40" i="25" s="1"/>
  <c r="AP40" i="25" s="1"/>
  <c r="V40" i="25"/>
  <c r="Z40" i="25" s="1"/>
  <c r="AO40" i="25" s="1"/>
  <c r="AH39" i="25"/>
  <c r="AL39" i="25" s="1"/>
  <c r="AX39" i="25" s="1"/>
  <c r="AG39" i="25"/>
  <c r="AK39" i="25" s="1"/>
  <c r="AW39" i="25" s="1"/>
  <c r="AF39" i="25"/>
  <c r="AJ39" i="25" s="1"/>
  <c r="AV39" i="25" s="1"/>
  <c r="AE39" i="25"/>
  <c r="AI39" i="25" s="1"/>
  <c r="Y39" i="25"/>
  <c r="AC39" i="25" s="1"/>
  <c r="AR39" i="25" s="1"/>
  <c r="X39" i="25"/>
  <c r="AB39" i="25" s="1"/>
  <c r="AQ39" i="25" s="1"/>
  <c r="W39" i="25"/>
  <c r="AA39" i="25" s="1"/>
  <c r="AP39" i="25" s="1"/>
  <c r="V39" i="25"/>
  <c r="Z39" i="25" s="1"/>
  <c r="AO39" i="25" s="1"/>
  <c r="H36" i="25"/>
  <c r="G36" i="25"/>
  <c r="F36" i="25"/>
  <c r="E36" i="25"/>
  <c r="D36" i="25"/>
  <c r="AH35" i="25"/>
  <c r="AL35" i="25" s="1"/>
  <c r="AX35" i="25" s="1"/>
  <c r="AG35" i="25"/>
  <c r="AK35" i="25" s="1"/>
  <c r="AW35" i="25" s="1"/>
  <c r="AF35" i="25"/>
  <c r="AJ35" i="25" s="1"/>
  <c r="AE35" i="25"/>
  <c r="AI35" i="25" s="1"/>
  <c r="AU35" i="25" s="1"/>
  <c r="Y35" i="25"/>
  <c r="AC35" i="25" s="1"/>
  <c r="AR35" i="25" s="1"/>
  <c r="X35" i="25"/>
  <c r="AB35" i="25" s="1"/>
  <c r="AQ35" i="25" s="1"/>
  <c r="W35" i="25"/>
  <c r="AA35" i="25" s="1"/>
  <c r="V35" i="25"/>
  <c r="Z35" i="25" s="1"/>
  <c r="AO35" i="25" s="1"/>
  <c r="AH34" i="25"/>
  <c r="AL34" i="25" s="1"/>
  <c r="AX34" i="25" s="1"/>
  <c r="AG34" i="25"/>
  <c r="AK34" i="25" s="1"/>
  <c r="AW34" i="25" s="1"/>
  <c r="AF34" i="25"/>
  <c r="AJ34" i="25" s="1"/>
  <c r="AE34" i="25"/>
  <c r="AI34" i="25" s="1"/>
  <c r="AU34" i="25" s="1"/>
  <c r="Y34" i="25"/>
  <c r="AC34" i="25" s="1"/>
  <c r="AR34" i="25" s="1"/>
  <c r="X34" i="25"/>
  <c r="AB34" i="25" s="1"/>
  <c r="AQ34" i="25" s="1"/>
  <c r="W34" i="25"/>
  <c r="AA34" i="25" s="1"/>
  <c r="V34" i="25"/>
  <c r="Z34" i="25" s="1"/>
  <c r="AO34" i="25" s="1"/>
  <c r="AH33" i="25"/>
  <c r="AL33" i="25" s="1"/>
  <c r="AX33" i="25" s="1"/>
  <c r="AG33" i="25"/>
  <c r="AK33" i="25" s="1"/>
  <c r="AW33" i="25" s="1"/>
  <c r="AF33" i="25"/>
  <c r="AJ33" i="25" s="1"/>
  <c r="AE33" i="25"/>
  <c r="AI33" i="25" s="1"/>
  <c r="AU33" i="25" s="1"/>
  <c r="Y33" i="25"/>
  <c r="AC33" i="25" s="1"/>
  <c r="AR33" i="25" s="1"/>
  <c r="X33" i="25"/>
  <c r="AB33" i="25" s="1"/>
  <c r="AQ33" i="25" s="1"/>
  <c r="W33" i="25"/>
  <c r="AA33" i="25" s="1"/>
  <c r="V33" i="25"/>
  <c r="Z33" i="25" s="1"/>
  <c r="AO33" i="25" s="1"/>
  <c r="AH32" i="25"/>
  <c r="AL32" i="25" s="1"/>
  <c r="AX32" i="25" s="1"/>
  <c r="AG32" i="25"/>
  <c r="AK32" i="25" s="1"/>
  <c r="AW32" i="25" s="1"/>
  <c r="AF32" i="25"/>
  <c r="AJ32" i="25" s="1"/>
  <c r="AE32" i="25"/>
  <c r="AI32" i="25" s="1"/>
  <c r="AU32" i="25" s="1"/>
  <c r="Y32" i="25"/>
  <c r="AC32" i="25" s="1"/>
  <c r="AR32" i="25" s="1"/>
  <c r="X32" i="25"/>
  <c r="AB32" i="25" s="1"/>
  <c r="AQ32" i="25" s="1"/>
  <c r="W32" i="25"/>
  <c r="AA32" i="25" s="1"/>
  <c r="V32" i="25"/>
  <c r="Z32" i="25" s="1"/>
  <c r="AO32" i="25" s="1"/>
  <c r="AH31" i="25"/>
  <c r="AL31" i="25" s="1"/>
  <c r="AX31" i="25" s="1"/>
  <c r="AG31" i="25"/>
  <c r="AK31" i="25" s="1"/>
  <c r="AW31" i="25" s="1"/>
  <c r="AF31" i="25"/>
  <c r="AJ31" i="25" s="1"/>
  <c r="AE31" i="25"/>
  <c r="AI31" i="25" s="1"/>
  <c r="AU31" i="25" s="1"/>
  <c r="Y31" i="25"/>
  <c r="AC31" i="25" s="1"/>
  <c r="AR31" i="25" s="1"/>
  <c r="X31" i="25"/>
  <c r="AB31" i="25" s="1"/>
  <c r="AQ31" i="25" s="1"/>
  <c r="W31" i="25"/>
  <c r="AA31" i="25" s="1"/>
  <c r="V31" i="25"/>
  <c r="Z31" i="25" s="1"/>
  <c r="AO31" i="25" s="1"/>
  <c r="AH30" i="25"/>
  <c r="AL30" i="25" s="1"/>
  <c r="AX30" i="25" s="1"/>
  <c r="AG30" i="25"/>
  <c r="AK30" i="25" s="1"/>
  <c r="AW30" i="25" s="1"/>
  <c r="AF30" i="25"/>
  <c r="AJ30" i="25" s="1"/>
  <c r="AE30" i="25"/>
  <c r="AI30" i="25" s="1"/>
  <c r="AU30" i="25" s="1"/>
  <c r="Y30" i="25"/>
  <c r="AC30" i="25" s="1"/>
  <c r="AR30" i="25" s="1"/>
  <c r="X30" i="25"/>
  <c r="AB30" i="25" s="1"/>
  <c r="AQ30" i="25" s="1"/>
  <c r="W30" i="25"/>
  <c r="AA30" i="25" s="1"/>
  <c r="V30" i="25"/>
  <c r="Z30" i="25" s="1"/>
  <c r="AO30" i="25" s="1"/>
  <c r="H27" i="25"/>
  <c r="G27" i="25"/>
  <c r="F27" i="25"/>
  <c r="E27" i="25"/>
  <c r="D27" i="25"/>
  <c r="AH26" i="25"/>
  <c r="AL26" i="25" s="1"/>
  <c r="AX26" i="25" s="1"/>
  <c r="AG26" i="25"/>
  <c r="AK26" i="25" s="1"/>
  <c r="AW26" i="25" s="1"/>
  <c r="AF26" i="25"/>
  <c r="AJ26" i="25" s="1"/>
  <c r="AV26" i="25" s="1"/>
  <c r="AE26" i="25"/>
  <c r="AI26" i="25" s="1"/>
  <c r="Y26" i="25"/>
  <c r="AC26" i="25" s="1"/>
  <c r="AR26" i="25" s="1"/>
  <c r="X26" i="25"/>
  <c r="AB26" i="25" s="1"/>
  <c r="AQ26" i="25" s="1"/>
  <c r="W26" i="25"/>
  <c r="AA26" i="25" s="1"/>
  <c r="AP26" i="25" s="1"/>
  <c r="V26" i="25"/>
  <c r="Z26" i="25" s="1"/>
  <c r="AO26" i="25" s="1"/>
  <c r="AH25" i="25"/>
  <c r="AL25" i="25" s="1"/>
  <c r="AX25" i="25" s="1"/>
  <c r="AG25" i="25"/>
  <c r="AK25" i="25" s="1"/>
  <c r="AW25" i="25" s="1"/>
  <c r="AF25" i="25"/>
  <c r="AJ25" i="25" s="1"/>
  <c r="AV25" i="25" s="1"/>
  <c r="AE25" i="25"/>
  <c r="AI25" i="25" s="1"/>
  <c r="Y25" i="25"/>
  <c r="AC25" i="25" s="1"/>
  <c r="AR25" i="25" s="1"/>
  <c r="X25" i="25"/>
  <c r="AB25" i="25" s="1"/>
  <c r="AQ25" i="25" s="1"/>
  <c r="W25" i="25"/>
  <c r="AA25" i="25" s="1"/>
  <c r="AP25" i="25" s="1"/>
  <c r="V25" i="25"/>
  <c r="Z25" i="25" s="1"/>
  <c r="AO25" i="25" s="1"/>
  <c r="AH24" i="25"/>
  <c r="AL24" i="25" s="1"/>
  <c r="AX24" i="25" s="1"/>
  <c r="AG24" i="25"/>
  <c r="AK24" i="25" s="1"/>
  <c r="AW24" i="25" s="1"/>
  <c r="AF24" i="25"/>
  <c r="AJ24" i="25" s="1"/>
  <c r="AV24" i="25" s="1"/>
  <c r="AE24" i="25"/>
  <c r="AI24" i="25" s="1"/>
  <c r="Y24" i="25"/>
  <c r="AC24" i="25" s="1"/>
  <c r="AR24" i="25" s="1"/>
  <c r="X24" i="25"/>
  <c r="AB24" i="25" s="1"/>
  <c r="AQ24" i="25" s="1"/>
  <c r="W24" i="25"/>
  <c r="AA24" i="25" s="1"/>
  <c r="AP24" i="25" s="1"/>
  <c r="V24" i="25"/>
  <c r="Z24" i="25" s="1"/>
  <c r="AO24" i="25" s="1"/>
  <c r="AH23" i="25"/>
  <c r="AL23" i="25" s="1"/>
  <c r="AX23" i="25" s="1"/>
  <c r="AG23" i="25"/>
  <c r="AK23" i="25" s="1"/>
  <c r="AW23" i="25" s="1"/>
  <c r="AF23" i="25"/>
  <c r="AJ23" i="25" s="1"/>
  <c r="AV23" i="25" s="1"/>
  <c r="AE23" i="25"/>
  <c r="AI23" i="25" s="1"/>
  <c r="Y23" i="25"/>
  <c r="AC23" i="25" s="1"/>
  <c r="AR23" i="25" s="1"/>
  <c r="X23" i="25"/>
  <c r="AB23" i="25" s="1"/>
  <c r="AQ23" i="25" s="1"/>
  <c r="W23" i="25"/>
  <c r="AA23" i="25" s="1"/>
  <c r="AP23" i="25" s="1"/>
  <c r="V23" i="25"/>
  <c r="Z23" i="25" s="1"/>
  <c r="AO23" i="25" s="1"/>
  <c r="AH22" i="25"/>
  <c r="AL22" i="25" s="1"/>
  <c r="AX22" i="25" s="1"/>
  <c r="AG22" i="25"/>
  <c r="AK22" i="25" s="1"/>
  <c r="AW22" i="25" s="1"/>
  <c r="AF22" i="25"/>
  <c r="AJ22" i="25" s="1"/>
  <c r="AV22" i="25" s="1"/>
  <c r="AE22" i="25"/>
  <c r="AI22" i="25" s="1"/>
  <c r="Y22" i="25"/>
  <c r="AC22" i="25" s="1"/>
  <c r="AR22" i="25" s="1"/>
  <c r="X22" i="25"/>
  <c r="AB22" i="25" s="1"/>
  <c r="AQ22" i="25" s="1"/>
  <c r="W22" i="25"/>
  <c r="AA22" i="25" s="1"/>
  <c r="AP22" i="25" s="1"/>
  <c r="V22" i="25"/>
  <c r="Z22" i="25" s="1"/>
  <c r="AO22" i="25" s="1"/>
  <c r="AH21" i="25"/>
  <c r="AL21" i="25" s="1"/>
  <c r="AX21" i="25" s="1"/>
  <c r="AG21" i="25"/>
  <c r="AK21" i="25" s="1"/>
  <c r="AW21" i="25" s="1"/>
  <c r="AF21" i="25"/>
  <c r="AJ21" i="25" s="1"/>
  <c r="AV21" i="25" s="1"/>
  <c r="AE21" i="25"/>
  <c r="AI21" i="25" s="1"/>
  <c r="Y21" i="25"/>
  <c r="AC21" i="25" s="1"/>
  <c r="AR21" i="25" s="1"/>
  <c r="X21" i="25"/>
  <c r="AB21" i="25" s="1"/>
  <c r="AQ21" i="25" s="1"/>
  <c r="W21" i="25"/>
  <c r="AA21" i="25" s="1"/>
  <c r="AP21" i="25" s="1"/>
  <c r="V21" i="25"/>
  <c r="Z21" i="25" s="1"/>
  <c r="H18" i="25"/>
  <c r="G18" i="25"/>
  <c r="F18" i="25"/>
  <c r="E18" i="25"/>
  <c r="D18" i="25"/>
  <c r="AH17" i="25"/>
  <c r="AL17" i="25" s="1"/>
  <c r="AX17" i="25" s="1"/>
  <c r="AG17" i="25"/>
  <c r="AK17" i="25" s="1"/>
  <c r="AW17" i="25" s="1"/>
  <c r="AF17" i="25"/>
  <c r="AJ17" i="25" s="1"/>
  <c r="AE17" i="25"/>
  <c r="AI17" i="25" s="1"/>
  <c r="AU17" i="25" s="1"/>
  <c r="Y17" i="25"/>
  <c r="AC17" i="25" s="1"/>
  <c r="AR17" i="25" s="1"/>
  <c r="X17" i="25"/>
  <c r="AB17" i="25" s="1"/>
  <c r="AQ17" i="25" s="1"/>
  <c r="W17" i="25"/>
  <c r="AA17" i="25" s="1"/>
  <c r="V17" i="25"/>
  <c r="Z17" i="25" s="1"/>
  <c r="AO17" i="25" s="1"/>
  <c r="AH16" i="25"/>
  <c r="AL16" i="25" s="1"/>
  <c r="AX16" i="25" s="1"/>
  <c r="AG16" i="25"/>
  <c r="AK16" i="25" s="1"/>
  <c r="AW16" i="25" s="1"/>
  <c r="AF16" i="25"/>
  <c r="AJ16" i="25" s="1"/>
  <c r="AE16" i="25"/>
  <c r="AI16" i="25" s="1"/>
  <c r="AU16" i="25" s="1"/>
  <c r="Y16" i="25"/>
  <c r="AC16" i="25" s="1"/>
  <c r="AR16" i="25" s="1"/>
  <c r="X16" i="25"/>
  <c r="AB16" i="25" s="1"/>
  <c r="AQ16" i="25" s="1"/>
  <c r="W16" i="25"/>
  <c r="AA16" i="25" s="1"/>
  <c r="V16" i="25"/>
  <c r="Z16" i="25" s="1"/>
  <c r="AO16" i="25" s="1"/>
  <c r="AH15" i="25"/>
  <c r="AL15" i="25" s="1"/>
  <c r="AX15" i="25" s="1"/>
  <c r="AG15" i="25"/>
  <c r="AK15" i="25" s="1"/>
  <c r="AW15" i="25" s="1"/>
  <c r="AF15" i="25"/>
  <c r="AJ15" i="25" s="1"/>
  <c r="AE15" i="25"/>
  <c r="AI15" i="25" s="1"/>
  <c r="AU15" i="25" s="1"/>
  <c r="Y15" i="25"/>
  <c r="AC15" i="25" s="1"/>
  <c r="AR15" i="25" s="1"/>
  <c r="X15" i="25"/>
  <c r="AB15" i="25" s="1"/>
  <c r="AQ15" i="25" s="1"/>
  <c r="W15" i="25"/>
  <c r="AA15" i="25" s="1"/>
  <c r="V15" i="25"/>
  <c r="Z15" i="25" s="1"/>
  <c r="AH14" i="25"/>
  <c r="AL14" i="25" s="1"/>
  <c r="AX14" i="25" s="1"/>
  <c r="AG14" i="25"/>
  <c r="AK14" i="25" s="1"/>
  <c r="AW14" i="25" s="1"/>
  <c r="AF14" i="25"/>
  <c r="AJ14" i="25" s="1"/>
  <c r="AE14" i="25"/>
  <c r="AI14" i="25" s="1"/>
  <c r="AU14" i="25" s="1"/>
  <c r="Y14" i="25"/>
  <c r="AC14" i="25" s="1"/>
  <c r="AR14" i="25" s="1"/>
  <c r="X14" i="25"/>
  <c r="AB14" i="25" s="1"/>
  <c r="AQ14" i="25" s="1"/>
  <c r="W14" i="25"/>
  <c r="AA14" i="25" s="1"/>
  <c r="V14" i="25"/>
  <c r="Z14" i="25" s="1"/>
  <c r="AO14" i="25" s="1"/>
  <c r="AH13" i="25"/>
  <c r="AL13" i="25" s="1"/>
  <c r="AX13" i="25" s="1"/>
  <c r="AG13" i="25"/>
  <c r="AK13" i="25" s="1"/>
  <c r="AW13" i="25" s="1"/>
  <c r="AF13" i="25"/>
  <c r="AJ13" i="25" s="1"/>
  <c r="AE13" i="25"/>
  <c r="AI13" i="25" s="1"/>
  <c r="AU13" i="25" s="1"/>
  <c r="Y13" i="25"/>
  <c r="AC13" i="25" s="1"/>
  <c r="AR13" i="25" s="1"/>
  <c r="X13" i="25"/>
  <c r="AB13" i="25" s="1"/>
  <c r="AQ13" i="25" s="1"/>
  <c r="W13" i="25"/>
  <c r="AA13" i="25" s="1"/>
  <c r="V13" i="25"/>
  <c r="Z13" i="25" s="1"/>
  <c r="AO13" i="25" s="1"/>
  <c r="AH12" i="25"/>
  <c r="AL12" i="25" s="1"/>
  <c r="AX12" i="25" s="1"/>
  <c r="AG12" i="25"/>
  <c r="AK12" i="25" s="1"/>
  <c r="AW12" i="25" s="1"/>
  <c r="AF12" i="25"/>
  <c r="AJ12" i="25" s="1"/>
  <c r="AE12" i="25"/>
  <c r="AI12" i="25" s="1"/>
  <c r="AU12" i="25" s="1"/>
  <c r="Y12" i="25"/>
  <c r="AC12" i="25" s="1"/>
  <c r="AR12" i="25" s="1"/>
  <c r="X12" i="25"/>
  <c r="AB12" i="25" s="1"/>
  <c r="AQ12" i="25" s="1"/>
  <c r="W12" i="25"/>
  <c r="AA12" i="25" s="1"/>
  <c r="V12" i="25"/>
  <c r="Z12" i="25" s="1"/>
  <c r="AO12" i="25" s="1"/>
  <c r="AA27" i="8"/>
  <c r="AB27" i="8"/>
  <c r="U27" i="8"/>
  <c r="V27" i="8"/>
  <c r="J27" i="8"/>
  <c r="L27" i="8" s="1"/>
  <c r="K27" i="8"/>
  <c r="M27" i="8" s="1"/>
  <c r="Q53" i="2"/>
  <c r="AH152" i="24"/>
  <c r="AL152" i="24" s="1"/>
  <c r="AX152" i="24" s="1"/>
  <c r="AG152" i="24"/>
  <c r="AK152" i="24" s="1"/>
  <c r="AW152" i="24" s="1"/>
  <c r="AF152" i="24"/>
  <c r="AJ152" i="24" s="1"/>
  <c r="AE152" i="24"/>
  <c r="AI152" i="24" s="1"/>
  <c r="AU152" i="24" s="1"/>
  <c r="AH151" i="24"/>
  <c r="AL151" i="24" s="1"/>
  <c r="AX151" i="24" s="1"/>
  <c r="AG151" i="24"/>
  <c r="AK151" i="24" s="1"/>
  <c r="AW151" i="24" s="1"/>
  <c r="AF151" i="24"/>
  <c r="AJ151" i="24" s="1"/>
  <c r="AV151" i="24" s="1"/>
  <c r="AE151" i="24"/>
  <c r="AI151" i="24" s="1"/>
  <c r="AU151" i="24" s="1"/>
  <c r="AH150" i="24"/>
  <c r="AL150" i="24" s="1"/>
  <c r="AX150" i="24" s="1"/>
  <c r="AG150" i="24"/>
  <c r="AK150" i="24" s="1"/>
  <c r="AW150" i="24" s="1"/>
  <c r="AF150" i="24"/>
  <c r="AJ150" i="24" s="1"/>
  <c r="AV150" i="24" s="1"/>
  <c r="AE150" i="24"/>
  <c r="AI150" i="24" s="1"/>
  <c r="AU150" i="24" s="1"/>
  <c r="AH149" i="24"/>
  <c r="AL149" i="24" s="1"/>
  <c r="AX149" i="24" s="1"/>
  <c r="AG149" i="24"/>
  <c r="AK149" i="24" s="1"/>
  <c r="AW149" i="24" s="1"/>
  <c r="AF149" i="24"/>
  <c r="AJ149" i="24" s="1"/>
  <c r="AV149" i="24" s="1"/>
  <c r="AE149" i="24"/>
  <c r="AI149" i="24" s="1"/>
  <c r="AU149" i="24" s="1"/>
  <c r="AH148" i="24"/>
  <c r="AL148" i="24" s="1"/>
  <c r="AX148" i="24" s="1"/>
  <c r="AG148" i="24"/>
  <c r="AK148" i="24" s="1"/>
  <c r="AW148" i="24" s="1"/>
  <c r="AF148" i="24"/>
  <c r="AJ148" i="24" s="1"/>
  <c r="AV148" i="24" s="1"/>
  <c r="AE148" i="24"/>
  <c r="AI148" i="24" s="1"/>
  <c r="AU148" i="24" s="1"/>
  <c r="AH147" i="24"/>
  <c r="AL147" i="24" s="1"/>
  <c r="AX147" i="24" s="1"/>
  <c r="AG147" i="24"/>
  <c r="AK147" i="24" s="1"/>
  <c r="AW147" i="24" s="1"/>
  <c r="AF147" i="24"/>
  <c r="AJ147" i="24" s="1"/>
  <c r="AV147" i="24" s="1"/>
  <c r="AE147" i="24"/>
  <c r="AI147" i="24" s="1"/>
  <c r="AU147" i="24" s="1"/>
  <c r="AH143" i="24"/>
  <c r="AL143" i="24" s="1"/>
  <c r="AX143" i="24" s="1"/>
  <c r="AG143" i="24"/>
  <c r="AK143" i="24" s="1"/>
  <c r="AW143" i="24" s="1"/>
  <c r="AF143" i="24"/>
  <c r="AJ143" i="24" s="1"/>
  <c r="AV143" i="24" s="1"/>
  <c r="AE143" i="24"/>
  <c r="AI143" i="24" s="1"/>
  <c r="AH142" i="24"/>
  <c r="AL142" i="24" s="1"/>
  <c r="AX142" i="24" s="1"/>
  <c r="AG142" i="24"/>
  <c r="AK142" i="24" s="1"/>
  <c r="AW142" i="24" s="1"/>
  <c r="AF142" i="24"/>
  <c r="AJ142" i="24" s="1"/>
  <c r="AV142" i="24" s="1"/>
  <c r="AE142" i="24"/>
  <c r="AI142" i="24" s="1"/>
  <c r="AU142" i="24" s="1"/>
  <c r="AH141" i="24"/>
  <c r="AL141" i="24" s="1"/>
  <c r="AX141" i="24" s="1"/>
  <c r="AG141" i="24"/>
  <c r="AK141" i="24" s="1"/>
  <c r="AW141" i="24" s="1"/>
  <c r="AF141" i="24"/>
  <c r="AJ141" i="24" s="1"/>
  <c r="AV141" i="24" s="1"/>
  <c r="AE141" i="24"/>
  <c r="AI141" i="24" s="1"/>
  <c r="AH140" i="24"/>
  <c r="AL140" i="24" s="1"/>
  <c r="AX140" i="24" s="1"/>
  <c r="AG140" i="24"/>
  <c r="AK140" i="24" s="1"/>
  <c r="AW140" i="24" s="1"/>
  <c r="AF140" i="24"/>
  <c r="AJ140" i="24" s="1"/>
  <c r="AV140" i="24" s="1"/>
  <c r="AE140" i="24"/>
  <c r="AI140" i="24" s="1"/>
  <c r="AU140" i="24" s="1"/>
  <c r="AH139" i="24"/>
  <c r="AL139" i="24" s="1"/>
  <c r="AX139" i="24" s="1"/>
  <c r="AG139" i="24"/>
  <c r="AK139" i="24" s="1"/>
  <c r="AW139" i="24" s="1"/>
  <c r="AF139" i="24"/>
  <c r="AJ139" i="24" s="1"/>
  <c r="AE139" i="24"/>
  <c r="AI139" i="24" s="1"/>
  <c r="AU139" i="24" s="1"/>
  <c r="AH138" i="24"/>
  <c r="AL138" i="24" s="1"/>
  <c r="AX138" i="24" s="1"/>
  <c r="AG138" i="24"/>
  <c r="AK138" i="24" s="1"/>
  <c r="AW138" i="24" s="1"/>
  <c r="AF138" i="24"/>
  <c r="AJ138" i="24" s="1"/>
  <c r="AV138" i="24" s="1"/>
  <c r="AE138" i="24"/>
  <c r="AI138" i="24" s="1"/>
  <c r="AH134" i="24"/>
  <c r="AL134" i="24" s="1"/>
  <c r="AX134" i="24" s="1"/>
  <c r="AG134" i="24"/>
  <c r="AK134" i="24" s="1"/>
  <c r="AW134" i="24" s="1"/>
  <c r="AF134" i="24"/>
  <c r="AJ134" i="24" s="1"/>
  <c r="AV134" i="24" s="1"/>
  <c r="AE134" i="24"/>
  <c r="AI134" i="24" s="1"/>
  <c r="AU134" i="24" s="1"/>
  <c r="AH133" i="24"/>
  <c r="AL133" i="24" s="1"/>
  <c r="AX133" i="24" s="1"/>
  <c r="AG133" i="24"/>
  <c r="AK133" i="24" s="1"/>
  <c r="AW133" i="24" s="1"/>
  <c r="AF133" i="24"/>
  <c r="AJ133" i="24" s="1"/>
  <c r="AE133" i="24"/>
  <c r="AI133" i="24" s="1"/>
  <c r="AU133" i="24" s="1"/>
  <c r="AH132" i="24"/>
  <c r="AL132" i="24" s="1"/>
  <c r="AX132" i="24" s="1"/>
  <c r="AG132" i="24"/>
  <c r="AK132" i="24" s="1"/>
  <c r="AW132" i="24" s="1"/>
  <c r="AF132" i="24"/>
  <c r="AJ132" i="24" s="1"/>
  <c r="AV132" i="24" s="1"/>
  <c r="AE132" i="24"/>
  <c r="AI132" i="24" s="1"/>
  <c r="AU132" i="24" s="1"/>
  <c r="AH131" i="24"/>
  <c r="AL131" i="24" s="1"/>
  <c r="AX131" i="24" s="1"/>
  <c r="AG131" i="24"/>
  <c r="AK131" i="24" s="1"/>
  <c r="AW131" i="24" s="1"/>
  <c r="AF131" i="24"/>
  <c r="AJ131" i="24" s="1"/>
  <c r="AE131" i="24"/>
  <c r="AI131" i="24" s="1"/>
  <c r="AU131" i="24" s="1"/>
  <c r="AH130" i="24"/>
  <c r="AL130" i="24" s="1"/>
  <c r="AX130" i="24" s="1"/>
  <c r="AG130" i="24"/>
  <c r="AK130" i="24" s="1"/>
  <c r="AW130" i="24" s="1"/>
  <c r="AF130" i="24"/>
  <c r="AJ130" i="24" s="1"/>
  <c r="AV130" i="24" s="1"/>
  <c r="AE130" i="24"/>
  <c r="AI130" i="24" s="1"/>
  <c r="AU130" i="24" s="1"/>
  <c r="AH129" i="24"/>
  <c r="AL129" i="24" s="1"/>
  <c r="AX129" i="24" s="1"/>
  <c r="AG129" i="24"/>
  <c r="AK129" i="24" s="1"/>
  <c r="AW129" i="24" s="1"/>
  <c r="AF129" i="24"/>
  <c r="AJ129" i="24" s="1"/>
  <c r="AV129" i="24" s="1"/>
  <c r="AE129" i="24"/>
  <c r="AI129" i="24" s="1"/>
  <c r="AU129" i="24" s="1"/>
  <c r="AH152" i="19"/>
  <c r="AG152" i="19"/>
  <c r="AF152" i="19"/>
  <c r="AE152" i="19"/>
  <c r="AH151" i="19"/>
  <c r="AG151" i="19"/>
  <c r="AF151" i="19"/>
  <c r="AE151" i="19"/>
  <c r="AH150" i="19"/>
  <c r="AG150" i="19"/>
  <c r="AF150" i="19"/>
  <c r="AE150" i="19"/>
  <c r="AH149" i="19"/>
  <c r="AG149" i="19"/>
  <c r="AF149" i="19"/>
  <c r="AE149" i="19"/>
  <c r="AH148" i="19"/>
  <c r="AG148" i="19"/>
  <c r="AF148" i="19"/>
  <c r="AE148" i="19"/>
  <c r="AH147" i="19"/>
  <c r="AG147" i="19"/>
  <c r="AF147" i="19"/>
  <c r="AE147" i="19"/>
  <c r="AH143" i="19"/>
  <c r="AG143" i="19"/>
  <c r="AF143" i="19"/>
  <c r="AE143" i="19"/>
  <c r="AH142" i="19"/>
  <c r="AG142" i="19"/>
  <c r="AF142" i="19"/>
  <c r="AE142" i="19"/>
  <c r="AH141" i="19"/>
  <c r="AG141" i="19"/>
  <c r="AF141" i="19"/>
  <c r="AE141" i="19"/>
  <c r="AH140" i="19"/>
  <c r="AG140" i="19"/>
  <c r="AF140" i="19"/>
  <c r="AE140" i="19"/>
  <c r="AH139" i="19"/>
  <c r="AG139" i="19"/>
  <c r="AF139" i="19"/>
  <c r="AE139" i="19"/>
  <c r="AH138" i="19"/>
  <c r="AG138" i="19"/>
  <c r="AF138" i="19"/>
  <c r="AE138" i="19"/>
  <c r="AH134" i="19"/>
  <c r="AG134" i="19"/>
  <c r="AF134" i="19"/>
  <c r="AE134" i="19"/>
  <c r="AH133" i="19"/>
  <c r="AG133" i="19"/>
  <c r="AF133" i="19"/>
  <c r="AE133" i="19"/>
  <c r="AH132" i="19"/>
  <c r="AG132" i="19"/>
  <c r="AF132" i="19"/>
  <c r="AE132" i="19"/>
  <c r="AH131" i="19"/>
  <c r="AG131" i="19"/>
  <c r="AF131" i="19"/>
  <c r="AE131" i="19"/>
  <c r="AH130" i="19"/>
  <c r="AG130" i="19"/>
  <c r="AF130" i="19"/>
  <c r="AE130" i="19"/>
  <c r="AH129" i="19"/>
  <c r="AG129" i="19"/>
  <c r="AF129" i="19"/>
  <c r="AE129" i="19"/>
  <c r="AH152" i="18"/>
  <c r="AG152" i="18"/>
  <c r="AF152" i="18"/>
  <c r="AE152" i="18"/>
  <c r="AH151" i="18"/>
  <c r="AG151" i="18"/>
  <c r="AF151" i="18"/>
  <c r="AE151" i="18"/>
  <c r="AH150" i="18"/>
  <c r="AG150" i="18"/>
  <c r="AF150" i="18"/>
  <c r="AE150" i="18"/>
  <c r="AH149" i="18"/>
  <c r="AG149" i="18"/>
  <c r="AF149" i="18"/>
  <c r="AE149" i="18"/>
  <c r="AH148" i="18"/>
  <c r="AG148" i="18"/>
  <c r="AF148" i="18"/>
  <c r="AE148" i="18"/>
  <c r="AH147" i="18"/>
  <c r="AG147" i="18"/>
  <c r="AF147" i="18"/>
  <c r="AE147" i="18"/>
  <c r="AH143" i="18"/>
  <c r="AG143" i="18"/>
  <c r="AF143" i="18"/>
  <c r="AE143" i="18"/>
  <c r="AH142" i="18"/>
  <c r="AG142" i="18"/>
  <c r="AF142" i="18"/>
  <c r="AE142" i="18"/>
  <c r="AH141" i="18"/>
  <c r="AG141" i="18"/>
  <c r="AF141" i="18"/>
  <c r="AE141" i="18"/>
  <c r="AH140" i="18"/>
  <c r="AL140" i="18" s="1"/>
  <c r="AX140" i="18" s="1"/>
  <c r="AG140" i="18"/>
  <c r="AF140" i="18"/>
  <c r="AE140" i="18"/>
  <c r="AH139" i="18"/>
  <c r="AG139" i="18"/>
  <c r="AF139" i="18"/>
  <c r="AE139" i="18"/>
  <c r="AH138" i="18"/>
  <c r="AG138" i="18"/>
  <c r="AF138" i="18"/>
  <c r="AE138" i="18"/>
  <c r="AH134" i="18"/>
  <c r="AG134" i="18"/>
  <c r="AF134" i="18"/>
  <c r="AE134" i="18"/>
  <c r="AH133" i="18"/>
  <c r="AG133" i="18"/>
  <c r="AF133" i="18"/>
  <c r="AE133" i="18"/>
  <c r="AH132" i="18"/>
  <c r="AG132" i="18"/>
  <c r="AF132" i="18"/>
  <c r="AE132" i="18"/>
  <c r="AH131" i="18"/>
  <c r="AG131" i="18"/>
  <c r="AF131" i="18"/>
  <c r="AE131" i="18"/>
  <c r="AH130" i="18"/>
  <c r="AG130" i="18"/>
  <c r="AF130" i="18"/>
  <c r="AE130" i="18"/>
  <c r="AH129" i="18"/>
  <c r="AG129" i="18"/>
  <c r="AF129" i="18"/>
  <c r="AE129" i="18"/>
  <c r="AH152" i="17"/>
  <c r="AG152" i="17"/>
  <c r="AF152" i="17"/>
  <c r="AE152" i="17"/>
  <c r="AH151" i="17"/>
  <c r="AG151" i="17"/>
  <c r="AF151" i="17"/>
  <c r="AE151" i="17"/>
  <c r="AH150" i="17"/>
  <c r="AG150" i="17"/>
  <c r="AF150" i="17"/>
  <c r="AE150" i="17"/>
  <c r="AH149" i="17"/>
  <c r="AG149" i="17"/>
  <c r="AF149" i="17"/>
  <c r="AE149" i="17"/>
  <c r="AH148" i="17"/>
  <c r="AG148" i="17"/>
  <c r="AF148" i="17"/>
  <c r="AE148" i="17"/>
  <c r="AH147" i="17"/>
  <c r="AG147" i="17"/>
  <c r="AF147" i="17"/>
  <c r="AE147" i="17"/>
  <c r="AH143" i="17"/>
  <c r="AG143" i="17"/>
  <c r="AF143" i="17"/>
  <c r="AE143" i="17"/>
  <c r="AH142" i="17"/>
  <c r="AG142" i="17"/>
  <c r="AF142" i="17"/>
  <c r="AE142" i="17"/>
  <c r="AH141" i="17"/>
  <c r="AG141" i="17"/>
  <c r="AF141" i="17"/>
  <c r="AE141" i="17"/>
  <c r="AH140" i="17"/>
  <c r="AG140" i="17"/>
  <c r="AF140" i="17"/>
  <c r="AE140" i="17"/>
  <c r="AH139" i="17"/>
  <c r="AG139" i="17"/>
  <c r="AF139" i="17"/>
  <c r="AE139" i="17"/>
  <c r="AH138" i="17"/>
  <c r="AG138" i="17"/>
  <c r="AF138" i="17"/>
  <c r="AE138" i="17"/>
  <c r="AH134" i="17"/>
  <c r="AG134" i="17"/>
  <c r="AF134" i="17"/>
  <c r="AE134" i="17"/>
  <c r="AH133" i="17"/>
  <c r="AG133" i="17"/>
  <c r="AF133" i="17"/>
  <c r="AE133" i="17"/>
  <c r="AH132" i="17"/>
  <c r="AG132" i="17"/>
  <c r="AF132" i="17"/>
  <c r="AE132" i="17"/>
  <c r="AH131" i="17"/>
  <c r="AG131" i="17"/>
  <c r="AF131" i="17"/>
  <c r="AE131" i="17"/>
  <c r="AH130" i="17"/>
  <c r="AG130" i="17"/>
  <c r="AF130" i="17"/>
  <c r="AE130" i="17"/>
  <c r="AH129" i="17"/>
  <c r="AG129" i="17"/>
  <c r="AF129" i="17"/>
  <c r="AE129" i="17"/>
  <c r="AH152" i="16"/>
  <c r="AG152" i="16"/>
  <c r="AF152" i="16"/>
  <c r="AJ152" i="16" s="1"/>
  <c r="AE152" i="16"/>
  <c r="AH151" i="16"/>
  <c r="AG151" i="16"/>
  <c r="AF151" i="16"/>
  <c r="AE151" i="16"/>
  <c r="AH150" i="16"/>
  <c r="AG150" i="16"/>
  <c r="AF150" i="16"/>
  <c r="AE150" i="16"/>
  <c r="AI150" i="16" s="1"/>
  <c r="AH149" i="16"/>
  <c r="AG149" i="16"/>
  <c r="AF149" i="16"/>
  <c r="AE149" i="16"/>
  <c r="AH148" i="16"/>
  <c r="AG148" i="16"/>
  <c r="AF148" i="16"/>
  <c r="AE148" i="16"/>
  <c r="AH147" i="16"/>
  <c r="AG147" i="16"/>
  <c r="AF147" i="16"/>
  <c r="AE147" i="16"/>
  <c r="AH143" i="16"/>
  <c r="AG143" i="16"/>
  <c r="AF143" i="16"/>
  <c r="AE143" i="16"/>
  <c r="AI143" i="16" s="1"/>
  <c r="AH142" i="16"/>
  <c r="AG142" i="16"/>
  <c r="AF142" i="16"/>
  <c r="AE142" i="16"/>
  <c r="AH141" i="16"/>
  <c r="AG141" i="16"/>
  <c r="AF141" i="16"/>
  <c r="AJ141" i="16" s="1"/>
  <c r="AE141" i="16"/>
  <c r="AH140" i="16"/>
  <c r="AG140" i="16"/>
  <c r="AF140" i="16"/>
  <c r="AE140" i="16"/>
  <c r="AI140" i="16" s="1"/>
  <c r="AH139" i="16"/>
  <c r="AG139" i="16"/>
  <c r="AF139" i="16"/>
  <c r="AE139" i="16"/>
  <c r="AH138" i="16"/>
  <c r="AG138" i="16"/>
  <c r="AF138" i="16"/>
  <c r="AE138" i="16"/>
  <c r="AI138" i="16" s="1"/>
  <c r="AH134" i="16"/>
  <c r="AG134" i="16"/>
  <c r="AF134" i="16"/>
  <c r="AE134" i="16"/>
  <c r="AH133" i="16"/>
  <c r="AG133" i="16"/>
  <c r="AF133" i="16"/>
  <c r="AJ133" i="16" s="1"/>
  <c r="AE133" i="16"/>
  <c r="AH132" i="16"/>
  <c r="AG132" i="16"/>
  <c r="AF132" i="16"/>
  <c r="AE132" i="16"/>
  <c r="AH131" i="16"/>
  <c r="AG131" i="16"/>
  <c r="AF131" i="16"/>
  <c r="AE131" i="16"/>
  <c r="AI131" i="16" s="1"/>
  <c r="AH130" i="16"/>
  <c r="AG130" i="16"/>
  <c r="AF130" i="16"/>
  <c r="AE130" i="16"/>
  <c r="AH129" i="16"/>
  <c r="AG129" i="16"/>
  <c r="AF129" i="16"/>
  <c r="AE129" i="16"/>
  <c r="AH152" i="15"/>
  <c r="AG152" i="15"/>
  <c r="AF152" i="15"/>
  <c r="AE152" i="15"/>
  <c r="AH151" i="15"/>
  <c r="AG151" i="15"/>
  <c r="AF151" i="15"/>
  <c r="AE151" i="15"/>
  <c r="AH150" i="15"/>
  <c r="AG150" i="15"/>
  <c r="AF150" i="15"/>
  <c r="AE150" i="15"/>
  <c r="AH149" i="15"/>
  <c r="AG149" i="15"/>
  <c r="AF149" i="15"/>
  <c r="AE149" i="15"/>
  <c r="AI149" i="15" s="1"/>
  <c r="AH148" i="15"/>
  <c r="AG148" i="15"/>
  <c r="AF148" i="15"/>
  <c r="AE148" i="15"/>
  <c r="AH147" i="15"/>
  <c r="AG147" i="15"/>
  <c r="AF147" i="15"/>
  <c r="AJ147" i="15" s="1"/>
  <c r="AE147" i="15"/>
  <c r="AH143" i="15"/>
  <c r="AG143" i="15"/>
  <c r="AF143" i="15"/>
  <c r="AE143" i="15"/>
  <c r="AH142" i="15"/>
  <c r="AG142" i="15"/>
  <c r="AF142" i="15"/>
  <c r="AE142" i="15"/>
  <c r="AI142" i="15" s="1"/>
  <c r="AH141" i="15"/>
  <c r="AG141" i="15"/>
  <c r="AF141" i="15"/>
  <c r="AE141" i="15"/>
  <c r="AH140" i="15"/>
  <c r="AG140" i="15"/>
  <c r="AF140" i="15"/>
  <c r="AE140" i="15"/>
  <c r="AH139" i="15"/>
  <c r="AL139" i="15" s="1"/>
  <c r="AX139" i="15" s="1"/>
  <c r="AG139" i="15"/>
  <c r="AF139" i="15"/>
  <c r="AE139" i="15"/>
  <c r="AH138" i="15"/>
  <c r="AG138" i="15"/>
  <c r="AF138" i="15"/>
  <c r="AE138" i="15"/>
  <c r="AH134" i="15"/>
  <c r="AG134" i="15"/>
  <c r="AF134" i="15"/>
  <c r="AE134" i="15"/>
  <c r="AH133" i="15"/>
  <c r="AG133" i="15"/>
  <c r="AF133" i="15"/>
  <c r="AE133" i="15"/>
  <c r="AH132" i="15"/>
  <c r="AG132" i="15"/>
  <c r="AF132" i="15"/>
  <c r="AE132" i="15"/>
  <c r="AH131" i="15"/>
  <c r="AG131" i="15"/>
  <c r="AF131" i="15"/>
  <c r="AE131" i="15"/>
  <c r="AH130" i="15"/>
  <c r="AG130" i="15"/>
  <c r="AF130" i="15"/>
  <c r="AE130" i="15"/>
  <c r="AH129" i="15"/>
  <c r="AG129" i="15"/>
  <c r="AF129" i="15"/>
  <c r="AE129" i="15"/>
  <c r="AH152" i="14"/>
  <c r="AG152" i="14"/>
  <c r="AF152" i="14"/>
  <c r="AE152" i="14"/>
  <c r="AI152" i="14" s="1"/>
  <c r="AH151" i="14"/>
  <c r="AG151" i="14"/>
  <c r="AF151" i="14"/>
  <c r="AE151" i="14"/>
  <c r="AH150" i="14"/>
  <c r="AG150" i="14"/>
  <c r="AF150" i="14"/>
  <c r="AE150" i="14"/>
  <c r="AI150" i="14" s="1"/>
  <c r="AH149" i="14"/>
  <c r="AG149" i="14"/>
  <c r="AF149" i="14"/>
  <c r="AE149" i="14"/>
  <c r="AH148" i="14"/>
  <c r="AG148" i="14"/>
  <c r="AF148" i="14"/>
  <c r="AE148" i="14"/>
  <c r="AI148" i="14" s="1"/>
  <c r="AH147" i="14"/>
  <c r="AG147" i="14"/>
  <c r="AF147" i="14"/>
  <c r="AJ147" i="14" s="1"/>
  <c r="AE147" i="14"/>
  <c r="AH143" i="14"/>
  <c r="AG143" i="14"/>
  <c r="AF143" i="14"/>
  <c r="AE143" i="14"/>
  <c r="AH142" i="14"/>
  <c r="AG142" i="14"/>
  <c r="AF142" i="14"/>
  <c r="AE142" i="14"/>
  <c r="AI142" i="14" s="1"/>
  <c r="AH141" i="14"/>
  <c r="AG141" i="14"/>
  <c r="AF141" i="14"/>
  <c r="AE141" i="14"/>
  <c r="AH140" i="14"/>
  <c r="AG140" i="14"/>
  <c r="AF140" i="14"/>
  <c r="AE140" i="14"/>
  <c r="AH139" i="14"/>
  <c r="AG139" i="14"/>
  <c r="AF139" i="14"/>
  <c r="AE139" i="14"/>
  <c r="AH138" i="14"/>
  <c r="AG138" i="14"/>
  <c r="AF138" i="14"/>
  <c r="AE138" i="14"/>
  <c r="AI138" i="14" s="1"/>
  <c r="AH134" i="14"/>
  <c r="AG134" i="14"/>
  <c r="AF134" i="14"/>
  <c r="AJ134" i="14" s="1"/>
  <c r="AE134" i="14"/>
  <c r="AH133" i="14"/>
  <c r="AG133" i="14"/>
  <c r="AF133" i="14"/>
  <c r="AE133" i="14"/>
  <c r="AI133" i="14" s="1"/>
  <c r="AH132" i="14"/>
  <c r="AG132" i="14"/>
  <c r="AF132" i="14"/>
  <c r="AE132" i="14"/>
  <c r="AH131" i="14"/>
  <c r="AG131" i="14"/>
  <c r="AF131" i="14"/>
  <c r="AE131" i="14"/>
  <c r="AI131" i="14" s="1"/>
  <c r="AH130" i="14"/>
  <c r="AG130" i="14"/>
  <c r="AF130" i="14"/>
  <c r="AJ130" i="14" s="1"/>
  <c r="AE130" i="14"/>
  <c r="AH129" i="14"/>
  <c r="AG129" i="14"/>
  <c r="AF129" i="14"/>
  <c r="AE129" i="14"/>
  <c r="AI129" i="14" s="1"/>
  <c r="H180" i="24"/>
  <c r="G180" i="24"/>
  <c r="F180" i="24"/>
  <c r="E180" i="24"/>
  <c r="D180" i="24"/>
  <c r="H171" i="24"/>
  <c r="G171" i="24"/>
  <c r="F171" i="24"/>
  <c r="E171" i="24"/>
  <c r="D171" i="24"/>
  <c r="AH170" i="24"/>
  <c r="AL170" i="24" s="1"/>
  <c r="AX170" i="24" s="1"/>
  <c r="AG170" i="24"/>
  <c r="AK170" i="24" s="1"/>
  <c r="AW170" i="24" s="1"/>
  <c r="AF170" i="24"/>
  <c r="AJ170" i="24" s="1"/>
  <c r="AV170" i="24" s="1"/>
  <c r="AE170" i="24"/>
  <c r="AI170" i="24" s="1"/>
  <c r="AU170" i="24" s="1"/>
  <c r="Y170" i="24"/>
  <c r="AC170" i="24" s="1"/>
  <c r="AR170" i="24" s="1"/>
  <c r="X170" i="24"/>
  <c r="AB170" i="24" s="1"/>
  <c r="AQ170" i="24" s="1"/>
  <c r="W170" i="24"/>
  <c r="AA170" i="24" s="1"/>
  <c r="V170" i="24"/>
  <c r="Z170" i="24" s="1"/>
  <c r="AO170" i="24" s="1"/>
  <c r="AH169" i="24"/>
  <c r="AL169" i="24" s="1"/>
  <c r="AX169" i="24" s="1"/>
  <c r="AG169" i="24"/>
  <c r="AK169" i="24" s="1"/>
  <c r="AW169" i="24" s="1"/>
  <c r="AF169" i="24"/>
  <c r="AJ169" i="24" s="1"/>
  <c r="AV169" i="24" s="1"/>
  <c r="AE169" i="24"/>
  <c r="AI169" i="24" s="1"/>
  <c r="AU169" i="24" s="1"/>
  <c r="Y169" i="24"/>
  <c r="AC169" i="24" s="1"/>
  <c r="AR169" i="24" s="1"/>
  <c r="X169" i="24"/>
  <c r="AB169" i="24" s="1"/>
  <c r="AQ169" i="24" s="1"/>
  <c r="W169" i="24"/>
  <c r="AA169" i="24" s="1"/>
  <c r="V169" i="24"/>
  <c r="Z169" i="24" s="1"/>
  <c r="AO169" i="24" s="1"/>
  <c r="AH168" i="24"/>
  <c r="AL168" i="24" s="1"/>
  <c r="AX168" i="24" s="1"/>
  <c r="AG168" i="24"/>
  <c r="AK168" i="24" s="1"/>
  <c r="AW168" i="24" s="1"/>
  <c r="AF168" i="24"/>
  <c r="AJ168" i="24" s="1"/>
  <c r="AV168" i="24" s="1"/>
  <c r="AE168" i="24"/>
  <c r="AI168" i="24" s="1"/>
  <c r="AU168" i="24" s="1"/>
  <c r="Y168" i="24"/>
  <c r="AC168" i="24" s="1"/>
  <c r="AR168" i="24" s="1"/>
  <c r="X168" i="24"/>
  <c r="AB168" i="24" s="1"/>
  <c r="AQ168" i="24" s="1"/>
  <c r="W168" i="24"/>
  <c r="AA168" i="24" s="1"/>
  <c r="AP168" i="24" s="1"/>
  <c r="V168" i="24"/>
  <c r="Z168" i="24" s="1"/>
  <c r="AO168" i="24" s="1"/>
  <c r="AH167" i="24"/>
  <c r="AL167" i="24" s="1"/>
  <c r="AX167" i="24" s="1"/>
  <c r="AG167" i="24"/>
  <c r="AK167" i="24" s="1"/>
  <c r="AW167" i="24" s="1"/>
  <c r="AF167" i="24"/>
  <c r="AJ167" i="24" s="1"/>
  <c r="AV167" i="24" s="1"/>
  <c r="AE167" i="24"/>
  <c r="AI167" i="24" s="1"/>
  <c r="AU167" i="24" s="1"/>
  <c r="Y167" i="24"/>
  <c r="AC167" i="24" s="1"/>
  <c r="AR167" i="24" s="1"/>
  <c r="X167" i="24"/>
  <c r="AB167" i="24" s="1"/>
  <c r="AQ167" i="24" s="1"/>
  <c r="W167" i="24"/>
  <c r="AA167" i="24" s="1"/>
  <c r="V167" i="24"/>
  <c r="Z167" i="24" s="1"/>
  <c r="AO167" i="24" s="1"/>
  <c r="AH166" i="24"/>
  <c r="AL166" i="24" s="1"/>
  <c r="AX166" i="24" s="1"/>
  <c r="AG166" i="24"/>
  <c r="AK166" i="24" s="1"/>
  <c r="AW166" i="24" s="1"/>
  <c r="AF166" i="24"/>
  <c r="AJ166" i="24" s="1"/>
  <c r="AV166" i="24" s="1"/>
  <c r="AE166" i="24"/>
  <c r="AI166" i="24" s="1"/>
  <c r="AU166" i="24" s="1"/>
  <c r="Y166" i="24"/>
  <c r="AC166" i="24" s="1"/>
  <c r="AR166" i="24" s="1"/>
  <c r="X166" i="24"/>
  <c r="AB166" i="24" s="1"/>
  <c r="AQ166" i="24" s="1"/>
  <c r="W166" i="24"/>
  <c r="AA166" i="24" s="1"/>
  <c r="V166" i="24"/>
  <c r="Z166" i="24" s="1"/>
  <c r="AO166" i="24" s="1"/>
  <c r="AH165" i="24"/>
  <c r="AL165" i="24" s="1"/>
  <c r="AX165" i="24" s="1"/>
  <c r="AG165" i="24"/>
  <c r="AK165" i="24" s="1"/>
  <c r="AW165" i="24" s="1"/>
  <c r="AF165" i="24"/>
  <c r="AJ165" i="24" s="1"/>
  <c r="AV165" i="24" s="1"/>
  <c r="AE165" i="24"/>
  <c r="AI165" i="24" s="1"/>
  <c r="AU165" i="24" s="1"/>
  <c r="Y165" i="24"/>
  <c r="AC165" i="24" s="1"/>
  <c r="AR165" i="24" s="1"/>
  <c r="X165" i="24"/>
  <c r="AB165" i="24" s="1"/>
  <c r="AQ165" i="24" s="1"/>
  <c r="W165" i="24"/>
  <c r="AA165" i="24" s="1"/>
  <c r="V165" i="24"/>
  <c r="Z165" i="24" s="1"/>
  <c r="AO165" i="24" s="1"/>
  <c r="H162" i="24"/>
  <c r="G162" i="24"/>
  <c r="F162" i="24"/>
  <c r="E162" i="24"/>
  <c r="D162" i="24"/>
  <c r="AH161" i="24"/>
  <c r="AL161" i="24" s="1"/>
  <c r="AX161" i="24" s="1"/>
  <c r="AG161" i="24"/>
  <c r="AK161" i="24" s="1"/>
  <c r="AW161" i="24" s="1"/>
  <c r="AF161" i="24"/>
  <c r="AJ161" i="24" s="1"/>
  <c r="AV161" i="24" s="1"/>
  <c r="AE161" i="24"/>
  <c r="AI161" i="24" s="1"/>
  <c r="Y161" i="24"/>
  <c r="AC161" i="24" s="1"/>
  <c r="AR161" i="24" s="1"/>
  <c r="X161" i="24"/>
  <c r="AB161" i="24" s="1"/>
  <c r="AQ161" i="24" s="1"/>
  <c r="W161" i="24"/>
  <c r="AA161" i="24" s="1"/>
  <c r="AP161" i="24" s="1"/>
  <c r="V161" i="24"/>
  <c r="Z161" i="24" s="1"/>
  <c r="AO161" i="24" s="1"/>
  <c r="AH160" i="24"/>
  <c r="AL160" i="24" s="1"/>
  <c r="AX160" i="24" s="1"/>
  <c r="AG160" i="24"/>
  <c r="AK160" i="24" s="1"/>
  <c r="AW160" i="24" s="1"/>
  <c r="AF160" i="24"/>
  <c r="AJ160" i="24" s="1"/>
  <c r="AV160" i="24" s="1"/>
  <c r="AE160" i="24"/>
  <c r="AI160" i="24" s="1"/>
  <c r="Y160" i="24"/>
  <c r="AC160" i="24" s="1"/>
  <c r="AR160" i="24" s="1"/>
  <c r="X160" i="24"/>
  <c r="AB160" i="24" s="1"/>
  <c r="AQ160" i="24" s="1"/>
  <c r="W160" i="24"/>
  <c r="AA160" i="24" s="1"/>
  <c r="AP160" i="24" s="1"/>
  <c r="V160" i="24"/>
  <c r="Z160" i="24" s="1"/>
  <c r="AO160" i="24" s="1"/>
  <c r="AH159" i="24"/>
  <c r="AL159" i="24" s="1"/>
  <c r="AX159" i="24" s="1"/>
  <c r="AG159" i="24"/>
  <c r="AK159" i="24" s="1"/>
  <c r="AW159" i="24" s="1"/>
  <c r="AF159" i="24"/>
  <c r="AJ159" i="24" s="1"/>
  <c r="AV159" i="24" s="1"/>
  <c r="AE159" i="24"/>
  <c r="AI159" i="24" s="1"/>
  <c r="Y159" i="24"/>
  <c r="AC159" i="24" s="1"/>
  <c r="AR159" i="24" s="1"/>
  <c r="X159" i="24"/>
  <c r="AB159" i="24" s="1"/>
  <c r="AQ159" i="24" s="1"/>
  <c r="W159" i="24"/>
  <c r="AA159" i="24" s="1"/>
  <c r="AP159" i="24" s="1"/>
  <c r="V159" i="24"/>
  <c r="Z159" i="24" s="1"/>
  <c r="AO159" i="24" s="1"/>
  <c r="AH158" i="24"/>
  <c r="AL158" i="24" s="1"/>
  <c r="AX158" i="24" s="1"/>
  <c r="AG158" i="24"/>
  <c r="AK158" i="24" s="1"/>
  <c r="AW158" i="24" s="1"/>
  <c r="AF158" i="24"/>
  <c r="AJ158" i="24" s="1"/>
  <c r="AV158" i="24" s="1"/>
  <c r="AE158" i="24"/>
  <c r="AI158" i="24" s="1"/>
  <c r="Y158" i="24"/>
  <c r="AC158" i="24" s="1"/>
  <c r="AR158" i="24" s="1"/>
  <c r="X158" i="24"/>
  <c r="AB158" i="24" s="1"/>
  <c r="AQ158" i="24" s="1"/>
  <c r="W158" i="24"/>
  <c r="AA158" i="24" s="1"/>
  <c r="AP158" i="24" s="1"/>
  <c r="V158" i="24"/>
  <c r="Z158" i="24" s="1"/>
  <c r="AO158" i="24" s="1"/>
  <c r="AH157" i="24"/>
  <c r="AL157" i="24" s="1"/>
  <c r="AX157" i="24" s="1"/>
  <c r="AG157" i="24"/>
  <c r="AK157" i="24" s="1"/>
  <c r="AW157" i="24" s="1"/>
  <c r="AF157" i="24"/>
  <c r="AJ157" i="24" s="1"/>
  <c r="AV157" i="24" s="1"/>
  <c r="AE157" i="24"/>
  <c r="AI157" i="24" s="1"/>
  <c r="Y157" i="24"/>
  <c r="AC157" i="24" s="1"/>
  <c r="AR157" i="24" s="1"/>
  <c r="X157" i="24"/>
  <c r="AB157" i="24" s="1"/>
  <c r="AQ157" i="24" s="1"/>
  <c r="W157" i="24"/>
  <c r="AA157" i="24" s="1"/>
  <c r="AP157" i="24" s="1"/>
  <c r="V157" i="24"/>
  <c r="Z157" i="24" s="1"/>
  <c r="AO157" i="24" s="1"/>
  <c r="AH156" i="24"/>
  <c r="AL156" i="24" s="1"/>
  <c r="AX156" i="24" s="1"/>
  <c r="AG156" i="24"/>
  <c r="AK156" i="24" s="1"/>
  <c r="AW156" i="24" s="1"/>
  <c r="AF156" i="24"/>
  <c r="AJ156" i="24" s="1"/>
  <c r="AV156" i="24" s="1"/>
  <c r="AE156" i="24"/>
  <c r="AI156" i="24" s="1"/>
  <c r="Y156" i="24"/>
  <c r="AC156" i="24" s="1"/>
  <c r="AR156" i="24" s="1"/>
  <c r="X156" i="24"/>
  <c r="AB156" i="24" s="1"/>
  <c r="AQ156" i="24" s="1"/>
  <c r="W156" i="24"/>
  <c r="AA156" i="24" s="1"/>
  <c r="AP156" i="24" s="1"/>
  <c r="V156" i="24"/>
  <c r="Z156" i="24" s="1"/>
  <c r="AO156" i="24" s="1"/>
  <c r="H153" i="24"/>
  <c r="G153" i="24"/>
  <c r="F153" i="24"/>
  <c r="E153" i="24"/>
  <c r="D153" i="24"/>
  <c r="Y152" i="24"/>
  <c r="AC152" i="24" s="1"/>
  <c r="AR152" i="24" s="1"/>
  <c r="X152" i="24"/>
  <c r="AB152" i="24" s="1"/>
  <c r="AQ152" i="24" s="1"/>
  <c r="W152" i="24"/>
  <c r="AA152" i="24" s="1"/>
  <c r="V152" i="24"/>
  <c r="Z152" i="24" s="1"/>
  <c r="AO152" i="24" s="1"/>
  <c r="Y151" i="24"/>
  <c r="AC151" i="24" s="1"/>
  <c r="AR151" i="24" s="1"/>
  <c r="X151" i="24"/>
  <c r="AB151" i="24" s="1"/>
  <c r="AQ151" i="24" s="1"/>
  <c r="W151" i="24"/>
  <c r="AA151" i="24" s="1"/>
  <c r="V151" i="24"/>
  <c r="Z151" i="24" s="1"/>
  <c r="AO151" i="24" s="1"/>
  <c r="Y150" i="24"/>
  <c r="AC150" i="24" s="1"/>
  <c r="AR150" i="24" s="1"/>
  <c r="X150" i="24"/>
  <c r="AB150" i="24" s="1"/>
  <c r="AQ150" i="24" s="1"/>
  <c r="W150" i="24"/>
  <c r="AA150" i="24" s="1"/>
  <c r="AP150" i="24" s="1"/>
  <c r="V150" i="24"/>
  <c r="Z150" i="24" s="1"/>
  <c r="AO150" i="24" s="1"/>
  <c r="Y149" i="24"/>
  <c r="AC149" i="24" s="1"/>
  <c r="AR149" i="24" s="1"/>
  <c r="X149" i="24"/>
  <c r="AB149" i="24" s="1"/>
  <c r="AQ149" i="24" s="1"/>
  <c r="W149" i="24"/>
  <c r="AA149" i="24" s="1"/>
  <c r="AP149" i="24" s="1"/>
  <c r="V149" i="24"/>
  <c r="Z149" i="24" s="1"/>
  <c r="AO149" i="24" s="1"/>
  <c r="Y148" i="24"/>
  <c r="AC148" i="24" s="1"/>
  <c r="AR148" i="24" s="1"/>
  <c r="X148" i="24"/>
  <c r="AB148" i="24" s="1"/>
  <c r="AQ148" i="24" s="1"/>
  <c r="W148" i="24"/>
  <c r="AA148" i="24" s="1"/>
  <c r="AP148" i="24" s="1"/>
  <c r="V148" i="24"/>
  <c r="Z148" i="24" s="1"/>
  <c r="AO148" i="24" s="1"/>
  <c r="Y147" i="24"/>
  <c r="AC147" i="24" s="1"/>
  <c r="AR147" i="24" s="1"/>
  <c r="X147" i="24"/>
  <c r="AB147" i="24" s="1"/>
  <c r="AQ147" i="24" s="1"/>
  <c r="W147" i="24"/>
  <c r="AA147" i="24" s="1"/>
  <c r="AP147" i="24" s="1"/>
  <c r="V147" i="24"/>
  <c r="Z147" i="24" s="1"/>
  <c r="AO147" i="24" s="1"/>
  <c r="H144" i="24"/>
  <c r="G144" i="24"/>
  <c r="F144" i="24"/>
  <c r="E144" i="24"/>
  <c r="D144" i="24"/>
  <c r="Y143" i="24"/>
  <c r="AC143" i="24" s="1"/>
  <c r="AR143" i="24" s="1"/>
  <c r="X143" i="24"/>
  <c r="AB143" i="24" s="1"/>
  <c r="AQ143" i="24" s="1"/>
  <c r="W143" i="24"/>
  <c r="AA143" i="24" s="1"/>
  <c r="AP143" i="24" s="1"/>
  <c r="V143" i="24"/>
  <c r="Z143" i="24" s="1"/>
  <c r="Y142" i="24"/>
  <c r="AC142" i="24" s="1"/>
  <c r="AR142" i="24" s="1"/>
  <c r="X142" i="24"/>
  <c r="AB142" i="24" s="1"/>
  <c r="AQ142" i="24" s="1"/>
  <c r="W142" i="24"/>
  <c r="AA142" i="24" s="1"/>
  <c r="AP142" i="24" s="1"/>
  <c r="V142" i="24"/>
  <c r="Z142" i="24" s="1"/>
  <c r="AO142" i="24" s="1"/>
  <c r="Y141" i="24"/>
  <c r="AC141" i="24" s="1"/>
  <c r="AR141" i="24" s="1"/>
  <c r="X141" i="24"/>
  <c r="AB141" i="24" s="1"/>
  <c r="AQ141" i="24" s="1"/>
  <c r="W141" i="24"/>
  <c r="AA141" i="24" s="1"/>
  <c r="AP141" i="24" s="1"/>
  <c r="V141" i="24"/>
  <c r="Z141" i="24" s="1"/>
  <c r="Y140" i="24"/>
  <c r="AC140" i="24" s="1"/>
  <c r="AR140" i="24" s="1"/>
  <c r="X140" i="24"/>
  <c r="AB140" i="24" s="1"/>
  <c r="AQ140" i="24" s="1"/>
  <c r="W140" i="24"/>
  <c r="AA140" i="24" s="1"/>
  <c r="AP140" i="24" s="1"/>
  <c r="V140" i="24"/>
  <c r="Z140" i="24" s="1"/>
  <c r="AO140" i="24" s="1"/>
  <c r="Y139" i="24"/>
  <c r="AC139" i="24" s="1"/>
  <c r="AR139" i="24" s="1"/>
  <c r="X139" i="24"/>
  <c r="AB139" i="24" s="1"/>
  <c r="AQ139" i="24" s="1"/>
  <c r="W139" i="24"/>
  <c r="AA139" i="24" s="1"/>
  <c r="AP139" i="24" s="1"/>
  <c r="V139" i="24"/>
  <c r="Z139" i="24" s="1"/>
  <c r="Y138" i="24"/>
  <c r="AC138" i="24" s="1"/>
  <c r="AR138" i="24" s="1"/>
  <c r="X138" i="24"/>
  <c r="AB138" i="24" s="1"/>
  <c r="AQ138" i="24" s="1"/>
  <c r="W138" i="24"/>
  <c r="AA138" i="24" s="1"/>
  <c r="AP138" i="24" s="1"/>
  <c r="V138" i="24"/>
  <c r="Z138" i="24" s="1"/>
  <c r="AO138" i="24" s="1"/>
  <c r="H135" i="24"/>
  <c r="G135" i="24"/>
  <c r="F135" i="24"/>
  <c r="E135" i="24"/>
  <c r="D135" i="24"/>
  <c r="Y134" i="24"/>
  <c r="AC134" i="24" s="1"/>
  <c r="AR134" i="24" s="1"/>
  <c r="X134" i="24"/>
  <c r="AB134" i="24" s="1"/>
  <c r="AQ134" i="24" s="1"/>
  <c r="W134" i="24"/>
  <c r="AA134" i="24" s="1"/>
  <c r="V134" i="24"/>
  <c r="Z134" i="24" s="1"/>
  <c r="AO134" i="24" s="1"/>
  <c r="Y133" i="24"/>
  <c r="AC133" i="24" s="1"/>
  <c r="AR133" i="24" s="1"/>
  <c r="X133" i="24"/>
  <c r="AB133" i="24" s="1"/>
  <c r="AQ133" i="24" s="1"/>
  <c r="W133" i="24"/>
  <c r="AA133" i="24" s="1"/>
  <c r="AP133" i="24" s="1"/>
  <c r="V133" i="24"/>
  <c r="Z133" i="24" s="1"/>
  <c r="AO133" i="24" s="1"/>
  <c r="Y132" i="24"/>
  <c r="AC132" i="24" s="1"/>
  <c r="AR132" i="24" s="1"/>
  <c r="X132" i="24"/>
  <c r="AB132" i="24" s="1"/>
  <c r="AQ132" i="24" s="1"/>
  <c r="W132" i="24"/>
  <c r="AA132" i="24" s="1"/>
  <c r="AP132" i="24" s="1"/>
  <c r="V132" i="24"/>
  <c r="Z132" i="24" s="1"/>
  <c r="AO132" i="24" s="1"/>
  <c r="Y131" i="24"/>
  <c r="AC131" i="24" s="1"/>
  <c r="AR131" i="24" s="1"/>
  <c r="X131" i="24"/>
  <c r="AB131" i="24" s="1"/>
  <c r="AQ131" i="24" s="1"/>
  <c r="W131" i="24"/>
  <c r="AA131" i="24" s="1"/>
  <c r="V131" i="24"/>
  <c r="Z131" i="24" s="1"/>
  <c r="AO131" i="24" s="1"/>
  <c r="Y130" i="24"/>
  <c r="AC130" i="24" s="1"/>
  <c r="AR130" i="24" s="1"/>
  <c r="X130" i="24"/>
  <c r="AB130" i="24" s="1"/>
  <c r="AQ130" i="24" s="1"/>
  <c r="W130" i="24"/>
  <c r="AA130" i="24" s="1"/>
  <c r="V130" i="24"/>
  <c r="Z130" i="24" s="1"/>
  <c r="AO130" i="24" s="1"/>
  <c r="Y129" i="24"/>
  <c r="AC129" i="24" s="1"/>
  <c r="AR129" i="24" s="1"/>
  <c r="X129" i="24"/>
  <c r="AB129" i="24" s="1"/>
  <c r="AQ129" i="24" s="1"/>
  <c r="W129" i="24"/>
  <c r="AA129" i="24" s="1"/>
  <c r="AP129" i="24" s="1"/>
  <c r="V129" i="24"/>
  <c r="Z129" i="24" s="1"/>
  <c r="AO129" i="24" s="1"/>
  <c r="H126" i="24"/>
  <c r="G126" i="24"/>
  <c r="F126" i="24"/>
  <c r="E126" i="24"/>
  <c r="D126" i="24"/>
  <c r="AH125" i="24"/>
  <c r="AL125" i="24" s="1"/>
  <c r="AX125" i="24" s="1"/>
  <c r="AG125" i="24"/>
  <c r="AK125" i="24" s="1"/>
  <c r="AW125" i="24" s="1"/>
  <c r="AF125" i="24"/>
  <c r="AJ125" i="24" s="1"/>
  <c r="AV125" i="24" s="1"/>
  <c r="AE125" i="24"/>
  <c r="AI125" i="24" s="1"/>
  <c r="Y125" i="24"/>
  <c r="AC125" i="24" s="1"/>
  <c r="AR125" i="24" s="1"/>
  <c r="X125" i="24"/>
  <c r="AB125" i="24" s="1"/>
  <c r="AQ125" i="24" s="1"/>
  <c r="W125" i="24"/>
  <c r="AA125" i="24" s="1"/>
  <c r="AP125" i="24" s="1"/>
  <c r="V125" i="24"/>
  <c r="Z125" i="24" s="1"/>
  <c r="AO125" i="24" s="1"/>
  <c r="AH124" i="24"/>
  <c r="AL124" i="24" s="1"/>
  <c r="AX124" i="24" s="1"/>
  <c r="AG124" i="24"/>
  <c r="AK124" i="24" s="1"/>
  <c r="AW124" i="24" s="1"/>
  <c r="AF124" i="24"/>
  <c r="AJ124" i="24" s="1"/>
  <c r="AV124" i="24" s="1"/>
  <c r="AE124" i="24"/>
  <c r="AI124" i="24" s="1"/>
  <c r="AU124" i="24" s="1"/>
  <c r="Y124" i="24"/>
  <c r="AC124" i="24" s="1"/>
  <c r="AR124" i="24" s="1"/>
  <c r="X124" i="24"/>
  <c r="AB124" i="24" s="1"/>
  <c r="AQ124" i="24" s="1"/>
  <c r="W124" i="24"/>
  <c r="AA124" i="24" s="1"/>
  <c r="AP124" i="24" s="1"/>
  <c r="V124" i="24"/>
  <c r="Z124" i="24" s="1"/>
  <c r="AO124" i="24" s="1"/>
  <c r="AH123" i="24"/>
  <c r="AL123" i="24" s="1"/>
  <c r="AX123" i="24" s="1"/>
  <c r="AG123" i="24"/>
  <c r="AK123" i="24" s="1"/>
  <c r="AW123" i="24" s="1"/>
  <c r="AF123" i="24"/>
  <c r="AJ123" i="24" s="1"/>
  <c r="AV123" i="24" s="1"/>
  <c r="AE123" i="24"/>
  <c r="AI123" i="24" s="1"/>
  <c r="AU123" i="24" s="1"/>
  <c r="Y123" i="24"/>
  <c r="AC123" i="24" s="1"/>
  <c r="AR123" i="24" s="1"/>
  <c r="X123" i="24"/>
  <c r="AB123" i="24" s="1"/>
  <c r="AQ123" i="24" s="1"/>
  <c r="W123" i="24"/>
  <c r="AA123" i="24" s="1"/>
  <c r="AP123" i="24" s="1"/>
  <c r="V123" i="24"/>
  <c r="Z123" i="24" s="1"/>
  <c r="AH122" i="24"/>
  <c r="AL122" i="24" s="1"/>
  <c r="AX122" i="24" s="1"/>
  <c r="AG122" i="24"/>
  <c r="AK122" i="24" s="1"/>
  <c r="AW122" i="24" s="1"/>
  <c r="AF122" i="24"/>
  <c r="AJ122" i="24" s="1"/>
  <c r="AV122" i="24" s="1"/>
  <c r="AE122" i="24"/>
  <c r="AI122" i="24" s="1"/>
  <c r="AU122" i="24" s="1"/>
  <c r="Y122" i="24"/>
  <c r="AC122" i="24" s="1"/>
  <c r="AR122" i="24" s="1"/>
  <c r="X122" i="24"/>
  <c r="AB122" i="24" s="1"/>
  <c r="AQ122" i="24" s="1"/>
  <c r="W122" i="24"/>
  <c r="AA122" i="24" s="1"/>
  <c r="AP122" i="24" s="1"/>
  <c r="V122" i="24"/>
  <c r="Z122" i="24" s="1"/>
  <c r="AO122" i="24" s="1"/>
  <c r="AH121" i="24"/>
  <c r="AL121" i="24" s="1"/>
  <c r="AX121" i="24" s="1"/>
  <c r="AG121" i="24"/>
  <c r="AK121" i="24" s="1"/>
  <c r="AW121" i="24" s="1"/>
  <c r="AF121" i="24"/>
  <c r="AJ121" i="24" s="1"/>
  <c r="AV121" i="24" s="1"/>
  <c r="AE121" i="24"/>
  <c r="AI121" i="24" s="1"/>
  <c r="AU121" i="24" s="1"/>
  <c r="Y121" i="24"/>
  <c r="AC121" i="24" s="1"/>
  <c r="AR121" i="24" s="1"/>
  <c r="X121" i="24"/>
  <c r="AB121" i="24" s="1"/>
  <c r="AQ121" i="24" s="1"/>
  <c r="W121" i="24"/>
  <c r="AA121" i="24" s="1"/>
  <c r="AP121" i="24" s="1"/>
  <c r="V121" i="24"/>
  <c r="Z121" i="24" s="1"/>
  <c r="AO121" i="24" s="1"/>
  <c r="AH120" i="24"/>
  <c r="AL120" i="24" s="1"/>
  <c r="AX120" i="24" s="1"/>
  <c r="AG120" i="24"/>
  <c r="AK120" i="24" s="1"/>
  <c r="AW120" i="24" s="1"/>
  <c r="AF120" i="24"/>
  <c r="AJ120" i="24" s="1"/>
  <c r="AV120" i="24" s="1"/>
  <c r="AE120" i="24"/>
  <c r="AI120" i="24" s="1"/>
  <c r="AU120" i="24" s="1"/>
  <c r="Y120" i="24"/>
  <c r="AC120" i="24" s="1"/>
  <c r="AR120" i="24" s="1"/>
  <c r="X120" i="24"/>
  <c r="AB120" i="24" s="1"/>
  <c r="AQ120" i="24" s="1"/>
  <c r="W120" i="24"/>
  <c r="AA120" i="24" s="1"/>
  <c r="AP120" i="24" s="1"/>
  <c r="V120" i="24"/>
  <c r="Z120" i="24" s="1"/>
  <c r="AO120" i="24" s="1"/>
  <c r="H117" i="24"/>
  <c r="G117" i="24"/>
  <c r="F117" i="24"/>
  <c r="E117" i="24"/>
  <c r="D117" i="24"/>
  <c r="AH116" i="24"/>
  <c r="AL116" i="24" s="1"/>
  <c r="AX116" i="24" s="1"/>
  <c r="AG116" i="24"/>
  <c r="AK116" i="24" s="1"/>
  <c r="AW116" i="24" s="1"/>
  <c r="AF116" i="24"/>
  <c r="AJ116" i="24" s="1"/>
  <c r="AV116" i="24" s="1"/>
  <c r="AE116" i="24"/>
  <c r="AI116" i="24" s="1"/>
  <c r="AU116" i="24" s="1"/>
  <c r="Y116" i="24"/>
  <c r="AC116" i="24" s="1"/>
  <c r="AR116" i="24" s="1"/>
  <c r="X116" i="24"/>
  <c r="AB116" i="24" s="1"/>
  <c r="AQ116" i="24" s="1"/>
  <c r="W116" i="24"/>
  <c r="AA116" i="24" s="1"/>
  <c r="AP116" i="24" s="1"/>
  <c r="V116" i="24"/>
  <c r="Z116" i="24" s="1"/>
  <c r="AO116" i="24" s="1"/>
  <c r="AH115" i="24"/>
  <c r="AL115" i="24" s="1"/>
  <c r="AX115" i="24" s="1"/>
  <c r="AG115" i="24"/>
  <c r="AK115" i="24" s="1"/>
  <c r="AW115" i="24" s="1"/>
  <c r="AF115" i="24"/>
  <c r="AJ115" i="24" s="1"/>
  <c r="AV115" i="24" s="1"/>
  <c r="AE115" i="24"/>
  <c r="AI115" i="24" s="1"/>
  <c r="Y115" i="24"/>
  <c r="AC115" i="24" s="1"/>
  <c r="AR115" i="24" s="1"/>
  <c r="X115" i="24"/>
  <c r="AB115" i="24" s="1"/>
  <c r="AQ115" i="24" s="1"/>
  <c r="W115" i="24"/>
  <c r="AA115" i="24" s="1"/>
  <c r="AP115" i="24" s="1"/>
  <c r="V115" i="24"/>
  <c r="Z115" i="24" s="1"/>
  <c r="AO115" i="24" s="1"/>
  <c r="AH114" i="24"/>
  <c r="AL114" i="24" s="1"/>
  <c r="AX114" i="24" s="1"/>
  <c r="AG114" i="24"/>
  <c r="AK114" i="24" s="1"/>
  <c r="AW114" i="24" s="1"/>
  <c r="AF114" i="24"/>
  <c r="AJ114" i="24" s="1"/>
  <c r="AE114" i="24"/>
  <c r="AI114" i="24" s="1"/>
  <c r="AU114" i="24" s="1"/>
  <c r="Y114" i="24"/>
  <c r="AC114" i="24" s="1"/>
  <c r="AR114" i="24" s="1"/>
  <c r="X114" i="24"/>
  <c r="AB114" i="24" s="1"/>
  <c r="AQ114" i="24" s="1"/>
  <c r="W114" i="24"/>
  <c r="AA114" i="24" s="1"/>
  <c r="AP114" i="24" s="1"/>
  <c r="V114" i="24"/>
  <c r="Z114" i="24" s="1"/>
  <c r="AO114" i="24" s="1"/>
  <c r="AH113" i="24"/>
  <c r="AL113" i="24" s="1"/>
  <c r="AX113" i="24" s="1"/>
  <c r="AG113" i="24"/>
  <c r="AK113" i="24" s="1"/>
  <c r="AW113" i="24" s="1"/>
  <c r="AF113" i="24"/>
  <c r="AJ113" i="24" s="1"/>
  <c r="AE113" i="24"/>
  <c r="AI113" i="24" s="1"/>
  <c r="AU113" i="24" s="1"/>
  <c r="Y113" i="24"/>
  <c r="AC113" i="24" s="1"/>
  <c r="AR113" i="24" s="1"/>
  <c r="X113" i="24"/>
  <c r="AB113" i="24" s="1"/>
  <c r="AQ113" i="24" s="1"/>
  <c r="W113" i="24"/>
  <c r="AA113" i="24" s="1"/>
  <c r="AP113" i="24" s="1"/>
  <c r="V113" i="24"/>
  <c r="Z113" i="24" s="1"/>
  <c r="AH112" i="24"/>
  <c r="AL112" i="24" s="1"/>
  <c r="AX112" i="24" s="1"/>
  <c r="AG112" i="24"/>
  <c r="AK112" i="24" s="1"/>
  <c r="AW112" i="24" s="1"/>
  <c r="AF112" i="24"/>
  <c r="AJ112" i="24" s="1"/>
  <c r="AE112" i="24"/>
  <c r="AI112" i="24" s="1"/>
  <c r="AU112" i="24" s="1"/>
  <c r="Y112" i="24"/>
  <c r="AC112" i="24" s="1"/>
  <c r="AR112" i="24" s="1"/>
  <c r="X112" i="24"/>
  <c r="AB112" i="24" s="1"/>
  <c r="AQ112" i="24" s="1"/>
  <c r="W112" i="24"/>
  <c r="AA112" i="24" s="1"/>
  <c r="AP112" i="24" s="1"/>
  <c r="V112" i="24"/>
  <c r="Z112" i="24" s="1"/>
  <c r="AO112" i="24" s="1"/>
  <c r="AH111" i="24"/>
  <c r="AL111" i="24" s="1"/>
  <c r="AX111" i="24" s="1"/>
  <c r="AG111" i="24"/>
  <c r="AK111" i="24" s="1"/>
  <c r="AW111" i="24" s="1"/>
  <c r="AF111" i="24"/>
  <c r="AJ111" i="24" s="1"/>
  <c r="AE111" i="24"/>
  <c r="AI111" i="24" s="1"/>
  <c r="AU111" i="24" s="1"/>
  <c r="Y111" i="24"/>
  <c r="AC111" i="24" s="1"/>
  <c r="AR111" i="24" s="1"/>
  <c r="X111" i="24"/>
  <c r="AB111" i="24" s="1"/>
  <c r="AQ111" i="24" s="1"/>
  <c r="W111" i="24"/>
  <c r="AA111" i="24" s="1"/>
  <c r="V111" i="24"/>
  <c r="Z111" i="24" s="1"/>
  <c r="AO111" i="24" s="1"/>
  <c r="H108" i="24"/>
  <c r="G108" i="24"/>
  <c r="F108" i="24"/>
  <c r="E108" i="24"/>
  <c r="D108" i="24"/>
  <c r="AH107" i="24"/>
  <c r="AL107" i="24" s="1"/>
  <c r="AX107" i="24" s="1"/>
  <c r="AG107" i="24"/>
  <c r="AK107" i="24" s="1"/>
  <c r="AW107" i="24" s="1"/>
  <c r="AF107" i="24"/>
  <c r="AJ107" i="24" s="1"/>
  <c r="AV107" i="24" s="1"/>
  <c r="AE107" i="24"/>
  <c r="AI107" i="24" s="1"/>
  <c r="AU107" i="24" s="1"/>
  <c r="Y107" i="24"/>
  <c r="AC107" i="24" s="1"/>
  <c r="AR107" i="24" s="1"/>
  <c r="X107" i="24"/>
  <c r="AB107" i="24" s="1"/>
  <c r="AQ107" i="24" s="1"/>
  <c r="W107" i="24"/>
  <c r="AA107" i="24" s="1"/>
  <c r="AP107" i="24" s="1"/>
  <c r="V107" i="24"/>
  <c r="Z107" i="24" s="1"/>
  <c r="AO107" i="24" s="1"/>
  <c r="AH106" i="24"/>
  <c r="AL106" i="24" s="1"/>
  <c r="AX106" i="24" s="1"/>
  <c r="AG106" i="24"/>
  <c r="AK106" i="24" s="1"/>
  <c r="AW106" i="24" s="1"/>
  <c r="AF106" i="24"/>
  <c r="AJ106" i="24" s="1"/>
  <c r="AV106" i="24" s="1"/>
  <c r="AE106" i="24"/>
  <c r="AI106" i="24" s="1"/>
  <c r="Y106" i="24"/>
  <c r="AC106" i="24" s="1"/>
  <c r="AR106" i="24" s="1"/>
  <c r="X106" i="24"/>
  <c r="AB106" i="24" s="1"/>
  <c r="AQ106" i="24" s="1"/>
  <c r="W106" i="24"/>
  <c r="AA106" i="24" s="1"/>
  <c r="AP106" i="24" s="1"/>
  <c r="V106" i="24"/>
  <c r="Z106" i="24" s="1"/>
  <c r="AO106" i="24" s="1"/>
  <c r="AH105" i="24"/>
  <c r="AL105" i="24" s="1"/>
  <c r="AX105" i="24" s="1"/>
  <c r="AG105" i="24"/>
  <c r="AK105" i="24" s="1"/>
  <c r="AW105" i="24" s="1"/>
  <c r="AF105" i="24"/>
  <c r="AJ105" i="24" s="1"/>
  <c r="AE105" i="24"/>
  <c r="AI105" i="24" s="1"/>
  <c r="AU105" i="24" s="1"/>
  <c r="Y105" i="24"/>
  <c r="AC105" i="24" s="1"/>
  <c r="AR105" i="24" s="1"/>
  <c r="X105" i="24"/>
  <c r="AB105" i="24" s="1"/>
  <c r="AQ105" i="24" s="1"/>
  <c r="W105" i="24"/>
  <c r="AA105" i="24" s="1"/>
  <c r="AP105" i="24" s="1"/>
  <c r="V105" i="24"/>
  <c r="Z105" i="24" s="1"/>
  <c r="AO105" i="24" s="1"/>
  <c r="AH104" i="24"/>
  <c r="AL104" i="24" s="1"/>
  <c r="AX104" i="24" s="1"/>
  <c r="AG104" i="24"/>
  <c r="AK104" i="24" s="1"/>
  <c r="AW104" i="24" s="1"/>
  <c r="AF104" i="24"/>
  <c r="AJ104" i="24" s="1"/>
  <c r="AV104" i="24" s="1"/>
  <c r="AE104" i="24"/>
  <c r="AI104" i="24" s="1"/>
  <c r="Y104" i="24"/>
  <c r="AC104" i="24" s="1"/>
  <c r="AR104" i="24" s="1"/>
  <c r="X104" i="24"/>
  <c r="AB104" i="24" s="1"/>
  <c r="AQ104" i="24" s="1"/>
  <c r="W104" i="24"/>
  <c r="AA104" i="24" s="1"/>
  <c r="AP104" i="24" s="1"/>
  <c r="V104" i="24"/>
  <c r="Z104" i="24" s="1"/>
  <c r="AO104" i="24" s="1"/>
  <c r="AH103" i="24"/>
  <c r="AL103" i="24" s="1"/>
  <c r="AX103" i="24" s="1"/>
  <c r="AG103" i="24"/>
  <c r="AK103" i="24" s="1"/>
  <c r="AW103" i="24" s="1"/>
  <c r="AF103" i="24"/>
  <c r="AJ103" i="24" s="1"/>
  <c r="AV103" i="24" s="1"/>
  <c r="AE103" i="24"/>
  <c r="AI103" i="24" s="1"/>
  <c r="AU103" i="24" s="1"/>
  <c r="Y103" i="24"/>
  <c r="AC103" i="24" s="1"/>
  <c r="AR103" i="24" s="1"/>
  <c r="X103" i="24"/>
  <c r="AB103" i="24" s="1"/>
  <c r="AQ103" i="24" s="1"/>
  <c r="W103" i="24"/>
  <c r="AA103" i="24" s="1"/>
  <c r="AP103" i="24" s="1"/>
  <c r="V103" i="24"/>
  <c r="Z103" i="24" s="1"/>
  <c r="AO103" i="24" s="1"/>
  <c r="AH102" i="24"/>
  <c r="AL102" i="24" s="1"/>
  <c r="AX102" i="24" s="1"/>
  <c r="AG102" i="24"/>
  <c r="AK102" i="24" s="1"/>
  <c r="AW102" i="24" s="1"/>
  <c r="AF102" i="24"/>
  <c r="AJ102" i="24" s="1"/>
  <c r="AV102" i="24" s="1"/>
  <c r="AE102" i="24"/>
  <c r="AI102" i="24" s="1"/>
  <c r="Y102" i="24"/>
  <c r="AC102" i="24" s="1"/>
  <c r="AR102" i="24" s="1"/>
  <c r="X102" i="24"/>
  <c r="AB102" i="24" s="1"/>
  <c r="AQ102" i="24" s="1"/>
  <c r="W102" i="24"/>
  <c r="AA102" i="24" s="1"/>
  <c r="AP102" i="24" s="1"/>
  <c r="V102" i="24"/>
  <c r="Z102" i="24" s="1"/>
  <c r="AO102" i="24" s="1"/>
  <c r="H99" i="24"/>
  <c r="G99" i="24"/>
  <c r="F99" i="24"/>
  <c r="E99" i="24"/>
  <c r="D99" i="24"/>
  <c r="AH98" i="24"/>
  <c r="AL98" i="24" s="1"/>
  <c r="AX98" i="24" s="1"/>
  <c r="AG98" i="24"/>
  <c r="AK98" i="24" s="1"/>
  <c r="AW98" i="24" s="1"/>
  <c r="AF98" i="24"/>
  <c r="AJ98" i="24" s="1"/>
  <c r="AV98" i="24" s="1"/>
  <c r="AE98" i="24"/>
  <c r="AI98" i="24" s="1"/>
  <c r="AU98" i="24" s="1"/>
  <c r="Y98" i="24"/>
  <c r="AC98" i="24" s="1"/>
  <c r="AR98" i="24" s="1"/>
  <c r="X98" i="24"/>
  <c r="AB98" i="24" s="1"/>
  <c r="AQ98" i="24" s="1"/>
  <c r="W98" i="24"/>
  <c r="AA98" i="24" s="1"/>
  <c r="AP98" i="24" s="1"/>
  <c r="V98" i="24"/>
  <c r="Z98" i="24" s="1"/>
  <c r="AO98" i="24" s="1"/>
  <c r="AH97" i="24"/>
  <c r="AL97" i="24" s="1"/>
  <c r="AX97" i="24" s="1"/>
  <c r="AG97" i="24"/>
  <c r="AK97" i="24" s="1"/>
  <c r="AW97" i="24" s="1"/>
  <c r="AF97" i="24"/>
  <c r="AJ97" i="24" s="1"/>
  <c r="AV97" i="24" s="1"/>
  <c r="AE97" i="24"/>
  <c r="AI97" i="24" s="1"/>
  <c r="AU97" i="24" s="1"/>
  <c r="Y97" i="24"/>
  <c r="AC97" i="24" s="1"/>
  <c r="AR97" i="24" s="1"/>
  <c r="X97" i="24"/>
  <c r="AB97" i="24" s="1"/>
  <c r="AQ97" i="24" s="1"/>
  <c r="W97" i="24"/>
  <c r="AA97" i="24" s="1"/>
  <c r="AP97" i="24" s="1"/>
  <c r="V97" i="24"/>
  <c r="Z97" i="24" s="1"/>
  <c r="AO97" i="24" s="1"/>
  <c r="AH96" i="24"/>
  <c r="AL96" i="24" s="1"/>
  <c r="AX96" i="24" s="1"/>
  <c r="AG96" i="24"/>
  <c r="AK96" i="24" s="1"/>
  <c r="AW96" i="24" s="1"/>
  <c r="AF96" i="24"/>
  <c r="AJ96" i="24" s="1"/>
  <c r="AV96" i="24" s="1"/>
  <c r="AE96" i="24"/>
  <c r="AI96" i="24" s="1"/>
  <c r="AU96" i="24" s="1"/>
  <c r="Y96" i="24"/>
  <c r="AC96" i="24" s="1"/>
  <c r="AR96" i="24" s="1"/>
  <c r="X96" i="24"/>
  <c r="AB96" i="24" s="1"/>
  <c r="AQ96" i="24" s="1"/>
  <c r="W96" i="24"/>
  <c r="AA96" i="24" s="1"/>
  <c r="AP96" i="24" s="1"/>
  <c r="V96" i="24"/>
  <c r="Z96" i="24" s="1"/>
  <c r="AO96" i="24" s="1"/>
  <c r="AH95" i="24"/>
  <c r="AL95" i="24" s="1"/>
  <c r="AX95" i="24" s="1"/>
  <c r="AG95" i="24"/>
  <c r="AK95" i="24" s="1"/>
  <c r="AW95" i="24" s="1"/>
  <c r="AF95" i="24"/>
  <c r="AJ95" i="24" s="1"/>
  <c r="AV95" i="24" s="1"/>
  <c r="AE95" i="24"/>
  <c r="AI95" i="24" s="1"/>
  <c r="Y95" i="24"/>
  <c r="AC95" i="24" s="1"/>
  <c r="AR95" i="24" s="1"/>
  <c r="X95" i="24"/>
  <c r="AB95" i="24" s="1"/>
  <c r="AQ95" i="24" s="1"/>
  <c r="W95" i="24"/>
  <c r="AA95" i="24" s="1"/>
  <c r="AP95" i="24" s="1"/>
  <c r="V95" i="24"/>
  <c r="Z95" i="24" s="1"/>
  <c r="AO95" i="24" s="1"/>
  <c r="AH94" i="24"/>
  <c r="AL94" i="24" s="1"/>
  <c r="AX94" i="24" s="1"/>
  <c r="AG94" i="24"/>
  <c r="AK94" i="24" s="1"/>
  <c r="AW94" i="24" s="1"/>
  <c r="AF94" i="24"/>
  <c r="AJ94" i="24" s="1"/>
  <c r="AV94" i="24" s="1"/>
  <c r="AE94" i="24"/>
  <c r="AI94" i="24" s="1"/>
  <c r="AU94" i="24" s="1"/>
  <c r="Y94" i="24"/>
  <c r="AC94" i="24" s="1"/>
  <c r="AR94" i="24" s="1"/>
  <c r="X94" i="24"/>
  <c r="AB94" i="24" s="1"/>
  <c r="AQ94" i="24" s="1"/>
  <c r="W94" i="24"/>
  <c r="AA94" i="24" s="1"/>
  <c r="AP94" i="24" s="1"/>
  <c r="V94" i="24"/>
  <c r="Z94" i="24" s="1"/>
  <c r="AO94" i="24" s="1"/>
  <c r="AH93" i="24"/>
  <c r="AL93" i="24" s="1"/>
  <c r="AX93" i="24" s="1"/>
  <c r="AG93" i="24"/>
  <c r="AK93" i="24" s="1"/>
  <c r="AW93" i="24" s="1"/>
  <c r="AF93" i="24"/>
  <c r="AJ93" i="24" s="1"/>
  <c r="AV93" i="24" s="1"/>
  <c r="AE93" i="24"/>
  <c r="AI93" i="24" s="1"/>
  <c r="AU93" i="24" s="1"/>
  <c r="Y93" i="24"/>
  <c r="AC93" i="24" s="1"/>
  <c r="AR93" i="24" s="1"/>
  <c r="X93" i="24"/>
  <c r="AB93" i="24" s="1"/>
  <c r="AQ93" i="24" s="1"/>
  <c r="W93" i="24"/>
  <c r="AA93" i="24" s="1"/>
  <c r="AP93" i="24" s="1"/>
  <c r="V93" i="24"/>
  <c r="Z93" i="24" s="1"/>
  <c r="AO93" i="24" s="1"/>
  <c r="H90" i="24"/>
  <c r="G90" i="24"/>
  <c r="F90" i="24"/>
  <c r="E90" i="24"/>
  <c r="D90" i="24"/>
  <c r="AH89" i="24"/>
  <c r="AL89" i="24" s="1"/>
  <c r="AX89" i="24" s="1"/>
  <c r="AG89" i="24"/>
  <c r="AK89" i="24" s="1"/>
  <c r="AW89" i="24" s="1"/>
  <c r="AF89" i="24"/>
  <c r="AJ89" i="24" s="1"/>
  <c r="AV89" i="24" s="1"/>
  <c r="AE89" i="24"/>
  <c r="AI89" i="24" s="1"/>
  <c r="AU89" i="24" s="1"/>
  <c r="Y89" i="24"/>
  <c r="AC89" i="24" s="1"/>
  <c r="AR89" i="24" s="1"/>
  <c r="X89" i="24"/>
  <c r="AB89" i="24" s="1"/>
  <c r="AQ89" i="24" s="1"/>
  <c r="W89" i="24"/>
  <c r="AA89" i="24" s="1"/>
  <c r="AP89" i="24" s="1"/>
  <c r="V89" i="24"/>
  <c r="Z89" i="24" s="1"/>
  <c r="AH88" i="24"/>
  <c r="AL88" i="24" s="1"/>
  <c r="AX88" i="24" s="1"/>
  <c r="AG88" i="24"/>
  <c r="AK88" i="24" s="1"/>
  <c r="AW88" i="24" s="1"/>
  <c r="AF88" i="24"/>
  <c r="AJ88" i="24" s="1"/>
  <c r="AV88" i="24" s="1"/>
  <c r="AE88" i="24"/>
  <c r="AI88" i="24" s="1"/>
  <c r="AU88" i="24" s="1"/>
  <c r="Y88" i="24"/>
  <c r="AC88" i="24" s="1"/>
  <c r="AR88" i="24" s="1"/>
  <c r="X88" i="24"/>
  <c r="AB88" i="24" s="1"/>
  <c r="AQ88" i="24" s="1"/>
  <c r="W88" i="24"/>
  <c r="AA88" i="24" s="1"/>
  <c r="AP88" i="24" s="1"/>
  <c r="V88" i="24"/>
  <c r="Z88" i="24" s="1"/>
  <c r="AO88" i="24" s="1"/>
  <c r="AH87" i="24"/>
  <c r="AL87" i="24" s="1"/>
  <c r="AX87" i="24" s="1"/>
  <c r="AG87" i="24"/>
  <c r="AK87" i="24" s="1"/>
  <c r="AW87" i="24" s="1"/>
  <c r="AF87" i="24"/>
  <c r="AJ87" i="24" s="1"/>
  <c r="AV87" i="24" s="1"/>
  <c r="AE87" i="24"/>
  <c r="AI87" i="24" s="1"/>
  <c r="Y87" i="24"/>
  <c r="AC87" i="24" s="1"/>
  <c r="AR87" i="24" s="1"/>
  <c r="X87" i="24"/>
  <c r="AB87" i="24" s="1"/>
  <c r="AQ87" i="24" s="1"/>
  <c r="W87" i="24"/>
  <c r="AA87" i="24" s="1"/>
  <c r="V87" i="24"/>
  <c r="Z87" i="24" s="1"/>
  <c r="AO87" i="24" s="1"/>
  <c r="AH86" i="24"/>
  <c r="AL86" i="24" s="1"/>
  <c r="AX86" i="24" s="1"/>
  <c r="AG86" i="24"/>
  <c r="AK86" i="24" s="1"/>
  <c r="AW86" i="24" s="1"/>
  <c r="AF86" i="24"/>
  <c r="AJ86" i="24" s="1"/>
  <c r="AV86" i="24" s="1"/>
  <c r="AE86" i="24"/>
  <c r="AI86" i="24" s="1"/>
  <c r="AU86" i="24" s="1"/>
  <c r="Y86" i="24"/>
  <c r="AC86" i="24" s="1"/>
  <c r="AR86" i="24" s="1"/>
  <c r="X86" i="24"/>
  <c r="AB86" i="24" s="1"/>
  <c r="AQ86" i="24" s="1"/>
  <c r="W86" i="24"/>
  <c r="AA86" i="24" s="1"/>
  <c r="AP86" i="24" s="1"/>
  <c r="V86" i="24"/>
  <c r="Z86" i="24" s="1"/>
  <c r="AO86" i="24" s="1"/>
  <c r="AH85" i="24"/>
  <c r="AL85" i="24" s="1"/>
  <c r="AX85" i="24" s="1"/>
  <c r="AG85" i="24"/>
  <c r="AK85" i="24" s="1"/>
  <c r="AW85" i="24" s="1"/>
  <c r="AF85" i="24"/>
  <c r="AJ85" i="24" s="1"/>
  <c r="AE85" i="24"/>
  <c r="AI85" i="24" s="1"/>
  <c r="AU85" i="24" s="1"/>
  <c r="Y85" i="24"/>
  <c r="AC85" i="24" s="1"/>
  <c r="AR85" i="24" s="1"/>
  <c r="X85" i="24"/>
  <c r="AB85" i="24" s="1"/>
  <c r="AQ85" i="24" s="1"/>
  <c r="W85" i="24"/>
  <c r="AA85" i="24" s="1"/>
  <c r="V85" i="24"/>
  <c r="Z85" i="24" s="1"/>
  <c r="AO85" i="24" s="1"/>
  <c r="AH84" i="24"/>
  <c r="AL84" i="24" s="1"/>
  <c r="AX84" i="24" s="1"/>
  <c r="AG84" i="24"/>
  <c r="AK84" i="24" s="1"/>
  <c r="AW84" i="24" s="1"/>
  <c r="AF84" i="24"/>
  <c r="AJ84" i="24" s="1"/>
  <c r="AE84" i="24"/>
  <c r="AI84" i="24" s="1"/>
  <c r="AU84" i="24" s="1"/>
  <c r="Y84" i="24"/>
  <c r="AC84" i="24" s="1"/>
  <c r="AR84" i="24" s="1"/>
  <c r="X84" i="24"/>
  <c r="AB84" i="24" s="1"/>
  <c r="AQ84" i="24" s="1"/>
  <c r="W84" i="24"/>
  <c r="AA84" i="24" s="1"/>
  <c r="V84" i="24"/>
  <c r="Z84" i="24" s="1"/>
  <c r="AO84" i="24" s="1"/>
  <c r="H81" i="24"/>
  <c r="G81" i="24"/>
  <c r="F81" i="24"/>
  <c r="E81" i="24"/>
  <c r="D81" i="24"/>
  <c r="AH80" i="24"/>
  <c r="AL80" i="24" s="1"/>
  <c r="AX80" i="24" s="1"/>
  <c r="AG80" i="24"/>
  <c r="AK80" i="24" s="1"/>
  <c r="AW80" i="24" s="1"/>
  <c r="AF80" i="24"/>
  <c r="AJ80" i="24" s="1"/>
  <c r="AV80" i="24" s="1"/>
  <c r="AE80" i="24"/>
  <c r="AI80" i="24" s="1"/>
  <c r="AU80" i="24" s="1"/>
  <c r="Y80" i="24"/>
  <c r="AC80" i="24" s="1"/>
  <c r="AR80" i="24" s="1"/>
  <c r="X80" i="24"/>
  <c r="AB80" i="24" s="1"/>
  <c r="AQ80" i="24" s="1"/>
  <c r="W80" i="24"/>
  <c r="AA80" i="24" s="1"/>
  <c r="AP80" i="24" s="1"/>
  <c r="V80" i="24"/>
  <c r="Z80" i="24" s="1"/>
  <c r="AO80" i="24" s="1"/>
  <c r="AH79" i="24"/>
  <c r="AL79" i="24" s="1"/>
  <c r="AX79" i="24" s="1"/>
  <c r="AG79" i="24"/>
  <c r="AK79" i="24" s="1"/>
  <c r="AW79" i="24" s="1"/>
  <c r="AF79" i="24"/>
  <c r="AJ79" i="24" s="1"/>
  <c r="AV79" i="24" s="1"/>
  <c r="AE79" i="24"/>
  <c r="AI79" i="24" s="1"/>
  <c r="AU79" i="24" s="1"/>
  <c r="Y79" i="24"/>
  <c r="AC79" i="24" s="1"/>
  <c r="AR79" i="24" s="1"/>
  <c r="X79" i="24"/>
  <c r="AB79" i="24" s="1"/>
  <c r="AQ79" i="24" s="1"/>
  <c r="W79" i="24"/>
  <c r="AA79" i="24" s="1"/>
  <c r="AP79" i="24" s="1"/>
  <c r="V79" i="24"/>
  <c r="Z79" i="24" s="1"/>
  <c r="AO79" i="24" s="1"/>
  <c r="AH78" i="24"/>
  <c r="AL78" i="24" s="1"/>
  <c r="AX78" i="24" s="1"/>
  <c r="AG78" i="24"/>
  <c r="AK78" i="24" s="1"/>
  <c r="AW78" i="24" s="1"/>
  <c r="AF78" i="24"/>
  <c r="AJ78" i="24" s="1"/>
  <c r="AV78" i="24" s="1"/>
  <c r="AE78" i="24"/>
  <c r="AI78" i="24" s="1"/>
  <c r="AU78" i="24" s="1"/>
  <c r="Y78" i="24"/>
  <c r="AC78" i="24" s="1"/>
  <c r="AR78" i="24" s="1"/>
  <c r="X78" i="24"/>
  <c r="AB78" i="24" s="1"/>
  <c r="AQ78" i="24" s="1"/>
  <c r="W78" i="24"/>
  <c r="AA78" i="24" s="1"/>
  <c r="AP78" i="24" s="1"/>
  <c r="V78" i="24"/>
  <c r="Z78" i="24" s="1"/>
  <c r="AO78" i="24" s="1"/>
  <c r="AH77" i="24"/>
  <c r="AL77" i="24" s="1"/>
  <c r="AX77" i="24" s="1"/>
  <c r="AG77" i="24"/>
  <c r="AK77" i="24" s="1"/>
  <c r="AW77" i="24" s="1"/>
  <c r="AF77" i="24"/>
  <c r="AJ77" i="24" s="1"/>
  <c r="AV77" i="24" s="1"/>
  <c r="AE77" i="24"/>
  <c r="AI77" i="24" s="1"/>
  <c r="AU77" i="24" s="1"/>
  <c r="Y77" i="24"/>
  <c r="AC77" i="24" s="1"/>
  <c r="AR77" i="24" s="1"/>
  <c r="X77" i="24"/>
  <c r="AB77" i="24" s="1"/>
  <c r="AQ77" i="24" s="1"/>
  <c r="W77" i="24"/>
  <c r="AA77" i="24" s="1"/>
  <c r="AP77" i="24" s="1"/>
  <c r="V77" i="24"/>
  <c r="Z77" i="24" s="1"/>
  <c r="AO77" i="24" s="1"/>
  <c r="AH76" i="24"/>
  <c r="AL76" i="24" s="1"/>
  <c r="AX76" i="24" s="1"/>
  <c r="AG76" i="24"/>
  <c r="AK76" i="24" s="1"/>
  <c r="AW76" i="24" s="1"/>
  <c r="AF76" i="24"/>
  <c r="AJ76" i="24" s="1"/>
  <c r="AV76" i="24" s="1"/>
  <c r="AE76" i="24"/>
  <c r="AI76" i="24" s="1"/>
  <c r="Y76" i="24"/>
  <c r="AC76" i="24" s="1"/>
  <c r="AR76" i="24" s="1"/>
  <c r="X76" i="24"/>
  <c r="AB76" i="24" s="1"/>
  <c r="AQ76" i="24" s="1"/>
  <c r="W76" i="24"/>
  <c r="AA76" i="24" s="1"/>
  <c r="V76" i="24"/>
  <c r="Z76" i="24" s="1"/>
  <c r="AO76" i="24" s="1"/>
  <c r="AH75" i="24"/>
  <c r="AL75" i="24" s="1"/>
  <c r="AX75" i="24" s="1"/>
  <c r="AG75" i="24"/>
  <c r="AK75" i="24" s="1"/>
  <c r="AW75" i="24" s="1"/>
  <c r="AF75" i="24"/>
  <c r="AJ75" i="24" s="1"/>
  <c r="AV75" i="24" s="1"/>
  <c r="AE75" i="24"/>
  <c r="AI75" i="24" s="1"/>
  <c r="AU75" i="24" s="1"/>
  <c r="Y75" i="24"/>
  <c r="AC75" i="24" s="1"/>
  <c r="AR75" i="24" s="1"/>
  <c r="X75" i="24"/>
  <c r="AB75" i="24" s="1"/>
  <c r="AQ75" i="24" s="1"/>
  <c r="W75" i="24"/>
  <c r="AA75" i="24" s="1"/>
  <c r="AP75" i="24" s="1"/>
  <c r="V75" i="24"/>
  <c r="Z75" i="24" s="1"/>
  <c r="AO75" i="24" s="1"/>
  <c r="H72" i="24"/>
  <c r="G72" i="24"/>
  <c r="F72" i="24"/>
  <c r="E72" i="24"/>
  <c r="D72" i="24"/>
  <c r="AH71" i="24"/>
  <c r="AL71" i="24" s="1"/>
  <c r="AX71" i="24" s="1"/>
  <c r="AG71" i="24"/>
  <c r="AK71" i="24" s="1"/>
  <c r="AW71" i="24" s="1"/>
  <c r="AF71" i="24"/>
  <c r="AJ71" i="24" s="1"/>
  <c r="AE71" i="24"/>
  <c r="AI71" i="24" s="1"/>
  <c r="AU71" i="24" s="1"/>
  <c r="Y71" i="24"/>
  <c r="AC71" i="24" s="1"/>
  <c r="AR71" i="24" s="1"/>
  <c r="X71" i="24"/>
  <c r="AB71" i="24" s="1"/>
  <c r="AQ71" i="24" s="1"/>
  <c r="W71" i="24"/>
  <c r="AA71" i="24" s="1"/>
  <c r="V71" i="24"/>
  <c r="Z71" i="24" s="1"/>
  <c r="AO71" i="24" s="1"/>
  <c r="AH70" i="24"/>
  <c r="AL70" i="24" s="1"/>
  <c r="AX70" i="24" s="1"/>
  <c r="AG70" i="24"/>
  <c r="AK70" i="24" s="1"/>
  <c r="AW70" i="24" s="1"/>
  <c r="AF70" i="24"/>
  <c r="AJ70" i="24" s="1"/>
  <c r="AE70" i="24"/>
  <c r="AI70" i="24" s="1"/>
  <c r="AU70" i="24" s="1"/>
  <c r="Y70" i="24"/>
  <c r="AC70" i="24" s="1"/>
  <c r="AR70" i="24" s="1"/>
  <c r="X70" i="24"/>
  <c r="AB70" i="24" s="1"/>
  <c r="AQ70" i="24" s="1"/>
  <c r="W70" i="24"/>
  <c r="AA70" i="24" s="1"/>
  <c r="V70" i="24"/>
  <c r="Z70" i="24" s="1"/>
  <c r="AO70" i="24" s="1"/>
  <c r="AH69" i="24"/>
  <c r="AL69" i="24" s="1"/>
  <c r="AX69" i="24" s="1"/>
  <c r="AG69" i="24"/>
  <c r="AK69" i="24" s="1"/>
  <c r="AW69" i="24" s="1"/>
  <c r="AF69" i="24"/>
  <c r="AJ69" i="24" s="1"/>
  <c r="AE69" i="24"/>
  <c r="AI69" i="24" s="1"/>
  <c r="AU69" i="24" s="1"/>
  <c r="Y69" i="24"/>
  <c r="AC69" i="24" s="1"/>
  <c r="AR69" i="24" s="1"/>
  <c r="X69" i="24"/>
  <c r="AB69" i="24" s="1"/>
  <c r="AQ69" i="24" s="1"/>
  <c r="W69" i="24"/>
  <c r="AA69" i="24" s="1"/>
  <c r="V69" i="24"/>
  <c r="Z69" i="24" s="1"/>
  <c r="AO69" i="24" s="1"/>
  <c r="AH68" i="24"/>
  <c r="AL68" i="24" s="1"/>
  <c r="AX68" i="24" s="1"/>
  <c r="AG68" i="24"/>
  <c r="AK68" i="24" s="1"/>
  <c r="AW68" i="24" s="1"/>
  <c r="AF68" i="24"/>
  <c r="AJ68" i="24" s="1"/>
  <c r="AE68" i="24"/>
  <c r="AI68" i="24" s="1"/>
  <c r="AU68" i="24" s="1"/>
  <c r="Y68" i="24"/>
  <c r="AC68" i="24" s="1"/>
  <c r="AR68" i="24" s="1"/>
  <c r="X68" i="24"/>
  <c r="AB68" i="24" s="1"/>
  <c r="AQ68" i="24" s="1"/>
  <c r="W68" i="24"/>
  <c r="AA68" i="24" s="1"/>
  <c r="V68" i="24"/>
  <c r="Z68" i="24" s="1"/>
  <c r="AO68" i="24" s="1"/>
  <c r="AH67" i="24"/>
  <c r="AL67" i="24" s="1"/>
  <c r="AX67" i="24" s="1"/>
  <c r="AG67" i="24"/>
  <c r="AK67" i="24" s="1"/>
  <c r="AW67" i="24" s="1"/>
  <c r="AF67" i="24"/>
  <c r="AJ67" i="24" s="1"/>
  <c r="AE67" i="24"/>
  <c r="AI67" i="24" s="1"/>
  <c r="AU67" i="24" s="1"/>
  <c r="Y67" i="24"/>
  <c r="AC67" i="24" s="1"/>
  <c r="AR67" i="24" s="1"/>
  <c r="X67" i="24"/>
  <c r="AB67" i="24" s="1"/>
  <c r="AQ67" i="24" s="1"/>
  <c r="W67" i="24"/>
  <c r="AA67" i="24" s="1"/>
  <c r="V67" i="24"/>
  <c r="Z67" i="24" s="1"/>
  <c r="AO67" i="24" s="1"/>
  <c r="AH66" i="24"/>
  <c r="AL66" i="24" s="1"/>
  <c r="AX66" i="24" s="1"/>
  <c r="AG66" i="24"/>
  <c r="AK66" i="24" s="1"/>
  <c r="AW66" i="24" s="1"/>
  <c r="AF66" i="24"/>
  <c r="AJ66" i="24" s="1"/>
  <c r="AE66" i="24"/>
  <c r="AI66" i="24" s="1"/>
  <c r="AU66" i="24" s="1"/>
  <c r="Y66" i="24"/>
  <c r="AC66" i="24" s="1"/>
  <c r="AR66" i="24" s="1"/>
  <c r="X66" i="24"/>
  <c r="AB66" i="24" s="1"/>
  <c r="AQ66" i="24" s="1"/>
  <c r="W66" i="24"/>
  <c r="AA66" i="24" s="1"/>
  <c r="V66" i="24"/>
  <c r="Z66" i="24" s="1"/>
  <c r="AO66" i="24" s="1"/>
  <c r="H63" i="24"/>
  <c r="G63" i="24"/>
  <c r="F63" i="24"/>
  <c r="E63" i="24"/>
  <c r="D63" i="24"/>
  <c r="AH62" i="24"/>
  <c r="AL62" i="24" s="1"/>
  <c r="AX62" i="24" s="1"/>
  <c r="AG62" i="24"/>
  <c r="AK62" i="24" s="1"/>
  <c r="AW62" i="24" s="1"/>
  <c r="AF62" i="24"/>
  <c r="AJ62" i="24" s="1"/>
  <c r="AV62" i="24" s="1"/>
  <c r="AE62" i="24"/>
  <c r="AI62" i="24" s="1"/>
  <c r="AU62" i="24" s="1"/>
  <c r="Y62" i="24"/>
  <c r="AC62" i="24" s="1"/>
  <c r="AR62" i="24" s="1"/>
  <c r="X62" i="24"/>
  <c r="AB62" i="24" s="1"/>
  <c r="AQ62" i="24" s="1"/>
  <c r="W62" i="24"/>
  <c r="AA62" i="24" s="1"/>
  <c r="AP62" i="24" s="1"/>
  <c r="V62" i="24"/>
  <c r="Z62" i="24" s="1"/>
  <c r="AO62" i="24" s="1"/>
  <c r="AH61" i="24"/>
  <c r="AL61" i="24" s="1"/>
  <c r="AX61" i="24" s="1"/>
  <c r="AG61" i="24"/>
  <c r="AK61" i="24" s="1"/>
  <c r="AW61" i="24" s="1"/>
  <c r="AF61" i="24"/>
  <c r="AJ61" i="24" s="1"/>
  <c r="AV61" i="24" s="1"/>
  <c r="AE61" i="24"/>
  <c r="AI61" i="24" s="1"/>
  <c r="AU61" i="24" s="1"/>
  <c r="Y61" i="24"/>
  <c r="AC61" i="24" s="1"/>
  <c r="AR61" i="24" s="1"/>
  <c r="X61" i="24"/>
  <c r="AB61" i="24" s="1"/>
  <c r="AQ61" i="24" s="1"/>
  <c r="W61" i="24"/>
  <c r="AA61" i="24" s="1"/>
  <c r="AP61" i="24" s="1"/>
  <c r="V61" i="24"/>
  <c r="Z61" i="24" s="1"/>
  <c r="AO61" i="24" s="1"/>
  <c r="AH60" i="24"/>
  <c r="AL60" i="24" s="1"/>
  <c r="AX60" i="24" s="1"/>
  <c r="AG60" i="24"/>
  <c r="AK60" i="24" s="1"/>
  <c r="AW60" i="24" s="1"/>
  <c r="AF60" i="24"/>
  <c r="AJ60" i="24" s="1"/>
  <c r="AV60" i="24" s="1"/>
  <c r="AE60" i="24"/>
  <c r="AI60" i="24" s="1"/>
  <c r="AU60" i="24" s="1"/>
  <c r="Y60" i="24"/>
  <c r="AC60" i="24" s="1"/>
  <c r="AR60" i="24" s="1"/>
  <c r="X60" i="24"/>
  <c r="AB60" i="24" s="1"/>
  <c r="AQ60" i="24" s="1"/>
  <c r="W60" i="24"/>
  <c r="AA60" i="24" s="1"/>
  <c r="AP60" i="24" s="1"/>
  <c r="V60" i="24"/>
  <c r="Z60" i="24" s="1"/>
  <c r="AO60" i="24" s="1"/>
  <c r="AH59" i="24"/>
  <c r="AL59" i="24" s="1"/>
  <c r="AX59" i="24" s="1"/>
  <c r="AG59" i="24"/>
  <c r="AK59" i="24" s="1"/>
  <c r="AW59" i="24" s="1"/>
  <c r="AF59" i="24"/>
  <c r="AJ59" i="24" s="1"/>
  <c r="AV59" i="24" s="1"/>
  <c r="AE59" i="24"/>
  <c r="AI59" i="24" s="1"/>
  <c r="AU59" i="24" s="1"/>
  <c r="Y59" i="24"/>
  <c r="AC59" i="24" s="1"/>
  <c r="AR59" i="24" s="1"/>
  <c r="X59" i="24"/>
  <c r="AB59" i="24" s="1"/>
  <c r="AQ59" i="24" s="1"/>
  <c r="W59" i="24"/>
  <c r="AA59" i="24" s="1"/>
  <c r="AP59" i="24" s="1"/>
  <c r="V59" i="24"/>
  <c r="Z59" i="24" s="1"/>
  <c r="AO59" i="24" s="1"/>
  <c r="AH58" i="24"/>
  <c r="AL58" i="24" s="1"/>
  <c r="AX58" i="24" s="1"/>
  <c r="AG58" i="24"/>
  <c r="AK58" i="24" s="1"/>
  <c r="AW58" i="24" s="1"/>
  <c r="AF58" i="24"/>
  <c r="AJ58" i="24" s="1"/>
  <c r="AV58" i="24" s="1"/>
  <c r="AE58" i="24"/>
  <c r="AI58" i="24" s="1"/>
  <c r="AU58" i="24" s="1"/>
  <c r="Y58" i="24"/>
  <c r="AC58" i="24" s="1"/>
  <c r="AR58" i="24" s="1"/>
  <c r="X58" i="24"/>
  <c r="AB58" i="24" s="1"/>
  <c r="AQ58" i="24" s="1"/>
  <c r="W58" i="24"/>
  <c r="AA58" i="24" s="1"/>
  <c r="AP58" i="24" s="1"/>
  <c r="V58" i="24"/>
  <c r="Z58" i="24" s="1"/>
  <c r="AO58" i="24" s="1"/>
  <c r="AH57" i="24"/>
  <c r="AL57" i="24" s="1"/>
  <c r="AX57" i="24" s="1"/>
  <c r="AG57" i="24"/>
  <c r="AK57" i="24" s="1"/>
  <c r="AW57" i="24" s="1"/>
  <c r="AF57" i="24"/>
  <c r="AJ57" i="24" s="1"/>
  <c r="AV57" i="24" s="1"/>
  <c r="AE57" i="24"/>
  <c r="AI57" i="24" s="1"/>
  <c r="AU57" i="24" s="1"/>
  <c r="Y57" i="24"/>
  <c r="AC57" i="24" s="1"/>
  <c r="AR57" i="24" s="1"/>
  <c r="X57" i="24"/>
  <c r="AB57" i="24" s="1"/>
  <c r="AQ57" i="24" s="1"/>
  <c r="W57" i="24"/>
  <c r="AA57" i="24" s="1"/>
  <c r="AP57" i="24" s="1"/>
  <c r="V57" i="24"/>
  <c r="Z57" i="24" s="1"/>
  <c r="AO57" i="24" s="1"/>
  <c r="H54" i="24"/>
  <c r="G54" i="24"/>
  <c r="F54" i="24"/>
  <c r="E54" i="24"/>
  <c r="D54" i="24"/>
  <c r="AH53" i="24"/>
  <c r="AL53" i="24" s="1"/>
  <c r="AX53" i="24" s="1"/>
  <c r="AG53" i="24"/>
  <c r="AK53" i="24" s="1"/>
  <c r="AW53" i="24" s="1"/>
  <c r="AF53" i="24"/>
  <c r="AJ53" i="24" s="1"/>
  <c r="AE53" i="24"/>
  <c r="AI53" i="24" s="1"/>
  <c r="AU53" i="24" s="1"/>
  <c r="Y53" i="24"/>
  <c r="AC53" i="24" s="1"/>
  <c r="AR53" i="24" s="1"/>
  <c r="X53" i="24"/>
  <c r="AB53" i="24" s="1"/>
  <c r="AQ53" i="24" s="1"/>
  <c r="W53" i="24"/>
  <c r="AA53" i="24" s="1"/>
  <c r="V53" i="24"/>
  <c r="Z53" i="24" s="1"/>
  <c r="AO53" i="24" s="1"/>
  <c r="AH52" i="24"/>
  <c r="AL52" i="24" s="1"/>
  <c r="AX52" i="24" s="1"/>
  <c r="AG52" i="24"/>
  <c r="AK52" i="24" s="1"/>
  <c r="AW52" i="24" s="1"/>
  <c r="AF52" i="24"/>
  <c r="AJ52" i="24" s="1"/>
  <c r="AE52" i="24"/>
  <c r="AI52" i="24" s="1"/>
  <c r="AU52" i="24" s="1"/>
  <c r="Y52" i="24"/>
  <c r="AC52" i="24" s="1"/>
  <c r="AR52" i="24" s="1"/>
  <c r="X52" i="24"/>
  <c r="AB52" i="24" s="1"/>
  <c r="AQ52" i="24" s="1"/>
  <c r="W52" i="24"/>
  <c r="AA52" i="24" s="1"/>
  <c r="V52" i="24"/>
  <c r="Z52" i="24" s="1"/>
  <c r="AO52" i="24" s="1"/>
  <c r="AH51" i="24"/>
  <c r="AL51" i="24" s="1"/>
  <c r="AX51" i="24" s="1"/>
  <c r="AG51" i="24"/>
  <c r="AK51" i="24" s="1"/>
  <c r="AW51" i="24" s="1"/>
  <c r="AF51" i="24"/>
  <c r="AJ51" i="24" s="1"/>
  <c r="AE51" i="24"/>
  <c r="AI51" i="24" s="1"/>
  <c r="AU51" i="24" s="1"/>
  <c r="Y51" i="24"/>
  <c r="AC51" i="24" s="1"/>
  <c r="AR51" i="24" s="1"/>
  <c r="X51" i="24"/>
  <c r="AB51" i="24" s="1"/>
  <c r="AQ51" i="24" s="1"/>
  <c r="W51" i="24"/>
  <c r="AA51" i="24" s="1"/>
  <c r="V51" i="24"/>
  <c r="Z51" i="24" s="1"/>
  <c r="AO51" i="24" s="1"/>
  <c r="AH50" i="24"/>
  <c r="AL50" i="24" s="1"/>
  <c r="AX50" i="24" s="1"/>
  <c r="AG50" i="24"/>
  <c r="AK50" i="24" s="1"/>
  <c r="AW50" i="24" s="1"/>
  <c r="AF50" i="24"/>
  <c r="AJ50" i="24" s="1"/>
  <c r="AE50" i="24"/>
  <c r="AI50" i="24" s="1"/>
  <c r="AU50" i="24" s="1"/>
  <c r="Y50" i="24"/>
  <c r="AC50" i="24" s="1"/>
  <c r="AR50" i="24" s="1"/>
  <c r="X50" i="24"/>
  <c r="AB50" i="24" s="1"/>
  <c r="AQ50" i="24" s="1"/>
  <c r="W50" i="24"/>
  <c r="AA50" i="24" s="1"/>
  <c r="V50" i="24"/>
  <c r="Z50" i="24" s="1"/>
  <c r="AO50" i="24" s="1"/>
  <c r="AH49" i="24"/>
  <c r="AL49" i="24" s="1"/>
  <c r="AX49" i="24" s="1"/>
  <c r="AG49" i="24"/>
  <c r="AK49" i="24" s="1"/>
  <c r="AW49" i="24" s="1"/>
  <c r="AF49" i="24"/>
  <c r="AJ49" i="24" s="1"/>
  <c r="AE49" i="24"/>
  <c r="AI49" i="24" s="1"/>
  <c r="AU49" i="24" s="1"/>
  <c r="Y49" i="24"/>
  <c r="AC49" i="24" s="1"/>
  <c r="AR49" i="24" s="1"/>
  <c r="X49" i="24"/>
  <c r="AB49" i="24" s="1"/>
  <c r="AQ49" i="24" s="1"/>
  <c r="W49" i="24"/>
  <c r="AA49" i="24" s="1"/>
  <c r="V49" i="24"/>
  <c r="Z49" i="24" s="1"/>
  <c r="AO49" i="24" s="1"/>
  <c r="AH48" i="24"/>
  <c r="AL48" i="24" s="1"/>
  <c r="AX48" i="24" s="1"/>
  <c r="AG48" i="24"/>
  <c r="AK48" i="24" s="1"/>
  <c r="AW48" i="24" s="1"/>
  <c r="AF48" i="24"/>
  <c r="AJ48" i="24" s="1"/>
  <c r="AE48" i="24"/>
  <c r="AI48" i="24" s="1"/>
  <c r="AU48" i="24" s="1"/>
  <c r="Y48" i="24"/>
  <c r="AC48" i="24" s="1"/>
  <c r="AR48" i="24" s="1"/>
  <c r="X48" i="24"/>
  <c r="AB48" i="24" s="1"/>
  <c r="AQ48" i="24" s="1"/>
  <c r="W48" i="24"/>
  <c r="AA48" i="24" s="1"/>
  <c r="V48" i="24"/>
  <c r="Z48" i="24" s="1"/>
  <c r="AO48" i="24" s="1"/>
  <c r="H45" i="24"/>
  <c r="G45" i="24"/>
  <c r="F45" i="24"/>
  <c r="E45" i="24"/>
  <c r="D45" i="24"/>
  <c r="AH44" i="24"/>
  <c r="AL44" i="24" s="1"/>
  <c r="AX44" i="24" s="1"/>
  <c r="AG44" i="24"/>
  <c r="AK44" i="24" s="1"/>
  <c r="AW44" i="24" s="1"/>
  <c r="AF44" i="24"/>
  <c r="AJ44" i="24" s="1"/>
  <c r="AV44" i="24" s="1"/>
  <c r="AE44" i="24"/>
  <c r="AI44" i="24" s="1"/>
  <c r="AU44" i="24" s="1"/>
  <c r="Y44" i="24"/>
  <c r="AC44" i="24" s="1"/>
  <c r="AR44" i="24" s="1"/>
  <c r="X44" i="24"/>
  <c r="AB44" i="24" s="1"/>
  <c r="AQ44" i="24" s="1"/>
  <c r="W44" i="24"/>
  <c r="AA44" i="24" s="1"/>
  <c r="AP44" i="24" s="1"/>
  <c r="V44" i="24"/>
  <c r="Z44" i="24" s="1"/>
  <c r="AO44" i="24" s="1"/>
  <c r="AH43" i="24"/>
  <c r="AL43" i="24" s="1"/>
  <c r="AX43" i="24" s="1"/>
  <c r="AG43" i="24"/>
  <c r="AK43" i="24" s="1"/>
  <c r="AW43" i="24" s="1"/>
  <c r="AF43" i="24"/>
  <c r="AJ43" i="24" s="1"/>
  <c r="AV43" i="24" s="1"/>
  <c r="AE43" i="24"/>
  <c r="AI43" i="24" s="1"/>
  <c r="AU43" i="24" s="1"/>
  <c r="Y43" i="24"/>
  <c r="AC43" i="24" s="1"/>
  <c r="AR43" i="24" s="1"/>
  <c r="X43" i="24"/>
  <c r="AB43" i="24" s="1"/>
  <c r="AQ43" i="24" s="1"/>
  <c r="W43" i="24"/>
  <c r="AA43" i="24" s="1"/>
  <c r="AP43" i="24" s="1"/>
  <c r="V43" i="24"/>
  <c r="Z43" i="24" s="1"/>
  <c r="AO43" i="24" s="1"/>
  <c r="AH42" i="24"/>
  <c r="AL42" i="24" s="1"/>
  <c r="AX42" i="24" s="1"/>
  <c r="AG42" i="24"/>
  <c r="AK42" i="24" s="1"/>
  <c r="AW42" i="24" s="1"/>
  <c r="AF42" i="24"/>
  <c r="AJ42" i="24" s="1"/>
  <c r="AV42" i="24" s="1"/>
  <c r="AE42" i="24"/>
  <c r="AI42" i="24" s="1"/>
  <c r="Y42" i="24"/>
  <c r="AC42" i="24" s="1"/>
  <c r="AR42" i="24" s="1"/>
  <c r="X42" i="24"/>
  <c r="AB42" i="24" s="1"/>
  <c r="AQ42" i="24" s="1"/>
  <c r="W42" i="24"/>
  <c r="AA42" i="24" s="1"/>
  <c r="AP42" i="24" s="1"/>
  <c r="V42" i="24"/>
  <c r="Z42" i="24" s="1"/>
  <c r="AO42" i="24" s="1"/>
  <c r="AH41" i="24"/>
  <c r="AL41" i="24" s="1"/>
  <c r="AX41" i="24" s="1"/>
  <c r="AG41" i="24"/>
  <c r="AK41" i="24" s="1"/>
  <c r="AW41" i="24" s="1"/>
  <c r="AF41" i="24"/>
  <c r="AJ41" i="24" s="1"/>
  <c r="AV41" i="24" s="1"/>
  <c r="AE41" i="24"/>
  <c r="AI41" i="24" s="1"/>
  <c r="AU41" i="24" s="1"/>
  <c r="Y41" i="24"/>
  <c r="AC41" i="24" s="1"/>
  <c r="AR41" i="24" s="1"/>
  <c r="X41" i="24"/>
  <c r="AB41" i="24" s="1"/>
  <c r="AQ41" i="24" s="1"/>
  <c r="W41" i="24"/>
  <c r="AA41" i="24" s="1"/>
  <c r="AP41" i="24" s="1"/>
  <c r="V41" i="24"/>
  <c r="Z41" i="24" s="1"/>
  <c r="AO41" i="24" s="1"/>
  <c r="AH40" i="24"/>
  <c r="AL40" i="24" s="1"/>
  <c r="AX40" i="24" s="1"/>
  <c r="AG40" i="24"/>
  <c r="AK40" i="24" s="1"/>
  <c r="AW40" i="24" s="1"/>
  <c r="AF40" i="24"/>
  <c r="AJ40" i="24" s="1"/>
  <c r="AV40" i="24" s="1"/>
  <c r="AE40" i="24"/>
  <c r="AI40" i="24" s="1"/>
  <c r="AU40" i="24" s="1"/>
  <c r="Y40" i="24"/>
  <c r="AC40" i="24" s="1"/>
  <c r="AR40" i="24" s="1"/>
  <c r="X40" i="24"/>
  <c r="AB40" i="24" s="1"/>
  <c r="AQ40" i="24" s="1"/>
  <c r="W40" i="24"/>
  <c r="AA40" i="24" s="1"/>
  <c r="AP40" i="24" s="1"/>
  <c r="V40" i="24"/>
  <c r="Z40" i="24" s="1"/>
  <c r="AO40" i="24" s="1"/>
  <c r="AH39" i="24"/>
  <c r="AL39" i="24" s="1"/>
  <c r="AX39" i="24" s="1"/>
  <c r="AG39" i="24"/>
  <c r="AK39" i="24" s="1"/>
  <c r="AW39" i="24" s="1"/>
  <c r="AF39" i="24"/>
  <c r="AJ39" i="24" s="1"/>
  <c r="AV39" i="24" s="1"/>
  <c r="AE39" i="24"/>
  <c r="AI39" i="24" s="1"/>
  <c r="AU39" i="24" s="1"/>
  <c r="Y39" i="24"/>
  <c r="AC39" i="24" s="1"/>
  <c r="AR39" i="24" s="1"/>
  <c r="X39" i="24"/>
  <c r="AB39" i="24" s="1"/>
  <c r="AQ39" i="24" s="1"/>
  <c r="W39" i="24"/>
  <c r="AA39" i="24" s="1"/>
  <c r="AP39" i="24" s="1"/>
  <c r="V39" i="24"/>
  <c r="Z39" i="24" s="1"/>
  <c r="AO39" i="24" s="1"/>
  <c r="H36" i="24"/>
  <c r="G36" i="24"/>
  <c r="F36" i="24"/>
  <c r="E36" i="24"/>
  <c r="D36" i="24"/>
  <c r="AH35" i="24"/>
  <c r="AL35" i="24" s="1"/>
  <c r="AX35" i="24" s="1"/>
  <c r="AG35" i="24"/>
  <c r="AK35" i="24" s="1"/>
  <c r="AW35" i="24" s="1"/>
  <c r="AF35" i="24"/>
  <c r="AJ35" i="24" s="1"/>
  <c r="AE35" i="24"/>
  <c r="AI35" i="24" s="1"/>
  <c r="AU35" i="24" s="1"/>
  <c r="Y35" i="24"/>
  <c r="AC35" i="24" s="1"/>
  <c r="AR35" i="24" s="1"/>
  <c r="X35" i="24"/>
  <c r="AB35" i="24" s="1"/>
  <c r="AQ35" i="24" s="1"/>
  <c r="W35" i="24"/>
  <c r="AA35" i="24" s="1"/>
  <c r="V35" i="24"/>
  <c r="Z35" i="24" s="1"/>
  <c r="AO35" i="24" s="1"/>
  <c r="AH34" i="24"/>
  <c r="AL34" i="24" s="1"/>
  <c r="AX34" i="24" s="1"/>
  <c r="AG34" i="24"/>
  <c r="AK34" i="24" s="1"/>
  <c r="AW34" i="24" s="1"/>
  <c r="AF34" i="24"/>
  <c r="AJ34" i="24" s="1"/>
  <c r="AE34" i="24"/>
  <c r="AI34" i="24" s="1"/>
  <c r="AU34" i="24" s="1"/>
  <c r="Y34" i="24"/>
  <c r="AC34" i="24" s="1"/>
  <c r="AR34" i="24" s="1"/>
  <c r="X34" i="24"/>
  <c r="AB34" i="24" s="1"/>
  <c r="AQ34" i="24" s="1"/>
  <c r="W34" i="24"/>
  <c r="AA34" i="24" s="1"/>
  <c r="V34" i="24"/>
  <c r="Z34" i="24" s="1"/>
  <c r="AO34" i="24" s="1"/>
  <c r="AH33" i="24"/>
  <c r="AL33" i="24" s="1"/>
  <c r="AX33" i="24" s="1"/>
  <c r="AG33" i="24"/>
  <c r="AK33" i="24" s="1"/>
  <c r="AW33" i="24" s="1"/>
  <c r="AF33" i="24"/>
  <c r="AJ33" i="24" s="1"/>
  <c r="AE33" i="24"/>
  <c r="AI33" i="24" s="1"/>
  <c r="AU33" i="24" s="1"/>
  <c r="Y33" i="24"/>
  <c r="AC33" i="24" s="1"/>
  <c r="AR33" i="24" s="1"/>
  <c r="X33" i="24"/>
  <c r="AB33" i="24" s="1"/>
  <c r="AQ33" i="24" s="1"/>
  <c r="W33" i="24"/>
  <c r="AA33" i="24" s="1"/>
  <c r="V33" i="24"/>
  <c r="Z33" i="24" s="1"/>
  <c r="AO33" i="24" s="1"/>
  <c r="AH32" i="24"/>
  <c r="AL32" i="24" s="1"/>
  <c r="AX32" i="24" s="1"/>
  <c r="AG32" i="24"/>
  <c r="AK32" i="24" s="1"/>
  <c r="AW32" i="24" s="1"/>
  <c r="AF32" i="24"/>
  <c r="AJ32" i="24" s="1"/>
  <c r="AE32" i="24"/>
  <c r="AI32" i="24" s="1"/>
  <c r="AU32" i="24" s="1"/>
  <c r="Y32" i="24"/>
  <c r="AC32" i="24" s="1"/>
  <c r="AR32" i="24" s="1"/>
  <c r="X32" i="24"/>
  <c r="AB32" i="24" s="1"/>
  <c r="AQ32" i="24" s="1"/>
  <c r="W32" i="24"/>
  <c r="AA32" i="24" s="1"/>
  <c r="V32" i="24"/>
  <c r="Z32" i="24" s="1"/>
  <c r="AO32" i="24" s="1"/>
  <c r="AH31" i="24"/>
  <c r="AL31" i="24" s="1"/>
  <c r="AX31" i="24" s="1"/>
  <c r="AG31" i="24"/>
  <c r="AK31" i="24" s="1"/>
  <c r="AW31" i="24" s="1"/>
  <c r="AF31" i="24"/>
  <c r="AJ31" i="24" s="1"/>
  <c r="AE31" i="24"/>
  <c r="AI31" i="24" s="1"/>
  <c r="AU31" i="24" s="1"/>
  <c r="Y31" i="24"/>
  <c r="AC31" i="24" s="1"/>
  <c r="AR31" i="24" s="1"/>
  <c r="X31" i="24"/>
  <c r="AB31" i="24" s="1"/>
  <c r="AQ31" i="24" s="1"/>
  <c r="W31" i="24"/>
  <c r="AA31" i="24" s="1"/>
  <c r="V31" i="24"/>
  <c r="Z31" i="24" s="1"/>
  <c r="AO31" i="24" s="1"/>
  <c r="AH30" i="24"/>
  <c r="AL30" i="24" s="1"/>
  <c r="AX30" i="24" s="1"/>
  <c r="AG30" i="24"/>
  <c r="AK30" i="24" s="1"/>
  <c r="AW30" i="24" s="1"/>
  <c r="AF30" i="24"/>
  <c r="AJ30" i="24" s="1"/>
  <c r="AE30" i="24"/>
  <c r="AI30" i="24" s="1"/>
  <c r="AU30" i="24" s="1"/>
  <c r="Y30" i="24"/>
  <c r="AC30" i="24" s="1"/>
  <c r="AR30" i="24" s="1"/>
  <c r="X30" i="24"/>
  <c r="AB30" i="24" s="1"/>
  <c r="AQ30" i="24" s="1"/>
  <c r="W30" i="24"/>
  <c r="AA30" i="24" s="1"/>
  <c r="V30" i="24"/>
  <c r="Z30" i="24" s="1"/>
  <c r="AO30" i="24" s="1"/>
  <c r="H27" i="24"/>
  <c r="G27" i="24"/>
  <c r="F27" i="24"/>
  <c r="E27" i="24"/>
  <c r="D27" i="24"/>
  <c r="AH26" i="24"/>
  <c r="AL26" i="24" s="1"/>
  <c r="AX26" i="24" s="1"/>
  <c r="AG26" i="24"/>
  <c r="AK26" i="24" s="1"/>
  <c r="AW26" i="24" s="1"/>
  <c r="AF26" i="24"/>
  <c r="AJ26" i="24" s="1"/>
  <c r="AV26" i="24" s="1"/>
  <c r="AE26" i="24"/>
  <c r="AI26" i="24" s="1"/>
  <c r="AU26" i="24" s="1"/>
  <c r="Y26" i="24"/>
  <c r="AC26" i="24" s="1"/>
  <c r="AR26" i="24" s="1"/>
  <c r="X26" i="24"/>
  <c r="AB26" i="24" s="1"/>
  <c r="AQ26" i="24" s="1"/>
  <c r="W26" i="24"/>
  <c r="AA26" i="24" s="1"/>
  <c r="AP26" i="24" s="1"/>
  <c r="V26" i="24"/>
  <c r="Z26" i="24" s="1"/>
  <c r="AO26" i="24" s="1"/>
  <c r="AH25" i="24"/>
  <c r="AL25" i="24" s="1"/>
  <c r="AX25" i="24" s="1"/>
  <c r="AG25" i="24"/>
  <c r="AK25" i="24" s="1"/>
  <c r="AW25" i="24" s="1"/>
  <c r="AF25" i="24"/>
  <c r="AJ25" i="24" s="1"/>
  <c r="AV25" i="24" s="1"/>
  <c r="AE25" i="24"/>
  <c r="AI25" i="24" s="1"/>
  <c r="AU25" i="24" s="1"/>
  <c r="Y25" i="24"/>
  <c r="AC25" i="24" s="1"/>
  <c r="AR25" i="24" s="1"/>
  <c r="X25" i="24"/>
  <c r="AB25" i="24" s="1"/>
  <c r="AQ25" i="24" s="1"/>
  <c r="W25" i="24"/>
  <c r="AA25" i="24" s="1"/>
  <c r="AP25" i="24" s="1"/>
  <c r="V25" i="24"/>
  <c r="Z25" i="24" s="1"/>
  <c r="AO25" i="24" s="1"/>
  <c r="AH24" i="24"/>
  <c r="AL24" i="24" s="1"/>
  <c r="AX24" i="24" s="1"/>
  <c r="AG24" i="24"/>
  <c r="AK24" i="24" s="1"/>
  <c r="AW24" i="24" s="1"/>
  <c r="AF24" i="24"/>
  <c r="AJ24" i="24" s="1"/>
  <c r="AV24" i="24" s="1"/>
  <c r="AE24" i="24"/>
  <c r="AI24" i="24" s="1"/>
  <c r="AU24" i="24" s="1"/>
  <c r="Y24" i="24"/>
  <c r="AC24" i="24" s="1"/>
  <c r="AR24" i="24" s="1"/>
  <c r="X24" i="24"/>
  <c r="AB24" i="24" s="1"/>
  <c r="AQ24" i="24" s="1"/>
  <c r="W24" i="24"/>
  <c r="AA24" i="24" s="1"/>
  <c r="AP24" i="24" s="1"/>
  <c r="V24" i="24"/>
  <c r="Z24" i="24" s="1"/>
  <c r="AO24" i="24" s="1"/>
  <c r="AH23" i="24"/>
  <c r="AL23" i="24" s="1"/>
  <c r="AX23" i="24" s="1"/>
  <c r="AG23" i="24"/>
  <c r="AK23" i="24" s="1"/>
  <c r="AW23" i="24" s="1"/>
  <c r="AF23" i="24"/>
  <c r="AJ23" i="24" s="1"/>
  <c r="AV23" i="24" s="1"/>
  <c r="AE23" i="24"/>
  <c r="AI23" i="24" s="1"/>
  <c r="AU23" i="24" s="1"/>
  <c r="Y23" i="24"/>
  <c r="AC23" i="24" s="1"/>
  <c r="AR23" i="24" s="1"/>
  <c r="X23" i="24"/>
  <c r="AB23" i="24" s="1"/>
  <c r="AQ23" i="24" s="1"/>
  <c r="W23" i="24"/>
  <c r="AA23" i="24" s="1"/>
  <c r="AP23" i="24" s="1"/>
  <c r="V23" i="24"/>
  <c r="Z23" i="24" s="1"/>
  <c r="AO23" i="24" s="1"/>
  <c r="AH22" i="24"/>
  <c r="AL22" i="24" s="1"/>
  <c r="AX22" i="24" s="1"/>
  <c r="AG22" i="24"/>
  <c r="AK22" i="24" s="1"/>
  <c r="AW22" i="24" s="1"/>
  <c r="AF22" i="24"/>
  <c r="AJ22" i="24" s="1"/>
  <c r="AV22" i="24" s="1"/>
  <c r="AE22" i="24"/>
  <c r="AI22" i="24" s="1"/>
  <c r="AU22" i="24" s="1"/>
  <c r="Y22" i="24"/>
  <c r="AC22" i="24" s="1"/>
  <c r="AR22" i="24" s="1"/>
  <c r="X22" i="24"/>
  <c r="AB22" i="24" s="1"/>
  <c r="AQ22" i="24" s="1"/>
  <c r="W22" i="24"/>
  <c r="AA22" i="24" s="1"/>
  <c r="AP22" i="24" s="1"/>
  <c r="V22" i="24"/>
  <c r="Z22" i="24" s="1"/>
  <c r="AO22" i="24" s="1"/>
  <c r="AH21" i="24"/>
  <c r="AL21" i="24" s="1"/>
  <c r="AX21" i="24" s="1"/>
  <c r="AG21" i="24"/>
  <c r="AK21" i="24" s="1"/>
  <c r="AW21" i="24" s="1"/>
  <c r="AF21" i="24"/>
  <c r="AJ21" i="24" s="1"/>
  <c r="AV21" i="24" s="1"/>
  <c r="AE21" i="24"/>
  <c r="AI21" i="24" s="1"/>
  <c r="AU21" i="24" s="1"/>
  <c r="Y21" i="24"/>
  <c r="AC21" i="24" s="1"/>
  <c r="AR21" i="24" s="1"/>
  <c r="X21" i="24"/>
  <c r="AB21" i="24" s="1"/>
  <c r="AQ21" i="24" s="1"/>
  <c r="W21" i="24"/>
  <c r="AA21" i="24" s="1"/>
  <c r="AP21" i="24" s="1"/>
  <c r="V21" i="24"/>
  <c r="Z21" i="24" s="1"/>
  <c r="AO21" i="24" s="1"/>
  <c r="H18" i="24"/>
  <c r="G18" i="24"/>
  <c r="F18" i="24"/>
  <c r="E18" i="24"/>
  <c r="D18" i="24"/>
  <c r="AH17" i="24"/>
  <c r="AL17" i="24" s="1"/>
  <c r="AX17" i="24" s="1"/>
  <c r="AG17" i="24"/>
  <c r="AK17" i="24" s="1"/>
  <c r="AW17" i="24" s="1"/>
  <c r="AF17" i="24"/>
  <c r="AJ17" i="24" s="1"/>
  <c r="AE17" i="24"/>
  <c r="AI17" i="24" s="1"/>
  <c r="AU17" i="24" s="1"/>
  <c r="Y17" i="24"/>
  <c r="AC17" i="24" s="1"/>
  <c r="AR17" i="24" s="1"/>
  <c r="X17" i="24"/>
  <c r="AB17" i="24" s="1"/>
  <c r="AQ17" i="24" s="1"/>
  <c r="W17" i="24"/>
  <c r="AA17" i="24" s="1"/>
  <c r="V17" i="24"/>
  <c r="Z17" i="24" s="1"/>
  <c r="AO17" i="24" s="1"/>
  <c r="AH16" i="24"/>
  <c r="AL16" i="24" s="1"/>
  <c r="AX16" i="24" s="1"/>
  <c r="AG16" i="24"/>
  <c r="AK16" i="24" s="1"/>
  <c r="AW16" i="24" s="1"/>
  <c r="AF16" i="24"/>
  <c r="AJ16" i="24" s="1"/>
  <c r="AE16" i="24"/>
  <c r="AI16" i="24" s="1"/>
  <c r="AU16" i="24" s="1"/>
  <c r="Y16" i="24"/>
  <c r="AC16" i="24" s="1"/>
  <c r="AR16" i="24" s="1"/>
  <c r="X16" i="24"/>
  <c r="AB16" i="24" s="1"/>
  <c r="AQ16" i="24" s="1"/>
  <c r="W16" i="24"/>
  <c r="AA16" i="24" s="1"/>
  <c r="V16" i="24"/>
  <c r="Z16" i="24" s="1"/>
  <c r="AO16" i="24" s="1"/>
  <c r="AH15" i="24"/>
  <c r="AL15" i="24" s="1"/>
  <c r="AX15" i="24" s="1"/>
  <c r="AG15" i="24"/>
  <c r="AK15" i="24" s="1"/>
  <c r="AW15" i="24" s="1"/>
  <c r="AF15" i="24"/>
  <c r="AJ15" i="24" s="1"/>
  <c r="AE15" i="24"/>
  <c r="AI15" i="24" s="1"/>
  <c r="AU15" i="24" s="1"/>
  <c r="Y15" i="24"/>
  <c r="AC15" i="24" s="1"/>
  <c r="AR15" i="24" s="1"/>
  <c r="X15" i="24"/>
  <c r="AB15" i="24" s="1"/>
  <c r="AQ15" i="24" s="1"/>
  <c r="W15" i="24"/>
  <c r="AA15" i="24" s="1"/>
  <c r="V15" i="24"/>
  <c r="Z15" i="24" s="1"/>
  <c r="AO15" i="24" s="1"/>
  <c r="AH14" i="24"/>
  <c r="AL14" i="24" s="1"/>
  <c r="AX14" i="24" s="1"/>
  <c r="AG14" i="24"/>
  <c r="AK14" i="24" s="1"/>
  <c r="AW14" i="24" s="1"/>
  <c r="AF14" i="24"/>
  <c r="AJ14" i="24" s="1"/>
  <c r="AE14" i="24"/>
  <c r="AI14" i="24" s="1"/>
  <c r="AU14" i="24" s="1"/>
  <c r="Y14" i="24"/>
  <c r="AC14" i="24" s="1"/>
  <c r="AR14" i="24" s="1"/>
  <c r="X14" i="24"/>
  <c r="AB14" i="24" s="1"/>
  <c r="AQ14" i="24" s="1"/>
  <c r="W14" i="24"/>
  <c r="AA14" i="24" s="1"/>
  <c r="V14" i="24"/>
  <c r="Z14" i="24" s="1"/>
  <c r="AO14" i="24" s="1"/>
  <c r="AH13" i="24"/>
  <c r="AL13" i="24" s="1"/>
  <c r="AX13" i="24" s="1"/>
  <c r="AG13" i="24"/>
  <c r="AK13" i="24" s="1"/>
  <c r="AW13" i="24" s="1"/>
  <c r="AF13" i="24"/>
  <c r="AJ13" i="24" s="1"/>
  <c r="AE13" i="24"/>
  <c r="AI13" i="24" s="1"/>
  <c r="AU13" i="24" s="1"/>
  <c r="Y13" i="24"/>
  <c r="AC13" i="24" s="1"/>
  <c r="AR13" i="24" s="1"/>
  <c r="X13" i="24"/>
  <c r="AB13" i="24" s="1"/>
  <c r="AQ13" i="24" s="1"/>
  <c r="W13" i="24"/>
  <c r="AA13" i="24" s="1"/>
  <c r="V13" i="24"/>
  <c r="Z13" i="24" s="1"/>
  <c r="AO13" i="24" s="1"/>
  <c r="AH12" i="24"/>
  <c r="AL12" i="24" s="1"/>
  <c r="AX12" i="24" s="1"/>
  <c r="AG12" i="24"/>
  <c r="AK12" i="24" s="1"/>
  <c r="AW12" i="24" s="1"/>
  <c r="AF12" i="24"/>
  <c r="AJ12" i="24" s="1"/>
  <c r="AE12" i="24"/>
  <c r="AI12" i="24" s="1"/>
  <c r="AU12" i="24" s="1"/>
  <c r="Y12" i="24"/>
  <c r="AC12" i="24" s="1"/>
  <c r="AR12" i="24" s="1"/>
  <c r="X12" i="24"/>
  <c r="AB12" i="24" s="1"/>
  <c r="AQ12" i="24" s="1"/>
  <c r="W12" i="24"/>
  <c r="AA12" i="24" s="1"/>
  <c r="V12" i="24"/>
  <c r="Z12" i="24" s="1"/>
  <c r="AO12" i="24" s="1"/>
  <c r="AA74" i="2"/>
  <c r="AA75" i="2"/>
  <c r="O72" i="2"/>
  <c r="P72" i="2"/>
  <c r="Q72" i="2"/>
  <c r="R72" i="2"/>
  <c r="S72" i="2"/>
  <c r="T72" i="2"/>
  <c r="O73" i="2"/>
  <c r="P73" i="2"/>
  <c r="Q73" i="2"/>
  <c r="R73" i="2"/>
  <c r="S73" i="2"/>
  <c r="T73" i="2"/>
  <c r="T69" i="2"/>
  <c r="T57" i="2"/>
  <c r="T53" i="2"/>
  <c r="E57" i="2"/>
  <c r="E69" i="2"/>
  <c r="U24" i="8"/>
  <c r="V24" i="8"/>
  <c r="AA24" i="8"/>
  <c r="AB24" i="8"/>
  <c r="U25" i="8"/>
  <c r="V25" i="8"/>
  <c r="AA25" i="8"/>
  <c r="AB25" i="8"/>
  <c r="U26" i="8"/>
  <c r="V26" i="8"/>
  <c r="AA26" i="8"/>
  <c r="AB26" i="8"/>
  <c r="J12" i="8"/>
  <c r="L12" i="8" s="1"/>
  <c r="K12" i="8"/>
  <c r="M12" i="8" s="1"/>
  <c r="J13" i="8"/>
  <c r="L13" i="8" s="1"/>
  <c r="K13" i="8"/>
  <c r="M13" i="8"/>
  <c r="J14" i="8"/>
  <c r="L14" i="8" s="1"/>
  <c r="K14" i="8"/>
  <c r="M14" i="8" s="1"/>
  <c r="J15" i="8"/>
  <c r="L15" i="8" s="1"/>
  <c r="K15" i="8"/>
  <c r="M15" i="8" s="1"/>
  <c r="J16" i="8"/>
  <c r="L16" i="8" s="1"/>
  <c r="K16" i="8"/>
  <c r="M16" i="8" s="1"/>
  <c r="J17" i="8"/>
  <c r="L17" i="8" s="1"/>
  <c r="K17" i="8"/>
  <c r="M17" i="8" s="1"/>
  <c r="J18" i="8"/>
  <c r="K18" i="8"/>
  <c r="M18" i="8" s="1"/>
  <c r="L18" i="8"/>
  <c r="J19" i="8"/>
  <c r="L19" i="8" s="1"/>
  <c r="K19" i="8"/>
  <c r="M19" i="8" s="1"/>
  <c r="J20" i="8"/>
  <c r="L20" i="8" s="1"/>
  <c r="K20" i="8"/>
  <c r="M20" i="8" s="1"/>
  <c r="J21" i="8"/>
  <c r="K21" i="8"/>
  <c r="M21" i="8" s="1"/>
  <c r="L21" i="8"/>
  <c r="J22" i="8"/>
  <c r="L22" i="8" s="1"/>
  <c r="K22" i="8"/>
  <c r="M22" i="8" s="1"/>
  <c r="J23" i="8"/>
  <c r="L23" i="8" s="1"/>
  <c r="K23" i="8"/>
  <c r="M23" i="8" s="1"/>
  <c r="J24" i="8"/>
  <c r="L24" i="8" s="1"/>
  <c r="K24" i="8"/>
  <c r="M24" i="8" s="1"/>
  <c r="J25" i="8"/>
  <c r="L25" i="8" s="1"/>
  <c r="K25" i="8"/>
  <c r="M25" i="8" s="1"/>
  <c r="J26" i="8"/>
  <c r="K26" i="8"/>
  <c r="L26" i="8"/>
  <c r="M26" i="8"/>
  <c r="CK8" i="4"/>
  <c r="K9" i="4"/>
  <c r="F10" i="4"/>
  <c r="F15" i="4" s="1"/>
  <c r="K10" i="4"/>
  <c r="F11" i="4"/>
  <c r="K11" i="4"/>
  <c r="F12" i="4"/>
  <c r="F17" i="4" s="1"/>
  <c r="K12" i="4"/>
  <c r="F13" i="4"/>
  <c r="K13" i="4"/>
  <c r="F14" i="4"/>
  <c r="K14" i="4"/>
  <c r="K15" i="4"/>
  <c r="F16" i="4"/>
  <c r="K16" i="4"/>
  <c r="K17" i="4"/>
  <c r="CK17" i="4"/>
  <c r="F18" i="4"/>
  <c r="K18" i="4"/>
  <c r="AF18" i="4"/>
  <c r="F19" i="4"/>
  <c r="K19" i="4"/>
  <c r="F20" i="4"/>
  <c r="K20" i="4"/>
  <c r="M23" i="4"/>
  <c r="CK26" i="4"/>
  <c r="B29" i="4"/>
  <c r="K29" i="4"/>
  <c r="AL29" i="4"/>
  <c r="B30" i="4"/>
  <c r="K30" i="4"/>
  <c r="AL30" i="4"/>
  <c r="B31" i="4"/>
  <c r="K31" i="4"/>
  <c r="B32" i="4"/>
  <c r="K32" i="4"/>
  <c r="T32" i="4"/>
  <c r="B33" i="4"/>
  <c r="K33" i="4"/>
  <c r="T33" i="4"/>
  <c r="B34" i="4"/>
  <c r="K34" i="4"/>
  <c r="T34" i="4"/>
  <c r="B35" i="4"/>
  <c r="K35" i="4"/>
  <c r="T35" i="4"/>
  <c r="CK35" i="4"/>
  <c r="CK44" i="4" s="1"/>
  <c r="B36" i="4"/>
  <c r="K36" i="4"/>
  <c r="T36" i="4"/>
  <c r="B37" i="4"/>
  <c r="K37" i="4"/>
  <c r="T37" i="4"/>
  <c r="CH37" i="4"/>
  <c r="O93" i="4" s="1"/>
  <c r="CL37" i="4"/>
  <c r="CM37" i="4"/>
  <c r="CN37" i="4"/>
  <c r="CO37" i="4"/>
  <c r="CP37" i="4"/>
  <c r="B38" i="4"/>
  <c r="K38" i="4"/>
  <c r="T38" i="4"/>
  <c r="B39" i="4"/>
  <c r="K39" i="4"/>
  <c r="T39" i="4"/>
  <c r="B40" i="4"/>
  <c r="K40" i="4"/>
  <c r="T40" i="4"/>
  <c r="T41" i="4"/>
  <c r="T42" i="4"/>
  <c r="T43" i="4"/>
  <c r="T52" i="4"/>
  <c r="T53" i="4"/>
  <c r="T54" i="4"/>
  <c r="T55" i="4"/>
  <c r="T56" i="4"/>
  <c r="T57" i="4"/>
  <c r="T58" i="4"/>
  <c r="T59" i="4"/>
  <c r="T60" i="4"/>
  <c r="T61" i="4"/>
  <c r="T62" i="4"/>
  <c r="T63" i="4"/>
  <c r="T76" i="4"/>
  <c r="T77" i="4"/>
  <c r="T78" i="4"/>
  <c r="T79" i="4"/>
  <c r="T80" i="4"/>
  <c r="T81" i="4"/>
  <c r="T82" i="4"/>
  <c r="T83" i="4"/>
  <c r="T84" i="4"/>
  <c r="T85" i="4"/>
  <c r="T86" i="4"/>
  <c r="T87" i="4"/>
  <c r="D93" i="4"/>
  <c r="F93" i="4"/>
  <c r="H93" i="4"/>
  <c r="M93" i="4"/>
  <c r="Q93" i="4"/>
  <c r="T93" i="4"/>
  <c r="V93" i="4"/>
  <c r="X93" i="4"/>
  <c r="D94" i="4"/>
  <c r="F94" i="4"/>
  <c r="H94" i="4"/>
  <c r="M94" i="4"/>
  <c r="O94" i="4"/>
  <c r="Q94" i="4"/>
  <c r="T94" i="4"/>
  <c r="V94" i="4"/>
  <c r="X94" i="4"/>
  <c r="D95" i="4"/>
  <c r="F95" i="4"/>
  <c r="H95" i="4"/>
  <c r="M95" i="4"/>
  <c r="O95" i="4"/>
  <c r="Q95" i="4"/>
  <c r="T95" i="4"/>
  <c r="V95" i="4"/>
  <c r="X95" i="4"/>
  <c r="T96" i="4"/>
  <c r="V96" i="4"/>
  <c r="X96" i="4"/>
  <c r="T97" i="4"/>
  <c r="V97" i="4"/>
  <c r="X97" i="4"/>
  <c r="T98" i="4"/>
  <c r="V98" i="4"/>
  <c r="X98" i="4"/>
  <c r="T99" i="4"/>
  <c r="T100" i="4"/>
  <c r="T101" i="4"/>
  <c r="T102" i="4"/>
  <c r="V102" i="4"/>
  <c r="X102" i="4"/>
  <c r="T103" i="4"/>
  <c r="V103" i="4"/>
  <c r="X103" i="4"/>
  <c r="T104" i="4"/>
  <c r="V104" i="4"/>
  <c r="X104" i="4"/>
  <c r="M108" i="4"/>
  <c r="T113" i="4"/>
  <c r="T114" i="4"/>
  <c r="V114" i="4"/>
  <c r="X114" i="4"/>
  <c r="T115" i="4"/>
  <c r="V115" i="4"/>
  <c r="X115" i="4"/>
  <c r="T116" i="4"/>
  <c r="V116" i="4"/>
  <c r="X116" i="4"/>
  <c r="T117" i="4"/>
  <c r="V117" i="4"/>
  <c r="X117" i="4"/>
  <c r="D118" i="4"/>
  <c r="T118" i="4"/>
  <c r="V118" i="4"/>
  <c r="X118" i="4"/>
  <c r="T119" i="4"/>
  <c r="T120" i="4"/>
  <c r="T121" i="4"/>
  <c r="T122" i="4"/>
  <c r="V122" i="4"/>
  <c r="X122" i="4"/>
  <c r="T123" i="4"/>
  <c r="V123" i="4"/>
  <c r="X123" i="4"/>
  <c r="T124" i="4"/>
  <c r="V124" i="4"/>
  <c r="X124" i="4"/>
  <c r="T133" i="4"/>
  <c r="V133" i="4"/>
  <c r="H49" i="4" s="1"/>
  <c r="X133" i="4"/>
  <c r="Q49" i="4" s="1"/>
  <c r="T134" i="4"/>
  <c r="V134" i="4"/>
  <c r="H50" i="4" s="1"/>
  <c r="X134" i="4"/>
  <c r="Q50" i="4" s="1"/>
  <c r="T135" i="4"/>
  <c r="V135" i="4"/>
  <c r="H51" i="4" s="1"/>
  <c r="X135" i="4"/>
  <c r="Q51" i="4" s="1"/>
  <c r="D136" i="4"/>
  <c r="T136" i="4"/>
  <c r="V136" i="4"/>
  <c r="H52" i="4" s="1"/>
  <c r="X136" i="4"/>
  <c r="Q52" i="4" s="1"/>
  <c r="T137" i="4"/>
  <c r="V137" i="4"/>
  <c r="H53" i="4" s="1"/>
  <c r="X137" i="4"/>
  <c r="Q53" i="4" s="1"/>
  <c r="T138" i="4"/>
  <c r="V138" i="4"/>
  <c r="H54" i="4" s="1"/>
  <c r="X138" i="4"/>
  <c r="Q54" i="4" s="1"/>
  <c r="T139" i="4"/>
  <c r="V139" i="4"/>
  <c r="H55" i="4" s="1"/>
  <c r="X139" i="4"/>
  <c r="Q55" i="4" s="1"/>
  <c r="T140" i="4"/>
  <c r="V140" i="4"/>
  <c r="H56" i="4" s="1"/>
  <c r="X140" i="4"/>
  <c r="Q56" i="4" s="1"/>
  <c r="T141" i="4"/>
  <c r="V141" i="4"/>
  <c r="H57" i="4" s="1"/>
  <c r="X141" i="4"/>
  <c r="Q57" i="4" s="1"/>
  <c r="T142" i="4"/>
  <c r="V142" i="4"/>
  <c r="H58" i="4" s="1"/>
  <c r="X142" i="4"/>
  <c r="Q58" i="4" s="1"/>
  <c r="T143" i="4"/>
  <c r="V143" i="4"/>
  <c r="H59" i="4" s="1"/>
  <c r="X143" i="4"/>
  <c r="Q59" i="4" s="1"/>
  <c r="T144" i="4"/>
  <c r="V144" i="4"/>
  <c r="H60" i="4" s="1"/>
  <c r="X144" i="4"/>
  <c r="Q60" i="4" s="1"/>
  <c r="V145" i="4"/>
  <c r="H67" i="4" s="1"/>
  <c r="R26" i="2" s="1"/>
  <c r="R34" i="2" s="1"/>
  <c r="R42" i="2" s="1"/>
  <c r="X145" i="4"/>
  <c r="Q67" i="4" s="1"/>
  <c r="AZ26" i="2" s="1"/>
  <c r="AZ34" i="2" s="1"/>
  <c r="AZ42" i="2" s="1"/>
  <c r="V146" i="4"/>
  <c r="X146" i="4"/>
  <c r="Q71" i="4" s="1"/>
  <c r="V10" i="8"/>
  <c r="AB10" i="8"/>
  <c r="J11" i="8"/>
  <c r="L11" i="8" s="1"/>
  <c r="K11" i="8"/>
  <c r="M11" i="8"/>
  <c r="U11" i="8"/>
  <c r="V11" i="8"/>
  <c r="AA11" i="8"/>
  <c r="AB11" i="8"/>
  <c r="U12" i="8"/>
  <c r="V12" i="8"/>
  <c r="AA12" i="8"/>
  <c r="AB12" i="8"/>
  <c r="U13" i="8"/>
  <c r="V13" i="8"/>
  <c r="AA13" i="8"/>
  <c r="AB13" i="8"/>
  <c r="U14" i="8"/>
  <c r="V14" i="8"/>
  <c r="AA14" i="8"/>
  <c r="AB14" i="8"/>
  <c r="U15" i="8"/>
  <c r="V15" i="8"/>
  <c r="AA15" i="8"/>
  <c r="AB15" i="8"/>
  <c r="U16" i="8"/>
  <c r="V16" i="8"/>
  <c r="AA16" i="8"/>
  <c r="AB16" i="8"/>
  <c r="U17" i="8"/>
  <c r="V17" i="8"/>
  <c r="AA17" i="8"/>
  <c r="AB17" i="8"/>
  <c r="U18" i="8"/>
  <c r="V18" i="8"/>
  <c r="AA18" i="8"/>
  <c r="AB18" i="8"/>
  <c r="U19" i="8"/>
  <c r="V19" i="8"/>
  <c r="AA19" i="8"/>
  <c r="AB19" i="8"/>
  <c r="U20" i="8"/>
  <c r="V20" i="8"/>
  <c r="AA20" i="8"/>
  <c r="AB20" i="8"/>
  <c r="U21" i="8"/>
  <c r="V21" i="8"/>
  <c r="AA21" i="8"/>
  <c r="AB21" i="8"/>
  <c r="U22" i="8"/>
  <c r="V22" i="8"/>
  <c r="AA22" i="8"/>
  <c r="AB22" i="8"/>
  <c r="U23" i="8"/>
  <c r="V23" i="8"/>
  <c r="AA23" i="8"/>
  <c r="AB23" i="8"/>
  <c r="E34" i="8"/>
  <c r="F34" i="8"/>
  <c r="G34" i="8"/>
  <c r="H34" i="8"/>
  <c r="S34" i="8"/>
  <c r="B35" i="8"/>
  <c r="C35" i="8"/>
  <c r="D35" i="8"/>
  <c r="E35" i="8"/>
  <c r="F35" i="8"/>
  <c r="G35" i="8"/>
  <c r="H35" i="8"/>
  <c r="I35" i="8"/>
  <c r="S35" i="8"/>
  <c r="T35" i="8"/>
  <c r="Y1" i="1"/>
  <c r="U12" i="1"/>
  <c r="V12" i="1" s="1"/>
  <c r="Z12" i="1"/>
  <c r="AA12" i="1" s="1"/>
  <c r="BA12" i="1"/>
  <c r="BB12" i="1" s="1"/>
  <c r="BC12" i="1" s="1"/>
  <c r="BD12" i="1" s="1"/>
  <c r="U13" i="1"/>
  <c r="V13" i="1" s="1"/>
  <c r="W13" i="1" s="1"/>
  <c r="Z13" i="1"/>
  <c r="AA13" i="1" s="1"/>
  <c r="AB13" i="1" s="1"/>
  <c r="AQ13" i="1" s="1"/>
  <c r="BA13" i="1"/>
  <c r="BB13" i="1" s="1"/>
  <c r="BC13" i="1" s="1"/>
  <c r="U14" i="1"/>
  <c r="V14" i="1" s="1"/>
  <c r="Z14" i="1"/>
  <c r="AA14" i="1" s="1"/>
  <c r="BA14" i="1"/>
  <c r="BB14" i="1" s="1"/>
  <c r="BC14" i="1" s="1"/>
  <c r="BD14" i="1" s="1"/>
  <c r="U15" i="1"/>
  <c r="V15" i="1" s="1"/>
  <c r="W15" i="1" s="1"/>
  <c r="Z15" i="1"/>
  <c r="AA15" i="1" s="1"/>
  <c r="BA15" i="1"/>
  <c r="BB15" i="1" s="1"/>
  <c r="BC15" i="1" s="1"/>
  <c r="U16" i="1"/>
  <c r="V16" i="1" s="1"/>
  <c r="Z16" i="1"/>
  <c r="AA16" i="1" s="1"/>
  <c r="BA16" i="1"/>
  <c r="BB16" i="1" s="1"/>
  <c r="BC16" i="1" s="1"/>
  <c r="BD16" i="1" s="1"/>
  <c r="U17" i="1"/>
  <c r="V17" i="1" s="1"/>
  <c r="Z17" i="1"/>
  <c r="AA17" i="1" s="1"/>
  <c r="BA17" i="1"/>
  <c r="BB17" i="1" s="1"/>
  <c r="BC17" i="1" s="1"/>
  <c r="D18" i="1"/>
  <c r="D19" i="1" s="1"/>
  <c r="U21" i="1"/>
  <c r="V21" i="1" s="1"/>
  <c r="Z21" i="1"/>
  <c r="AA21" i="1" s="1"/>
  <c r="AB21" i="1" s="1"/>
  <c r="BA21" i="1"/>
  <c r="BB21" i="1" s="1"/>
  <c r="BC21" i="1" s="1"/>
  <c r="U22" i="1"/>
  <c r="V22" i="1" s="1"/>
  <c r="Z22" i="1"/>
  <c r="AA22" i="1" s="1"/>
  <c r="AC22" i="1" s="1"/>
  <c r="AD22" i="1" s="1"/>
  <c r="BA22" i="1"/>
  <c r="BB22" i="1" s="1"/>
  <c r="BC22" i="1" s="1"/>
  <c r="BD22" i="1" s="1"/>
  <c r="U23" i="1"/>
  <c r="V23" i="1" s="1"/>
  <c r="Z23" i="1"/>
  <c r="AA23" i="1" s="1"/>
  <c r="AB23" i="1" s="1"/>
  <c r="AV23" i="1" s="1"/>
  <c r="BA23" i="1"/>
  <c r="BB23" i="1" s="1"/>
  <c r="BC23" i="1" s="1"/>
  <c r="U24" i="1"/>
  <c r="V24" i="1" s="1"/>
  <c r="Z24" i="1"/>
  <c r="AA24" i="1" s="1"/>
  <c r="BA24" i="1"/>
  <c r="BB24" i="1" s="1"/>
  <c r="BC24" i="1" s="1"/>
  <c r="BD24" i="1" s="1"/>
  <c r="U25" i="1"/>
  <c r="V25" i="1" s="1"/>
  <c r="Z25" i="1"/>
  <c r="AA25" i="1" s="1"/>
  <c r="AB25" i="1" s="1"/>
  <c r="AS25" i="1" s="1"/>
  <c r="BA25" i="1"/>
  <c r="BB25" i="1" s="1"/>
  <c r="BC25" i="1" s="1"/>
  <c r="U26" i="1"/>
  <c r="V26" i="1" s="1"/>
  <c r="Z26" i="1"/>
  <c r="AA26" i="1" s="1"/>
  <c r="BA26" i="1"/>
  <c r="BB26" i="1" s="1"/>
  <c r="BC26" i="1" s="1"/>
  <c r="BD26" i="1" s="1"/>
  <c r="D27" i="1"/>
  <c r="D28" i="1" s="1"/>
  <c r="U30" i="1"/>
  <c r="V30" i="1" s="1"/>
  <c r="Z30" i="1"/>
  <c r="AA30" i="1" s="1"/>
  <c r="AC30" i="1" s="1"/>
  <c r="AD30" i="1" s="1"/>
  <c r="BA30" i="1"/>
  <c r="BB30" i="1" s="1"/>
  <c r="BC30" i="1" s="1"/>
  <c r="BD30" i="1" s="1"/>
  <c r="U31" i="1"/>
  <c r="V31" i="1" s="1"/>
  <c r="W31" i="1" s="1"/>
  <c r="Z31" i="1"/>
  <c r="AA31" i="1" s="1"/>
  <c r="BA31" i="1"/>
  <c r="BB31" i="1" s="1"/>
  <c r="BC31" i="1" s="1"/>
  <c r="U32" i="1"/>
  <c r="V32" i="1" s="1"/>
  <c r="Z32" i="1"/>
  <c r="AA32" i="1" s="1"/>
  <c r="BA32" i="1"/>
  <c r="BB32" i="1" s="1"/>
  <c r="BC32" i="1" s="1"/>
  <c r="BD32" i="1" s="1"/>
  <c r="U33" i="1"/>
  <c r="V33" i="1" s="1"/>
  <c r="Z33" i="1"/>
  <c r="AA33" i="1" s="1"/>
  <c r="BA33" i="1"/>
  <c r="BB33" i="1" s="1"/>
  <c r="BC33" i="1" s="1"/>
  <c r="U34" i="1"/>
  <c r="V34" i="1" s="1"/>
  <c r="Z34" i="1"/>
  <c r="AA34" i="1" s="1"/>
  <c r="BA34" i="1"/>
  <c r="BB34" i="1" s="1"/>
  <c r="BC34" i="1" s="1"/>
  <c r="BD34" i="1" s="1"/>
  <c r="U35" i="1"/>
  <c r="V35" i="1" s="1"/>
  <c r="Z35" i="1"/>
  <c r="AA35" i="1" s="1"/>
  <c r="AB35" i="1" s="1"/>
  <c r="BA35" i="1"/>
  <c r="BB35" i="1" s="1"/>
  <c r="BC35" i="1" s="1"/>
  <c r="D36" i="1"/>
  <c r="D37" i="1" s="1"/>
  <c r="U39" i="1"/>
  <c r="V39" i="1" s="1"/>
  <c r="Z39" i="1"/>
  <c r="AA39" i="1" s="1"/>
  <c r="AB39" i="1" s="1"/>
  <c r="AY39" i="1" s="1"/>
  <c r="BA39" i="1"/>
  <c r="BB39" i="1" s="1"/>
  <c r="BC39" i="1" s="1"/>
  <c r="U40" i="1"/>
  <c r="V40" i="1" s="1"/>
  <c r="Z40" i="1"/>
  <c r="AA40" i="1" s="1"/>
  <c r="BA40" i="1"/>
  <c r="BB40" i="1" s="1"/>
  <c r="BC40" i="1" s="1"/>
  <c r="BD40" i="1" s="1"/>
  <c r="U41" i="1"/>
  <c r="V41" i="1" s="1"/>
  <c r="W41" i="1" s="1"/>
  <c r="Z41" i="1"/>
  <c r="AA41" i="1" s="1"/>
  <c r="AB41" i="1" s="1"/>
  <c r="AP41" i="1" s="1"/>
  <c r="BA41" i="1"/>
  <c r="BB41" i="1" s="1"/>
  <c r="BC41" i="1" s="1"/>
  <c r="U42" i="1"/>
  <c r="V42" i="1" s="1"/>
  <c r="Z42" i="1"/>
  <c r="AA42" i="1" s="1"/>
  <c r="BA42" i="1"/>
  <c r="BB42" i="1" s="1"/>
  <c r="BC42" i="1" s="1"/>
  <c r="BD42" i="1" s="1"/>
  <c r="U43" i="1"/>
  <c r="V43" i="1" s="1"/>
  <c r="Z43" i="1"/>
  <c r="AA43" i="1" s="1"/>
  <c r="AB43" i="1" s="1"/>
  <c r="AP43" i="1" s="1"/>
  <c r="BA43" i="1"/>
  <c r="BB43" i="1" s="1"/>
  <c r="BC43" i="1" s="1"/>
  <c r="U44" i="1"/>
  <c r="V44" i="1" s="1"/>
  <c r="Z44" i="1"/>
  <c r="AA44" i="1" s="1"/>
  <c r="BA44" i="1"/>
  <c r="BB44" i="1" s="1"/>
  <c r="BC44" i="1" s="1"/>
  <c r="BD44" i="1" s="1"/>
  <c r="D45" i="1"/>
  <c r="D46" i="1" s="1"/>
  <c r="U48" i="1"/>
  <c r="V48" i="1" s="1"/>
  <c r="W48" i="1" s="1"/>
  <c r="AF48" i="1" s="1"/>
  <c r="Z48" i="1"/>
  <c r="AA48" i="1" s="1"/>
  <c r="BA48" i="1"/>
  <c r="BB48" i="1" s="1"/>
  <c r="BC48" i="1" s="1"/>
  <c r="BD48" i="1" s="1"/>
  <c r="U49" i="1"/>
  <c r="V49" i="1" s="1"/>
  <c r="W49" i="1" s="1"/>
  <c r="Z49" i="1"/>
  <c r="AA49" i="1" s="1"/>
  <c r="AB49" i="1" s="1"/>
  <c r="AR49" i="1" s="1"/>
  <c r="BA49" i="1"/>
  <c r="BB49" i="1" s="1"/>
  <c r="BC49" i="1" s="1"/>
  <c r="U50" i="1"/>
  <c r="V50" i="1" s="1"/>
  <c r="Z50" i="1"/>
  <c r="AA50" i="1" s="1"/>
  <c r="AB50" i="1" s="1"/>
  <c r="BA50" i="1"/>
  <c r="BB50" i="1" s="1"/>
  <c r="BC50" i="1" s="1"/>
  <c r="BD50" i="1" s="1"/>
  <c r="U51" i="1"/>
  <c r="V51" i="1" s="1"/>
  <c r="Z51" i="1"/>
  <c r="AA51" i="1" s="1"/>
  <c r="BA51" i="1"/>
  <c r="BB51" i="1" s="1"/>
  <c r="BC51" i="1" s="1"/>
  <c r="U52" i="1"/>
  <c r="V52" i="1" s="1"/>
  <c r="W52" i="1" s="1"/>
  <c r="AG52" i="1" s="1"/>
  <c r="Z52" i="1"/>
  <c r="AA52" i="1" s="1"/>
  <c r="BA52" i="1"/>
  <c r="BB52" i="1" s="1"/>
  <c r="BC52" i="1" s="1"/>
  <c r="BD52" i="1" s="1"/>
  <c r="U53" i="1"/>
  <c r="V53" i="1" s="1"/>
  <c r="Z53" i="1"/>
  <c r="AA53" i="1" s="1"/>
  <c r="AB53" i="1" s="1"/>
  <c r="BA53" i="1"/>
  <c r="BB53" i="1" s="1"/>
  <c r="BC53" i="1" s="1"/>
  <c r="BD53" i="1" s="1"/>
  <c r="D54" i="1"/>
  <c r="D55" i="1" s="1"/>
  <c r="U57" i="1"/>
  <c r="V57" i="1" s="1"/>
  <c r="X57" i="1" s="1"/>
  <c r="Y57" i="1" s="1"/>
  <c r="Z57" i="1"/>
  <c r="AA57" i="1" s="1"/>
  <c r="BA57" i="1"/>
  <c r="BB57" i="1" s="1"/>
  <c r="BC57" i="1" s="1"/>
  <c r="BD57" i="1" s="1"/>
  <c r="U58" i="1"/>
  <c r="V58" i="1" s="1"/>
  <c r="Z58" i="1"/>
  <c r="AA58" i="1" s="1"/>
  <c r="BA58" i="1"/>
  <c r="BB58" i="1" s="1"/>
  <c r="BC58" i="1" s="1"/>
  <c r="U59" i="1"/>
  <c r="V59" i="1" s="1"/>
  <c r="Z59" i="1"/>
  <c r="AA59" i="1" s="1"/>
  <c r="BA59" i="1"/>
  <c r="BB59" i="1" s="1"/>
  <c r="BC59" i="1" s="1"/>
  <c r="BD59" i="1" s="1"/>
  <c r="U60" i="1"/>
  <c r="V60" i="1" s="1"/>
  <c r="Z60" i="1"/>
  <c r="AA60" i="1" s="1"/>
  <c r="BA60" i="1"/>
  <c r="BB60" i="1" s="1"/>
  <c r="BC60" i="1" s="1"/>
  <c r="U61" i="1"/>
  <c r="V61" i="1" s="1"/>
  <c r="Z61" i="1"/>
  <c r="AA61" i="1" s="1"/>
  <c r="BA61" i="1"/>
  <c r="BB61" i="1" s="1"/>
  <c r="BC61" i="1" s="1"/>
  <c r="BD61" i="1" s="1"/>
  <c r="U62" i="1"/>
  <c r="V62" i="1" s="1"/>
  <c r="Z62" i="1"/>
  <c r="AA62" i="1" s="1"/>
  <c r="BA62" i="1"/>
  <c r="BB62" i="1" s="1"/>
  <c r="BC62" i="1" s="1"/>
  <c r="BD62" i="1" s="1"/>
  <c r="D63" i="1"/>
  <c r="D64" i="1" s="1"/>
  <c r="U66" i="1"/>
  <c r="V66" i="1" s="1"/>
  <c r="Z66" i="1"/>
  <c r="AA66" i="1" s="1"/>
  <c r="BA66" i="1"/>
  <c r="BB66" i="1" s="1"/>
  <c r="BC66" i="1" s="1"/>
  <c r="BD66" i="1" s="1"/>
  <c r="U67" i="1"/>
  <c r="V67" i="1" s="1"/>
  <c r="Z67" i="1"/>
  <c r="AA67" i="1" s="1"/>
  <c r="BA67" i="1"/>
  <c r="BB67" i="1" s="1"/>
  <c r="BC67" i="1" s="1"/>
  <c r="U68" i="1"/>
  <c r="V68" i="1" s="1"/>
  <c r="W68" i="1" s="1"/>
  <c r="Z68" i="1"/>
  <c r="AA68" i="1" s="1"/>
  <c r="BA68" i="1"/>
  <c r="BB68" i="1" s="1"/>
  <c r="BC68" i="1" s="1"/>
  <c r="BD68" i="1" s="1"/>
  <c r="U69" i="1"/>
  <c r="V69" i="1" s="1"/>
  <c r="W69" i="1" s="1"/>
  <c r="Z69" i="1"/>
  <c r="AA69" i="1" s="1"/>
  <c r="AB69" i="1" s="1"/>
  <c r="AT69" i="1" s="1"/>
  <c r="BA69" i="1"/>
  <c r="BB69" i="1" s="1"/>
  <c r="BC69" i="1" s="1"/>
  <c r="U70" i="1"/>
  <c r="V70" i="1" s="1"/>
  <c r="W70" i="1" s="1"/>
  <c r="Z70" i="1"/>
  <c r="AA70" i="1" s="1"/>
  <c r="BA70" i="1"/>
  <c r="BB70" i="1" s="1"/>
  <c r="BC70" i="1" s="1"/>
  <c r="BD70" i="1" s="1"/>
  <c r="U71" i="1"/>
  <c r="V71" i="1" s="1"/>
  <c r="Z71" i="1"/>
  <c r="AA71" i="1" s="1"/>
  <c r="AB71" i="1" s="1"/>
  <c r="BA71" i="1"/>
  <c r="BB71" i="1" s="1"/>
  <c r="BC71" i="1" s="1"/>
  <c r="D72" i="1"/>
  <c r="D73" i="1" s="1"/>
  <c r="U75" i="1"/>
  <c r="V75" i="1" s="1"/>
  <c r="W75" i="1" s="1"/>
  <c r="AJ75" i="1" s="1"/>
  <c r="Z75" i="1"/>
  <c r="AA75" i="1" s="1"/>
  <c r="BA75" i="1"/>
  <c r="BB75" i="1" s="1"/>
  <c r="BC75" i="1" s="1"/>
  <c r="U76" i="1"/>
  <c r="V76" i="1" s="1"/>
  <c r="Z76" i="1"/>
  <c r="AA76" i="1" s="1"/>
  <c r="BA76" i="1"/>
  <c r="BB76" i="1" s="1"/>
  <c r="BC76" i="1" s="1"/>
  <c r="BD76" i="1" s="1"/>
  <c r="U77" i="1"/>
  <c r="V77" i="1" s="1"/>
  <c r="Z77" i="1"/>
  <c r="AA77" i="1" s="1"/>
  <c r="BA77" i="1"/>
  <c r="BB77" i="1" s="1"/>
  <c r="BC77" i="1" s="1"/>
  <c r="U78" i="1"/>
  <c r="V78" i="1" s="1"/>
  <c r="Z78" i="1"/>
  <c r="AA78" i="1" s="1"/>
  <c r="AB78" i="1" s="1"/>
  <c r="BA78" i="1"/>
  <c r="BB78" i="1" s="1"/>
  <c r="BC78" i="1" s="1"/>
  <c r="BD78" i="1" s="1"/>
  <c r="U79" i="1"/>
  <c r="V79" i="1" s="1"/>
  <c r="W79" i="1" s="1"/>
  <c r="Z79" i="1"/>
  <c r="AA79" i="1" s="1"/>
  <c r="BA79" i="1"/>
  <c r="BB79" i="1" s="1"/>
  <c r="BC79" i="1" s="1"/>
  <c r="U80" i="1"/>
  <c r="V80" i="1" s="1"/>
  <c r="Z80" i="1"/>
  <c r="AA80" i="1" s="1"/>
  <c r="AB80" i="1" s="1"/>
  <c r="BA80" i="1"/>
  <c r="BB80" i="1" s="1"/>
  <c r="BC80" i="1" s="1"/>
  <c r="BD80" i="1" s="1"/>
  <c r="D81" i="1"/>
  <c r="D82" i="1" s="1"/>
  <c r="U84" i="1"/>
  <c r="V84" i="1" s="1"/>
  <c r="W84" i="1" s="1"/>
  <c r="Z84" i="1"/>
  <c r="AA84" i="1" s="1"/>
  <c r="BA84" i="1"/>
  <c r="BB84" i="1" s="1"/>
  <c r="BC84" i="1" s="1"/>
  <c r="BD84" i="1" s="1"/>
  <c r="U85" i="1"/>
  <c r="V85" i="1" s="1"/>
  <c r="Z85" i="1"/>
  <c r="AA85" i="1" s="1"/>
  <c r="BA85" i="1"/>
  <c r="BB85" i="1" s="1"/>
  <c r="BC85" i="1" s="1"/>
  <c r="U86" i="1"/>
  <c r="V86" i="1" s="1"/>
  <c r="W86" i="1" s="1"/>
  <c r="AH86" i="1" s="1"/>
  <c r="Z86" i="1"/>
  <c r="AA86" i="1" s="1"/>
  <c r="BA86" i="1"/>
  <c r="BB86" i="1" s="1"/>
  <c r="BC86" i="1" s="1"/>
  <c r="BD86" i="1" s="1"/>
  <c r="U87" i="1"/>
  <c r="V87" i="1" s="1"/>
  <c r="Z87" i="1"/>
  <c r="AA87" i="1" s="1"/>
  <c r="BA87" i="1"/>
  <c r="BB87" i="1" s="1"/>
  <c r="BC87" i="1" s="1"/>
  <c r="U88" i="1"/>
  <c r="V88" i="1" s="1"/>
  <c r="W88" i="1" s="1"/>
  <c r="Z88" i="1"/>
  <c r="AA88" i="1" s="1"/>
  <c r="BA88" i="1"/>
  <c r="BB88" i="1" s="1"/>
  <c r="BC88" i="1" s="1"/>
  <c r="BD88" i="1" s="1"/>
  <c r="U89" i="1"/>
  <c r="V89" i="1" s="1"/>
  <c r="Z89" i="1"/>
  <c r="AA89" i="1" s="1"/>
  <c r="BA89" i="1"/>
  <c r="BB89" i="1" s="1"/>
  <c r="BC89" i="1" s="1"/>
  <c r="D90" i="1"/>
  <c r="D91" i="1" s="1"/>
  <c r="U93" i="1"/>
  <c r="V93" i="1" s="1"/>
  <c r="W93" i="1" s="1"/>
  <c r="AN93" i="1" s="1"/>
  <c r="Z93" i="1"/>
  <c r="AA93" i="1" s="1"/>
  <c r="BA93" i="1"/>
  <c r="BB93" i="1" s="1"/>
  <c r="BC93" i="1" s="1"/>
  <c r="U94" i="1"/>
  <c r="V94" i="1" s="1"/>
  <c r="W94" i="1" s="1"/>
  <c r="Z94" i="1"/>
  <c r="AA94" i="1" s="1"/>
  <c r="BA94" i="1"/>
  <c r="BB94" i="1" s="1"/>
  <c r="BC94" i="1" s="1"/>
  <c r="BD94" i="1" s="1"/>
  <c r="U95" i="1"/>
  <c r="V95" i="1" s="1"/>
  <c r="Z95" i="1"/>
  <c r="AA95" i="1" s="1"/>
  <c r="AB95" i="1" s="1"/>
  <c r="BA95" i="1"/>
  <c r="BB95" i="1" s="1"/>
  <c r="BC95" i="1" s="1"/>
  <c r="U96" i="1"/>
  <c r="V96" i="1" s="1"/>
  <c r="W96" i="1" s="1"/>
  <c r="Z96" i="1"/>
  <c r="AA96" i="1" s="1"/>
  <c r="BA96" i="1"/>
  <c r="BB96" i="1" s="1"/>
  <c r="BC96" i="1" s="1"/>
  <c r="BD96" i="1" s="1"/>
  <c r="U97" i="1"/>
  <c r="V97" i="1" s="1"/>
  <c r="Z97" i="1"/>
  <c r="AA97" i="1" s="1"/>
  <c r="BA97" i="1"/>
  <c r="BB97" i="1" s="1"/>
  <c r="BC97" i="1" s="1"/>
  <c r="U98" i="1"/>
  <c r="V98" i="1" s="1"/>
  <c r="Z98" i="1"/>
  <c r="AA98" i="1" s="1"/>
  <c r="BA98" i="1"/>
  <c r="BB98" i="1" s="1"/>
  <c r="BC98" i="1" s="1"/>
  <c r="BD98" i="1" s="1"/>
  <c r="D99" i="1"/>
  <c r="D100" i="1" s="1"/>
  <c r="U102" i="1"/>
  <c r="V102" i="1" s="1"/>
  <c r="Z102" i="1"/>
  <c r="AA102" i="1" s="1"/>
  <c r="BA102" i="1"/>
  <c r="BB102" i="1" s="1"/>
  <c r="BC102" i="1" s="1"/>
  <c r="BD102" i="1" s="1"/>
  <c r="U103" i="1"/>
  <c r="V103" i="1" s="1"/>
  <c r="Z103" i="1"/>
  <c r="AA103" i="1" s="1"/>
  <c r="AB103" i="1" s="1"/>
  <c r="BA103" i="1"/>
  <c r="BB103" i="1" s="1"/>
  <c r="BC103" i="1" s="1"/>
  <c r="U104" i="1"/>
  <c r="V104" i="1" s="1"/>
  <c r="Z104" i="1"/>
  <c r="AA104" i="1" s="1"/>
  <c r="BA104" i="1"/>
  <c r="BB104" i="1" s="1"/>
  <c r="BC104" i="1" s="1"/>
  <c r="BD104" i="1" s="1"/>
  <c r="U105" i="1"/>
  <c r="V105" i="1" s="1"/>
  <c r="Z105" i="1"/>
  <c r="AA105" i="1" s="1"/>
  <c r="BA105" i="1"/>
  <c r="BB105" i="1" s="1"/>
  <c r="BC105" i="1" s="1"/>
  <c r="U106" i="1"/>
  <c r="V106" i="1" s="1"/>
  <c r="W106" i="1" s="1"/>
  <c r="AG106" i="1" s="1"/>
  <c r="Z106" i="1"/>
  <c r="AA106" i="1" s="1"/>
  <c r="BA106" i="1"/>
  <c r="BB106" i="1" s="1"/>
  <c r="BC106" i="1" s="1"/>
  <c r="BD106" i="1" s="1"/>
  <c r="U107" i="1"/>
  <c r="V107" i="1" s="1"/>
  <c r="Z107" i="1"/>
  <c r="AA107" i="1" s="1"/>
  <c r="BA107" i="1"/>
  <c r="BB107" i="1" s="1"/>
  <c r="BC107" i="1" s="1"/>
  <c r="D108" i="1"/>
  <c r="D109" i="1" s="1"/>
  <c r="U111" i="1"/>
  <c r="V111" i="1" s="1"/>
  <c r="Z111" i="1"/>
  <c r="AA111" i="1" s="1"/>
  <c r="BA111" i="1"/>
  <c r="BB111" i="1" s="1"/>
  <c r="BC111" i="1" s="1"/>
  <c r="U112" i="1"/>
  <c r="V112" i="1" s="1"/>
  <c r="Z112" i="1"/>
  <c r="AA112" i="1" s="1"/>
  <c r="AB112" i="1" s="1"/>
  <c r="BA112" i="1"/>
  <c r="BB112" i="1" s="1"/>
  <c r="BC112" i="1" s="1"/>
  <c r="BD112" i="1" s="1"/>
  <c r="U113" i="1"/>
  <c r="V113" i="1" s="1"/>
  <c r="Z113" i="1"/>
  <c r="AA113" i="1" s="1"/>
  <c r="BA113" i="1"/>
  <c r="BB113" i="1" s="1"/>
  <c r="BC113" i="1" s="1"/>
  <c r="U114" i="1"/>
  <c r="V114" i="1" s="1"/>
  <c r="Z114" i="1"/>
  <c r="AA114" i="1" s="1"/>
  <c r="AB114" i="1" s="1"/>
  <c r="BA114" i="1"/>
  <c r="BB114" i="1" s="1"/>
  <c r="BC114" i="1" s="1"/>
  <c r="BD114" i="1" s="1"/>
  <c r="U115" i="1"/>
  <c r="V115" i="1" s="1"/>
  <c r="Z115" i="1"/>
  <c r="AA115" i="1" s="1"/>
  <c r="BA115" i="1"/>
  <c r="BB115" i="1" s="1"/>
  <c r="BC115" i="1" s="1"/>
  <c r="U116" i="1"/>
  <c r="V116" i="1" s="1"/>
  <c r="Z116" i="1"/>
  <c r="AA116" i="1" s="1"/>
  <c r="AB116" i="1" s="1"/>
  <c r="BA116" i="1"/>
  <c r="BB116" i="1" s="1"/>
  <c r="BC116" i="1" s="1"/>
  <c r="BD116" i="1" s="1"/>
  <c r="D117" i="1"/>
  <c r="D118" i="1" s="1"/>
  <c r="U120" i="1"/>
  <c r="V120" i="1" s="1"/>
  <c r="W120" i="1" s="1"/>
  <c r="Z120" i="1"/>
  <c r="AA120" i="1" s="1"/>
  <c r="BA120" i="1"/>
  <c r="BB120" i="1" s="1"/>
  <c r="BC120" i="1" s="1"/>
  <c r="BD120" i="1" s="1"/>
  <c r="U121" i="1"/>
  <c r="V121" i="1" s="1"/>
  <c r="Z121" i="1"/>
  <c r="AA121" i="1" s="1"/>
  <c r="BA121" i="1"/>
  <c r="BB121" i="1" s="1"/>
  <c r="BC121" i="1" s="1"/>
  <c r="U122" i="1"/>
  <c r="V122" i="1" s="1"/>
  <c r="W122" i="1" s="1"/>
  <c r="AG122" i="1" s="1"/>
  <c r="Z122" i="1"/>
  <c r="AA122" i="1" s="1"/>
  <c r="BA122" i="1"/>
  <c r="BB122" i="1" s="1"/>
  <c r="BC122" i="1" s="1"/>
  <c r="BD122" i="1" s="1"/>
  <c r="U123" i="1"/>
  <c r="V123" i="1" s="1"/>
  <c r="Z123" i="1"/>
  <c r="AA123" i="1" s="1"/>
  <c r="BA123" i="1"/>
  <c r="BB123" i="1" s="1"/>
  <c r="BC123" i="1" s="1"/>
  <c r="U124" i="1"/>
  <c r="V124" i="1" s="1"/>
  <c r="W124" i="1" s="1"/>
  <c r="AI124" i="1" s="1"/>
  <c r="Z124" i="1"/>
  <c r="AA124" i="1" s="1"/>
  <c r="BA124" i="1"/>
  <c r="BB124" i="1" s="1"/>
  <c r="BC124" i="1" s="1"/>
  <c r="BD124" i="1" s="1"/>
  <c r="U125" i="1"/>
  <c r="V125" i="1" s="1"/>
  <c r="Z125" i="1"/>
  <c r="AA125" i="1" s="1"/>
  <c r="BA125" i="1"/>
  <c r="BB125" i="1" s="1"/>
  <c r="BC125" i="1" s="1"/>
  <c r="D126" i="1"/>
  <c r="D127" i="1" s="1"/>
  <c r="U129" i="1"/>
  <c r="V129" i="1" s="1"/>
  <c r="X129" i="1" s="1"/>
  <c r="Y129" i="1" s="1"/>
  <c r="Z129" i="1"/>
  <c r="AA129" i="1" s="1"/>
  <c r="BA129" i="1"/>
  <c r="BB129" i="1" s="1"/>
  <c r="BC129" i="1" s="1"/>
  <c r="U130" i="1"/>
  <c r="V130" i="1" s="1"/>
  <c r="Z130" i="1"/>
  <c r="AA130" i="1" s="1"/>
  <c r="AB130" i="1" s="1"/>
  <c r="BA130" i="1"/>
  <c r="BB130" i="1" s="1"/>
  <c r="BC130" i="1" s="1"/>
  <c r="BD130" i="1" s="1"/>
  <c r="U131" i="1"/>
  <c r="V131" i="1" s="1"/>
  <c r="Z131" i="1"/>
  <c r="AA131" i="1" s="1"/>
  <c r="BA131" i="1"/>
  <c r="BB131" i="1" s="1"/>
  <c r="BC131" i="1" s="1"/>
  <c r="BD131" i="1" s="1"/>
  <c r="U132" i="1"/>
  <c r="V132" i="1" s="1"/>
  <c r="Z132" i="1"/>
  <c r="AA132" i="1" s="1"/>
  <c r="AB132" i="1" s="1"/>
  <c r="AW132" i="1" s="1"/>
  <c r="BA132" i="1"/>
  <c r="BB132" i="1" s="1"/>
  <c r="BC132" i="1" s="1"/>
  <c r="U133" i="1"/>
  <c r="V133" i="1" s="1"/>
  <c r="W133" i="1" s="1"/>
  <c r="AG133" i="1" s="1"/>
  <c r="Z133" i="1"/>
  <c r="AA133" i="1" s="1"/>
  <c r="AB133" i="1" s="1"/>
  <c r="AX133" i="1" s="1"/>
  <c r="BA133" i="1"/>
  <c r="BB133" i="1" s="1"/>
  <c r="BC133" i="1" s="1"/>
  <c r="BD133" i="1" s="1"/>
  <c r="U134" i="1"/>
  <c r="V134" i="1" s="1"/>
  <c r="Z134" i="1"/>
  <c r="AA134" i="1" s="1"/>
  <c r="AB134" i="1" s="1"/>
  <c r="AY134" i="1" s="1"/>
  <c r="BA134" i="1"/>
  <c r="BB134" i="1" s="1"/>
  <c r="BC134" i="1" s="1"/>
  <c r="D135" i="1"/>
  <c r="D136" i="1" s="1"/>
  <c r="U138" i="1"/>
  <c r="V138" i="1" s="1"/>
  <c r="Z138" i="1"/>
  <c r="AA138" i="1" s="1"/>
  <c r="BA138" i="1"/>
  <c r="BB138" i="1" s="1"/>
  <c r="BC138" i="1" s="1"/>
  <c r="U139" i="1"/>
  <c r="V139" i="1" s="1"/>
  <c r="Z139" i="1"/>
  <c r="AA139" i="1" s="1"/>
  <c r="BA139" i="1"/>
  <c r="BB139" i="1" s="1"/>
  <c r="BC139" i="1" s="1"/>
  <c r="BD139" i="1" s="1"/>
  <c r="U140" i="1"/>
  <c r="V140" i="1" s="1"/>
  <c r="Z140" i="1"/>
  <c r="AA140" i="1" s="1"/>
  <c r="BA140" i="1"/>
  <c r="BB140" i="1" s="1"/>
  <c r="BC140" i="1" s="1"/>
  <c r="U141" i="1"/>
  <c r="V141" i="1" s="1"/>
  <c r="Z141" i="1"/>
  <c r="AA141" i="1" s="1"/>
  <c r="BA141" i="1"/>
  <c r="BB141" i="1" s="1"/>
  <c r="BC141" i="1" s="1"/>
  <c r="BD141" i="1" s="1"/>
  <c r="U142" i="1"/>
  <c r="V142" i="1" s="1"/>
  <c r="Z142" i="1"/>
  <c r="AA142" i="1" s="1"/>
  <c r="BA142" i="1"/>
  <c r="BB142" i="1" s="1"/>
  <c r="BC142" i="1" s="1"/>
  <c r="U143" i="1"/>
  <c r="V143" i="1" s="1"/>
  <c r="Z143" i="1"/>
  <c r="AA143" i="1" s="1"/>
  <c r="AB143" i="1" s="1"/>
  <c r="BA143" i="1"/>
  <c r="BB143" i="1" s="1"/>
  <c r="BC143" i="1" s="1"/>
  <c r="BD143" i="1" s="1"/>
  <c r="D144" i="1"/>
  <c r="D145" i="1" s="1"/>
  <c r="U147" i="1"/>
  <c r="V147" i="1" s="1"/>
  <c r="Z147" i="1"/>
  <c r="AA147" i="1" s="1"/>
  <c r="BA147" i="1"/>
  <c r="BB147" i="1" s="1"/>
  <c r="BC147" i="1" s="1"/>
  <c r="BD147" i="1" s="1"/>
  <c r="U148" i="1"/>
  <c r="V148" i="1" s="1"/>
  <c r="W148" i="1" s="1"/>
  <c r="Z148" i="1"/>
  <c r="AA148" i="1" s="1"/>
  <c r="AB148" i="1" s="1"/>
  <c r="AT148" i="1" s="1"/>
  <c r="BA148" i="1"/>
  <c r="BB148" i="1" s="1"/>
  <c r="BC148" i="1" s="1"/>
  <c r="U149" i="1"/>
  <c r="V149" i="1" s="1"/>
  <c r="Z149" i="1"/>
  <c r="AA149" i="1" s="1"/>
  <c r="BA149" i="1"/>
  <c r="BB149" i="1" s="1"/>
  <c r="BC149" i="1" s="1"/>
  <c r="BD149" i="1" s="1"/>
  <c r="U150" i="1"/>
  <c r="V150" i="1" s="1"/>
  <c r="W150" i="1" s="1"/>
  <c r="Z150" i="1"/>
  <c r="AA150" i="1" s="1"/>
  <c r="AB150" i="1" s="1"/>
  <c r="BA150" i="1"/>
  <c r="BB150" i="1" s="1"/>
  <c r="BC150" i="1" s="1"/>
  <c r="U151" i="1"/>
  <c r="V151" i="1" s="1"/>
  <c r="Z151" i="1"/>
  <c r="AA151" i="1" s="1"/>
  <c r="BA151" i="1"/>
  <c r="BB151" i="1" s="1"/>
  <c r="BC151" i="1" s="1"/>
  <c r="BD151" i="1" s="1"/>
  <c r="U152" i="1"/>
  <c r="V152" i="1" s="1"/>
  <c r="W152" i="1" s="1"/>
  <c r="Z152" i="1"/>
  <c r="AA152" i="1" s="1"/>
  <c r="BA152" i="1"/>
  <c r="BB152" i="1" s="1"/>
  <c r="BC152" i="1" s="1"/>
  <c r="D153" i="1"/>
  <c r="D154" i="1" s="1"/>
  <c r="U156" i="1"/>
  <c r="V156" i="1" s="1"/>
  <c r="Z156" i="1"/>
  <c r="AA156" i="1" s="1"/>
  <c r="BA156" i="1"/>
  <c r="BB156" i="1" s="1"/>
  <c r="BC156" i="1" s="1"/>
  <c r="U157" i="1"/>
  <c r="V157" i="1" s="1"/>
  <c r="Z157" i="1"/>
  <c r="AA157" i="1" s="1"/>
  <c r="AB157" i="1" s="1"/>
  <c r="BA157" i="1"/>
  <c r="BB157" i="1" s="1"/>
  <c r="BC157" i="1" s="1"/>
  <c r="BD157" i="1" s="1"/>
  <c r="U158" i="1"/>
  <c r="V158" i="1" s="1"/>
  <c r="Z158" i="1"/>
  <c r="AA158" i="1" s="1"/>
  <c r="BA158" i="1"/>
  <c r="BB158" i="1" s="1"/>
  <c r="BC158" i="1" s="1"/>
  <c r="U159" i="1"/>
  <c r="V159" i="1" s="1"/>
  <c r="W159" i="1" s="1"/>
  <c r="Z159" i="1"/>
  <c r="AA159" i="1" s="1"/>
  <c r="AB159" i="1" s="1"/>
  <c r="BA159" i="1"/>
  <c r="BB159" i="1" s="1"/>
  <c r="BC159" i="1" s="1"/>
  <c r="BD159" i="1" s="1"/>
  <c r="U160" i="1"/>
  <c r="V160" i="1" s="1"/>
  <c r="Z160" i="1"/>
  <c r="AA160" i="1" s="1"/>
  <c r="BA160" i="1"/>
  <c r="BB160" i="1" s="1"/>
  <c r="BC160" i="1" s="1"/>
  <c r="BD160" i="1" s="1"/>
  <c r="U161" i="1"/>
  <c r="V161" i="1" s="1"/>
  <c r="W161" i="1" s="1"/>
  <c r="Z161" i="1"/>
  <c r="AA161" i="1" s="1"/>
  <c r="AB161" i="1" s="1"/>
  <c r="BA161" i="1"/>
  <c r="BB161" i="1" s="1"/>
  <c r="BC161" i="1" s="1"/>
  <c r="D162" i="1"/>
  <c r="D163" i="1" s="1"/>
  <c r="U165" i="1"/>
  <c r="V165" i="1" s="1"/>
  <c r="Z165" i="1"/>
  <c r="AA165" i="1" s="1"/>
  <c r="BA165" i="1"/>
  <c r="BB165" i="1" s="1"/>
  <c r="BC165" i="1" s="1"/>
  <c r="U166" i="1"/>
  <c r="V166" i="1" s="1"/>
  <c r="W166" i="1" s="1"/>
  <c r="Z166" i="1"/>
  <c r="AA166" i="1" s="1"/>
  <c r="AB166" i="1" s="1"/>
  <c r="BA166" i="1"/>
  <c r="BB166" i="1" s="1"/>
  <c r="BC166" i="1" s="1"/>
  <c r="BD166" i="1" s="1"/>
  <c r="U167" i="1"/>
  <c r="V167" i="1" s="1"/>
  <c r="Z167" i="1"/>
  <c r="AA167" i="1" s="1"/>
  <c r="BA167" i="1"/>
  <c r="BB167" i="1" s="1"/>
  <c r="BC167" i="1" s="1"/>
  <c r="U168" i="1"/>
  <c r="V168" i="1" s="1"/>
  <c r="Z168" i="1"/>
  <c r="AA168" i="1" s="1"/>
  <c r="BA168" i="1"/>
  <c r="BB168" i="1" s="1"/>
  <c r="BC168" i="1" s="1"/>
  <c r="BD168" i="1" s="1"/>
  <c r="U169" i="1"/>
  <c r="V169" i="1" s="1"/>
  <c r="Z169" i="1"/>
  <c r="AA169" i="1" s="1"/>
  <c r="BA169" i="1"/>
  <c r="BB169" i="1" s="1"/>
  <c r="BC169" i="1" s="1"/>
  <c r="U170" i="1"/>
  <c r="V170" i="1" s="1"/>
  <c r="W170" i="1" s="1"/>
  <c r="Z170" i="1"/>
  <c r="AA170" i="1" s="1"/>
  <c r="AB170" i="1" s="1"/>
  <c r="BA170" i="1"/>
  <c r="BB170" i="1" s="1"/>
  <c r="BC170" i="1" s="1"/>
  <c r="BD170" i="1" s="1"/>
  <c r="D171" i="1"/>
  <c r="D172" i="1" s="1"/>
  <c r="D180" i="1"/>
  <c r="D181" i="1" s="1"/>
  <c r="R1" i="13"/>
  <c r="P12" i="13"/>
  <c r="S12" i="13"/>
  <c r="P13" i="13"/>
  <c r="S13" i="13"/>
  <c r="P14" i="13"/>
  <c r="S14" i="13"/>
  <c r="P15" i="13"/>
  <c r="S15" i="13"/>
  <c r="T15" i="13" s="1"/>
  <c r="U15" i="13" s="1"/>
  <c r="P16" i="13"/>
  <c r="S16" i="13"/>
  <c r="P17" i="13"/>
  <c r="S17" i="13"/>
  <c r="D18" i="13"/>
  <c r="D19" i="13" s="1"/>
  <c r="P21" i="13"/>
  <c r="S21" i="13"/>
  <c r="P22" i="13"/>
  <c r="Q22" i="13" s="1"/>
  <c r="R22" i="13" s="1"/>
  <c r="S22" i="13"/>
  <c r="P23" i="13"/>
  <c r="S23" i="13"/>
  <c r="P24" i="13"/>
  <c r="S24" i="13"/>
  <c r="P25" i="13"/>
  <c r="S25" i="13"/>
  <c r="P26" i="13"/>
  <c r="Q26" i="13" s="1"/>
  <c r="R26" i="13" s="1"/>
  <c r="S26" i="13"/>
  <c r="D27" i="13"/>
  <c r="D28" i="13" s="1"/>
  <c r="P30" i="13"/>
  <c r="S30" i="13"/>
  <c r="P31" i="13"/>
  <c r="S31" i="13"/>
  <c r="P32" i="13"/>
  <c r="S32" i="13"/>
  <c r="T32" i="13" s="1"/>
  <c r="U32" i="13" s="1"/>
  <c r="P33" i="13"/>
  <c r="S33" i="13"/>
  <c r="P34" i="13"/>
  <c r="S34" i="13"/>
  <c r="P35" i="13"/>
  <c r="S35" i="13"/>
  <c r="D36" i="13"/>
  <c r="D37" i="13" s="1"/>
  <c r="P39" i="13"/>
  <c r="Q39" i="13" s="1"/>
  <c r="R39" i="13" s="1"/>
  <c r="S39" i="13"/>
  <c r="P40" i="13"/>
  <c r="S40" i="13"/>
  <c r="P41" i="13"/>
  <c r="S41" i="13"/>
  <c r="P42" i="13"/>
  <c r="S42" i="13"/>
  <c r="P43" i="13"/>
  <c r="Q43" i="13" s="1"/>
  <c r="R43" i="13" s="1"/>
  <c r="S43" i="13"/>
  <c r="P44" i="13"/>
  <c r="S44" i="13"/>
  <c r="D45" i="13"/>
  <c r="D46" i="13" s="1"/>
  <c r="P48" i="13"/>
  <c r="S48" i="13"/>
  <c r="P49" i="13"/>
  <c r="S49" i="13"/>
  <c r="T49" i="13" s="1"/>
  <c r="U49" i="13" s="1"/>
  <c r="P50" i="13"/>
  <c r="S50" i="13"/>
  <c r="P51" i="13"/>
  <c r="S51" i="13"/>
  <c r="P52" i="13"/>
  <c r="S52" i="13"/>
  <c r="P53" i="13"/>
  <c r="S53" i="13"/>
  <c r="T53" i="13" s="1"/>
  <c r="U53" i="13" s="1"/>
  <c r="D54" i="13"/>
  <c r="D55" i="13" s="1"/>
  <c r="P57" i="13"/>
  <c r="S57" i="13"/>
  <c r="P58" i="13"/>
  <c r="S58" i="13"/>
  <c r="P59" i="13"/>
  <c r="S59" i="13"/>
  <c r="P60" i="13"/>
  <c r="Q60" i="13" s="1"/>
  <c r="R60" i="13" s="1"/>
  <c r="S60" i="13"/>
  <c r="P61" i="13"/>
  <c r="S61" i="13"/>
  <c r="P62" i="13"/>
  <c r="S62" i="13"/>
  <c r="D63" i="13"/>
  <c r="D64" i="13" s="1"/>
  <c r="P66" i="13"/>
  <c r="S66" i="13"/>
  <c r="T66" i="13" s="1"/>
  <c r="P67" i="13"/>
  <c r="S67" i="13"/>
  <c r="P68" i="13"/>
  <c r="S68" i="13"/>
  <c r="P69" i="13"/>
  <c r="S69" i="13"/>
  <c r="P70" i="13"/>
  <c r="S70" i="13"/>
  <c r="T70" i="13" s="1"/>
  <c r="U70" i="13" s="1"/>
  <c r="P71" i="13"/>
  <c r="S71" i="13"/>
  <c r="D72" i="13"/>
  <c r="D73" i="13" s="1"/>
  <c r="P75" i="13"/>
  <c r="S75" i="13"/>
  <c r="P76" i="13"/>
  <c r="S76" i="13"/>
  <c r="P77" i="13"/>
  <c r="Q77" i="13" s="1"/>
  <c r="R77" i="13" s="1"/>
  <c r="S77" i="13"/>
  <c r="P78" i="13"/>
  <c r="S78" i="13"/>
  <c r="P79" i="13"/>
  <c r="S79" i="13"/>
  <c r="P80" i="13"/>
  <c r="S80" i="13"/>
  <c r="D81" i="13"/>
  <c r="D82" i="13" s="1"/>
  <c r="P84" i="13"/>
  <c r="S84" i="13"/>
  <c r="P85" i="13"/>
  <c r="S85" i="13"/>
  <c r="P86" i="13"/>
  <c r="S86" i="13"/>
  <c r="P87" i="13"/>
  <c r="S87" i="13"/>
  <c r="T87" i="13" s="1"/>
  <c r="U87" i="13" s="1"/>
  <c r="P88" i="13"/>
  <c r="S88" i="13"/>
  <c r="P89" i="13"/>
  <c r="S89" i="13"/>
  <c r="D90" i="13"/>
  <c r="D91" i="13" s="1"/>
  <c r="P93" i="13"/>
  <c r="S93" i="13"/>
  <c r="P94" i="13"/>
  <c r="Q94" i="13" s="1"/>
  <c r="R94" i="13" s="1"/>
  <c r="S94" i="13"/>
  <c r="P95" i="13"/>
  <c r="S95" i="13"/>
  <c r="P96" i="13"/>
  <c r="S96" i="13"/>
  <c r="P97" i="13"/>
  <c r="S97" i="13"/>
  <c r="P98" i="13"/>
  <c r="Q98" i="13" s="1"/>
  <c r="R98" i="13" s="1"/>
  <c r="S98" i="13"/>
  <c r="D99" i="13"/>
  <c r="D100" i="13" s="1"/>
  <c r="P102" i="13"/>
  <c r="S102" i="13"/>
  <c r="P103" i="13"/>
  <c r="S103" i="13"/>
  <c r="P104" i="13"/>
  <c r="S104" i="13"/>
  <c r="T104" i="13" s="1"/>
  <c r="U104" i="13" s="1"/>
  <c r="P105" i="13"/>
  <c r="S105" i="13"/>
  <c r="P106" i="13"/>
  <c r="S106" i="13"/>
  <c r="P107" i="13"/>
  <c r="S107" i="13"/>
  <c r="D108" i="13"/>
  <c r="D109" i="13" s="1"/>
  <c r="P111" i="13"/>
  <c r="Q111" i="13" s="1"/>
  <c r="R111" i="13" s="1"/>
  <c r="S111" i="13"/>
  <c r="P112" i="13"/>
  <c r="S112" i="13"/>
  <c r="P113" i="13"/>
  <c r="S113" i="13"/>
  <c r="P114" i="13"/>
  <c r="S114" i="13"/>
  <c r="P115" i="13"/>
  <c r="Q115" i="13" s="1"/>
  <c r="R115" i="13" s="1"/>
  <c r="S115" i="13"/>
  <c r="P116" i="13"/>
  <c r="S116" i="13"/>
  <c r="D117" i="13"/>
  <c r="D118" i="13" s="1"/>
  <c r="P120" i="13"/>
  <c r="S120" i="13"/>
  <c r="P121" i="13"/>
  <c r="S121" i="13"/>
  <c r="T121" i="13" s="1"/>
  <c r="U121" i="13" s="1"/>
  <c r="P122" i="13"/>
  <c r="S122" i="13"/>
  <c r="P123" i="13"/>
  <c r="S123" i="13"/>
  <c r="P124" i="13"/>
  <c r="S124" i="13"/>
  <c r="P125" i="13"/>
  <c r="S125" i="13"/>
  <c r="T125" i="13" s="1"/>
  <c r="U125" i="13" s="1"/>
  <c r="D126" i="13"/>
  <c r="D127" i="13" s="1"/>
  <c r="P129" i="13"/>
  <c r="S129" i="13"/>
  <c r="P130" i="13"/>
  <c r="S130" i="13"/>
  <c r="P131" i="13"/>
  <c r="S131" i="13"/>
  <c r="P132" i="13"/>
  <c r="Q132" i="13" s="1"/>
  <c r="R132" i="13" s="1"/>
  <c r="S132" i="13"/>
  <c r="P133" i="13"/>
  <c r="S133" i="13"/>
  <c r="P134" i="13"/>
  <c r="S134" i="13"/>
  <c r="D135" i="13"/>
  <c r="D136" i="13" s="1"/>
  <c r="P138" i="13"/>
  <c r="S138" i="13"/>
  <c r="T138" i="13" s="1"/>
  <c r="U138" i="13" s="1"/>
  <c r="P139" i="13"/>
  <c r="S139" i="13"/>
  <c r="P140" i="13"/>
  <c r="S140" i="13"/>
  <c r="P141" i="13"/>
  <c r="S141" i="13"/>
  <c r="P142" i="13"/>
  <c r="S142" i="13"/>
  <c r="T142" i="13" s="1"/>
  <c r="U142" i="13" s="1"/>
  <c r="P143" i="13"/>
  <c r="S143" i="13"/>
  <c r="D144" i="13"/>
  <c r="D145" i="13" s="1"/>
  <c r="P147" i="13"/>
  <c r="S147" i="13"/>
  <c r="P148" i="13"/>
  <c r="S148" i="13"/>
  <c r="P149" i="13"/>
  <c r="Q149" i="13" s="1"/>
  <c r="R149" i="13" s="1"/>
  <c r="S149" i="13"/>
  <c r="P150" i="13"/>
  <c r="S150" i="13"/>
  <c r="P151" i="13"/>
  <c r="S151" i="13"/>
  <c r="P152" i="13"/>
  <c r="S152" i="13"/>
  <c r="D153" i="13"/>
  <c r="D154" i="13" s="1"/>
  <c r="P156" i="13"/>
  <c r="S156" i="13"/>
  <c r="P157" i="13"/>
  <c r="S157" i="13"/>
  <c r="P158" i="13"/>
  <c r="S158" i="13"/>
  <c r="P159" i="13"/>
  <c r="S159" i="13"/>
  <c r="T159" i="13" s="1"/>
  <c r="U159" i="13" s="1"/>
  <c r="P160" i="13"/>
  <c r="S160" i="13"/>
  <c r="P161" i="13"/>
  <c r="S161" i="13"/>
  <c r="D162" i="13"/>
  <c r="D163" i="13" s="1"/>
  <c r="P165" i="13"/>
  <c r="S165" i="13"/>
  <c r="P166" i="13"/>
  <c r="Q166" i="13" s="1"/>
  <c r="R166" i="13" s="1"/>
  <c r="S166" i="13"/>
  <c r="P167" i="13"/>
  <c r="S167" i="13"/>
  <c r="P168" i="13"/>
  <c r="S168" i="13"/>
  <c r="P169" i="13"/>
  <c r="S169" i="13"/>
  <c r="P170" i="13"/>
  <c r="Q170" i="13" s="1"/>
  <c r="R170" i="13" s="1"/>
  <c r="S170" i="13"/>
  <c r="D171" i="13"/>
  <c r="D172" i="13" s="1"/>
  <c r="D180" i="13"/>
  <c r="D181" i="13" s="1"/>
  <c r="V12" i="14"/>
  <c r="Z12" i="14" s="1"/>
  <c r="AO12" i="14" s="1"/>
  <c r="W12" i="14"/>
  <c r="AA12" i="14" s="1"/>
  <c r="AP12" i="14" s="1"/>
  <c r="X12" i="14"/>
  <c r="AB12" i="14" s="1"/>
  <c r="AQ12" i="14" s="1"/>
  <c r="Y12" i="14"/>
  <c r="AC12" i="14" s="1"/>
  <c r="AR12" i="14" s="1"/>
  <c r="AE12" i="14"/>
  <c r="AF12" i="14"/>
  <c r="AG12" i="14"/>
  <c r="AH12" i="14"/>
  <c r="AL12" i="14" s="1"/>
  <c r="V13" i="14"/>
  <c r="Z13" i="14" s="1"/>
  <c r="AO13" i="14" s="1"/>
  <c r="W13" i="14"/>
  <c r="AA13" i="14" s="1"/>
  <c r="AP13" i="14" s="1"/>
  <c r="X13" i="14"/>
  <c r="AB13" i="14" s="1"/>
  <c r="AQ13" i="14" s="1"/>
  <c r="Y13" i="14"/>
  <c r="AC13" i="14" s="1"/>
  <c r="AR13" i="14" s="1"/>
  <c r="AE13" i="14"/>
  <c r="AI13" i="14" s="1"/>
  <c r="AF13" i="14"/>
  <c r="AG13" i="14"/>
  <c r="AH13" i="14"/>
  <c r="AL13" i="14" s="1"/>
  <c r="AU13" i="14"/>
  <c r="V14" i="14"/>
  <c r="Z14" i="14" s="1"/>
  <c r="AO14" i="14" s="1"/>
  <c r="W14" i="14"/>
  <c r="AA14" i="14" s="1"/>
  <c r="AP14" i="14" s="1"/>
  <c r="X14" i="14"/>
  <c r="AB14" i="14" s="1"/>
  <c r="AQ14" i="14" s="1"/>
  <c r="Y14" i="14"/>
  <c r="AC14" i="14" s="1"/>
  <c r="AR14" i="14" s="1"/>
  <c r="AE14" i="14"/>
  <c r="AF14" i="14"/>
  <c r="AJ14" i="14" s="1"/>
  <c r="AV14" i="14" s="1"/>
  <c r="AG14" i="14"/>
  <c r="AH14" i="14"/>
  <c r="AL14" i="14" s="1"/>
  <c r="V15" i="14"/>
  <c r="Z15" i="14" s="1"/>
  <c r="AO15" i="14" s="1"/>
  <c r="W15" i="14"/>
  <c r="AA15" i="14" s="1"/>
  <c r="AP15" i="14" s="1"/>
  <c r="X15" i="14"/>
  <c r="AB15" i="14" s="1"/>
  <c r="AQ15" i="14" s="1"/>
  <c r="Y15" i="14"/>
  <c r="AC15" i="14"/>
  <c r="AR15" i="14" s="1"/>
  <c r="AE15" i="14"/>
  <c r="AF15" i="14"/>
  <c r="AG15" i="14"/>
  <c r="AH15" i="14"/>
  <c r="AL15" i="14" s="1"/>
  <c r="V16" i="14"/>
  <c r="Z16" i="14" s="1"/>
  <c r="AO16" i="14" s="1"/>
  <c r="W16" i="14"/>
  <c r="AA16" i="14" s="1"/>
  <c r="AP16" i="14" s="1"/>
  <c r="X16" i="14"/>
  <c r="AB16" i="14" s="1"/>
  <c r="AQ16" i="14" s="1"/>
  <c r="Y16" i="14"/>
  <c r="AC16" i="14" s="1"/>
  <c r="AR16" i="14" s="1"/>
  <c r="AE16" i="14"/>
  <c r="AF16" i="14"/>
  <c r="AG16" i="14"/>
  <c r="AH16" i="14"/>
  <c r="AL16" i="14" s="1"/>
  <c r="V17" i="14"/>
  <c r="Z17" i="14" s="1"/>
  <c r="AO17" i="14" s="1"/>
  <c r="W17" i="14"/>
  <c r="AA17" i="14" s="1"/>
  <c r="AP17" i="14" s="1"/>
  <c r="X17" i="14"/>
  <c r="AB17" i="14" s="1"/>
  <c r="AQ17" i="14" s="1"/>
  <c r="Y17" i="14"/>
  <c r="AC17" i="14" s="1"/>
  <c r="AR17" i="14" s="1"/>
  <c r="AE17" i="14"/>
  <c r="AF17" i="14"/>
  <c r="AG17" i="14"/>
  <c r="AH17" i="14"/>
  <c r="AL17" i="14" s="1"/>
  <c r="V21" i="14"/>
  <c r="Z21" i="14" s="1"/>
  <c r="AO21" i="14" s="1"/>
  <c r="W21" i="14"/>
  <c r="AA21" i="14" s="1"/>
  <c r="AP21" i="14" s="1"/>
  <c r="X21" i="14"/>
  <c r="AB21" i="14" s="1"/>
  <c r="AQ21" i="14" s="1"/>
  <c r="Y21" i="14"/>
  <c r="AC21" i="14" s="1"/>
  <c r="AR21" i="14" s="1"/>
  <c r="AE21" i="14"/>
  <c r="AI21" i="14" s="1"/>
  <c r="AU21" i="14" s="1"/>
  <c r="AF21" i="14"/>
  <c r="AJ21" i="14" s="1"/>
  <c r="AV21" i="14" s="1"/>
  <c r="AG21" i="14"/>
  <c r="AH21" i="14"/>
  <c r="AL21" i="14" s="1"/>
  <c r="V22" i="14"/>
  <c r="Z22" i="14" s="1"/>
  <c r="AO22" i="14" s="1"/>
  <c r="W22" i="14"/>
  <c r="AA22" i="14" s="1"/>
  <c r="AP22" i="14" s="1"/>
  <c r="X22" i="14"/>
  <c r="Y22" i="14"/>
  <c r="AC22" i="14" s="1"/>
  <c r="AR22" i="14" s="1"/>
  <c r="AB22" i="14"/>
  <c r="AQ22" i="14" s="1"/>
  <c r="AE22" i="14"/>
  <c r="AI22" i="14" s="1"/>
  <c r="AU22" i="14" s="1"/>
  <c r="AF22" i="14"/>
  <c r="AJ22" i="14" s="1"/>
  <c r="AG22" i="14"/>
  <c r="AH22" i="14"/>
  <c r="AL22" i="14" s="1"/>
  <c r="AV22" i="14"/>
  <c r="V23" i="14"/>
  <c r="Z23" i="14" s="1"/>
  <c r="AO23" i="14" s="1"/>
  <c r="W23" i="14"/>
  <c r="AA23" i="14" s="1"/>
  <c r="AP23" i="14" s="1"/>
  <c r="X23" i="14"/>
  <c r="AB23" i="14" s="1"/>
  <c r="AQ23" i="14" s="1"/>
  <c r="Y23" i="14"/>
  <c r="AC23" i="14" s="1"/>
  <c r="AR23" i="14" s="1"/>
  <c r="AE23" i="14"/>
  <c r="AF23" i="14"/>
  <c r="AG23" i="14"/>
  <c r="AH23" i="14"/>
  <c r="AL23" i="14" s="1"/>
  <c r="V24" i="14"/>
  <c r="Z24" i="14" s="1"/>
  <c r="AO24" i="14" s="1"/>
  <c r="W24" i="14"/>
  <c r="AA24" i="14" s="1"/>
  <c r="AP24" i="14" s="1"/>
  <c r="X24" i="14"/>
  <c r="AB24" i="14" s="1"/>
  <c r="AQ24" i="14" s="1"/>
  <c r="Y24" i="14"/>
  <c r="AC24" i="14" s="1"/>
  <c r="AR24" i="14" s="1"/>
  <c r="AE24" i="14"/>
  <c r="AF24" i="14"/>
  <c r="AG24" i="14"/>
  <c r="AH24" i="14"/>
  <c r="AL24" i="14" s="1"/>
  <c r="V25" i="14"/>
  <c r="Z25" i="14" s="1"/>
  <c r="AO25" i="14" s="1"/>
  <c r="W25" i="14"/>
  <c r="AA25" i="14" s="1"/>
  <c r="AP25" i="14" s="1"/>
  <c r="X25" i="14"/>
  <c r="AB25" i="14" s="1"/>
  <c r="AQ25" i="14" s="1"/>
  <c r="Y25" i="14"/>
  <c r="AC25" i="14" s="1"/>
  <c r="AR25" i="14" s="1"/>
  <c r="AE25" i="14"/>
  <c r="AI25" i="14" s="1"/>
  <c r="AU25" i="14" s="1"/>
  <c r="AF25" i="14"/>
  <c r="AG25" i="14"/>
  <c r="AH25" i="14"/>
  <c r="AL25" i="14" s="1"/>
  <c r="V26" i="14"/>
  <c r="Z26" i="14" s="1"/>
  <c r="AO26" i="14" s="1"/>
  <c r="W26" i="14"/>
  <c r="AA26" i="14" s="1"/>
  <c r="AP26" i="14" s="1"/>
  <c r="X26" i="14"/>
  <c r="AB26" i="14" s="1"/>
  <c r="AQ26" i="14" s="1"/>
  <c r="Y26" i="14"/>
  <c r="AC26" i="14" s="1"/>
  <c r="AR26" i="14" s="1"/>
  <c r="AE26" i="14"/>
  <c r="AI26" i="14" s="1"/>
  <c r="AU26" i="14" s="1"/>
  <c r="AF26" i="14"/>
  <c r="AJ26" i="14" s="1"/>
  <c r="AV26" i="14" s="1"/>
  <c r="AG26" i="14"/>
  <c r="AH26" i="14"/>
  <c r="AL26" i="14" s="1"/>
  <c r="V30" i="14"/>
  <c r="Z30" i="14" s="1"/>
  <c r="AO30" i="14" s="1"/>
  <c r="W30" i="14"/>
  <c r="AA30" i="14" s="1"/>
  <c r="AP30" i="14" s="1"/>
  <c r="X30" i="14"/>
  <c r="AB30" i="14" s="1"/>
  <c r="AQ30" i="14" s="1"/>
  <c r="Y30" i="14"/>
  <c r="AC30" i="14" s="1"/>
  <c r="AR30" i="14" s="1"/>
  <c r="AE30" i="14"/>
  <c r="AF30" i="14"/>
  <c r="AG30" i="14"/>
  <c r="AH30" i="14"/>
  <c r="AL30" i="14" s="1"/>
  <c r="V31" i="14"/>
  <c r="Z31" i="14" s="1"/>
  <c r="AO31" i="14" s="1"/>
  <c r="W31" i="14"/>
  <c r="AA31" i="14" s="1"/>
  <c r="AP31" i="14" s="1"/>
  <c r="X31" i="14"/>
  <c r="AB31" i="14" s="1"/>
  <c r="AQ31" i="14" s="1"/>
  <c r="Y31" i="14"/>
  <c r="AC31" i="14" s="1"/>
  <c r="AR31" i="14" s="1"/>
  <c r="AE31" i="14"/>
  <c r="AF31" i="14"/>
  <c r="AG31" i="14"/>
  <c r="AH31" i="14"/>
  <c r="AL31" i="14" s="1"/>
  <c r="V32" i="14"/>
  <c r="Z32" i="14" s="1"/>
  <c r="AO32" i="14" s="1"/>
  <c r="W32" i="14"/>
  <c r="AA32" i="14" s="1"/>
  <c r="AP32" i="14" s="1"/>
  <c r="X32" i="14"/>
  <c r="AB32" i="14" s="1"/>
  <c r="AQ32" i="14" s="1"/>
  <c r="Y32" i="14"/>
  <c r="AC32" i="14" s="1"/>
  <c r="AR32" i="14" s="1"/>
  <c r="AE32" i="14"/>
  <c r="AF32" i="14"/>
  <c r="AG32" i="14"/>
  <c r="AH32" i="14"/>
  <c r="AL32" i="14" s="1"/>
  <c r="V33" i="14"/>
  <c r="Z33" i="14" s="1"/>
  <c r="AO33" i="14" s="1"/>
  <c r="W33" i="14"/>
  <c r="AA33" i="14" s="1"/>
  <c r="AP33" i="14" s="1"/>
  <c r="X33" i="14"/>
  <c r="AB33" i="14" s="1"/>
  <c r="AQ33" i="14" s="1"/>
  <c r="Y33" i="14"/>
  <c r="AC33" i="14" s="1"/>
  <c r="AR33" i="14" s="1"/>
  <c r="AE33" i="14"/>
  <c r="AI33" i="14" s="1"/>
  <c r="AU33" i="14" s="1"/>
  <c r="AF33" i="14"/>
  <c r="AG33" i="14"/>
  <c r="AH33" i="14"/>
  <c r="AL33" i="14" s="1"/>
  <c r="V34" i="14"/>
  <c r="Z34" i="14" s="1"/>
  <c r="AO34" i="14" s="1"/>
  <c r="W34" i="14"/>
  <c r="AA34" i="14" s="1"/>
  <c r="AP34" i="14" s="1"/>
  <c r="X34" i="14"/>
  <c r="AB34" i="14" s="1"/>
  <c r="AQ34" i="14" s="1"/>
  <c r="Y34" i="14"/>
  <c r="AC34" i="14" s="1"/>
  <c r="AR34" i="14" s="1"/>
  <c r="AE34" i="14"/>
  <c r="AI34" i="14" s="1"/>
  <c r="AU34" i="14" s="1"/>
  <c r="AF34" i="14"/>
  <c r="AG34" i="14"/>
  <c r="AH34" i="14"/>
  <c r="AL34" i="14" s="1"/>
  <c r="V35" i="14"/>
  <c r="Z35" i="14" s="1"/>
  <c r="AO35" i="14" s="1"/>
  <c r="W35" i="14"/>
  <c r="AA35" i="14" s="1"/>
  <c r="AP35" i="14" s="1"/>
  <c r="X35" i="14"/>
  <c r="AB35" i="14" s="1"/>
  <c r="AQ35" i="14" s="1"/>
  <c r="Y35" i="14"/>
  <c r="AC35" i="14" s="1"/>
  <c r="AR35" i="14" s="1"/>
  <c r="AE35" i="14"/>
  <c r="AI35" i="14" s="1"/>
  <c r="AF35" i="14"/>
  <c r="AJ35" i="14" s="1"/>
  <c r="AG35" i="14"/>
  <c r="AH35" i="14"/>
  <c r="AL35" i="14" s="1"/>
  <c r="AU35" i="14"/>
  <c r="AV35" i="14"/>
  <c r="V39" i="14"/>
  <c r="Z39" i="14" s="1"/>
  <c r="AO39" i="14" s="1"/>
  <c r="W39" i="14"/>
  <c r="X39" i="14"/>
  <c r="AB39" i="14" s="1"/>
  <c r="AQ39" i="14" s="1"/>
  <c r="Y39" i="14"/>
  <c r="AC39" i="14" s="1"/>
  <c r="AR39" i="14" s="1"/>
  <c r="AA39" i="14"/>
  <c r="AP39" i="14" s="1"/>
  <c r="AE39" i="14"/>
  <c r="AI39" i="14" s="1"/>
  <c r="AU39" i="14" s="1"/>
  <c r="AF39" i="14"/>
  <c r="AJ39" i="14" s="1"/>
  <c r="AV39" i="14" s="1"/>
  <c r="AG39" i="14"/>
  <c r="AH39" i="14"/>
  <c r="AL39" i="14" s="1"/>
  <c r="V40" i="14"/>
  <c r="Z40" i="14" s="1"/>
  <c r="AO40" i="14" s="1"/>
  <c r="W40" i="14"/>
  <c r="AA40" i="14" s="1"/>
  <c r="AP40" i="14" s="1"/>
  <c r="X40" i="14"/>
  <c r="AB40" i="14" s="1"/>
  <c r="AQ40" i="14" s="1"/>
  <c r="Y40" i="14"/>
  <c r="AC40" i="14" s="1"/>
  <c r="AR40" i="14" s="1"/>
  <c r="AE40" i="14"/>
  <c r="AF40" i="14"/>
  <c r="AG40" i="14"/>
  <c r="AH40" i="14"/>
  <c r="AL40" i="14" s="1"/>
  <c r="V41" i="14"/>
  <c r="Z41" i="14" s="1"/>
  <c r="AO41" i="14" s="1"/>
  <c r="W41" i="14"/>
  <c r="AA41" i="14" s="1"/>
  <c r="AP41" i="14" s="1"/>
  <c r="X41" i="14"/>
  <c r="AB41" i="14" s="1"/>
  <c r="AQ41" i="14" s="1"/>
  <c r="Y41" i="14"/>
  <c r="AC41" i="14" s="1"/>
  <c r="AR41" i="14" s="1"/>
  <c r="AE41" i="14"/>
  <c r="AF41" i="14"/>
  <c r="AG41" i="14"/>
  <c r="AH41" i="14"/>
  <c r="AL41" i="14" s="1"/>
  <c r="V42" i="14"/>
  <c r="Z42" i="14" s="1"/>
  <c r="AO42" i="14" s="1"/>
  <c r="W42" i="14"/>
  <c r="AA42" i="14" s="1"/>
  <c r="AP42" i="14" s="1"/>
  <c r="X42" i="14"/>
  <c r="AB42" i="14" s="1"/>
  <c r="AQ42" i="14" s="1"/>
  <c r="Y42" i="14"/>
  <c r="AC42" i="14" s="1"/>
  <c r="AR42" i="14" s="1"/>
  <c r="AE42" i="14"/>
  <c r="AI42" i="14" s="1"/>
  <c r="AU42" i="14" s="1"/>
  <c r="AF42" i="14"/>
  <c r="AJ42" i="14" s="1"/>
  <c r="AV42" i="14" s="1"/>
  <c r="AG42" i="14"/>
  <c r="AH42" i="14"/>
  <c r="AL42" i="14" s="1"/>
  <c r="V43" i="14"/>
  <c r="Z43" i="14" s="1"/>
  <c r="AO43" i="14" s="1"/>
  <c r="W43" i="14"/>
  <c r="AA43" i="14" s="1"/>
  <c r="AP43" i="14" s="1"/>
  <c r="X43" i="14"/>
  <c r="AB43" i="14" s="1"/>
  <c r="AQ43" i="14" s="1"/>
  <c r="Y43" i="14"/>
  <c r="AC43" i="14" s="1"/>
  <c r="AR43" i="14" s="1"/>
  <c r="AE43" i="14"/>
  <c r="AI43" i="14" s="1"/>
  <c r="AU43" i="14" s="1"/>
  <c r="AF43" i="14"/>
  <c r="AJ43" i="14" s="1"/>
  <c r="AV43" i="14" s="1"/>
  <c r="AG43" i="14"/>
  <c r="AH43" i="14"/>
  <c r="AL43" i="14" s="1"/>
  <c r="V44" i="14"/>
  <c r="Z44" i="14" s="1"/>
  <c r="AO44" i="14" s="1"/>
  <c r="W44" i="14"/>
  <c r="AA44" i="14" s="1"/>
  <c r="AP44" i="14" s="1"/>
  <c r="X44" i="14"/>
  <c r="AB44" i="14" s="1"/>
  <c r="AQ44" i="14" s="1"/>
  <c r="Y44" i="14"/>
  <c r="AC44" i="14" s="1"/>
  <c r="AR44" i="14" s="1"/>
  <c r="AE44" i="14"/>
  <c r="AF44" i="14"/>
  <c r="AG44" i="14"/>
  <c r="AH44" i="14"/>
  <c r="AL44" i="14" s="1"/>
  <c r="V48" i="14"/>
  <c r="Z48" i="14" s="1"/>
  <c r="AO48" i="14" s="1"/>
  <c r="W48" i="14"/>
  <c r="AA48" i="14" s="1"/>
  <c r="AP48" i="14" s="1"/>
  <c r="X48" i="14"/>
  <c r="AB48" i="14" s="1"/>
  <c r="AQ48" i="14" s="1"/>
  <c r="Y48" i="14"/>
  <c r="AC48" i="14" s="1"/>
  <c r="AR48" i="14" s="1"/>
  <c r="AE48" i="14"/>
  <c r="AI48" i="14" s="1"/>
  <c r="AU48" i="14" s="1"/>
  <c r="AF48" i="14"/>
  <c r="AJ48" i="14" s="1"/>
  <c r="AV48" i="14" s="1"/>
  <c r="AG48" i="14"/>
  <c r="AH48" i="14"/>
  <c r="AL48" i="14" s="1"/>
  <c r="V49" i="14"/>
  <c r="Z49" i="14" s="1"/>
  <c r="AO49" i="14" s="1"/>
  <c r="W49" i="14"/>
  <c r="AA49" i="14" s="1"/>
  <c r="AP49" i="14" s="1"/>
  <c r="X49" i="14"/>
  <c r="AB49" i="14" s="1"/>
  <c r="AQ49" i="14" s="1"/>
  <c r="Y49" i="14"/>
  <c r="AC49" i="14" s="1"/>
  <c r="AR49" i="14" s="1"/>
  <c r="AE49" i="14"/>
  <c r="AI49" i="14" s="1"/>
  <c r="AU49" i="14" s="1"/>
  <c r="AF49" i="14"/>
  <c r="AG49" i="14"/>
  <c r="AH49" i="14"/>
  <c r="AL49" i="14" s="1"/>
  <c r="V50" i="14"/>
  <c r="Z50" i="14" s="1"/>
  <c r="AO50" i="14" s="1"/>
  <c r="W50" i="14"/>
  <c r="AA50" i="14" s="1"/>
  <c r="AP50" i="14" s="1"/>
  <c r="X50" i="14"/>
  <c r="AB50" i="14" s="1"/>
  <c r="AQ50" i="14" s="1"/>
  <c r="Y50" i="14"/>
  <c r="AC50" i="14" s="1"/>
  <c r="AR50" i="14" s="1"/>
  <c r="AE50" i="14"/>
  <c r="AF50" i="14"/>
  <c r="AG50" i="14"/>
  <c r="AH50" i="14"/>
  <c r="AL50" i="14" s="1"/>
  <c r="V51" i="14"/>
  <c r="Z51" i="14" s="1"/>
  <c r="AO51" i="14" s="1"/>
  <c r="W51" i="14"/>
  <c r="AA51" i="14" s="1"/>
  <c r="AP51" i="14" s="1"/>
  <c r="X51" i="14"/>
  <c r="AB51" i="14" s="1"/>
  <c r="AQ51" i="14" s="1"/>
  <c r="Y51" i="14"/>
  <c r="AC51" i="14" s="1"/>
  <c r="AR51" i="14" s="1"/>
  <c r="AE51" i="14"/>
  <c r="AI51" i="14" s="1"/>
  <c r="AU51" i="14" s="1"/>
  <c r="AF51" i="14"/>
  <c r="AJ51" i="14" s="1"/>
  <c r="AV51" i="14" s="1"/>
  <c r="AG51" i="14"/>
  <c r="AH51" i="14"/>
  <c r="AL51" i="14" s="1"/>
  <c r="V52" i="14"/>
  <c r="W52" i="14"/>
  <c r="AA52" i="14" s="1"/>
  <c r="AP52" i="14" s="1"/>
  <c r="X52" i="14"/>
  <c r="AB52" i="14" s="1"/>
  <c r="AQ52" i="14" s="1"/>
  <c r="Y52" i="14"/>
  <c r="AC52" i="14" s="1"/>
  <c r="AR52" i="14" s="1"/>
  <c r="Z52" i="14"/>
  <c r="AO52" i="14" s="1"/>
  <c r="AE52" i="14"/>
  <c r="AI52" i="14" s="1"/>
  <c r="AU52" i="14" s="1"/>
  <c r="AF52" i="14"/>
  <c r="AJ52" i="14" s="1"/>
  <c r="AG52" i="14"/>
  <c r="AH52" i="14"/>
  <c r="AL52" i="14" s="1"/>
  <c r="AV52" i="14"/>
  <c r="V53" i="14"/>
  <c r="Z53" i="14" s="1"/>
  <c r="AO53" i="14" s="1"/>
  <c r="W53" i="14"/>
  <c r="AA53" i="14" s="1"/>
  <c r="AP53" i="14" s="1"/>
  <c r="X53" i="14"/>
  <c r="AB53" i="14" s="1"/>
  <c r="AQ53" i="14" s="1"/>
  <c r="Y53" i="14"/>
  <c r="AC53" i="14" s="1"/>
  <c r="AR53" i="14" s="1"/>
  <c r="AE53" i="14"/>
  <c r="AI53" i="14" s="1"/>
  <c r="AU53" i="14" s="1"/>
  <c r="AF53" i="14"/>
  <c r="AJ53" i="14" s="1"/>
  <c r="AV53" i="14" s="1"/>
  <c r="AG53" i="14"/>
  <c r="AH53" i="14"/>
  <c r="AL53" i="14" s="1"/>
  <c r="V57" i="14"/>
  <c r="Z57" i="14" s="1"/>
  <c r="AO57" i="14" s="1"/>
  <c r="W57" i="14"/>
  <c r="AA57" i="14" s="1"/>
  <c r="AP57" i="14" s="1"/>
  <c r="X57" i="14"/>
  <c r="AB57" i="14" s="1"/>
  <c r="AQ57" i="14" s="1"/>
  <c r="Y57" i="14"/>
  <c r="AC57" i="14" s="1"/>
  <c r="AR57" i="14" s="1"/>
  <c r="AE57" i="14"/>
  <c r="AF57" i="14"/>
  <c r="AJ57" i="14" s="1"/>
  <c r="AV57" i="14" s="1"/>
  <c r="AG57" i="14"/>
  <c r="AH57" i="14"/>
  <c r="AL57" i="14" s="1"/>
  <c r="V58" i="14"/>
  <c r="Z58" i="14" s="1"/>
  <c r="AO58" i="14" s="1"/>
  <c r="W58" i="14"/>
  <c r="AA58" i="14" s="1"/>
  <c r="AP58" i="14" s="1"/>
  <c r="X58" i="14"/>
  <c r="AB58" i="14" s="1"/>
  <c r="AQ58" i="14" s="1"/>
  <c r="Y58" i="14"/>
  <c r="AC58" i="14"/>
  <c r="AR58" i="14" s="1"/>
  <c r="AE58" i="14"/>
  <c r="AF58" i="14"/>
  <c r="AG58" i="14"/>
  <c r="AH58" i="14"/>
  <c r="AL58" i="14" s="1"/>
  <c r="V59" i="14"/>
  <c r="Z59" i="14" s="1"/>
  <c r="AO59" i="14" s="1"/>
  <c r="W59" i="14"/>
  <c r="AA59" i="14" s="1"/>
  <c r="AP59" i="14" s="1"/>
  <c r="X59" i="14"/>
  <c r="AB59" i="14" s="1"/>
  <c r="AQ59" i="14" s="1"/>
  <c r="Y59" i="14"/>
  <c r="AC59" i="14" s="1"/>
  <c r="AR59" i="14" s="1"/>
  <c r="AE59" i="14"/>
  <c r="AF59" i="14"/>
  <c r="AG59" i="14"/>
  <c r="AH59" i="14"/>
  <c r="AL59" i="14" s="1"/>
  <c r="V60" i="14"/>
  <c r="Z60" i="14" s="1"/>
  <c r="AO60" i="14" s="1"/>
  <c r="W60" i="14"/>
  <c r="AA60" i="14" s="1"/>
  <c r="AP60" i="14" s="1"/>
  <c r="X60" i="14"/>
  <c r="AB60" i="14" s="1"/>
  <c r="AQ60" i="14" s="1"/>
  <c r="Y60" i="14"/>
  <c r="AC60" i="14" s="1"/>
  <c r="AR60" i="14" s="1"/>
  <c r="AE60" i="14"/>
  <c r="AI60" i="14" s="1"/>
  <c r="AF60" i="14"/>
  <c r="AJ60" i="14" s="1"/>
  <c r="AV60" i="14" s="1"/>
  <c r="AG60" i="14"/>
  <c r="AH60" i="14"/>
  <c r="AL60" i="14" s="1"/>
  <c r="AU60" i="14"/>
  <c r="V61" i="14"/>
  <c r="Z61" i="14" s="1"/>
  <c r="AO61" i="14" s="1"/>
  <c r="W61" i="14"/>
  <c r="AA61" i="14" s="1"/>
  <c r="AP61" i="14" s="1"/>
  <c r="X61" i="14"/>
  <c r="AB61" i="14" s="1"/>
  <c r="AQ61" i="14" s="1"/>
  <c r="Y61" i="14"/>
  <c r="AC61" i="14" s="1"/>
  <c r="AR61" i="14" s="1"/>
  <c r="AE61" i="14"/>
  <c r="AF61" i="14"/>
  <c r="AJ61" i="14" s="1"/>
  <c r="AV61" i="14" s="1"/>
  <c r="AG61" i="14"/>
  <c r="AH61" i="14"/>
  <c r="AL61" i="14" s="1"/>
  <c r="V62" i="14"/>
  <c r="Z62" i="14" s="1"/>
  <c r="AO62" i="14" s="1"/>
  <c r="W62" i="14"/>
  <c r="AA62" i="14" s="1"/>
  <c r="AP62" i="14" s="1"/>
  <c r="X62" i="14"/>
  <c r="AB62" i="14" s="1"/>
  <c r="AQ62" i="14" s="1"/>
  <c r="Y62" i="14"/>
  <c r="AC62" i="14" s="1"/>
  <c r="AR62" i="14" s="1"/>
  <c r="AE62" i="14"/>
  <c r="AF62" i="14"/>
  <c r="AG62" i="14"/>
  <c r="AH62" i="14"/>
  <c r="AL62" i="14" s="1"/>
  <c r="V66" i="14"/>
  <c r="Z66" i="14" s="1"/>
  <c r="AO66" i="14" s="1"/>
  <c r="W66" i="14"/>
  <c r="AA66" i="14" s="1"/>
  <c r="AP66" i="14" s="1"/>
  <c r="X66" i="14"/>
  <c r="AB66" i="14" s="1"/>
  <c r="AQ66" i="14" s="1"/>
  <c r="Y66" i="14"/>
  <c r="AC66" i="14" s="1"/>
  <c r="AR66" i="14" s="1"/>
  <c r="AE66" i="14"/>
  <c r="AI66" i="14" s="1"/>
  <c r="AU66" i="14" s="1"/>
  <c r="AF66" i="14"/>
  <c r="AJ66" i="14" s="1"/>
  <c r="AV66" i="14" s="1"/>
  <c r="AG66" i="14"/>
  <c r="AH66" i="14"/>
  <c r="AL66" i="14" s="1"/>
  <c r="V67" i="14"/>
  <c r="Z67" i="14" s="1"/>
  <c r="AO67" i="14" s="1"/>
  <c r="W67" i="14"/>
  <c r="AA67" i="14" s="1"/>
  <c r="AP67" i="14" s="1"/>
  <c r="X67" i="14"/>
  <c r="AB67" i="14" s="1"/>
  <c r="AQ67" i="14" s="1"/>
  <c r="Y67" i="14"/>
  <c r="AC67" i="14" s="1"/>
  <c r="AR67" i="14" s="1"/>
  <c r="AE67" i="14"/>
  <c r="AI67" i="14" s="1"/>
  <c r="AU67" i="14" s="1"/>
  <c r="AF67" i="14"/>
  <c r="AJ67" i="14" s="1"/>
  <c r="AV67" i="14" s="1"/>
  <c r="AG67" i="14"/>
  <c r="AH67" i="14"/>
  <c r="AL67" i="14" s="1"/>
  <c r="V68" i="14"/>
  <c r="Z68" i="14" s="1"/>
  <c r="AO68" i="14" s="1"/>
  <c r="W68" i="14"/>
  <c r="AA68" i="14" s="1"/>
  <c r="AP68" i="14" s="1"/>
  <c r="X68" i="14"/>
  <c r="AB68" i="14" s="1"/>
  <c r="AQ68" i="14" s="1"/>
  <c r="Y68" i="14"/>
  <c r="AC68" i="14" s="1"/>
  <c r="AR68" i="14" s="1"/>
  <c r="AE68" i="14"/>
  <c r="AF68" i="14"/>
  <c r="AG68" i="14"/>
  <c r="AH68" i="14"/>
  <c r="AL68" i="14" s="1"/>
  <c r="V69" i="14"/>
  <c r="Z69" i="14" s="1"/>
  <c r="AO69" i="14" s="1"/>
  <c r="W69" i="14"/>
  <c r="AA69" i="14" s="1"/>
  <c r="AP69" i="14" s="1"/>
  <c r="X69" i="14"/>
  <c r="AB69" i="14" s="1"/>
  <c r="AQ69" i="14" s="1"/>
  <c r="Y69" i="14"/>
  <c r="AC69" i="14"/>
  <c r="AR69" i="14" s="1"/>
  <c r="AE69" i="14"/>
  <c r="AF69" i="14"/>
  <c r="AG69" i="14"/>
  <c r="AH69" i="14"/>
  <c r="AL69" i="14" s="1"/>
  <c r="V70" i="14"/>
  <c r="Z70" i="14" s="1"/>
  <c r="AO70" i="14" s="1"/>
  <c r="W70" i="14"/>
  <c r="AA70" i="14" s="1"/>
  <c r="AP70" i="14" s="1"/>
  <c r="X70" i="14"/>
  <c r="AB70" i="14" s="1"/>
  <c r="AQ70" i="14" s="1"/>
  <c r="Y70" i="14"/>
  <c r="AC70" i="14" s="1"/>
  <c r="AR70" i="14" s="1"/>
  <c r="AE70" i="14"/>
  <c r="AF70" i="14"/>
  <c r="AG70" i="14"/>
  <c r="AH70" i="14"/>
  <c r="AL70" i="14" s="1"/>
  <c r="V71" i="14"/>
  <c r="Z71" i="14" s="1"/>
  <c r="AO71" i="14" s="1"/>
  <c r="W71" i="14"/>
  <c r="AA71" i="14" s="1"/>
  <c r="AP71" i="14" s="1"/>
  <c r="X71" i="14"/>
  <c r="AB71" i="14" s="1"/>
  <c r="AQ71" i="14" s="1"/>
  <c r="Y71" i="14"/>
  <c r="AC71" i="14" s="1"/>
  <c r="AR71" i="14" s="1"/>
  <c r="AE71" i="14"/>
  <c r="AF71" i="14"/>
  <c r="AG71" i="14"/>
  <c r="AH71" i="14"/>
  <c r="AL71" i="14" s="1"/>
  <c r="V75" i="14"/>
  <c r="Z75" i="14" s="1"/>
  <c r="AO75" i="14" s="1"/>
  <c r="W75" i="14"/>
  <c r="AA75" i="14" s="1"/>
  <c r="AP75" i="14" s="1"/>
  <c r="X75" i="14"/>
  <c r="AB75" i="14" s="1"/>
  <c r="AQ75" i="14" s="1"/>
  <c r="Y75" i="14"/>
  <c r="AC75" i="14" s="1"/>
  <c r="AR75" i="14" s="1"/>
  <c r="AE75" i="14"/>
  <c r="AI75" i="14" s="1"/>
  <c r="AU75" i="14" s="1"/>
  <c r="AF75" i="14"/>
  <c r="AJ75" i="14" s="1"/>
  <c r="AV75" i="14" s="1"/>
  <c r="AG75" i="14"/>
  <c r="AH75" i="14"/>
  <c r="AL75" i="14" s="1"/>
  <c r="V76" i="14"/>
  <c r="Z76" i="14" s="1"/>
  <c r="AO76" i="14" s="1"/>
  <c r="W76" i="14"/>
  <c r="AA76" i="14" s="1"/>
  <c r="AP76" i="14" s="1"/>
  <c r="X76" i="14"/>
  <c r="AB76" i="14" s="1"/>
  <c r="AQ76" i="14" s="1"/>
  <c r="Y76" i="14"/>
  <c r="AC76" i="14"/>
  <c r="AR76" i="14" s="1"/>
  <c r="AE76" i="14"/>
  <c r="AI76" i="14" s="1"/>
  <c r="AU76" i="14" s="1"/>
  <c r="AF76" i="14"/>
  <c r="AJ76" i="14" s="1"/>
  <c r="AV76" i="14" s="1"/>
  <c r="AG76" i="14"/>
  <c r="AH76" i="14"/>
  <c r="AL76" i="14" s="1"/>
  <c r="V77" i="14"/>
  <c r="Z77" i="14" s="1"/>
  <c r="AO77" i="14" s="1"/>
  <c r="W77" i="14"/>
  <c r="AA77" i="14" s="1"/>
  <c r="AP77" i="14" s="1"/>
  <c r="X77" i="14"/>
  <c r="AB77" i="14" s="1"/>
  <c r="AQ77" i="14" s="1"/>
  <c r="Y77" i="14"/>
  <c r="AC77" i="14" s="1"/>
  <c r="AR77" i="14" s="1"/>
  <c r="AE77" i="14"/>
  <c r="AF77" i="14"/>
  <c r="AJ77" i="14" s="1"/>
  <c r="AV77" i="14" s="1"/>
  <c r="AG77" i="14"/>
  <c r="AH77" i="14"/>
  <c r="AL77" i="14" s="1"/>
  <c r="V78" i="14"/>
  <c r="Z78" i="14" s="1"/>
  <c r="AO78" i="14" s="1"/>
  <c r="W78" i="14"/>
  <c r="AA78" i="14" s="1"/>
  <c r="AP78" i="14" s="1"/>
  <c r="X78" i="14"/>
  <c r="AB78" i="14" s="1"/>
  <c r="AQ78" i="14" s="1"/>
  <c r="Y78" i="14"/>
  <c r="AC78" i="14" s="1"/>
  <c r="AR78" i="14" s="1"/>
  <c r="AE78" i="14"/>
  <c r="AF78" i="14"/>
  <c r="AG78" i="14"/>
  <c r="AH78" i="14"/>
  <c r="AL78" i="14" s="1"/>
  <c r="V79" i="14"/>
  <c r="Z79" i="14" s="1"/>
  <c r="AO79" i="14" s="1"/>
  <c r="W79" i="14"/>
  <c r="AA79" i="14" s="1"/>
  <c r="AP79" i="14" s="1"/>
  <c r="X79" i="14"/>
  <c r="AB79" i="14" s="1"/>
  <c r="AQ79" i="14" s="1"/>
  <c r="Y79" i="14"/>
  <c r="AC79" i="14" s="1"/>
  <c r="AR79" i="14" s="1"/>
  <c r="AE79" i="14"/>
  <c r="AI79" i="14" s="1"/>
  <c r="AU79" i="14" s="1"/>
  <c r="AF79" i="14"/>
  <c r="AG79" i="14"/>
  <c r="AH79" i="14"/>
  <c r="AL79" i="14" s="1"/>
  <c r="V80" i="14"/>
  <c r="Z80" i="14" s="1"/>
  <c r="AO80" i="14" s="1"/>
  <c r="W80" i="14"/>
  <c r="AA80" i="14" s="1"/>
  <c r="AP80" i="14" s="1"/>
  <c r="X80" i="14"/>
  <c r="AB80" i="14" s="1"/>
  <c r="AQ80" i="14" s="1"/>
  <c r="Y80" i="14"/>
  <c r="AC80" i="14" s="1"/>
  <c r="AR80" i="14" s="1"/>
  <c r="AE80" i="14"/>
  <c r="AI80" i="14" s="1"/>
  <c r="AF80" i="14"/>
  <c r="AJ80" i="14" s="1"/>
  <c r="AV80" i="14" s="1"/>
  <c r="AG80" i="14"/>
  <c r="AH80" i="14"/>
  <c r="AL80" i="14" s="1"/>
  <c r="AU80" i="14"/>
  <c r="V84" i="14"/>
  <c r="Z84" i="14" s="1"/>
  <c r="AO84" i="14" s="1"/>
  <c r="W84" i="14"/>
  <c r="AA84" i="14" s="1"/>
  <c r="AP84" i="14" s="1"/>
  <c r="X84" i="14"/>
  <c r="AB84" i="14" s="1"/>
  <c r="AQ84" i="14" s="1"/>
  <c r="Y84" i="14"/>
  <c r="AC84" i="14" s="1"/>
  <c r="AR84" i="14" s="1"/>
  <c r="AE84" i="14"/>
  <c r="AF84" i="14"/>
  <c r="AG84" i="14"/>
  <c r="AH84" i="14"/>
  <c r="AL84" i="14" s="1"/>
  <c r="V85" i="14"/>
  <c r="Z85" i="14" s="1"/>
  <c r="AO85" i="14" s="1"/>
  <c r="W85" i="14"/>
  <c r="AA85" i="14" s="1"/>
  <c r="AP85" i="14" s="1"/>
  <c r="X85" i="14"/>
  <c r="AB85" i="14" s="1"/>
  <c r="AQ85" i="14" s="1"/>
  <c r="Y85" i="14"/>
  <c r="AC85" i="14" s="1"/>
  <c r="AR85" i="14" s="1"/>
  <c r="AE85" i="14"/>
  <c r="AF85" i="14"/>
  <c r="AG85" i="14"/>
  <c r="AH85" i="14"/>
  <c r="AL85" i="14" s="1"/>
  <c r="V86" i="14"/>
  <c r="Z86" i="14" s="1"/>
  <c r="AO86" i="14" s="1"/>
  <c r="W86" i="14"/>
  <c r="AA86" i="14" s="1"/>
  <c r="AP86" i="14" s="1"/>
  <c r="X86" i="14"/>
  <c r="AB86" i="14" s="1"/>
  <c r="AQ86" i="14" s="1"/>
  <c r="Y86" i="14"/>
  <c r="AC86" i="14" s="1"/>
  <c r="AR86" i="14" s="1"/>
  <c r="AE86" i="14"/>
  <c r="AF86" i="14"/>
  <c r="AG86" i="14"/>
  <c r="AH86" i="14"/>
  <c r="AL86" i="14" s="1"/>
  <c r="V87" i="14"/>
  <c r="Z87" i="14" s="1"/>
  <c r="AO87" i="14" s="1"/>
  <c r="W87" i="14"/>
  <c r="AA87" i="14" s="1"/>
  <c r="AP87" i="14" s="1"/>
  <c r="X87" i="14"/>
  <c r="AB87" i="14" s="1"/>
  <c r="AQ87" i="14" s="1"/>
  <c r="Y87" i="14"/>
  <c r="AC87" i="14" s="1"/>
  <c r="AR87" i="14" s="1"/>
  <c r="AE87" i="14"/>
  <c r="AI87" i="14" s="1"/>
  <c r="AU87" i="14" s="1"/>
  <c r="AF87" i="14"/>
  <c r="AJ87" i="14" s="1"/>
  <c r="AV87" i="14" s="1"/>
  <c r="AG87" i="14"/>
  <c r="AH87" i="14"/>
  <c r="AL87" i="14" s="1"/>
  <c r="V88" i="14"/>
  <c r="Z88" i="14" s="1"/>
  <c r="AO88" i="14" s="1"/>
  <c r="W88" i="14"/>
  <c r="AA88" i="14" s="1"/>
  <c r="AP88" i="14" s="1"/>
  <c r="X88" i="14"/>
  <c r="AB88" i="14" s="1"/>
  <c r="AQ88" i="14" s="1"/>
  <c r="Y88" i="14"/>
  <c r="AC88" i="14" s="1"/>
  <c r="AR88" i="14" s="1"/>
  <c r="AE88" i="14"/>
  <c r="AI88" i="14" s="1"/>
  <c r="AF88" i="14"/>
  <c r="AJ88" i="14" s="1"/>
  <c r="AV88" i="14" s="1"/>
  <c r="AG88" i="14"/>
  <c r="AH88" i="14"/>
  <c r="AL88" i="14" s="1"/>
  <c r="AU88" i="14"/>
  <c r="V89" i="14"/>
  <c r="Z89" i="14" s="1"/>
  <c r="AO89" i="14" s="1"/>
  <c r="W89" i="14"/>
  <c r="AA89" i="14" s="1"/>
  <c r="AP89" i="14" s="1"/>
  <c r="X89" i="14"/>
  <c r="AB89" i="14" s="1"/>
  <c r="AQ89" i="14" s="1"/>
  <c r="Y89" i="14"/>
  <c r="AC89" i="14" s="1"/>
  <c r="AR89" i="14" s="1"/>
  <c r="AE89" i="14"/>
  <c r="AI89" i="14" s="1"/>
  <c r="AU89" i="14" s="1"/>
  <c r="AF89" i="14"/>
  <c r="AJ89" i="14" s="1"/>
  <c r="AV89" i="14" s="1"/>
  <c r="AG89" i="14"/>
  <c r="AH89" i="14"/>
  <c r="AL89" i="14" s="1"/>
  <c r="V93" i="14"/>
  <c r="Z93" i="14" s="1"/>
  <c r="AO93" i="14" s="1"/>
  <c r="W93" i="14"/>
  <c r="AA93" i="14" s="1"/>
  <c r="AP93" i="14" s="1"/>
  <c r="X93" i="14"/>
  <c r="AB93" i="14" s="1"/>
  <c r="AQ93" i="14" s="1"/>
  <c r="Y93" i="14"/>
  <c r="AC93" i="14" s="1"/>
  <c r="AR93" i="14" s="1"/>
  <c r="AE93" i="14"/>
  <c r="AF93" i="14"/>
  <c r="AJ93" i="14" s="1"/>
  <c r="AV93" i="14" s="1"/>
  <c r="AG93" i="14"/>
  <c r="AH93" i="14"/>
  <c r="AL93" i="14" s="1"/>
  <c r="V94" i="14"/>
  <c r="Z94" i="14" s="1"/>
  <c r="AO94" i="14" s="1"/>
  <c r="W94" i="14"/>
  <c r="AA94" i="14" s="1"/>
  <c r="AP94" i="14" s="1"/>
  <c r="X94" i="14"/>
  <c r="AB94" i="14" s="1"/>
  <c r="AQ94" i="14" s="1"/>
  <c r="Y94" i="14"/>
  <c r="AC94" i="14" s="1"/>
  <c r="AR94" i="14" s="1"/>
  <c r="AE94" i="14"/>
  <c r="AF94" i="14"/>
  <c r="AG94" i="14"/>
  <c r="AH94" i="14"/>
  <c r="AL94" i="14" s="1"/>
  <c r="V95" i="14"/>
  <c r="W95" i="14"/>
  <c r="AA95" i="14" s="1"/>
  <c r="AP95" i="14" s="1"/>
  <c r="X95" i="14"/>
  <c r="AB95" i="14" s="1"/>
  <c r="AQ95" i="14" s="1"/>
  <c r="Y95" i="14"/>
  <c r="AC95" i="14" s="1"/>
  <c r="AR95" i="14" s="1"/>
  <c r="Z95" i="14"/>
  <c r="AO95" i="14" s="1"/>
  <c r="AE95" i="14"/>
  <c r="AI95" i="14" s="1"/>
  <c r="AU95" i="14" s="1"/>
  <c r="AF95" i="14"/>
  <c r="AJ95" i="14" s="1"/>
  <c r="AV95" i="14" s="1"/>
  <c r="AG95" i="14"/>
  <c r="AH95" i="14"/>
  <c r="AL95" i="14" s="1"/>
  <c r="V96" i="14"/>
  <c r="Z96" i="14" s="1"/>
  <c r="AO96" i="14" s="1"/>
  <c r="W96" i="14"/>
  <c r="AA96" i="14" s="1"/>
  <c r="AP96" i="14" s="1"/>
  <c r="X96" i="14"/>
  <c r="AB96" i="14" s="1"/>
  <c r="AQ96" i="14" s="1"/>
  <c r="Y96" i="14"/>
  <c r="AC96" i="14" s="1"/>
  <c r="AR96" i="14" s="1"/>
  <c r="AE96" i="14"/>
  <c r="AI96" i="14" s="1"/>
  <c r="AU96" i="14" s="1"/>
  <c r="AF96" i="14"/>
  <c r="AJ96" i="14" s="1"/>
  <c r="AV96" i="14" s="1"/>
  <c r="AG96" i="14"/>
  <c r="AH96" i="14"/>
  <c r="AL96" i="14" s="1"/>
  <c r="V97" i="14"/>
  <c r="Z97" i="14" s="1"/>
  <c r="AO97" i="14" s="1"/>
  <c r="W97" i="14"/>
  <c r="AA97" i="14" s="1"/>
  <c r="AP97" i="14" s="1"/>
  <c r="X97" i="14"/>
  <c r="AB97" i="14" s="1"/>
  <c r="AQ97" i="14" s="1"/>
  <c r="Y97" i="14"/>
  <c r="AC97" i="14" s="1"/>
  <c r="AR97" i="14" s="1"/>
  <c r="AE97" i="14"/>
  <c r="AF97" i="14"/>
  <c r="AG97" i="14"/>
  <c r="AH97" i="14"/>
  <c r="AL97" i="14" s="1"/>
  <c r="V98" i="14"/>
  <c r="Z98" i="14" s="1"/>
  <c r="AO98" i="14" s="1"/>
  <c r="W98" i="14"/>
  <c r="AA98" i="14" s="1"/>
  <c r="AP98" i="14" s="1"/>
  <c r="X98" i="14"/>
  <c r="AB98" i="14" s="1"/>
  <c r="AQ98" i="14" s="1"/>
  <c r="Y98" i="14"/>
  <c r="AC98" i="14" s="1"/>
  <c r="AR98" i="14" s="1"/>
  <c r="AE98" i="14"/>
  <c r="AF98" i="14"/>
  <c r="AG98" i="14"/>
  <c r="AH98" i="14"/>
  <c r="AL98" i="14" s="1"/>
  <c r="V102" i="14"/>
  <c r="Z102" i="14" s="1"/>
  <c r="AO102" i="14" s="1"/>
  <c r="W102" i="14"/>
  <c r="AA102" i="14" s="1"/>
  <c r="AP102" i="14" s="1"/>
  <c r="X102" i="14"/>
  <c r="AB102" i="14" s="1"/>
  <c r="AQ102" i="14" s="1"/>
  <c r="Y102" i="14"/>
  <c r="AC102" i="14" s="1"/>
  <c r="AR102" i="14" s="1"/>
  <c r="AE102" i="14"/>
  <c r="AI102" i="14" s="1"/>
  <c r="AU102" i="14" s="1"/>
  <c r="AF102" i="14"/>
  <c r="AJ102" i="14" s="1"/>
  <c r="AV102" i="14" s="1"/>
  <c r="AG102" i="14"/>
  <c r="AH102" i="14"/>
  <c r="AL102" i="14" s="1"/>
  <c r="V103" i="14"/>
  <c r="Z103" i="14" s="1"/>
  <c r="AO103" i="14" s="1"/>
  <c r="W103" i="14"/>
  <c r="AA103" i="14" s="1"/>
  <c r="AP103" i="14" s="1"/>
  <c r="X103" i="14"/>
  <c r="AB103" i="14" s="1"/>
  <c r="AQ103" i="14" s="1"/>
  <c r="Y103" i="14"/>
  <c r="AC103" i="14" s="1"/>
  <c r="AR103" i="14" s="1"/>
  <c r="AE103" i="14"/>
  <c r="AF103" i="14"/>
  <c r="AJ103" i="14" s="1"/>
  <c r="AV103" i="14" s="1"/>
  <c r="AG103" i="14"/>
  <c r="AH103" i="14"/>
  <c r="AL103" i="14" s="1"/>
  <c r="V104" i="14"/>
  <c r="Z104" i="14" s="1"/>
  <c r="AO104" i="14" s="1"/>
  <c r="W104" i="14"/>
  <c r="AA104" i="14" s="1"/>
  <c r="AP104" i="14" s="1"/>
  <c r="X104" i="14"/>
  <c r="AB104" i="14" s="1"/>
  <c r="AQ104" i="14" s="1"/>
  <c r="Y104" i="14"/>
  <c r="AC104" i="14" s="1"/>
  <c r="AR104" i="14" s="1"/>
  <c r="AE104" i="14"/>
  <c r="AI104" i="14" s="1"/>
  <c r="AU104" i="14" s="1"/>
  <c r="AF104" i="14"/>
  <c r="AJ104" i="14" s="1"/>
  <c r="AV104" i="14" s="1"/>
  <c r="AG104" i="14"/>
  <c r="AH104" i="14"/>
  <c r="AL104" i="14" s="1"/>
  <c r="V105" i="14"/>
  <c r="Z105" i="14" s="1"/>
  <c r="AO105" i="14" s="1"/>
  <c r="W105" i="14"/>
  <c r="AA105" i="14" s="1"/>
  <c r="AP105" i="14" s="1"/>
  <c r="X105" i="14"/>
  <c r="AB105" i="14" s="1"/>
  <c r="AQ105" i="14" s="1"/>
  <c r="Y105" i="14"/>
  <c r="AC105" i="14" s="1"/>
  <c r="AR105" i="14" s="1"/>
  <c r="AE105" i="14"/>
  <c r="AF105" i="14"/>
  <c r="AJ105" i="14" s="1"/>
  <c r="AV105" i="14" s="1"/>
  <c r="AG105" i="14"/>
  <c r="AH105" i="14"/>
  <c r="AL105" i="14" s="1"/>
  <c r="V106" i="14"/>
  <c r="Z106" i="14" s="1"/>
  <c r="AO106" i="14" s="1"/>
  <c r="W106" i="14"/>
  <c r="AA106" i="14" s="1"/>
  <c r="AP106" i="14" s="1"/>
  <c r="X106" i="14"/>
  <c r="AB106" i="14" s="1"/>
  <c r="AQ106" i="14" s="1"/>
  <c r="Y106" i="14"/>
  <c r="AC106" i="14" s="1"/>
  <c r="AR106" i="14" s="1"/>
  <c r="AE106" i="14"/>
  <c r="AF106" i="14"/>
  <c r="AG106" i="14"/>
  <c r="AH106" i="14"/>
  <c r="AL106" i="14" s="1"/>
  <c r="V107" i="14"/>
  <c r="Z107" i="14" s="1"/>
  <c r="AO107" i="14" s="1"/>
  <c r="W107" i="14"/>
  <c r="AA107" i="14" s="1"/>
  <c r="AP107" i="14" s="1"/>
  <c r="X107" i="14"/>
  <c r="AB107" i="14" s="1"/>
  <c r="AQ107" i="14" s="1"/>
  <c r="Y107" i="14"/>
  <c r="AC107" i="14" s="1"/>
  <c r="AR107" i="14" s="1"/>
  <c r="AE107" i="14"/>
  <c r="AI107" i="14" s="1"/>
  <c r="AU107" i="14" s="1"/>
  <c r="AF107" i="14"/>
  <c r="AG107" i="14"/>
  <c r="AH107" i="14"/>
  <c r="AL107" i="14" s="1"/>
  <c r="V111" i="14"/>
  <c r="Z111" i="14" s="1"/>
  <c r="AO111" i="14" s="1"/>
  <c r="W111" i="14"/>
  <c r="AA111" i="14" s="1"/>
  <c r="AP111" i="14" s="1"/>
  <c r="X111" i="14"/>
  <c r="AB111" i="14" s="1"/>
  <c r="AQ111" i="14" s="1"/>
  <c r="Y111" i="14"/>
  <c r="AC111" i="14" s="1"/>
  <c r="AR111" i="14" s="1"/>
  <c r="AE111" i="14"/>
  <c r="AI111" i="14" s="1"/>
  <c r="AF111" i="14"/>
  <c r="AJ111" i="14" s="1"/>
  <c r="AV111" i="14" s="1"/>
  <c r="AG111" i="14"/>
  <c r="AH111" i="14"/>
  <c r="AL111" i="14" s="1"/>
  <c r="AU111" i="14"/>
  <c r="V112" i="14"/>
  <c r="Z112" i="14" s="1"/>
  <c r="AO112" i="14" s="1"/>
  <c r="W112" i="14"/>
  <c r="AA112" i="14" s="1"/>
  <c r="AP112" i="14" s="1"/>
  <c r="X112" i="14"/>
  <c r="AB112" i="14" s="1"/>
  <c r="AQ112" i="14" s="1"/>
  <c r="Y112" i="14"/>
  <c r="AC112" i="14" s="1"/>
  <c r="AR112" i="14" s="1"/>
  <c r="AE112" i="14"/>
  <c r="AF112" i="14"/>
  <c r="AJ112" i="14" s="1"/>
  <c r="AV112" i="14" s="1"/>
  <c r="AG112" i="14"/>
  <c r="AH112" i="14"/>
  <c r="AL112" i="14" s="1"/>
  <c r="V113" i="14"/>
  <c r="Z113" i="14" s="1"/>
  <c r="AO113" i="14" s="1"/>
  <c r="W113" i="14"/>
  <c r="AA113" i="14" s="1"/>
  <c r="AP113" i="14" s="1"/>
  <c r="X113" i="14"/>
  <c r="AB113" i="14" s="1"/>
  <c r="AQ113" i="14" s="1"/>
  <c r="Y113" i="14"/>
  <c r="AC113" i="14" s="1"/>
  <c r="AR113" i="14" s="1"/>
  <c r="AE113" i="14"/>
  <c r="AF113" i="14"/>
  <c r="AG113" i="14"/>
  <c r="AH113" i="14"/>
  <c r="AL113" i="14" s="1"/>
  <c r="V114" i="14"/>
  <c r="Z114" i="14" s="1"/>
  <c r="AO114" i="14" s="1"/>
  <c r="W114" i="14"/>
  <c r="AA114" i="14" s="1"/>
  <c r="AP114" i="14" s="1"/>
  <c r="X114" i="14"/>
  <c r="AB114" i="14" s="1"/>
  <c r="AQ114" i="14" s="1"/>
  <c r="Y114" i="14"/>
  <c r="AC114" i="14" s="1"/>
  <c r="AR114" i="14" s="1"/>
  <c r="AE114" i="14"/>
  <c r="AI114" i="14" s="1"/>
  <c r="AU114" i="14" s="1"/>
  <c r="AF114" i="14"/>
  <c r="AG114" i="14"/>
  <c r="AH114" i="14"/>
  <c r="AL114" i="14" s="1"/>
  <c r="V115" i="14"/>
  <c r="Z115" i="14" s="1"/>
  <c r="AO115" i="14" s="1"/>
  <c r="W115" i="14"/>
  <c r="AA115" i="14" s="1"/>
  <c r="AP115" i="14" s="1"/>
  <c r="X115" i="14"/>
  <c r="AB115" i="14" s="1"/>
  <c r="AQ115" i="14" s="1"/>
  <c r="Y115" i="14"/>
  <c r="AC115" i="14" s="1"/>
  <c r="AR115" i="14" s="1"/>
  <c r="AE115" i="14"/>
  <c r="AI115" i="14" s="1"/>
  <c r="AU115" i="14" s="1"/>
  <c r="AF115" i="14"/>
  <c r="AJ115" i="14" s="1"/>
  <c r="AV115" i="14" s="1"/>
  <c r="AG115" i="14"/>
  <c r="AH115" i="14"/>
  <c r="AL115" i="14" s="1"/>
  <c r="V116" i="14"/>
  <c r="Z116" i="14" s="1"/>
  <c r="AO116" i="14" s="1"/>
  <c r="W116" i="14"/>
  <c r="AA116" i="14" s="1"/>
  <c r="AP116" i="14" s="1"/>
  <c r="X116" i="14"/>
  <c r="AB116" i="14" s="1"/>
  <c r="AQ116" i="14" s="1"/>
  <c r="Y116" i="14"/>
  <c r="AC116" i="14" s="1"/>
  <c r="AR116" i="14" s="1"/>
  <c r="AE116" i="14"/>
  <c r="AF116" i="14"/>
  <c r="AJ116" i="14" s="1"/>
  <c r="AV116" i="14" s="1"/>
  <c r="AG116" i="14"/>
  <c r="AH116" i="14"/>
  <c r="AL116" i="14" s="1"/>
  <c r="V120" i="14"/>
  <c r="Z120" i="14" s="1"/>
  <c r="AO120" i="14" s="1"/>
  <c r="W120" i="14"/>
  <c r="AA120" i="14" s="1"/>
  <c r="AP120" i="14" s="1"/>
  <c r="X120" i="14"/>
  <c r="AB120" i="14" s="1"/>
  <c r="AQ120" i="14" s="1"/>
  <c r="Y120" i="14"/>
  <c r="AC120" i="14" s="1"/>
  <c r="AR120" i="14" s="1"/>
  <c r="AE120" i="14"/>
  <c r="AF120" i="14"/>
  <c r="AG120" i="14"/>
  <c r="AH120" i="14"/>
  <c r="AL120" i="14" s="1"/>
  <c r="V121" i="14"/>
  <c r="Z121" i="14" s="1"/>
  <c r="AO121" i="14" s="1"/>
  <c r="W121" i="14"/>
  <c r="AA121" i="14" s="1"/>
  <c r="AP121" i="14" s="1"/>
  <c r="X121" i="14"/>
  <c r="AB121" i="14" s="1"/>
  <c r="AQ121" i="14" s="1"/>
  <c r="Y121" i="14"/>
  <c r="AC121" i="14" s="1"/>
  <c r="AR121" i="14" s="1"/>
  <c r="AE121" i="14"/>
  <c r="AF121" i="14"/>
  <c r="AG121" i="14"/>
  <c r="AH121" i="14"/>
  <c r="AL121" i="14" s="1"/>
  <c r="V122" i="14"/>
  <c r="Z122" i="14" s="1"/>
  <c r="AO122" i="14" s="1"/>
  <c r="W122" i="14"/>
  <c r="AA122" i="14" s="1"/>
  <c r="AP122" i="14" s="1"/>
  <c r="X122" i="14"/>
  <c r="AB122" i="14" s="1"/>
  <c r="AQ122" i="14" s="1"/>
  <c r="Y122" i="14"/>
  <c r="AC122" i="14" s="1"/>
  <c r="AR122" i="14" s="1"/>
  <c r="AE122" i="14"/>
  <c r="AI122" i="14" s="1"/>
  <c r="AU122" i="14" s="1"/>
  <c r="AF122" i="14"/>
  <c r="AJ122" i="14" s="1"/>
  <c r="AV122" i="14" s="1"/>
  <c r="AG122" i="14"/>
  <c r="AH122" i="14"/>
  <c r="AL122" i="14" s="1"/>
  <c r="V123" i="14"/>
  <c r="Z123" i="14" s="1"/>
  <c r="AO123" i="14" s="1"/>
  <c r="W123" i="14"/>
  <c r="AA123" i="14" s="1"/>
  <c r="AP123" i="14" s="1"/>
  <c r="X123" i="14"/>
  <c r="AB123" i="14" s="1"/>
  <c r="AQ123" i="14" s="1"/>
  <c r="Y123" i="14"/>
  <c r="AC123" i="14" s="1"/>
  <c r="AR123" i="14" s="1"/>
  <c r="AE123" i="14"/>
  <c r="AI123" i="14" s="1"/>
  <c r="AU123" i="14" s="1"/>
  <c r="AF123" i="14"/>
  <c r="AJ123" i="14" s="1"/>
  <c r="AV123" i="14" s="1"/>
  <c r="AG123" i="14"/>
  <c r="AH123" i="14"/>
  <c r="AL123" i="14" s="1"/>
  <c r="V124" i="14"/>
  <c r="Z124" i="14" s="1"/>
  <c r="AO124" i="14" s="1"/>
  <c r="W124" i="14"/>
  <c r="AA124" i="14" s="1"/>
  <c r="AP124" i="14" s="1"/>
  <c r="X124" i="14"/>
  <c r="AB124" i="14" s="1"/>
  <c r="AQ124" i="14" s="1"/>
  <c r="Y124" i="14"/>
  <c r="AC124" i="14" s="1"/>
  <c r="AR124" i="14" s="1"/>
  <c r="AE124" i="14"/>
  <c r="AI124" i="14" s="1"/>
  <c r="AF124" i="14"/>
  <c r="AJ124" i="14" s="1"/>
  <c r="AV124" i="14" s="1"/>
  <c r="AG124" i="14"/>
  <c r="AH124" i="14"/>
  <c r="AL124" i="14" s="1"/>
  <c r="AU124" i="14"/>
  <c r="V125" i="14"/>
  <c r="Z125" i="14" s="1"/>
  <c r="AO125" i="14" s="1"/>
  <c r="W125" i="14"/>
  <c r="AA125" i="14" s="1"/>
  <c r="AP125" i="14" s="1"/>
  <c r="X125" i="14"/>
  <c r="AB125" i="14" s="1"/>
  <c r="AQ125" i="14" s="1"/>
  <c r="Y125" i="14"/>
  <c r="AC125" i="14" s="1"/>
  <c r="AR125" i="14" s="1"/>
  <c r="AE125" i="14"/>
  <c r="AF125" i="14"/>
  <c r="AJ125" i="14" s="1"/>
  <c r="AV125" i="14" s="1"/>
  <c r="AG125" i="14"/>
  <c r="AH125" i="14"/>
  <c r="AL125" i="14" s="1"/>
  <c r="V129" i="14"/>
  <c r="Z129" i="14" s="1"/>
  <c r="AO129" i="14" s="1"/>
  <c r="W129" i="14"/>
  <c r="AA129" i="14" s="1"/>
  <c r="X129" i="14"/>
  <c r="AB129" i="14" s="1"/>
  <c r="AQ129" i="14" s="1"/>
  <c r="Y129" i="14"/>
  <c r="AC129" i="14" s="1"/>
  <c r="AR129" i="14" s="1"/>
  <c r="V130" i="14"/>
  <c r="Z130" i="14" s="1"/>
  <c r="AO130" i="14" s="1"/>
  <c r="W130" i="14"/>
  <c r="AA130" i="14" s="1"/>
  <c r="X130" i="14"/>
  <c r="AB130" i="14" s="1"/>
  <c r="AQ130" i="14" s="1"/>
  <c r="Y130" i="14"/>
  <c r="AC130" i="14" s="1"/>
  <c r="AR130" i="14" s="1"/>
  <c r="V131" i="14"/>
  <c r="Z131" i="14" s="1"/>
  <c r="AO131" i="14" s="1"/>
  <c r="W131" i="14"/>
  <c r="AA131" i="14" s="1"/>
  <c r="X131" i="14"/>
  <c r="AB131" i="14" s="1"/>
  <c r="AQ131" i="14" s="1"/>
  <c r="Y131" i="14"/>
  <c r="AC131" i="14"/>
  <c r="AR131" i="14" s="1"/>
  <c r="V132" i="14"/>
  <c r="Z132" i="14" s="1"/>
  <c r="AO132" i="14" s="1"/>
  <c r="W132" i="14"/>
  <c r="AA132" i="14" s="1"/>
  <c r="X132" i="14"/>
  <c r="AB132" i="14" s="1"/>
  <c r="AQ132" i="14" s="1"/>
  <c r="Y132" i="14"/>
  <c r="AC132" i="14" s="1"/>
  <c r="AR132" i="14" s="1"/>
  <c r="V133" i="14"/>
  <c r="Z133" i="14" s="1"/>
  <c r="AO133" i="14" s="1"/>
  <c r="W133" i="14"/>
  <c r="AA133" i="14" s="1"/>
  <c r="X133" i="14"/>
  <c r="AB133" i="14" s="1"/>
  <c r="AQ133" i="14" s="1"/>
  <c r="Y133" i="14"/>
  <c r="AC133" i="14" s="1"/>
  <c r="AR133" i="14" s="1"/>
  <c r="V134" i="14"/>
  <c r="Z134" i="14" s="1"/>
  <c r="AO134" i="14" s="1"/>
  <c r="W134" i="14"/>
  <c r="AA134" i="14" s="1"/>
  <c r="X134" i="14"/>
  <c r="AB134" i="14" s="1"/>
  <c r="AQ134" i="14" s="1"/>
  <c r="Y134" i="14"/>
  <c r="AC134" i="14" s="1"/>
  <c r="AR134" i="14" s="1"/>
  <c r="V138" i="14"/>
  <c r="Z138" i="14" s="1"/>
  <c r="AO138" i="14" s="1"/>
  <c r="W138" i="14"/>
  <c r="AA138" i="14" s="1"/>
  <c r="X138" i="14"/>
  <c r="AB138" i="14" s="1"/>
  <c r="AQ138" i="14" s="1"/>
  <c r="Y138" i="14"/>
  <c r="AC138" i="14" s="1"/>
  <c r="AR138" i="14" s="1"/>
  <c r="V139" i="14"/>
  <c r="Z139" i="14" s="1"/>
  <c r="AO139" i="14" s="1"/>
  <c r="W139" i="14"/>
  <c r="AA139" i="14" s="1"/>
  <c r="X139" i="14"/>
  <c r="AB139" i="14" s="1"/>
  <c r="AQ139" i="14" s="1"/>
  <c r="Y139" i="14"/>
  <c r="AC139" i="14" s="1"/>
  <c r="AR139" i="14" s="1"/>
  <c r="V140" i="14"/>
  <c r="Z140" i="14" s="1"/>
  <c r="AO140" i="14" s="1"/>
  <c r="W140" i="14"/>
  <c r="AA140" i="14" s="1"/>
  <c r="X140" i="14"/>
  <c r="AB140" i="14" s="1"/>
  <c r="AQ140" i="14" s="1"/>
  <c r="Y140" i="14"/>
  <c r="AC140" i="14" s="1"/>
  <c r="AR140" i="14" s="1"/>
  <c r="V141" i="14"/>
  <c r="Z141" i="14" s="1"/>
  <c r="AO141" i="14" s="1"/>
  <c r="W141" i="14"/>
  <c r="AA141" i="14" s="1"/>
  <c r="X141" i="14"/>
  <c r="AB141" i="14" s="1"/>
  <c r="AQ141" i="14" s="1"/>
  <c r="Y141" i="14"/>
  <c r="AC141" i="14" s="1"/>
  <c r="AR141" i="14" s="1"/>
  <c r="V142" i="14"/>
  <c r="Z142" i="14" s="1"/>
  <c r="AO142" i="14" s="1"/>
  <c r="W142" i="14"/>
  <c r="AA142" i="14" s="1"/>
  <c r="X142" i="14"/>
  <c r="AB142" i="14" s="1"/>
  <c r="AQ142" i="14" s="1"/>
  <c r="Y142" i="14"/>
  <c r="AC142" i="14" s="1"/>
  <c r="AR142" i="14" s="1"/>
  <c r="V143" i="14"/>
  <c r="Z143" i="14" s="1"/>
  <c r="AO143" i="14" s="1"/>
  <c r="W143" i="14"/>
  <c r="AA143" i="14" s="1"/>
  <c r="X143" i="14"/>
  <c r="AB143" i="14" s="1"/>
  <c r="AQ143" i="14" s="1"/>
  <c r="Y143" i="14"/>
  <c r="AC143" i="14"/>
  <c r="AR143" i="14" s="1"/>
  <c r="V147" i="14"/>
  <c r="Z147" i="14" s="1"/>
  <c r="AO147" i="14" s="1"/>
  <c r="W147" i="14"/>
  <c r="AA147" i="14" s="1"/>
  <c r="X147" i="14"/>
  <c r="AB147" i="14" s="1"/>
  <c r="AQ147" i="14" s="1"/>
  <c r="Y147" i="14"/>
  <c r="AC147" i="14" s="1"/>
  <c r="AR147" i="14" s="1"/>
  <c r="V148" i="14"/>
  <c r="Z148" i="14" s="1"/>
  <c r="AO148" i="14" s="1"/>
  <c r="W148" i="14"/>
  <c r="AA148" i="14" s="1"/>
  <c r="X148" i="14"/>
  <c r="AB148" i="14" s="1"/>
  <c r="AQ148" i="14" s="1"/>
  <c r="Y148" i="14"/>
  <c r="AC148" i="14" s="1"/>
  <c r="AR148" i="14" s="1"/>
  <c r="V149" i="14"/>
  <c r="Z149" i="14" s="1"/>
  <c r="AO149" i="14" s="1"/>
  <c r="W149" i="14"/>
  <c r="AA149" i="14" s="1"/>
  <c r="X149" i="14"/>
  <c r="AB149" i="14" s="1"/>
  <c r="AQ149" i="14" s="1"/>
  <c r="Y149" i="14"/>
  <c r="AC149" i="14" s="1"/>
  <c r="AR149" i="14" s="1"/>
  <c r="V150" i="14"/>
  <c r="Z150" i="14" s="1"/>
  <c r="AO150" i="14" s="1"/>
  <c r="W150" i="14"/>
  <c r="X150" i="14"/>
  <c r="AB150" i="14" s="1"/>
  <c r="AQ150" i="14" s="1"/>
  <c r="Y150" i="14"/>
  <c r="AC150" i="14" s="1"/>
  <c r="AR150" i="14" s="1"/>
  <c r="AA150" i="14"/>
  <c r="V151" i="14"/>
  <c r="Z151" i="14" s="1"/>
  <c r="AO151" i="14" s="1"/>
  <c r="W151" i="14"/>
  <c r="AA151" i="14" s="1"/>
  <c r="X151" i="14"/>
  <c r="AB151" i="14" s="1"/>
  <c r="AQ151" i="14" s="1"/>
  <c r="Y151" i="14"/>
  <c r="AC151" i="14" s="1"/>
  <c r="AR151" i="14" s="1"/>
  <c r="V152" i="14"/>
  <c r="Z152" i="14" s="1"/>
  <c r="AO152" i="14" s="1"/>
  <c r="W152" i="14"/>
  <c r="AA152" i="14" s="1"/>
  <c r="X152" i="14"/>
  <c r="AB152" i="14" s="1"/>
  <c r="AQ152" i="14" s="1"/>
  <c r="Y152" i="14"/>
  <c r="AC152" i="14" s="1"/>
  <c r="AR152" i="14" s="1"/>
  <c r="V156" i="14"/>
  <c r="Z156" i="14" s="1"/>
  <c r="AO156" i="14" s="1"/>
  <c r="W156" i="14"/>
  <c r="AA156" i="14" s="1"/>
  <c r="AP156" i="14" s="1"/>
  <c r="X156" i="14"/>
  <c r="AB156" i="14" s="1"/>
  <c r="AQ156" i="14" s="1"/>
  <c r="Y156" i="14"/>
  <c r="AC156" i="14" s="1"/>
  <c r="AR156" i="14" s="1"/>
  <c r="AE156" i="14"/>
  <c r="AF156" i="14"/>
  <c r="AG156" i="14"/>
  <c r="AH156" i="14"/>
  <c r="AL156" i="14" s="1"/>
  <c r="V157" i="14"/>
  <c r="Z157" i="14" s="1"/>
  <c r="AO157" i="14" s="1"/>
  <c r="W157" i="14"/>
  <c r="AA157" i="14" s="1"/>
  <c r="AP157" i="14" s="1"/>
  <c r="X157" i="14"/>
  <c r="AB157" i="14" s="1"/>
  <c r="AQ157" i="14" s="1"/>
  <c r="Y157" i="14"/>
  <c r="AC157" i="14" s="1"/>
  <c r="AR157" i="14" s="1"/>
  <c r="AE157" i="14"/>
  <c r="AF157" i="14"/>
  <c r="AG157" i="14"/>
  <c r="AH157" i="14"/>
  <c r="AL157" i="14" s="1"/>
  <c r="V158" i="14"/>
  <c r="Z158" i="14" s="1"/>
  <c r="AO158" i="14" s="1"/>
  <c r="W158" i="14"/>
  <c r="AA158" i="14" s="1"/>
  <c r="AP158" i="14" s="1"/>
  <c r="X158" i="14"/>
  <c r="AB158" i="14" s="1"/>
  <c r="AQ158" i="14" s="1"/>
  <c r="Y158" i="14"/>
  <c r="AC158" i="14" s="1"/>
  <c r="AR158" i="14" s="1"/>
  <c r="AE158" i="14"/>
  <c r="AI158" i="14" s="1"/>
  <c r="AU158" i="14" s="1"/>
  <c r="AF158" i="14"/>
  <c r="AJ158" i="14" s="1"/>
  <c r="AV158" i="14" s="1"/>
  <c r="AG158" i="14"/>
  <c r="AH158" i="14"/>
  <c r="AL158" i="14" s="1"/>
  <c r="V159" i="14"/>
  <c r="Z159" i="14" s="1"/>
  <c r="AO159" i="14" s="1"/>
  <c r="W159" i="14"/>
  <c r="AA159" i="14" s="1"/>
  <c r="AP159" i="14" s="1"/>
  <c r="X159" i="14"/>
  <c r="AB159" i="14" s="1"/>
  <c r="AQ159" i="14" s="1"/>
  <c r="Y159" i="14"/>
  <c r="AC159" i="14" s="1"/>
  <c r="AR159" i="14" s="1"/>
  <c r="AE159" i="14"/>
  <c r="AI159" i="14" s="1"/>
  <c r="AU159" i="14" s="1"/>
  <c r="AF159" i="14"/>
  <c r="AJ159" i="14" s="1"/>
  <c r="AV159" i="14" s="1"/>
  <c r="AG159" i="14"/>
  <c r="AH159" i="14"/>
  <c r="AL159" i="14" s="1"/>
  <c r="V160" i="14"/>
  <c r="Z160" i="14" s="1"/>
  <c r="AO160" i="14" s="1"/>
  <c r="W160" i="14"/>
  <c r="AA160" i="14" s="1"/>
  <c r="AP160" i="14" s="1"/>
  <c r="X160" i="14"/>
  <c r="AB160" i="14" s="1"/>
  <c r="AQ160" i="14" s="1"/>
  <c r="Y160" i="14"/>
  <c r="AC160" i="14" s="1"/>
  <c r="AR160" i="14" s="1"/>
  <c r="AE160" i="14"/>
  <c r="AI160" i="14" s="1"/>
  <c r="AU160" i="14" s="1"/>
  <c r="AF160" i="14"/>
  <c r="AJ160" i="14" s="1"/>
  <c r="AV160" i="14" s="1"/>
  <c r="AG160" i="14"/>
  <c r="AH160" i="14"/>
  <c r="AL160" i="14" s="1"/>
  <c r="V161" i="14"/>
  <c r="Z161" i="14" s="1"/>
  <c r="AO161" i="14" s="1"/>
  <c r="W161" i="14"/>
  <c r="AA161" i="14" s="1"/>
  <c r="AP161" i="14" s="1"/>
  <c r="X161" i="14"/>
  <c r="AB161" i="14" s="1"/>
  <c r="AQ161" i="14" s="1"/>
  <c r="Y161" i="14"/>
  <c r="AC161" i="14" s="1"/>
  <c r="AR161" i="14" s="1"/>
  <c r="AE161" i="14"/>
  <c r="AI161" i="14" s="1"/>
  <c r="AU161" i="14" s="1"/>
  <c r="AF161" i="14"/>
  <c r="AJ161" i="14" s="1"/>
  <c r="AV161" i="14" s="1"/>
  <c r="AG161" i="14"/>
  <c r="AH161" i="14"/>
  <c r="AL161" i="14" s="1"/>
  <c r="V165" i="14"/>
  <c r="Z165" i="14" s="1"/>
  <c r="AO165" i="14" s="1"/>
  <c r="W165" i="14"/>
  <c r="AA165" i="14" s="1"/>
  <c r="AP165" i="14" s="1"/>
  <c r="X165" i="14"/>
  <c r="AB165" i="14" s="1"/>
  <c r="AQ165" i="14" s="1"/>
  <c r="Y165" i="14"/>
  <c r="AC165" i="14" s="1"/>
  <c r="AR165" i="14" s="1"/>
  <c r="AE165" i="14"/>
  <c r="AF165" i="14"/>
  <c r="AJ165" i="14" s="1"/>
  <c r="AV165" i="14" s="1"/>
  <c r="AG165" i="14"/>
  <c r="AH165" i="14"/>
  <c r="AL165" i="14" s="1"/>
  <c r="V166" i="14"/>
  <c r="Z166" i="14" s="1"/>
  <c r="AO166" i="14" s="1"/>
  <c r="W166" i="14"/>
  <c r="AA166" i="14" s="1"/>
  <c r="AP166" i="14" s="1"/>
  <c r="X166" i="14"/>
  <c r="AB166" i="14" s="1"/>
  <c r="AQ166" i="14" s="1"/>
  <c r="Y166" i="14"/>
  <c r="AC166" i="14" s="1"/>
  <c r="AR166" i="14" s="1"/>
  <c r="AE166" i="14"/>
  <c r="AI166" i="14" s="1"/>
  <c r="AU166" i="14" s="1"/>
  <c r="AF166" i="14"/>
  <c r="AJ166" i="14" s="1"/>
  <c r="AV166" i="14" s="1"/>
  <c r="AG166" i="14"/>
  <c r="AH166" i="14"/>
  <c r="AL166" i="14" s="1"/>
  <c r="V167" i="14"/>
  <c r="Z167" i="14" s="1"/>
  <c r="AO167" i="14" s="1"/>
  <c r="W167" i="14"/>
  <c r="AA167" i="14" s="1"/>
  <c r="AP167" i="14" s="1"/>
  <c r="X167" i="14"/>
  <c r="AB167" i="14" s="1"/>
  <c r="AQ167" i="14" s="1"/>
  <c r="Y167" i="14"/>
  <c r="AC167" i="14" s="1"/>
  <c r="AR167" i="14" s="1"/>
  <c r="AE167" i="14"/>
  <c r="AF167" i="14"/>
  <c r="AJ167" i="14" s="1"/>
  <c r="AV167" i="14" s="1"/>
  <c r="AG167" i="14"/>
  <c r="AH167" i="14"/>
  <c r="AL167" i="14" s="1"/>
  <c r="V168" i="14"/>
  <c r="Z168" i="14" s="1"/>
  <c r="AO168" i="14" s="1"/>
  <c r="W168" i="14"/>
  <c r="AA168" i="14" s="1"/>
  <c r="AP168" i="14" s="1"/>
  <c r="X168" i="14"/>
  <c r="AB168" i="14" s="1"/>
  <c r="AQ168" i="14" s="1"/>
  <c r="Y168" i="14"/>
  <c r="AC168" i="14" s="1"/>
  <c r="AR168" i="14" s="1"/>
  <c r="AE168" i="14"/>
  <c r="AF168" i="14"/>
  <c r="AG168" i="14"/>
  <c r="AH168" i="14"/>
  <c r="AL168" i="14" s="1"/>
  <c r="V169" i="14"/>
  <c r="Z169" i="14" s="1"/>
  <c r="AO169" i="14" s="1"/>
  <c r="W169" i="14"/>
  <c r="AA169" i="14" s="1"/>
  <c r="AP169" i="14" s="1"/>
  <c r="X169" i="14"/>
  <c r="AB169" i="14" s="1"/>
  <c r="AQ169" i="14" s="1"/>
  <c r="Y169" i="14"/>
  <c r="AC169" i="14" s="1"/>
  <c r="AR169" i="14" s="1"/>
  <c r="AE169" i="14"/>
  <c r="AI169" i="14" s="1"/>
  <c r="AU169" i="14" s="1"/>
  <c r="AF169" i="14"/>
  <c r="AJ169" i="14" s="1"/>
  <c r="AV169" i="14" s="1"/>
  <c r="AG169" i="14"/>
  <c r="AH169" i="14"/>
  <c r="AL169" i="14" s="1"/>
  <c r="V170" i="14"/>
  <c r="Z170" i="14" s="1"/>
  <c r="AO170" i="14" s="1"/>
  <c r="W170" i="14"/>
  <c r="AA170" i="14" s="1"/>
  <c r="AP170" i="14" s="1"/>
  <c r="X170" i="14"/>
  <c r="AB170" i="14" s="1"/>
  <c r="AQ170" i="14" s="1"/>
  <c r="Y170" i="14"/>
  <c r="AC170" i="14" s="1"/>
  <c r="AR170" i="14" s="1"/>
  <c r="AE170" i="14"/>
  <c r="AF170" i="14"/>
  <c r="AG170" i="14"/>
  <c r="AH170" i="14"/>
  <c r="AL170" i="14" s="1"/>
  <c r="W12" i="15"/>
  <c r="AA12" i="15" s="1"/>
  <c r="AP12" i="15" s="1"/>
  <c r="X12" i="15"/>
  <c r="AB12" i="15" s="1"/>
  <c r="AQ12" i="15" s="1"/>
  <c r="Y12" i="15"/>
  <c r="AC12" i="15" s="1"/>
  <c r="AR12" i="15" s="1"/>
  <c r="AO12" i="15"/>
  <c r="AE12" i="15"/>
  <c r="AI12" i="15" s="1"/>
  <c r="AU12" i="15" s="1"/>
  <c r="AF12" i="15"/>
  <c r="AG12" i="15"/>
  <c r="AH12" i="15"/>
  <c r="AL12" i="15" s="1"/>
  <c r="V13" i="15"/>
  <c r="Z13" i="15" s="1"/>
  <c r="AO13" i="15" s="1"/>
  <c r="W13" i="15"/>
  <c r="AA13" i="15" s="1"/>
  <c r="AP13" i="15" s="1"/>
  <c r="X13" i="15"/>
  <c r="AB13" i="15" s="1"/>
  <c r="AQ13" i="15" s="1"/>
  <c r="Y13" i="15"/>
  <c r="AC13" i="15" s="1"/>
  <c r="AR13" i="15" s="1"/>
  <c r="AE13" i="15"/>
  <c r="AI13" i="15" s="1"/>
  <c r="AU13" i="15" s="1"/>
  <c r="AF13" i="15"/>
  <c r="AJ13" i="15" s="1"/>
  <c r="AV13" i="15" s="1"/>
  <c r="AG13" i="15"/>
  <c r="AH13" i="15"/>
  <c r="AL13" i="15" s="1"/>
  <c r="V14" i="15"/>
  <c r="Z14" i="15" s="1"/>
  <c r="AO14" i="15" s="1"/>
  <c r="W14" i="15"/>
  <c r="AA14" i="15" s="1"/>
  <c r="AP14" i="15" s="1"/>
  <c r="X14" i="15"/>
  <c r="AB14" i="15" s="1"/>
  <c r="AQ14" i="15" s="1"/>
  <c r="Y14" i="15"/>
  <c r="AC14" i="15" s="1"/>
  <c r="AR14" i="15" s="1"/>
  <c r="AE14" i="15"/>
  <c r="AI14" i="15" s="1"/>
  <c r="AU14" i="15" s="1"/>
  <c r="AF14" i="15"/>
  <c r="AJ14" i="15" s="1"/>
  <c r="AV14" i="15" s="1"/>
  <c r="AG14" i="15"/>
  <c r="AH14" i="15"/>
  <c r="AL14" i="15" s="1"/>
  <c r="V15" i="15"/>
  <c r="Z15" i="15" s="1"/>
  <c r="AO15" i="15" s="1"/>
  <c r="W15" i="15"/>
  <c r="AA15" i="15" s="1"/>
  <c r="AP15" i="15" s="1"/>
  <c r="X15" i="15"/>
  <c r="AB15" i="15" s="1"/>
  <c r="AQ15" i="15" s="1"/>
  <c r="Y15" i="15"/>
  <c r="AC15" i="15" s="1"/>
  <c r="AR15" i="15" s="1"/>
  <c r="AE15" i="15"/>
  <c r="AF15" i="15"/>
  <c r="AG15" i="15"/>
  <c r="AH15" i="15"/>
  <c r="AL15" i="15" s="1"/>
  <c r="V16" i="15"/>
  <c r="Z16" i="15" s="1"/>
  <c r="AO16" i="15" s="1"/>
  <c r="W16" i="15"/>
  <c r="AA16" i="15" s="1"/>
  <c r="AP16" i="15" s="1"/>
  <c r="X16" i="15"/>
  <c r="AB16" i="15" s="1"/>
  <c r="AQ16" i="15" s="1"/>
  <c r="Y16" i="15"/>
  <c r="AC16" i="15" s="1"/>
  <c r="AR16" i="15" s="1"/>
  <c r="AE16" i="15"/>
  <c r="AI16" i="15" s="1"/>
  <c r="AU16" i="15" s="1"/>
  <c r="AF16" i="15"/>
  <c r="AG16" i="15"/>
  <c r="AH16" i="15"/>
  <c r="AL16" i="15" s="1"/>
  <c r="V17" i="15"/>
  <c r="Z17" i="15" s="1"/>
  <c r="AO17" i="15" s="1"/>
  <c r="W17" i="15"/>
  <c r="AA17" i="15" s="1"/>
  <c r="AP17" i="15" s="1"/>
  <c r="X17" i="15"/>
  <c r="AB17" i="15" s="1"/>
  <c r="AQ17" i="15" s="1"/>
  <c r="Y17" i="15"/>
  <c r="AC17" i="15" s="1"/>
  <c r="AR17" i="15" s="1"/>
  <c r="AE17" i="15"/>
  <c r="AI17" i="15" s="1"/>
  <c r="AU17" i="15" s="1"/>
  <c r="AF17" i="15"/>
  <c r="AG17" i="15"/>
  <c r="AH17" i="15"/>
  <c r="AL17" i="15" s="1"/>
  <c r="W21" i="15"/>
  <c r="AA21" i="15" s="1"/>
  <c r="AP21" i="15" s="1"/>
  <c r="X21" i="15"/>
  <c r="AB21" i="15" s="1"/>
  <c r="AQ21" i="15" s="1"/>
  <c r="Y21" i="15"/>
  <c r="AC21" i="15" s="1"/>
  <c r="AR21" i="15" s="1"/>
  <c r="AO21" i="15"/>
  <c r="AE21" i="15"/>
  <c r="AF21" i="15"/>
  <c r="AG21" i="15"/>
  <c r="AH21" i="15"/>
  <c r="AL21" i="15" s="1"/>
  <c r="V22" i="15"/>
  <c r="Z22" i="15" s="1"/>
  <c r="AO22" i="15" s="1"/>
  <c r="W22" i="15"/>
  <c r="AA22" i="15" s="1"/>
  <c r="AP22" i="15" s="1"/>
  <c r="X22" i="15"/>
  <c r="AB22" i="15" s="1"/>
  <c r="AQ22" i="15" s="1"/>
  <c r="Y22" i="15"/>
  <c r="AC22" i="15" s="1"/>
  <c r="AR22" i="15" s="1"/>
  <c r="AE22" i="15"/>
  <c r="AI22" i="15" s="1"/>
  <c r="AF22" i="15"/>
  <c r="AJ22" i="15" s="1"/>
  <c r="AG22" i="15"/>
  <c r="AH22" i="15"/>
  <c r="AL22" i="15" s="1"/>
  <c r="AU22" i="15"/>
  <c r="AV22" i="15"/>
  <c r="V23" i="15"/>
  <c r="Z23" i="15" s="1"/>
  <c r="W23" i="15"/>
  <c r="AA23" i="15" s="1"/>
  <c r="AP23" i="15" s="1"/>
  <c r="X23" i="15"/>
  <c r="AB23" i="15" s="1"/>
  <c r="AQ23" i="15" s="1"/>
  <c r="Y23" i="15"/>
  <c r="AC23" i="15"/>
  <c r="AR23" i="15" s="1"/>
  <c r="AE23" i="15"/>
  <c r="AI23" i="15" s="1"/>
  <c r="AU23" i="15" s="1"/>
  <c r="AF23" i="15"/>
  <c r="AJ23" i="15" s="1"/>
  <c r="AV23" i="15" s="1"/>
  <c r="AG23" i="15"/>
  <c r="AH23" i="15"/>
  <c r="AL23" i="15" s="1"/>
  <c r="AO23" i="15"/>
  <c r="V24" i="15"/>
  <c r="Z24" i="15" s="1"/>
  <c r="AO24" i="15" s="1"/>
  <c r="W24" i="15"/>
  <c r="AA24" i="15" s="1"/>
  <c r="AP24" i="15" s="1"/>
  <c r="X24" i="15"/>
  <c r="AB24" i="15" s="1"/>
  <c r="AQ24" i="15" s="1"/>
  <c r="Y24" i="15"/>
  <c r="AC24" i="15" s="1"/>
  <c r="AR24" i="15" s="1"/>
  <c r="AE24" i="15"/>
  <c r="AF24" i="15"/>
  <c r="AJ24" i="15" s="1"/>
  <c r="AV24" i="15" s="1"/>
  <c r="AG24" i="15"/>
  <c r="AH24" i="15"/>
  <c r="AL24" i="15" s="1"/>
  <c r="V25" i="15"/>
  <c r="Z25" i="15" s="1"/>
  <c r="AO25" i="15" s="1"/>
  <c r="W25" i="15"/>
  <c r="AA25" i="15" s="1"/>
  <c r="AP25" i="15" s="1"/>
  <c r="X25" i="15"/>
  <c r="AB25" i="15" s="1"/>
  <c r="AQ25" i="15" s="1"/>
  <c r="Y25" i="15"/>
  <c r="AC25" i="15" s="1"/>
  <c r="AR25" i="15" s="1"/>
  <c r="AE25" i="15"/>
  <c r="AF25" i="15"/>
  <c r="AG25" i="15"/>
  <c r="AH25" i="15"/>
  <c r="AL25" i="15" s="1"/>
  <c r="V26" i="15"/>
  <c r="Z26" i="15" s="1"/>
  <c r="AO26" i="15" s="1"/>
  <c r="W26" i="15"/>
  <c r="AA26" i="15" s="1"/>
  <c r="AP26" i="15" s="1"/>
  <c r="X26" i="15"/>
  <c r="AB26" i="15" s="1"/>
  <c r="AQ26" i="15" s="1"/>
  <c r="Y26" i="15"/>
  <c r="AC26" i="15" s="1"/>
  <c r="AR26" i="15" s="1"/>
  <c r="AE26" i="15"/>
  <c r="AF26" i="15"/>
  <c r="AJ26" i="15" s="1"/>
  <c r="AV26" i="15" s="1"/>
  <c r="AG26" i="15"/>
  <c r="AH26" i="15"/>
  <c r="AL26" i="15" s="1"/>
  <c r="V30" i="15"/>
  <c r="Z30" i="15" s="1"/>
  <c r="AO30" i="15" s="1"/>
  <c r="W30" i="15"/>
  <c r="AA30" i="15" s="1"/>
  <c r="AP30" i="15" s="1"/>
  <c r="X30" i="15"/>
  <c r="AB30" i="15" s="1"/>
  <c r="AQ30" i="15" s="1"/>
  <c r="Y30" i="15"/>
  <c r="AC30" i="15" s="1"/>
  <c r="AR30" i="15" s="1"/>
  <c r="AE30" i="15"/>
  <c r="AF30" i="15"/>
  <c r="AJ30" i="15" s="1"/>
  <c r="AV30" i="15" s="1"/>
  <c r="AG30" i="15"/>
  <c r="AH30" i="15"/>
  <c r="AL30" i="15" s="1"/>
  <c r="V31" i="15"/>
  <c r="Z31" i="15" s="1"/>
  <c r="AO31" i="15" s="1"/>
  <c r="W31" i="15"/>
  <c r="AA31" i="15" s="1"/>
  <c r="AP31" i="15" s="1"/>
  <c r="X31" i="15"/>
  <c r="AB31" i="15" s="1"/>
  <c r="AQ31" i="15" s="1"/>
  <c r="Y31" i="15"/>
  <c r="AC31" i="15" s="1"/>
  <c r="AR31" i="15" s="1"/>
  <c r="AE31" i="15"/>
  <c r="AF31" i="15"/>
  <c r="AJ31" i="15" s="1"/>
  <c r="AV31" i="15" s="1"/>
  <c r="AG31" i="15"/>
  <c r="AH31" i="15"/>
  <c r="AL31" i="15" s="1"/>
  <c r="V32" i="15"/>
  <c r="Z32" i="15" s="1"/>
  <c r="AO32" i="15" s="1"/>
  <c r="W32" i="15"/>
  <c r="AA32" i="15" s="1"/>
  <c r="AP32" i="15" s="1"/>
  <c r="X32" i="15"/>
  <c r="AB32" i="15" s="1"/>
  <c r="AQ32" i="15" s="1"/>
  <c r="Y32" i="15"/>
  <c r="AC32" i="15" s="1"/>
  <c r="AR32" i="15" s="1"/>
  <c r="AE32" i="15"/>
  <c r="AI32" i="15" s="1"/>
  <c r="AU32" i="15" s="1"/>
  <c r="AF32" i="15"/>
  <c r="AJ32" i="15" s="1"/>
  <c r="AV32" i="15" s="1"/>
  <c r="AG32" i="15"/>
  <c r="AH32" i="15"/>
  <c r="AL32" i="15" s="1"/>
  <c r="V33" i="15"/>
  <c r="Z33" i="15" s="1"/>
  <c r="AO33" i="15" s="1"/>
  <c r="W33" i="15"/>
  <c r="AA33" i="15" s="1"/>
  <c r="AP33" i="15" s="1"/>
  <c r="X33" i="15"/>
  <c r="AB33" i="15" s="1"/>
  <c r="AQ33" i="15" s="1"/>
  <c r="Y33" i="15"/>
  <c r="AC33" i="15" s="1"/>
  <c r="AR33" i="15" s="1"/>
  <c r="AE33" i="15"/>
  <c r="AI33" i="15" s="1"/>
  <c r="AU33" i="15" s="1"/>
  <c r="AF33" i="15"/>
  <c r="AG33" i="15"/>
  <c r="AH33" i="15"/>
  <c r="AL33" i="15" s="1"/>
  <c r="V34" i="15"/>
  <c r="Z34" i="15" s="1"/>
  <c r="AO34" i="15" s="1"/>
  <c r="W34" i="15"/>
  <c r="AA34" i="15" s="1"/>
  <c r="AP34" i="15" s="1"/>
  <c r="X34" i="15"/>
  <c r="AB34" i="15" s="1"/>
  <c r="AQ34" i="15" s="1"/>
  <c r="Y34" i="15"/>
  <c r="AC34" i="15" s="1"/>
  <c r="AR34" i="15" s="1"/>
  <c r="AE34" i="15"/>
  <c r="AF34" i="15"/>
  <c r="AJ34" i="15" s="1"/>
  <c r="AV34" i="15" s="1"/>
  <c r="AG34" i="15"/>
  <c r="AH34" i="15"/>
  <c r="AL34" i="15" s="1"/>
  <c r="V35" i="15"/>
  <c r="Z35" i="15" s="1"/>
  <c r="AO35" i="15" s="1"/>
  <c r="W35" i="15"/>
  <c r="AA35" i="15" s="1"/>
  <c r="AP35" i="15" s="1"/>
  <c r="X35" i="15"/>
  <c r="AB35" i="15" s="1"/>
  <c r="AQ35" i="15" s="1"/>
  <c r="Y35" i="15"/>
  <c r="AC35" i="15"/>
  <c r="AR35" i="15" s="1"/>
  <c r="AE35" i="15"/>
  <c r="AF35" i="15"/>
  <c r="AG35" i="15"/>
  <c r="AH35" i="15"/>
  <c r="AL35" i="15" s="1"/>
  <c r="V39" i="15"/>
  <c r="Z39" i="15" s="1"/>
  <c r="AO39" i="15" s="1"/>
  <c r="W39" i="15"/>
  <c r="AA39" i="15" s="1"/>
  <c r="AP39" i="15" s="1"/>
  <c r="X39" i="15"/>
  <c r="AB39" i="15" s="1"/>
  <c r="AQ39" i="15" s="1"/>
  <c r="Y39" i="15"/>
  <c r="AC39" i="15" s="1"/>
  <c r="AR39" i="15" s="1"/>
  <c r="AE39" i="15"/>
  <c r="AI39" i="15" s="1"/>
  <c r="AU39" i="15" s="1"/>
  <c r="AF39" i="15"/>
  <c r="AJ39" i="15" s="1"/>
  <c r="AV39" i="15" s="1"/>
  <c r="AG39" i="15"/>
  <c r="AH39" i="15"/>
  <c r="AL39" i="15" s="1"/>
  <c r="V40" i="15"/>
  <c r="Z40" i="15" s="1"/>
  <c r="AO40" i="15" s="1"/>
  <c r="W40" i="15"/>
  <c r="AA40" i="15" s="1"/>
  <c r="AP40" i="15" s="1"/>
  <c r="X40" i="15"/>
  <c r="AB40" i="15" s="1"/>
  <c r="AQ40" i="15" s="1"/>
  <c r="Y40" i="15"/>
  <c r="AC40" i="15" s="1"/>
  <c r="AR40" i="15" s="1"/>
  <c r="AE40" i="15"/>
  <c r="AI40" i="15" s="1"/>
  <c r="AU40" i="15" s="1"/>
  <c r="AF40" i="15"/>
  <c r="AJ40" i="15" s="1"/>
  <c r="AV40" i="15" s="1"/>
  <c r="AG40" i="15"/>
  <c r="AH40" i="15"/>
  <c r="AL40" i="15" s="1"/>
  <c r="V41" i="15"/>
  <c r="Z41" i="15" s="1"/>
  <c r="AO41" i="15" s="1"/>
  <c r="W41" i="15"/>
  <c r="AA41" i="15" s="1"/>
  <c r="AP41" i="15" s="1"/>
  <c r="X41" i="15"/>
  <c r="AB41" i="15" s="1"/>
  <c r="AQ41" i="15" s="1"/>
  <c r="Y41" i="15"/>
  <c r="AC41" i="15" s="1"/>
  <c r="AR41" i="15" s="1"/>
  <c r="AE41" i="15"/>
  <c r="AI41" i="15" s="1"/>
  <c r="AU41" i="15" s="1"/>
  <c r="AF41" i="15"/>
  <c r="AJ41" i="15" s="1"/>
  <c r="AV41" i="15" s="1"/>
  <c r="AG41" i="15"/>
  <c r="AH41" i="15"/>
  <c r="AL41" i="15" s="1"/>
  <c r="V42" i="15"/>
  <c r="Z42" i="15" s="1"/>
  <c r="W42" i="15"/>
  <c r="AA42" i="15" s="1"/>
  <c r="AP42" i="15" s="1"/>
  <c r="X42" i="15"/>
  <c r="AB42" i="15" s="1"/>
  <c r="AQ42" i="15" s="1"/>
  <c r="Y42" i="15"/>
  <c r="AC42" i="15" s="1"/>
  <c r="AR42" i="15" s="1"/>
  <c r="AE42" i="15"/>
  <c r="AF42" i="15"/>
  <c r="AJ42" i="15" s="1"/>
  <c r="AV42" i="15" s="1"/>
  <c r="AG42" i="15"/>
  <c r="AH42" i="15"/>
  <c r="AL42" i="15" s="1"/>
  <c r="AO42" i="15"/>
  <c r="V43" i="15"/>
  <c r="Z43" i="15" s="1"/>
  <c r="AO43" i="15" s="1"/>
  <c r="W43" i="15"/>
  <c r="AA43" i="15" s="1"/>
  <c r="AP43" i="15" s="1"/>
  <c r="X43" i="15"/>
  <c r="AB43" i="15" s="1"/>
  <c r="AQ43" i="15" s="1"/>
  <c r="Y43" i="15"/>
  <c r="AC43" i="15" s="1"/>
  <c r="AR43" i="15" s="1"/>
  <c r="AE43" i="15"/>
  <c r="AF43" i="15"/>
  <c r="AG43" i="15"/>
  <c r="AH43" i="15"/>
  <c r="AL43" i="15" s="1"/>
  <c r="V44" i="15"/>
  <c r="Z44" i="15" s="1"/>
  <c r="AO44" i="15" s="1"/>
  <c r="W44" i="15"/>
  <c r="AA44" i="15" s="1"/>
  <c r="AP44" i="15" s="1"/>
  <c r="X44" i="15"/>
  <c r="AB44" i="15" s="1"/>
  <c r="AQ44" i="15" s="1"/>
  <c r="Y44" i="15"/>
  <c r="AC44" i="15" s="1"/>
  <c r="AR44" i="15" s="1"/>
  <c r="AE44" i="15"/>
  <c r="AI44" i="15" s="1"/>
  <c r="AU44" i="15" s="1"/>
  <c r="AF44" i="15"/>
  <c r="AG44" i="15"/>
  <c r="AH44" i="15"/>
  <c r="AL44" i="15" s="1"/>
  <c r="V48" i="15"/>
  <c r="Z48" i="15" s="1"/>
  <c r="AO48" i="15" s="1"/>
  <c r="W48" i="15"/>
  <c r="AA48" i="15" s="1"/>
  <c r="AP48" i="15" s="1"/>
  <c r="X48" i="15"/>
  <c r="AB48" i="15" s="1"/>
  <c r="AQ48" i="15" s="1"/>
  <c r="Y48" i="15"/>
  <c r="AC48" i="15" s="1"/>
  <c r="AR48" i="15" s="1"/>
  <c r="AE48" i="15"/>
  <c r="AF48" i="15"/>
  <c r="AG48" i="15"/>
  <c r="AH48" i="15"/>
  <c r="AL48" i="15" s="1"/>
  <c r="V49" i="15"/>
  <c r="Z49" i="15" s="1"/>
  <c r="AO49" i="15" s="1"/>
  <c r="W49" i="15"/>
  <c r="AA49" i="15" s="1"/>
  <c r="AP49" i="15" s="1"/>
  <c r="X49" i="15"/>
  <c r="AB49" i="15" s="1"/>
  <c r="AQ49" i="15" s="1"/>
  <c r="Y49" i="15"/>
  <c r="AC49" i="15" s="1"/>
  <c r="AR49" i="15" s="1"/>
  <c r="AE49" i="15"/>
  <c r="AF49" i="15"/>
  <c r="AG49" i="15"/>
  <c r="AH49" i="15"/>
  <c r="AL49" i="15" s="1"/>
  <c r="V50" i="15"/>
  <c r="Z50" i="15" s="1"/>
  <c r="AO50" i="15" s="1"/>
  <c r="W50" i="15"/>
  <c r="AA50" i="15" s="1"/>
  <c r="AP50" i="15" s="1"/>
  <c r="X50" i="15"/>
  <c r="AB50" i="15" s="1"/>
  <c r="AQ50" i="15" s="1"/>
  <c r="Y50" i="15"/>
  <c r="AC50" i="15" s="1"/>
  <c r="AR50" i="15" s="1"/>
  <c r="AE50" i="15"/>
  <c r="AI50" i="15" s="1"/>
  <c r="AU50" i="15" s="1"/>
  <c r="AF50" i="15"/>
  <c r="AG50" i="15"/>
  <c r="AH50" i="15"/>
  <c r="AL50" i="15" s="1"/>
  <c r="V51" i="15"/>
  <c r="Z51" i="15" s="1"/>
  <c r="AO51" i="15" s="1"/>
  <c r="W51" i="15"/>
  <c r="AA51" i="15" s="1"/>
  <c r="AP51" i="15" s="1"/>
  <c r="X51" i="15"/>
  <c r="AB51" i="15" s="1"/>
  <c r="AQ51" i="15" s="1"/>
  <c r="Y51" i="15"/>
  <c r="AC51" i="15" s="1"/>
  <c r="AR51" i="15" s="1"/>
  <c r="AE51" i="15"/>
  <c r="AF51" i="15"/>
  <c r="AJ51" i="15" s="1"/>
  <c r="AV51" i="15" s="1"/>
  <c r="AG51" i="15"/>
  <c r="AH51" i="15"/>
  <c r="AL51" i="15" s="1"/>
  <c r="V52" i="15"/>
  <c r="Z52" i="15" s="1"/>
  <c r="AO52" i="15" s="1"/>
  <c r="W52" i="15"/>
  <c r="AA52" i="15" s="1"/>
  <c r="AP52" i="15" s="1"/>
  <c r="X52" i="15"/>
  <c r="AB52" i="15" s="1"/>
  <c r="AQ52" i="15" s="1"/>
  <c r="Y52" i="15"/>
  <c r="AC52" i="15" s="1"/>
  <c r="AR52" i="15" s="1"/>
  <c r="AE52" i="15"/>
  <c r="AF52" i="15"/>
  <c r="AJ52" i="15" s="1"/>
  <c r="AV52" i="15" s="1"/>
  <c r="AG52" i="15"/>
  <c r="AH52" i="15"/>
  <c r="AL52" i="15" s="1"/>
  <c r="V53" i="15"/>
  <c r="Z53" i="15" s="1"/>
  <c r="AO53" i="15" s="1"/>
  <c r="W53" i="15"/>
  <c r="AA53" i="15" s="1"/>
  <c r="AP53" i="15" s="1"/>
  <c r="X53" i="15"/>
  <c r="AB53" i="15" s="1"/>
  <c r="AQ53" i="15" s="1"/>
  <c r="Y53" i="15"/>
  <c r="AC53" i="15" s="1"/>
  <c r="AR53" i="15" s="1"/>
  <c r="AE53" i="15"/>
  <c r="AF53" i="15"/>
  <c r="AG53" i="15"/>
  <c r="AH53" i="15"/>
  <c r="AL53" i="15" s="1"/>
  <c r="V57" i="15"/>
  <c r="Z57" i="15" s="1"/>
  <c r="AO57" i="15" s="1"/>
  <c r="W57" i="15"/>
  <c r="AA57" i="15" s="1"/>
  <c r="AP57" i="15" s="1"/>
  <c r="X57" i="15"/>
  <c r="AB57" i="15" s="1"/>
  <c r="AQ57" i="15" s="1"/>
  <c r="Y57" i="15"/>
  <c r="AC57" i="15" s="1"/>
  <c r="AR57" i="15" s="1"/>
  <c r="AE57" i="15"/>
  <c r="AI57" i="15" s="1"/>
  <c r="AU57" i="15" s="1"/>
  <c r="AF57" i="15"/>
  <c r="AG57" i="15"/>
  <c r="AH57" i="15"/>
  <c r="AL57" i="15" s="1"/>
  <c r="V58" i="15"/>
  <c r="Z58" i="15" s="1"/>
  <c r="AO58" i="15" s="1"/>
  <c r="W58" i="15"/>
  <c r="AA58" i="15" s="1"/>
  <c r="AP58" i="15" s="1"/>
  <c r="X58" i="15"/>
  <c r="AB58" i="15" s="1"/>
  <c r="AQ58" i="15" s="1"/>
  <c r="Y58" i="15"/>
  <c r="AC58" i="15" s="1"/>
  <c r="AR58" i="15" s="1"/>
  <c r="AE58" i="15"/>
  <c r="AI58" i="15" s="1"/>
  <c r="AU58" i="15" s="1"/>
  <c r="AF58" i="15"/>
  <c r="AJ58" i="15" s="1"/>
  <c r="AV58" i="15" s="1"/>
  <c r="AG58" i="15"/>
  <c r="AH58" i="15"/>
  <c r="AL58" i="15" s="1"/>
  <c r="V59" i="15"/>
  <c r="Z59" i="15" s="1"/>
  <c r="AO59" i="15" s="1"/>
  <c r="W59" i="15"/>
  <c r="AA59" i="15" s="1"/>
  <c r="AP59" i="15" s="1"/>
  <c r="X59" i="15"/>
  <c r="AB59" i="15" s="1"/>
  <c r="AQ59" i="15" s="1"/>
  <c r="Y59" i="15"/>
  <c r="AC59" i="15" s="1"/>
  <c r="AR59" i="15" s="1"/>
  <c r="AE59" i="15"/>
  <c r="AI59" i="15" s="1"/>
  <c r="AU59" i="15" s="1"/>
  <c r="AF59" i="15"/>
  <c r="AJ59" i="15" s="1"/>
  <c r="AV59" i="15" s="1"/>
  <c r="AG59" i="15"/>
  <c r="AH59" i="15"/>
  <c r="AL59" i="15" s="1"/>
  <c r="V60" i="15"/>
  <c r="W60" i="15"/>
  <c r="AA60" i="15" s="1"/>
  <c r="AP60" i="15" s="1"/>
  <c r="X60" i="15"/>
  <c r="AB60" i="15" s="1"/>
  <c r="AQ60" i="15" s="1"/>
  <c r="Y60" i="15"/>
  <c r="AC60" i="15" s="1"/>
  <c r="AR60" i="15" s="1"/>
  <c r="Z60" i="15"/>
  <c r="AO60" i="15" s="1"/>
  <c r="AE60" i="15"/>
  <c r="AI60" i="15" s="1"/>
  <c r="AU60" i="15" s="1"/>
  <c r="AF60" i="15"/>
  <c r="AJ60" i="15" s="1"/>
  <c r="AV60" i="15" s="1"/>
  <c r="AG60" i="15"/>
  <c r="AH60" i="15"/>
  <c r="AL60" i="15" s="1"/>
  <c r="V61" i="15"/>
  <c r="Z61" i="15" s="1"/>
  <c r="AO61" i="15" s="1"/>
  <c r="W61" i="15"/>
  <c r="AA61" i="15" s="1"/>
  <c r="AP61" i="15" s="1"/>
  <c r="X61" i="15"/>
  <c r="AB61" i="15" s="1"/>
  <c r="AQ61" i="15" s="1"/>
  <c r="Y61" i="15"/>
  <c r="AC61" i="15" s="1"/>
  <c r="AR61" i="15" s="1"/>
  <c r="AE61" i="15"/>
  <c r="AF61" i="15"/>
  <c r="AJ61" i="15" s="1"/>
  <c r="AV61" i="15" s="1"/>
  <c r="AG61" i="15"/>
  <c r="AH61" i="15"/>
  <c r="AL61" i="15" s="1"/>
  <c r="V62" i="15"/>
  <c r="Z62" i="15" s="1"/>
  <c r="AO62" i="15" s="1"/>
  <c r="W62" i="15"/>
  <c r="AA62" i="15" s="1"/>
  <c r="AP62" i="15" s="1"/>
  <c r="X62" i="15"/>
  <c r="AB62" i="15" s="1"/>
  <c r="AQ62" i="15" s="1"/>
  <c r="Y62" i="15"/>
  <c r="AC62" i="15" s="1"/>
  <c r="AR62" i="15" s="1"/>
  <c r="AE62" i="15"/>
  <c r="AF62" i="15"/>
  <c r="AG62" i="15"/>
  <c r="AH62" i="15"/>
  <c r="AL62" i="15" s="1"/>
  <c r="V66" i="15"/>
  <c r="Z66" i="15" s="1"/>
  <c r="AO66" i="15" s="1"/>
  <c r="W66" i="15"/>
  <c r="AA66" i="15" s="1"/>
  <c r="AP66" i="15" s="1"/>
  <c r="X66" i="15"/>
  <c r="AB66" i="15" s="1"/>
  <c r="AQ66" i="15" s="1"/>
  <c r="Y66" i="15"/>
  <c r="AC66" i="15" s="1"/>
  <c r="AR66" i="15" s="1"/>
  <c r="AE66" i="15"/>
  <c r="AI66" i="15" s="1"/>
  <c r="AU66" i="15" s="1"/>
  <c r="AF66" i="15"/>
  <c r="AJ66" i="15" s="1"/>
  <c r="AV66" i="15" s="1"/>
  <c r="AG66" i="15"/>
  <c r="AH66" i="15"/>
  <c r="AL66" i="15" s="1"/>
  <c r="V67" i="15"/>
  <c r="Z67" i="15" s="1"/>
  <c r="AO67" i="15" s="1"/>
  <c r="W67" i="15"/>
  <c r="AA67" i="15" s="1"/>
  <c r="AP67" i="15" s="1"/>
  <c r="X67" i="15"/>
  <c r="AB67" i="15" s="1"/>
  <c r="AQ67" i="15" s="1"/>
  <c r="Y67" i="15"/>
  <c r="AC67" i="15" s="1"/>
  <c r="AR67" i="15" s="1"/>
  <c r="AE67" i="15"/>
  <c r="AI67" i="15" s="1"/>
  <c r="AU67" i="15" s="1"/>
  <c r="AF67" i="15"/>
  <c r="AG67" i="15"/>
  <c r="AH67" i="15"/>
  <c r="AL67" i="15" s="1"/>
  <c r="V68" i="15"/>
  <c r="Z68" i="15" s="1"/>
  <c r="AO68" i="15" s="1"/>
  <c r="W68" i="15"/>
  <c r="AA68" i="15" s="1"/>
  <c r="AP68" i="15" s="1"/>
  <c r="X68" i="15"/>
  <c r="AB68" i="15" s="1"/>
  <c r="AQ68" i="15" s="1"/>
  <c r="Y68" i="15"/>
  <c r="AC68" i="15" s="1"/>
  <c r="AR68" i="15" s="1"/>
  <c r="AE68" i="15"/>
  <c r="AF68" i="15"/>
  <c r="AJ68" i="15" s="1"/>
  <c r="AV68" i="15" s="1"/>
  <c r="AG68" i="15"/>
  <c r="AH68" i="15"/>
  <c r="AL68" i="15" s="1"/>
  <c r="V69" i="15"/>
  <c r="Z69" i="15" s="1"/>
  <c r="AO69" i="15" s="1"/>
  <c r="W69" i="15"/>
  <c r="AA69" i="15" s="1"/>
  <c r="AP69" i="15" s="1"/>
  <c r="X69" i="15"/>
  <c r="AB69" i="15" s="1"/>
  <c r="AQ69" i="15" s="1"/>
  <c r="Y69" i="15"/>
  <c r="AC69" i="15" s="1"/>
  <c r="AR69" i="15" s="1"/>
  <c r="AE69" i="15"/>
  <c r="AF69" i="15"/>
  <c r="AJ69" i="15" s="1"/>
  <c r="AV69" i="15" s="1"/>
  <c r="AG69" i="15"/>
  <c r="AH69" i="15"/>
  <c r="AL69" i="15" s="1"/>
  <c r="V70" i="15"/>
  <c r="Z70" i="15" s="1"/>
  <c r="AO70" i="15" s="1"/>
  <c r="W70" i="15"/>
  <c r="AA70" i="15" s="1"/>
  <c r="AP70" i="15" s="1"/>
  <c r="X70" i="15"/>
  <c r="AB70" i="15" s="1"/>
  <c r="AQ70" i="15" s="1"/>
  <c r="Y70" i="15"/>
  <c r="AC70" i="15" s="1"/>
  <c r="AR70" i="15" s="1"/>
  <c r="AE70" i="15"/>
  <c r="AI70" i="15" s="1"/>
  <c r="AU70" i="15" s="1"/>
  <c r="AF70" i="15"/>
  <c r="AG70" i="15"/>
  <c r="AH70" i="15"/>
  <c r="AL70" i="15" s="1"/>
  <c r="V71" i="15"/>
  <c r="Z71" i="15" s="1"/>
  <c r="AO71" i="15" s="1"/>
  <c r="W71" i="15"/>
  <c r="AA71" i="15" s="1"/>
  <c r="AP71" i="15" s="1"/>
  <c r="X71" i="15"/>
  <c r="AB71" i="15" s="1"/>
  <c r="AQ71" i="15" s="1"/>
  <c r="Y71" i="15"/>
  <c r="AC71" i="15" s="1"/>
  <c r="AR71" i="15" s="1"/>
  <c r="AE71" i="15"/>
  <c r="AI71" i="15" s="1"/>
  <c r="AU71" i="15" s="1"/>
  <c r="AF71" i="15"/>
  <c r="AG71" i="15"/>
  <c r="AH71" i="15"/>
  <c r="AL71" i="15" s="1"/>
  <c r="V75" i="15"/>
  <c r="Z75" i="15" s="1"/>
  <c r="AO75" i="15" s="1"/>
  <c r="W75" i="15"/>
  <c r="AA75" i="15" s="1"/>
  <c r="AP75" i="15" s="1"/>
  <c r="X75" i="15"/>
  <c r="AB75" i="15" s="1"/>
  <c r="AQ75" i="15" s="1"/>
  <c r="Y75" i="15"/>
  <c r="AC75" i="15" s="1"/>
  <c r="AR75" i="15" s="1"/>
  <c r="AE75" i="15"/>
  <c r="AF75" i="15"/>
  <c r="AJ75" i="15" s="1"/>
  <c r="AV75" i="15" s="1"/>
  <c r="AG75" i="15"/>
  <c r="AH75" i="15"/>
  <c r="AL75" i="15" s="1"/>
  <c r="V76" i="15"/>
  <c r="Z76" i="15" s="1"/>
  <c r="AO76" i="15" s="1"/>
  <c r="W76" i="15"/>
  <c r="AA76" i="15" s="1"/>
  <c r="AP76" i="15" s="1"/>
  <c r="X76" i="15"/>
  <c r="AB76" i="15" s="1"/>
  <c r="AQ76" i="15" s="1"/>
  <c r="Y76" i="15"/>
  <c r="AC76" i="15" s="1"/>
  <c r="AR76" i="15" s="1"/>
  <c r="AE76" i="15"/>
  <c r="AI76" i="15" s="1"/>
  <c r="AU76" i="15" s="1"/>
  <c r="AF76" i="15"/>
  <c r="AG76" i="15"/>
  <c r="AH76" i="15"/>
  <c r="AL76" i="15" s="1"/>
  <c r="V77" i="15"/>
  <c r="Z77" i="15" s="1"/>
  <c r="AO77" i="15" s="1"/>
  <c r="W77" i="15"/>
  <c r="AA77" i="15" s="1"/>
  <c r="AP77" i="15" s="1"/>
  <c r="X77" i="15"/>
  <c r="AB77" i="15" s="1"/>
  <c r="AQ77" i="15" s="1"/>
  <c r="Y77" i="15"/>
  <c r="AC77" i="15" s="1"/>
  <c r="AR77" i="15" s="1"/>
  <c r="AE77" i="15"/>
  <c r="AI77" i="15" s="1"/>
  <c r="AU77" i="15" s="1"/>
  <c r="AF77" i="15"/>
  <c r="AG77" i="15"/>
  <c r="AH77" i="15"/>
  <c r="AL77" i="15" s="1"/>
  <c r="V78" i="15"/>
  <c r="Z78" i="15" s="1"/>
  <c r="AO78" i="15" s="1"/>
  <c r="W78" i="15"/>
  <c r="AA78" i="15" s="1"/>
  <c r="AP78" i="15" s="1"/>
  <c r="X78" i="15"/>
  <c r="AB78" i="15" s="1"/>
  <c r="AQ78" i="15" s="1"/>
  <c r="Y78" i="15"/>
  <c r="AC78" i="15" s="1"/>
  <c r="AR78" i="15" s="1"/>
  <c r="AE78" i="15"/>
  <c r="AI78" i="15" s="1"/>
  <c r="AU78" i="15" s="1"/>
  <c r="AF78" i="15"/>
  <c r="AJ78" i="15" s="1"/>
  <c r="AV78" i="15" s="1"/>
  <c r="AG78" i="15"/>
  <c r="AH78" i="15"/>
  <c r="AL78" i="15" s="1"/>
  <c r="V79" i="15"/>
  <c r="Z79" i="15" s="1"/>
  <c r="AO79" i="15" s="1"/>
  <c r="W79" i="15"/>
  <c r="AA79" i="15" s="1"/>
  <c r="AP79" i="15" s="1"/>
  <c r="X79" i="15"/>
  <c r="AB79" i="15" s="1"/>
  <c r="AQ79" i="15" s="1"/>
  <c r="Y79" i="15"/>
  <c r="AC79" i="15" s="1"/>
  <c r="AR79" i="15" s="1"/>
  <c r="AE79" i="15"/>
  <c r="AF79" i="15"/>
  <c r="AJ79" i="15" s="1"/>
  <c r="AV79" i="15" s="1"/>
  <c r="AG79" i="15"/>
  <c r="AH79" i="15"/>
  <c r="AL79" i="15" s="1"/>
  <c r="V80" i="15"/>
  <c r="Z80" i="15" s="1"/>
  <c r="AO80" i="15" s="1"/>
  <c r="W80" i="15"/>
  <c r="AA80" i="15" s="1"/>
  <c r="AP80" i="15" s="1"/>
  <c r="X80" i="15"/>
  <c r="AB80" i="15" s="1"/>
  <c r="AQ80" i="15" s="1"/>
  <c r="Y80" i="15"/>
  <c r="AC80" i="15"/>
  <c r="AR80" i="15" s="1"/>
  <c r="AE80" i="15"/>
  <c r="AI80" i="15" s="1"/>
  <c r="AU80" i="15" s="1"/>
  <c r="AF80" i="15"/>
  <c r="AG80" i="15"/>
  <c r="AH80" i="15"/>
  <c r="AL80" i="15" s="1"/>
  <c r="V84" i="15"/>
  <c r="Z84" i="15" s="1"/>
  <c r="AO84" i="15" s="1"/>
  <c r="W84" i="15"/>
  <c r="AA84" i="15" s="1"/>
  <c r="AP84" i="15" s="1"/>
  <c r="X84" i="15"/>
  <c r="AB84" i="15" s="1"/>
  <c r="AQ84" i="15" s="1"/>
  <c r="Y84" i="15"/>
  <c r="AC84" i="15" s="1"/>
  <c r="AR84" i="15" s="1"/>
  <c r="AE84" i="15"/>
  <c r="AI84" i="15" s="1"/>
  <c r="AU84" i="15" s="1"/>
  <c r="AF84" i="15"/>
  <c r="AJ84" i="15" s="1"/>
  <c r="AV84" i="15" s="1"/>
  <c r="AG84" i="15"/>
  <c r="AH84" i="15"/>
  <c r="AL84" i="15" s="1"/>
  <c r="V85" i="15"/>
  <c r="Z85" i="15" s="1"/>
  <c r="AO85" i="15" s="1"/>
  <c r="W85" i="15"/>
  <c r="AA85" i="15" s="1"/>
  <c r="AP85" i="15" s="1"/>
  <c r="X85" i="15"/>
  <c r="AB85" i="15" s="1"/>
  <c r="AQ85" i="15" s="1"/>
  <c r="Y85" i="15"/>
  <c r="AC85" i="15" s="1"/>
  <c r="AR85" i="15" s="1"/>
  <c r="AE85" i="15"/>
  <c r="AI85" i="15" s="1"/>
  <c r="AU85" i="15" s="1"/>
  <c r="AF85" i="15"/>
  <c r="AG85" i="15"/>
  <c r="AH85" i="15"/>
  <c r="AL85" i="15" s="1"/>
  <c r="V86" i="15"/>
  <c r="Z86" i="15" s="1"/>
  <c r="AO86" i="15" s="1"/>
  <c r="W86" i="15"/>
  <c r="AA86" i="15" s="1"/>
  <c r="AP86" i="15" s="1"/>
  <c r="X86" i="15"/>
  <c r="AB86" i="15" s="1"/>
  <c r="AQ86" i="15" s="1"/>
  <c r="Y86" i="15"/>
  <c r="AC86" i="15" s="1"/>
  <c r="AR86" i="15" s="1"/>
  <c r="AE86" i="15"/>
  <c r="AF86" i="15"/>
  <c r="AG86" i="15"/>
  <c r="AH86" i="15"/>
  <c r="AL86" i="15" s="1"/>
  <c r="V87" i="15"/>
  <c r="Z87" i="15" s="1"/>
  <c r="AO87" i="15" s="1"/>
  <c r="W87" i="15"/>
  <c r="AA87" i="15" s="1"/>
  <c r="AP87" i="15" s="1"/>
  <c r="X87" i="15"/>
  <c r="AB87" i="15" s="1"/>
  <c r="AQ87" i="15" s="1"/>
  <c r="Y87" i="15"/>
  <c r="AC87" i="15" s="1"/>
  <c r="AR87" i="15" s="1"/>
  <c r="AE87" i="15"/>
  <c r="AF87" i="15"/>
  <c r="AG87" i="15"/>
  <c r="AH87" i="15"/>
  <c r="AL87" i="15" s="1"/>
  <c r="V88" i="15"/>
  <c r="Z88" i="15" s="1"/>
  <c r="AO88" i="15" s="1"/>
  <c r="W88" i="15"/>
  <c r="AA88" i="15" s="1"/>
  <c r="AP88" i="15" s="1"/>
  <c r="X88" i="15"/>
  <c r="AB88" i="15" s="1"/>
  <c r="AQ88" i="15" s="1"/>
  <c r="Y88" i="15"/>
  <c r="AC88" i="15" s="1"/>
  <c r="AR88" i="15" s="1"/>
  <c r="AE88" i="15"/>
  <c r="AF88" i="15"/>
  <c r="AJ88" i="15" s="1"/>
  <c r="AV88" i="15" s="1"/>
  <c r="AG88" i="15"/>
  <c r="AH88" i="15"/>
  <c r="AL88" i="15" s="1"/>
  <c r="V89" i="15"/>
  <c r="Z89" i="15" s="1"/>
  <c r="AO89" i="15" s="1"/>
  <c r="W89" i="15"/>
  <c r="AA89" i="15" s="1"/>
  <c r="AP89" i="15" s="1"/>
  <c r="X89" i="15"/>
  <c r="AB89" i="15" s="1"/>
  <c r="AQ89" i="15" s="1"/>
  <c r="Y89" i="15"/>
  <c r="AC89" i="15" s="1"/>
  <c r="AR89" i="15" s="1"/>
  <c r="AE89" i="15"/>
  <c r="AI89" i="15" s="1"/>
  <c r="AU89" i="15" s="1"/>
  <c r="AF89" i="15"/>
  <c r="AG89" i="15"/>
  <c r="AH89" i="15"/>
  <c r="AL89" i="15" s="1"/>
  <c r="V93" i="15"/>
  <c r="Z93" i="15" s="1"/>
  <c r="AO93" i="15" s="1"/>
  <c r="W93" i="15"/>
  <c r="AA93" i="15" s="1"/>
  <c r="AP93" i="15" s="1"/>
  <c r="X93" i="15"/>
  <c r="AB93" i="15" s="1"/>
  <c r="AQ93" i="15" s="1"/>
  <c r="Y93" i="15"/>
  <c r="AC93" i="15" s="1"/>
  <c r="AR93" i="15" s="1"/>
  <c r="AE93" i="15"/>
  <c r="AI93" i="15" s="1"/>
  <c r="AU93" i="15" s="1"/>
  <c r="AF93" i="15"/>
  <c r="AJ93" i="15" s="1"/>
  <c r="AV93" i="15" s="1"/>
  <c r="AG93" i="15"/>
  <c r="AH93" i="15"/>
  <c r="AL93" i="15" s="1"/>
  <c r="V94" i="15"/>
  <c r="Z94" i="15" s="1"/>
  <c r="AO94" i="15" s="1"/>
  <c r="W94" i="15"/>
  <c r="AA94" i="15" s="1"/>
  <c r="AP94" i="15" s="1"/>
  <c r="X94" i="15"/>
  <c r="AB94" i="15" s="1"/>
  <c r="AQ94" i="15" s="1"/>
  <c r="Y94" i="15"/>
  <c r="AC94" i="15" s="1"/>
  <c r="AR94" i="15" s="1"/>
  <c r="AE94" i="15"/>
  <c r="AI94" i="15" s="1"/>
  <c r="AU94" i="15" s="1"/>
  <c r="AF94" i="15"/>
  <c r="AJ94" i="15" s="1"/>
  <c r="AV94" i="15" s="1"/>
  <c r="AG94" i="15"/>
  <c r="AH94" i="15"/>
  <c r="AL94" i="15" s="1"/>
  <c r="V95" i="15"/>
  <c r="Z95" i="15" s="1"/>
  <c r="AO95" i="15" s="1"/>
  <c r="W95" i="15"/>
  <c r="AA95" i="15" s="1"/>
  <c r="AP95" i="15" s="1"/>
  <c r="X95" i="15"/>
  <c r="AB95" i="15" s="1"/>
  <c r="AQ95" i="15" s="1"/>
  <c r="Y95" i="15"/>
  <c r="AC95" i="15" s="1"/>
  <c r="AR95" i="15" s="1"/>
  <c r="AE95" i="15"/>
  <c r="AF95" i="15"/>
  <c r="AG95" i="15"/>
  <c r="AH95" i="15"/>
  <c r="AL95" i="15" s="1"/>
  <c r="V96" i="15"/>
  <c r="Z96" i="15" s="1"/>
  <c r="AO96" i="15" s="1"/>
  <c r="W96" i="15"/>
  <c r="AA96" i="15" s="1"/>
  <c r="AP96" i="15" s="1"/>
  <c r="X96" i="15"/>
  <c r="AB96" i="15" s="1"/>
  <c r="AQ96" i="15" s="1"/>
  <c r="Y96" i="15"/>
  <c r="AC96" i="15" s="1"/>
  <c r="AR96" i="15" s="1"/>
  <c r="AE96" i="15"/>
  <c r="AI96" i="15" s="1"/>
  <c r="AU96" i="15" s="1"/>
  <c r="AF96" i="15"/>
  <c r="AG96" i="15"/>
  <c r="AH96" i="15"/>
  <c r="AL96" i="15" s="1"/>
  <c r="V97" i="15"/>
  <c r="Z97" i="15" s="1"/>
  <c r="AO97" i="15" s="1"/>
  <c r="W97" i="15"/>
  <c r="AA97" i="15" s="1"/>
  <c r="AP97" i="15" s="1"/>
  <c r="X97" i="15"/>
  <c r="AB97" i="15" s="1"/>
  <c r="AQ97" i="15" s="1"/>
  <c r="Y97" i="15"/>
  <c r="AC97" i="15" s="1"/>
  <c r="AR97" i="15" s="1"/>
  <c r="AE97" i="15"/>
  <c r="AI97" i="15" s="1"/>
  <c r="AU97" i="15" s="1"/>
  <c r="AF97" i="15"/>
  <c r="AJ97" i="15" s="1"/>
  <c r="AV97" i="15" s="1"/>
  <c r="AG97" i="15"/>
  <c r="AH97" i="15"/>
  <c r="AL97" i="15" s="1"/>
  <c r="V98" i="15"/>
  <c r="Z98" i="15" s="1"/>
  <c r="AO98" i="15" s="1"/>
  <c r="W98" i="15"/>
  <c r="AA98" i="15" s="1"/>
  <c r="AP98" i="15" s="1"/>
  <c r="X98" i="15"/>
  <c r="AB98" i="15" s="1"/>
  <c r="AQ98" i="15" s="1"/>
  <c r="Y98" i="15"/>
  <c r="AC98" i="15" s="1"/>
  <c r="AR98" i="15" s="1"/>
  <c r="AE98" i="15"/>
  <c r="AF98" i="15"/>
  <c r="AJ98" i="15" s="1"/>
  <c r="AV98" i="15" s="1"/>
  <c r="AG98" i="15"/>
  <c r="AH98" i="15"/>
  <c r="AL98" i="15" s="1"/>
  <c r="V102" i="15"/>
  <c r="Z102" i="15" s="1"/>
  <c r="AO102" i="15" s="1"/>
  <c r="W102" i="15"/>
  <c r="AA102" i="15" s="1"/>
  <c r="AP102" i="15" s="1"/>
  <c r="X102" i="15"/>
  <c r="AB102" i="15" s="1"/>
  <c r="AQ102" i="15" s="1"/>
  <c r="Y102" i="15"/>
  <c r="AC102" i="15" s="1"/>
  <c r="AR102" i="15" s="1"/>
  <c r="AE102" i="15"/>
  <c r="AI102" i="15" s="1"/>
  <c r="AU102" i="15" s="1"/>
  <c r="AF102" i="15"/>
  <c r="AG102" i="15"/>
  <c r="AH102" i="15"/>
  <c r="AL102" i="15" s="1"/>
  <c r="V103" i="15"/>
  <c r="Z103" i="15" s="1"/>
  <c r="AO103" i="15" s="1"/>
  <c r="W103" i="15"/>
  <c r="AA103" i="15" s="1"/>
  <c r="AP103" i="15" s="1"/>
  <c r="X103" i="15"/>
  <c r="AB103" i="15" s="1"/>
  <c r="AQ103" i="15" s="1"/>
  <c r="Y103" i="15"/>
  <c r="AC103" i="15" s="1"/>
  <c r="AR103" i="15" s="1"/>
  <c r="AE103" i="15"/>
  <c r="AI103" i="15" s="1"/>
  <c r="AU103" i="15" s="1"/>
  <c r="AF103" i="15"/>
  <c r="AG103" i="15"/>
  <c r="AH103" i="15"/>
  <c r="AL103" i="15" s="1"/>
  <c r="V104" i="15"/>
  <c r="Z104" i="15" s="1"/>
  <c r="AO104" i="15" s="1"/>
  <c r="W104" i="15"/>
  <c r="AA104" i="15" s="1"/>
  <c r="AP104" i="15" s="1"/>
  <c r="X104" i="15"/>
  <c r="AB104" i="15" s="1"/>
  <c r="AQ104" i="15" s="1"/>
  <c r="Y104" i="15"/>
  <c r="AC104" i="15" s="1"/>
  <c r="AR104" i="15" s="1"/>
  <c r="AE104" i="15"/>
  <c r="AI104" i="15" s="1"/>
  <c r="AU104" i="15" s="1"/>
  <c r="AF104" i="15"/>
  <c r="AG104" i="15"/>
  <c r="AH104" i="15"/>
  <c r="AL104" i="15" s="1"/>
  <c r="V105" i="15"/>
  <c r="Z105" i="15" s="1"/>
  <c r="AO105" i="15" s="1"/>
  <c r="W105" i="15"/>
  <c r="AA105" i="15" s="1"/>
  <c r="AP105" i="15" s="1"/>
  <c r="X105" i="15"/>
  <c r="AB105" i="15" s="1"/>
  <c r="AQ105" i="15" s="1"/>
  <c r="Y105" i="15"/>
  <c r="AC105" i="15" s="1"/>
  <c r="AR105" i="15" s="1"/>
  <c r="AE105" i="15"/>
  <c r="AI105" i="15" s="1"/>
  <c r="AU105" i="15" s="1"/>
  <c r="AF105" i="15"/>
  <c r="AG105" i="15"/>
  <c r="AH105" i="15"/>
  <c r="AL105" i="15" s="1"/>
  <c r="V106" i="15"/>
  <c r="Z106" i="15" s="1"/>
  <c r="AO106" i="15" s="1"/>
  <c r="W106" i="15"/>
  <c r="AA106" i="15" s="1"/>
  <c r="AP106" i="15" s="1"/>
  <c r="X106" i="15"/>
  <c r="AB106" i="15" s="1"/>
  <c r="AQ106" i="15" s="1"/>
  <c r="Y106" i="15"/>
  <c r="AC106" i="15" s="1"/>
  <c r="AR106" i="15" s="1"/>
  <c r="AE106" i="15"/>
  <c r="AF106" i="15"/>
  <c r="AJ106" i="15" s="1"/>
  <c r="AG106" i="15"/>
  <c r="AH106" i="15"/>
  <c r="AL106" i="15" s="1"/>
  <c r="AV106" i="15"/>
  <c r="V107" i="15"/>
  <c r="Z107" i="15" s="1"/>
  <c r="AO107" i="15" s="1"/>
  <c r="W107" i="15"/>
  <c r="AA107" i="15" s="1"/>
  <c r="AP107" i="15" s="1"/>
  <c r="X107" i="15"/>
  <c r="AB107" i="15" s="1"/>
  <c r="AQ107" i="15" s="1"/>
  <c r="Y107" i="15"/>
  <c r="AC107" i="15" s="1"/>
  <c r="AR107" i="15" s="1"/>
  <c r="AE107" i="15"/>
  <c r="AI107" i="15" s="1"/>
  <c r="AU107" i="15" s="1"/>
  <c r="AF107" i="15"/>
  <c r="AG107" i="15"/>
  <c r="AH107" i="15"/>
  <c r="AL107" i="15" s="1"/>
  <c r="V111" i="15"/>
  <c r="Z111" i="15" s="1"/>
  <c r="AO111" i="15" s="1"/>
  <c r="W111" i="15"/>
  <c r="AA111" i="15" s="1"/>
  <c r="AP111" i="15" s="1"/>
  <c r="X111" i="15"/>
  <c r="AB111" i="15" s="1"/>
  <c r="AQ111" i="15" s="1"/>
  <c r="Y111" i="15"/>
  <c r="AC111" i="15" s="1"/>
  <c r="AR111" i="15" s="1"/>
  <c r="AE111" i="15"/>
  <c r="AI111" i="15" s="1"/>
  <c r="AU111" i="15" s="1"/>
  <c r="AF111" i="15"/>
  <c r="AG111" i="15"/>
  <c r="AH111" i="15"/>
  <c r="AL111" i="15" s="1"/>
  <c r="V112" i="15"/>
  <c r="Z112" i="15" s="1"/>
  <c r="AO112" i="15" s="1"/>
  <c r="W112" i="15"/>
  <c r="AA112" i="15" s="1"/>
  <c r="AP112" i="15" s="1"/>
  <c r="X112" i="15"/>
  <c r="AB112" i="15" s="1"/>
  <c r="AQ112" i="15" s="1"/>
  <c r="Y112" i="15"/>
  <c r="AC112" i="15" s="1"/>
  <c r="AR112" i="15" s="1"/>
  <c r="AE112" i="15"/>
  <c r="AI112" i="15" s="1"/>
  <c r="AU112" i="15" s="1"/>
  <c r="AF112" i="15"/>
  <c r="AJ112" i="15" s="1"/>
  <c r="AV112" i="15" s="1"/>
  <c r="AG112" i="15"/>
  <c r="AH112" i="15"/>
  <c r="AL112" i="15" s="1"/>
  <c r="V113" i="15"/>
  <c r="Z113" i="15" s="1"/>
  <c r="AO113" i="15" s="1"/>
  <c r="W113" i="15"/>
  <c r="AA113" i="15" s="1"/>
  <c r="AP113" i="15" s="1"/>
  <c r="X113" i="15"/>
  <c r="AB113" i="15" s="1"/>
  <c r="AQ113" i="15" s="1"/>
  <c r="Y113" i="15"/>
  <c r="AC113" i="15" s="1"/>
  <c r="AR113" i="15" s="1"/>
  <c r="AE113" i="15"/>
  <c r="AF113" i="15"/>
  <c r="AJ113" i="15" s="1"/>
  <c r="AV113" i="15" s="1"/>
  <c r="AG113" i="15"/>
  <c r="AH113" i="15"/>
  <c r="AL113" i="15" s="1"/>
  <c r="V114" i="15"/>
  <c r="Z114" i="15" s="1"/>
  <c r="AO114" i="15" s="1"/>
  <c r="W114" i="15"/>
  <c r="AA114" i="15" s="1"/>
  <c r="AP114" i="15" s="1"/>
  <c r="X114" i="15"/>
  <c r="AB114" i="15" s="1"/>
  <c r="AQ114" i="15" s="1"/>
  <c r="Y114" i="15"/>
  <c r="AC114" i="15" s="1"/>
  <c r="AR114" i="15" s="1"/>
  <c r="AE114" i="15"/>
  <c r="AF114" i="15"/>
  <c r="AG114" i="15"/>
  <c r="AH114" i="15"/>
  <c r="AL114" i="15" s="1"/>
  <c r="V115" i="15"/>
  <c r="Z115" i="15" s="1"/>
  <c r="AO115" i="15" s="1"/>
  <c r="W115" i="15"/>
  <c r="AA115" i="15" s="1"/>
  <c r="AP115" i="15" s="1"/>
  <c r="X115" i="15"/>
  <c r="AB115" i="15" s="1"/>
  <c r="AQ115" i="15" s="1"/>
  <c r="Y115" i="15"/>
  <c r="AC115" i="15"/>
  <c r="AR115" i="15" s="1"/>
  <c r="AE115" i="15"/>
  <c r="AI115" i="15" s="1"/>
  <c r="AU115" i="15" s="1"/>
  <c r="AF115" i="15"/>
  <c r="AJ115" i="15" s="1"/>
  <c r="AV115" i="15" s="1"/>
  <c r="AG115" i="15"/>
  <c r="AH115" i="15"/>
  <c r="AL115" i="15" s="1"/>
  <c r="V116" i="15"/>
  <c r="Z116" i="15" s="1"/>
  <c r="AO116" i="15" s="1"/>
  <c r="W116" i="15"/>
  <c r="X116" i="15"/>
  <c r="AB116" i="15" s="1"/>
  <c r="AQ116" i="15" s="1"/>
  <c r="Y116" i="15"/>
  <c r="AC116" i="15" s="1"/>
  <c r="AR116" i="15" s="1"/>
  <c r="AA116" i="15"/>
  <c r="AP116" i="15" s="1"/>
  <c r="AE116" i="15"/>
  <c r="AF116" i="15"/>
  <c r="AJ116" i="15" s="1"/>
  <c r="AV116" i="15" s="1"/>
  <c r="AG116" i="15"/>
  <c r="AH116" i="15"/>
  <c r="AL116" i="15" s="1"/>
  <c r="V120" i="15"/>
  <c r="Z120" i="15" s="1"/>
  <c r="AO120" i="15" s="1"/>
  <c r="W120" i="15"/>
  <c r="AA120" i="15" s="1"/>
  <c r="AP120" i="15" s="1"/>
  <c r="X120" i="15"/>
  <c r="Y120" i="15"/>
  <c r="AC120" i="15" s="1"/>
  <c r="AR120" i="15" s="1"/>
  <c r="AB120" i="15"/>
  <c r="AQ120" i="15" s="1"/>
  <c r="AE120" i="15"/>
  <c r="AI120" i="15" s="1"/>
  <c r="AU120" i="15" s="1"/>
  <c r="AF120" i="15"/>
  <c r="AJ120" i="15" s="1"/>
  <c r="AV120" i="15" s="1"/>
  <c r="AG120" i="15"/>
  <c r="AH120" i="15"/>
  <c r="AL120" i="15" s="1"/>
  <c r="V121" i="15"/>
  <c r="Z121" i="15" s="1"/>
  <c r="AO121" i="15" s="1"/>
  <c r="W121" i="15"/>
  <c r="AA121" i="15" s="1"/>
  <c r="AP121" i="15" s="1"/>
  <c r="X121" i="15"/>
  <c r="AB121" i="15" s="1"/>
  <c r="AQ121" i="15" s="1"/>
  <c r="Y121" i="15"/>
  <c r="AC121" i="15" s="1"/>
  <c r="AR121" i="15" s="1"/>
  <c r="AE121" i="15"/>
  <c r="AF121" i="15"/>
  <c r="AG121" i="15"/>
  <c r="AH121" i="15"/>
  <c r="AL121" i="15" s="1"/>
  <c r="V122" i="15"/>
  <c r="Z122" i="15" s="1"/>
  <c r="AO122" i="15" s="1"/>
  <c r="W122" i="15"/>
  <c r="AA122" i="15" s="1"/>
  <c r="AP122" i="15" s="1"/>
  <c r="X122" i="15"/>
  <c r="AB122" i="15" s="1"/>
  <c r="AQ122" i="15" s="1"/>
  <c r="Y122" i="15"/>
  <c r="AC122" i="15" s="1"/>
  <c r="AR122" i="15" s="1"/>
  <c r="AE122" i="15"/>
  <c r="AI122" i="15" s="1"/>
  <c r="AU122" i="15" s="1"/>
  <c r="AF122" i="15"/>
  <c r="AJ122" i="15" s="1"/>
  <c r="AV122" i="15" s="1"/>
  <c r="AG122" i="15"/>
  <c r="AH122" i="15"/>
  <c r="AL122" i="15" s="1"/>
  <c r="V123" i="15"/>
  <c r="Z123" i="15" s="1"/>
  <c r="AO123" i="15" s="1"/>
  <c r="W123" i="15"/>
  <c r="AA123" i="15" s="1"/>
  <c r="AP123" i="15" s="1"/>
  <c r="X123" i="15"/>
  <c r="AB123" i="15" s="1"/>
  <c r="AQ123" i="15" s="1"/>
  <c r="Y123" i="15"/>
  <c r="AC123" i="15" s="1"/>
  <c r="AR123" i="15" s="1"/>
  <c r="AE123" i="15"/>
  <c r="AF123" i="15"/>
  <c r="AJ123" i="15" s="1"/>
  <c r="AV123" i="15" s="1"/>
  <c r="AG123" i="15"/>
  <c r="AH123" i="15"/>
  <c r="AL123" i="15" s="1"/>
  <c r="V124" i="15"/>
  <c r="Z124" i="15" s="1"/>
  <c r="AO124" i="15" s="1"/>
  <c r="W124" i="15"/>
  <c r="AA124" i="15" s="1"/>
  <c r="AP124" i="15" s="1"/>
  <c r="X124" i="15"/>
  <c r="AB124" i="15" s="1"/>
  <c r="AQ124" i="15" s="1"/>
  <c r="Y124" i="15"/>
  <c r="AC124" i="15" s="1"/>
  <c r="AR124" i="15" s="1"/>
  <c r="AE124" i="15"/>
  <c r="AI124" i="15" s="1"/>
  <c r="AF124" i="15"/>
  <c r="AG124" i="15"/>
  <c r="AH124" i="15"/>
  <c r="AL124" i="15" s="1"/>
  <c r="AU124" i="15"/>
  <c r="V125" i="15"/>
  <c r="Z125" i="15" s="1"/>
  <c r="AO125" i="15" s="1"/>
  <c r="W125" i="15"/>
  <c r="AA125" i="15" s="1"/>
  <c r="AP125" i="15" s="1"/>
  <c r="X125" i="15"/>
  <c r="AB125" i="15" s="1"/>
  <c r="AQ125" i="15" s="1"/>
  <c r="Y125" i="15"/>
  <c r="AC125" i="15" s="1"/>
  <c r="AR125" i="15" s="1"/>
  <c r="AE125" i="15"/>
  <c r="AI125" i="15" s="1"/>
  <c r="AU125" i="15" s="1"/>
  <c r="AF125" i="15"/>
  <c r="AG125" i="15"/>
  <c r="AH125" i="15"/>
  <c r="AL125" i="15" s="1"/>
  <c r="V129" i="15"/>
  <c r="Z129" i="15" s="1"/>
  <c r="AO129" i="15" s="1"/>
  <c r="W129" i="15"/>
  <c r="AA129" i="15" s="1"/>
  <c r="X129" i="15"/>
  <c r="AB129" i="15" s="1"/>
  <c r="AQ129" i="15" s="1"/>
  <c r="Y129" i="15"/>
  <c r="AC129" i="15" s="1"/>
  <c r="AR129" i="15" s="1"/>
  <c r="V130" i="15"/>
  <c r="Z130" i="15" s="1"/>
  <c r="AO130" i="15" s="1"/>
  <c r="W130" i="15"/>
  <c r="AA130" i="15" s="1"/>
  <c r="X130" i="15"/>
  <c r="AB130" i="15" s="1"/>
  <c r="AQ130" i="15" s="1"/>
  <c r="Y130" i="15"/>
  <c r="AC130" i="15" s="1"/>
  <c r="AR130" i="15" s="1"/>
  <c r="V131" i="15"/>
  <c r="Z131" i="15" s="1"/>
  <c r="AO131" i="15" s="1"/>
  <c r="W131" i="15"/>
  <c r="AA131" i="15" s="1"/>
  <c r="X131" i="15"/>
  <c r="AB131" i="15" s="1"/>
  <c r="AQ131" i="15" s="1"/>
  <c r="Y131" i="15"/>
  <c r="AC131" i="15" s="1"/>
  <c r="AR131" i="15" s="1"/>
  <c r="V132" i="15"/>
  <c r="Z132" i="15" s="1"/>
  <c r="AO132" i="15" s="1"/>
  <c r="W132" i="15"/>
  <c r="AA132" i="15" s="1"/>
  <c r="X132" i="15"/>
  <c r="AB132" i="15" s="1"/>
  <c r="AQ132" i="15" s="1"/>
  <c r="Y132" i="15"/>
  <c r="AC132" i="15" s="1"/>
  <c r="AR132" i="15" s="1"/>
  <c r="V133" i="15"/>
  <c r="Z133" i="15" s="1"/>
  <c r="AO133" i="15" s="1"/>
  <c r="W133" i="15"/>
  <c r="AA133" i="15" s="1"/>
  <c r="X133" i="15"/>
  <c r="AB133" i="15" s="1"/>
  <c r="AQ133" i="15" s="1"/>
  <c r="Y133" i="15"/>
  <c r="AC133" i="15" s="1"/>
  <c r="AR133" i="15" s="1"/>
  <c r="V134" i="15"/>
  <c r="Z134" i="15" s="1"/>
  <c r="AO134" i="15" s="1"/>
  <c r="W134" i="15"/>
  <c r="AA134" i="15" s="1"/>
  <c r="X134" i="15"/>
  <c r="AB134" i="15" s="1"/>
  <c r="AQ134" i="15" s="1"/>
  <c r="Y134" i="15"/>
  <c r="AC134" i="15" s="1"/>
  <c r="AR134" i="15" s="1"/>
  <c r="V138" i="15"/>
  <c r="Z138" i="15" s="1"/>
  <c r="AO138" i="15" s="1"/>
  <c r="W138" i="15"/>
  <c r="AA138" i="15" s="1"/>
  <c r="X138" i="15"/>
  <c r="AB138" i="15" s="1"/>
  <c r="AQ138" i="15" s="1"/>
  <c r="Y138" i="15"/>
  <c r="AC138" i="15" s="1"/>
  <c r="AR138" i="15" s="1"/>
  <c r="V139" i="15"/>
  <c r="Z139" i="15" s="1"/>
  <c r="AO139" i="15" s="1"/>
  <c r="W139" i="15"/>
  <c r="AA139" i="15" s="1"/>
  <c r="X139" i="15"/>
  <c r="Y139" i="15"/>
  <c r="AC139" i="15" s="1"/>
  <c r="AR139" i="15" s="1"/>
  <c r="AB139" i="15"/>
  <c r="AQ139" i="15" s="1"/>
  <c r="V140" i="15"/>
  <c r="Z140" i="15" s="1"/>
  <c r="AO140" i="15" s="1"/>
  <c r="W140" i="15"/>
  <c r="AA140" i="15" s="1"/>
  <c r="X140" i="15"/>
  <c r="AB140" i="15" s="1"/>
  <c r="AQ140" i="15" s="1"/>
  <c r="Y140" i="15"/>
  <c r="AC140" i="15" s="1"/>
  <c r="AR140" i="15" s="1"/>
  <c r="V141" i="15"/>
  <c r="Z141" i="15" s="1"/>
  <c r="AO141" i="15" s="1"/>
  <c r="W141" i="15"/>
  <c r="AA141" i="15" s="1"/>
  <c r="X141" i="15"/>
  <c r="AB141" i="15" s="1"/>
  <c r="AQ141" i="15" s="1"/>
  <c r="Y141" i="15"/>
  <c r="AC141" i="15" s="1"/>
  <c r="AR141" i="15" s="1"/>
  <c r="V142" i="15"/>
  <c r="Z142" i="15" s="1"/>
  <c r="AO142" i="15" s="1"/>
  <c r="W142" i="15"/>
  <c r="AA142" i="15" s="1"/>
  <c r="X142" i="15"/>
  <c r="AB142" i="15" s="1"/>
  <c r="AQ142" i="15" s="1"/>
  <c r="Y142" i="15"/>
  <c r="AC142" i="15" s="1"/>
  <c r="AR142" i="15" s="1"/>
  <c r="V143" i="15"/>
  <c r="Z143" i="15" s="1"/>
  <c r="AO143" i="15" s="1"/>
  <c r="W143" i="15"/>
  <c r="AA143" i="15" s="1"/>
  <c r="X143" i="15"/>
  <c r="AB143" i="15" s="1"/>
  <c r="AQ143" i="15" s="1"/>
  <c r="Y143" i="15"/>
  <c r="AC143" i="15" s="1"/>
  <c r="AR143" i="15" s="1"/>
  <c r="V147" i="15"/>
  <c r="Z147" i="15" s="1"/>
  <c r="AO147" i="15" s="1"/>
  <c r="W147" i="15"/>
  <c r="AA147" i="15" s="1"/>
  <c r="X147" i="15"/>
  <c r="AB147" i="15" s="1"/>
  <c r="AQ147" i="15" s="1"/>
  <c r="Y147" i="15"/>
  <c r="AC147" i="15" s="1"/>
  <c r="AR147" i="15" s="1"/>
  <c r="V148" i="15"/>
  <c r="Z148" i="15" s="1"/>
  <c r="AO148" i="15" s="1"/>
  <c r="W148" i="15"/>
  <c r="AA148" i="15" s="1"/>
  <c r="X148" i="15"/>
  <c r="AB148" i="15" s="1"/>
  <c r="AQ148" i="15" s="1"/>
  <c r="Y148" i="15"/>
  <c r="AC148" i="15" s="1"/>
  <c r="AR148" i="15" s="1"/>
  <c r="V149" i="15"/>
  <c r="Z149" i="15" s="1"/>
  <c r="AO149" i="15" s="1"/>
  <c r="W149" i="15"/>
  <c r="AA149" i="15" s="1"/>
  <c r="X149" i="15"/>
  <c r="AB149" i="15" s="1"/>
  <c r="AQ149" i="15" s="1"/>
  <c r="Y149" i="15"/>
  <c r="AC149" i="15" s="1"/>
  <c r="AR149" i="15" s="1"/>
  <c r="V150" i="15"/>
  <c r="Z150" i="15" s="1"/>
  <c r="AO150" i="15" s="1"/>
  <c r="W150" i="15"/>
  <c r="AA150" i="15" s="1"/>
  <c r="X150" i="15"/>
  <c r="AB150" i="15" s="1"/>
  <c r="AQ150" i="15" s="1"/>
  <c r="Y150" i="15"/>
  <c r="AC150" i="15" s="1"/>
  <c r="AR150" i="15" s="1"/>
  <c r="V151" i="15"/>
  <c r="Z151" i="15" s="1"/>
  <c r="AO151" i="15" s="1"/>
  <c r="W151" i="15"/>
  <c r="AA151" i="15" s="1"/>
  <c r="X151" i="15"/>
  <c r="AB151" i="15" s="1"/>
  <c r="AQ151" i="15" s="1"/>
  <c r="Y151" i="15"/>
  <c r="AC151" i="15" s="1"/>
  <c r="AR151" i="15" s="1"/>
  <c r="V152" i="15"/>
  <c r="Z152" i="15" s="1"/>
  <c r="AO152" i="15" s="1"/>
  <c r="W152" i="15"/>
  <c r="AA152" i="15" s="1"/>
  <c r="X152" i="15"/>
  <c r="AB152" i="15" s="1"/>
  <c r="AQ152" i="15" s="1"/>
  <c r="Y152" i="15"/>
  <c r="AC152" i="15" s="1"/>
  <c r="AR152" i="15" s="1"/>
  <c r="V156" i="15"/>
  <c r="Z156" i="15" s="1"/>
  <c r="AO156" i="15" s="1"/>
  <c r="W156" i="15"/>
  <c r="AA156" i="15" s="1"/>
  <c r="AP156" i="15" s="1"/>
  <c r="X156" i="15"/>
  <c r="AB156" i="15" s="1"/>
  <c r="AQ156" i="15" s="1"/>
  <c r="Y156" i="15"/>
  <c r="AC156" i="15" s="1"/>
  <c r="AR156" i="15" s="1"/>
  <c r="AE156" i="15"/>
  <c r="AI156" i="15" s="1"/>
  <c r="AU156" i="15" s="1"/>
  <c r="AF156" i="15"/>
  <c r="AJ156" i="15" s="1"/>
  <c r="AV156" i="15" s="1"/>
  <c r="AG156" i="15"/>
  <c r="AH156" i="15"/>
  <c r="AL156" i="15" s="1"/>
  <c r="V157" i="15"/>
  <c r="Z157" i="15" s="1"/>
  <c r="AO157" i="15" s="1"/>
  <c r="W157" i="15"/>
  <c r="AA157" i="15" s="1"/>
  <c r="AP157" i="15" s="1"/>
  <c r="X157" i="15"/>
  <c r="AB157" i="15" s="1"/>
  <c r="AQ157" i="15" s="1"/>
  <c r="Y157" i="15"/>
  <c r="AC157" i="15" s="1"/>
  <c r="AR157" i="15" s="1"/>
  <c r="AE157" i="15"/>
  <c r="AF157" i="15"/>
  <c r="AJ157" i="15" s="1"/>
  <c r="AV157" i="15" s="1"/>
  <c r="AG157" i="15"/>
  <c r="AH157" i="15"/>
  <c r="AL157" i="15" s="1"/>
  <c r="V158" i="15"/>
  <c r="Z158" i="15" s="1"/>
  <c r="AO158" i="15" s="1"/>
  <c r="W158" i="15"/>
  <c r="AA158" i="15" s="1"/>
  <c r="AP158" i="15" s="1"/>
  <c r="X158" i="15"/>
  <c r="AB158" i="15" s="1"/>
  <c r="AQ158" i="15" s="1"/>
  <c r="Y158" i="15"/>
  <c r="AC158" i="15" s="1"/>
  <c r="AR158" i="15" s="1"/>
  <c r="AE158" i="15"/>
  <c r="AF158" i="15"/>
  <c r="AG158" i="15"/>
  <c r="AH158" i="15"/>
  <c r="AL158" i="15" s="1"/>
  <c r="V159" i="15"/>
  <c r="Z159" i="15" s="1"/>
  <c r="AO159" i="15" s="1"/>
  <c r="W159" i="15"/>
  <c r="AA159" i="15" s="1"/>
  <c r="AP159" i="15" s="1"/>
  <c r="X159" i="15"/>
  <c r="AB159" i="15" s="1"/>
  <c r="AQ159" i="15" s="1"/>
  <c r="Y159" i="15"/>
  <c r="AC159" i="15" s="1"/>
  <c r="AR159" i="15" s="1"/>
  <c r="AE159" i="15"/>
  <c r="AI159" i="15" s="1"/>
  <c r="AU159" i="15" s="1"/>
  <c r="AF159" i="15"/>
  <c r="AJ159" i="15" s="1"/>
  <c r="AV159" i="15" s="1"/>
  <c r="AG159" i="15"/>
  <c r="AH159" i="15"/>
  <c r="AL159" i="15" s="1"/>
  <c r="V160" i="15"/>
  <c r="Z160" i="15" s="1"/>
  <c r="AO160" i="15" s="1"/>
  <c r="W160" i="15"/>
  <c r="AA160" i="15" s="1"/>
  <c r="AP160" i="15" s="1"/>
  <c r="X160" i="15"/>
  <c r="Y160" i="15"/>
  <c r="AC160" i="15" s="1"/>
  <c r="AR160" i="15" s="1"/>
  <c r="AB160" i="15"/>
  <c r="AQ160" i="15" s="1"/>
  <c r="AE160" i="15"/>
  <c r="AI160" i="15" s="1"/>
  <c r="AU160" i="15" s="1"/>
  <c r="AF160" i="15"/>
  <c r="AJ160" i="15" s="1"/>
  <c r="AV160" i="15" s="1"/>
  <c r="AG160" i="15"/>
  <c r="AH160" i="15"/>
  <c r="AL160" i="15" s="1"/>
  <c r="V161" i="15"/>
  <c r="Z161" i="15" s="1"/>
  <c r="AO161" i="15" s="1"/>
  <c r="W161" i="15"/>
  <c r="AA161" i="15" s="1"/>
  <c r="AP161" i="15" s="1"/>
  <c r="X161" i="15"/>
  <c r="AB161" i="15" s="1"/>
  <c r="AQ161" i="15" s="1"/>
  <c r="Y161" i="15"/>
  <c r="AC161" i="15" s="1"/>
  <c r="AR161" i="15" s="1"/>
  <c r="AE161" i="15"/>
  <c r="AF161" i="15"/>
  <c r="AG161" i="15"/>
  <c r="AH161" i="15"/>
  <c r="AL161" i="15" s="1"/>
  <c r="V165" i="15"/>
  <c r="Z165" i="15" s="1"/>
  <c r="AO165" i="15" s="1"/>
  <c r="W165" i="15"/>
  <c r="AA165" i="15" s="1"/>
  <c r="AP165" i="15" s="1"/>
  <c r="X165" i="15"/>
  <c r="AB165" i="15" s="1"/>
  <c r="AQ165" i="15" s="1"/>
  <c r="Y165" i="15"/>
  <c r="AC165" i="15" s="1"/>
  <c r="AR165" i="15" s="1"/>
  <c r="AE165" i="15"/>
  <c r="AI165" i="15" s="1"/>
  <c r="AU165" i="15" s="1"/>
  <c r="AF165" i="15"/>
  <c r="AG165" i="15"/>
  <c r="AH165" i="15"/>
  <c r="AL165" i="15" s="1"/>
  <c r="V166" i="15"/>
  <c r="Z166" i="15" s="1"/>
  <c r="AO166" i="15" s="1"/>
  <c r="W166" i="15"/>
  <c r="AA166" i="15" s="1"/>
  <c r="AP166" i="15" s="1"/>
  <c r="X166" i="15"/>
  <c r="AB166" i="15" s="1"/>
  <c r="AQ166" i="15" s="1"/>
  <c r="Y166" i="15"/>
  <c r="AC166" i="15" s="1"/>
  <c r="AR166" i="15" s="1"/>
  <c r="AE166" i="15"/>
  <c r="AF166" i="15"/>
  <c r="AG166" i="15"/>
  <c r="AH166" i="15"/>
  <c r="AL166" i="15" s="1"/>
  <c r="V167" i="15"/>
  <c r="Z167" i="15" s="1"/>
  <c r="AO167" i="15" s="1"/>
  <c r="W167" i="15"/>
  <c r="AA167" i="15" s="1"/>
  <c r="AP167" i="15" s="1"/>
  <c r="X167" i="15"/>
  <c r="AB167" i="15" s="1"/>
  <c r="AQ167" i="15" s="1"/>
  <c r="Y167" i="15"/>
  <c r="AC167" i="15" s="1"/>
  <c r="AR167" i="15" s="1"/>
  <c r="AE167" i="15"/>
  <c r="AF167" i="15"/>
  <c r="AG167" i="15"/>
  <c r="AH167" i="15"/>
  <c r="AL167" i="15" s="1"/>
  <c r="V168" i="15"/>
  <c r="Z168" i="15" s="1"/>
  <c r="AO168" i="15" s="1"/>
  <c r="W168" i="15"/>
  <c r="AA168" i="15" s="1"/>
  <c r="AP168" i="15" s="1"/>
  <c r="X168" i="15"/>
  <c r="AB168" i="15" s="1"/>
  <c r="AQ168" i="15" s="1"/>
  <c r="Y168" i="15"/>
  <c r="AC168" i="15" s="1"/>
  <c r="AR168" i="15" s="1"/>
  <c r="AE168" i="15"/>
  <c r="AI168" i="15" s="1"/>
  <c r="AU168" i="15" s="1"/>
  <c r="AF168" i="15"/>
  <c r="AJ168" i="15" s="1"/>
  <c r="AV168" i="15" s="1"/>
  <c r="AG168" i="15"/>
  <c r="AH168" i="15"/>
  <c r="AL168" i="15" s="1"/>
  <c r="V169" i="15"/>
  <c r="Z169" i="15" s="1"/>
  <c r="AO169" i="15" s="1"/>
  <c r="W169" i="15"/>
  <c r="AA169" i="15" s="1"/>
  <c r="AP169" i="15" s="1"/>
  <c r="X169" i="15"/>
  <c r="AB169" i="15" s="1"/>
  <c r="AQ169" i="15" s="1"/>
  <c r="Y169" i="15"/>
  <c r="AC169" i="15" s="1"/>
  <c r="AR169" i="15" s="1"/>
  <c r="AE169" i="15"/>
  <c r="AI169" i="15" s="1"/>
  <c r="AU169" i="15" s="1"/>
  <c r="AF169" i="15"/>
  <c r="AJ169" i="15" s="1"/>
  <c r="AV169" i="15" s="1"/>
  <c r="AG169" i="15"/>
  <c r="AH169" i="15"/>
  <c r="V170" i="15"/>
  <c r="Z170" i="15" s="1"/>
  <c r="AO170" i="15" s="1"/>
  <c r="W170" i="15"/>
  <c r="AA170" i="15" s="1"/>
  <c r="AP170" i="15" s="1"/>
  <c r="X170" i="15"/>
  <c r="AB170" i="15" s="1"/>
  <c r="AQ170" i="15" s="1"/>
  <c r="Y170" i="15"/>
  <c r="AC170" i="15" s="1"/>
  <c r="AR170" i="15" s="1"/>
  <c r="AE170" i="15"/>
  <c r="AI170" i="15" s="1"/>
  <c r="AU170" i="15" s="1"/>
  <c r="AF170" i="15"/>
  <c r="AJ170" i="15" s="1"/>
  <c r="AV170" i="15" s="1"/>
  <c r="AG170" i="15"/>
  <c r="AK170" i="15" s="1"/>
  <c r="AW170" i="15" s="1"/>
  <c r="AH170" i="15"/>
  <c r="AL170" i="15" s="1"/>
  <c r="AX170" i="15" s="1"/>
  <c r="V12" i="16"/>
  <c r="Z12" i="16" s="1"/>
  <c r="AO12" i="16" s="1"/>
  <c r="W12" i="16"/>
  <c r="AA12" i="16" s="1"/>
  <c r="AP12" i="16" s="1"/>
  <c r="X12" i="16"/>
  <c r="AB12" i="16" s="1"/>
  <c r="AQ12" i="16" s="1"/>
  <c r="Y12" i="16"/>
  <c r="AC12" i="16" s="1"/>
  <c r="AR12" i="16" s="1"/>
  <c r="AE12" i="16"/>
  <c r="AI12" i="16" s="1"/>
  <c r="AU12" i="16" s="1"/>
  <c r="AF12" i="16"/>
  <c r="AJ12" i="16" s="1"/>
  <c r="AV12" i="16" s="1"/>
  <c r="AG12" i="16"/>
  <c r="AH12" i="16"/>
  <c r="V13" i="16"/>
  <c r="Z13" i="16" s="1"/>
  <c r="AO13" i="16" s="1"/>
  <c r="W13" i="16"/>
  <c r="AA13" i="16" s="1"/>
  <c r="AP13" i="16" s="1"/>
  <c r="X13" i="16"/>
  <c r="AB13" i="16" s="1"/>
  <c r="AQ13" i="16" s="1"/>
  <c r="Y13" i="16"/>
  <c r="AC13" i="16" s="1"/>
  <c r="AR13" i="16" s="1"/>
  <c r="AE13" i="16"/>
  <c r="AI13" i="16" s="1"/>
  <c r="AF13" i="16"/>
  <c r="AJ13" i="16" s="1"/>
  <c r="AG13" i="16"/>
  <c r="AH13" i="16"/>
  <c r="AV13" i="16"/>
  <c r="V14" i="16"/>
  <c r="Z14" i="16" s="1"/>
  <c r="AO14" i="16" s="1"/>
  <c r="W14" i="16"/>
  <c r="AA14" i="16" s="1"/>
  <c r="AP14" i="16" s="1"/>
  <c r="X14" i="16"/>
  <c r="AB14" i="16" s="1"/>
  <c r="AQ14" i="16" s="1"/>
  <c r="Y14" i="16"/>
  <c r="AC14" i="16" s="1"/>
  <c r="AR14" i="16" s="1"/>
  <c r="AE14" i="16"/>
  <c r="AI14" i="16" s="1"/>
  <c r="AF14" i="16"/>
  <c r="AJ14" i="16" s="1"/>
  <c r="AV14" i="16" s="1"/>
  <c r="AG14" i="16"/>
  <c r="AH14" i="16"/>
  <c r="AL14" i="16" s="1"/>
  <c r="AU14" i="16"/>
  <c r="V15" i="16"/>
  <c r="Z15" i="16" s="1"/>
  <c r="AO15" i="16" s="1"/>
  <c r="W15" i="16"/>
  <c r="AA15" i="16" s="1"/>
  <c r="AP15" i="16" s="1"/>
  <c r="X15" i="16"/>
  <c r="AB15" i="16" s="1"/>
  <c r="AQ15" i="16" s="1"/>
  <c r="Y15" i="16"/>
  <c r="AC15" i="16" s="1"/>
  <c r="AR15" i="16" s="1"/>
  <c r="AE15" i="16"/>
  <c r="AI15" i="16" s="1"/>
  <c r="AU15" i="16" s="1"/>
  <c r="AF15" i="16"/>
  <c r="AJ15" i="16" s="1"/>
  <c r="AV15" i="16" s="1"/>
  <c r="AG15" i="16"/>
  <c r="AH15" i="16"/>
  <c r="AL15" i="16" s="1"/>
  <c r="V16" i="16"/>
  <c r="Z16" i="16" s="1"/>
  <c r="AO16" i="16" s="1"/>
  <c r="W16" i="16"/>
  <c r="AA16" i="16" s="1"/>
  <c r="AP16" i="16" s="1"/>
  <c r="X16" i="16"/>
  <c r="AB16" i="16" s="1"/>
  <c r="AQ16" i="16" s="1"/>
  <c r="Y16" i="16"/>
  <c r="AC16" i="16" s="1"/>
  <c r="AR16" i="16" s="1"/>
  <c r="AE16" i="16"/>
  <c r="AF16" i="16"/>
  <c r="AG16" i="16"/>
  <c r="AH16" i="16"/>
  <c r="AL16" i="16" s="1"/>
  <c r="V17" i="16"/>
  <c r="Z17" i="16" s="1"/>
  <c r="AO17" i="16" s="1"/>
  <c r="W17" i="16"/>
  <c r="AA17" i="16" s="1"/>
  <c r="AP17" i="16" s="1"/>
  <c r="X17" i="16"/>
  <c r="AB17" i="16" s="1"/>
  <c r="AQ17" i="16" s="1"/>
  <c r="Y17" i="16"/>
  <c r="AC17" i="16" s="1"/>
  <c r="AR17" i="16" s="1"/>
  <c r="AE17" i="16"/>
  <c r="AI17" i="16" s="1"/>
  <c r="AU17" i="16" s="1"/>
  <c r="AF17" i="16"/>
  <c r="AG17" i="16"/>
  <c r="AH17" i="16"/>
  <c r="AL17" i="16" s="1"/>
  <c r="V21" i="16"/>
  <c r="Z21" i="16" s="1"/>
  <c r="AO21" i="16" s="1"/>
  <c r="W21" i="16"/>
  <c r="AA21" i="16" s="1"/>
  <c r="AP21" i="16" s="1"/>
  <c r="X21" i="16"/>
  <c r="AB21" i="16" s="1"/>
  <c r="AQ21" i="16" s="1"/>
  <c r="Y21" i="16"/>
  <c r="AC21" i="16" s="1"/>
  <c r="AR21" i="16" s="1"/>
  <c r="AE21" i="16"/>
  <c r="AF21" i="16"/>
  <c r="AG21" i="16"/>
  <c r="AH21" i="16"/>
  <c r="AL21" i="16" s="1"/>
  <c r="V22" i="16"/>
  <c r="Z22" i="16" s="1"/>
  <c r="AO22" i="16" s="1"/>
  <c r="W22" i="16"/>
  <c r="AA22" i="16" s="1"/>
  <c r="AP22" i="16" s="1"/>
  <c r="X22" i="16"/>
  <c r="AB22" i="16" s="1"/>
  <c r="AQ22" i="16" s="1"/>
  <c r="Y22" i="16"/>
  <c r="AC22" i="16" s="1"/>
  <c r="AR22" i="16" s="1"/>
  <c r="AE22" i="16"/>
  <c r="AI22" i="16" s="1"/>
  <c r="AF22" i="16"/>
  <c r="AJ22" i="16" s="1"/>
  <c r="AV22" i="16" s="1"/>
  <c r="AG22" i="16"/>
  <c r="AH22" i="16"/>
  <c r="AL22" i="16" s="1"/>
  <c r="AU22" i="16"/>
  <c r="V23" i="16"/>
  <c r="Z23" i="16" s="1"/>
  <c r="AO23" i="16" s="1"/>
  <c r="W23" i="16"/>
  <c r="AA23" i="16" s="1"/>
  <c r="AP23" i="16" s="1"/>
  <c r="X23" i="16"/>
  <c r="AB23" i="16" s="1"/>
  <c r="AQ23" i="16" s="1"/>
  <c r="Y23" i="16"/>
  <c r="AC23" i="16" s="1"/>
  <c r="AR23" i="16" s="1"/>
  <c r="AE23" i="16"/>
  <c r="AF23" i="16"/>
  <c r="AG23" i="16"/>
  <c r="AH23" i="16"/>
  <c r="AL23" i="16" s="1"/>
  <c r="V24" i="16"/>
  <c r="Z24" i="16" s="1"/>
  <c r="AO24" i="16" s="1"/>
  <c r="W24" i="16"/>
  <c r="AA24" i="16" s="1"/>
  <c r="AP24" i="16" s="1"/>
  <c r="X24" i="16"/>
  <c r="AB24" i="16" s="1"/>
  <c r="AQ24" i="16" s="1"/>
  <c r="Y24" i="16"/>
  <c r="AC24" i="16" s="1"/>
  <c r="AR24" i="16" s="1"/>
  <c r="AE24" i="16"/>
  <c r="AI24" i="16" s="1"/>
  <c r="AU24" i="16" s="1"/>
  <c r="AF24" i="16"/>
  <c r="AJ24" i="16" s="1"/>
  <c r="AV24" i="16" s="1"/>
  <c r="AG24" i="16"/>
  <c r="AH24" i="16"/>
  <c r="AL24" i="16" s="1"/>
  <c r="V25" i="16"/>
  <c r="Z25" i="16" s="1"/>
  <c r="AO25" i="16" s="1"/>
  <c r="W25" i="16"/>
  <c r="AA25" i="16" s="1"/>
  <c r="AP25" i="16" s="1"/>
  <c r="X25" i="16"/>
  <c r="Y25" i="16"/>
  <c r="AC25" i="16" s="1"/>
  <c r="AR25" i="16" s="1"/>
  <c r="AB25" i="16"/>
  <c r="AQ25" i="16" s="1"/>
  <c r="AE25" i="16"/>
  <c r="AF25" i="16"/>
  <c r="AG25" i="16"/>
  <c r="AH25" i="16"/>
  <c r="AL25" i="16" s="1"/>
  <c r="V26" i="16"/>
  <c r="Z26" i="16" s="1"/>
  <c r="AO26" i="16" s="1"/>
  <c r="W26" i="16"/>
  <c r="AA26" i="16" s="1"/>
  <c r="AP26" i="16" s="1"/>
  <c r="X26" i="16"/>
  <c r="AB26" i="16" s="1"/>
  <c r="AQ26" i="16" s="1"/>
  <c r="Y26" i="16"/>
  <c r="AC26" i="16" s="1"/>
  <c r="AR26" i="16" s="1"/>
  <c r="AE26" i="16"/>
  <c r="AF26" i="16"/>
  <c r="AG26" i="16"/>
  <c r="AH26" i="16"/>
  <c r="AL26" i="16" s="1"/>
  <c r="V30" i="16"/>
  <c r="Z30" i="16" s="1"/>
  <c r="AO30" i="16" s="1"/>
  <c r="W30" i="16"/>
  <c r="AA30" i="16" s="1"/>
  <c r="AP30" i="16" s="1"/>
  <c r="X30" i="16"/>
  <c r="AB30" i="16" s="1"/>
  <c r="AQ30" i="16" s="1"/>
  <c r="Y30" i="16"/>
  <c r="AC30" i="16" s="1"/>
  <c r="AR30" i="16" s="1"/>
  <c r="AE30" i="16"/>
  <c r="AF30" i="16"/>
  <c r="AG30" i="16"/>
  <c r="AH30" i="16"/>
  <c r="AL30" i="16" s="1"/>
  <c r="V31" i="16"/>
  <c r="Z31" i="16" s="1"/>
  <c r="AO31" i="16" s="1"/>
  <c r="W31" i="16"/>
  <c r="AA31" i="16" s="1"/>
  <c r="AP31" i="16" s="1"/>
  <c r="X31" i="16"/>
  <c r="AB31" i="16" s="1"/>
  <c r="AQ31" i="16" s="1"/>
  <c r="Y31" i="16"/>
  <c r="AC31" i="16" s="1"/>
  <c r="AR31" i="16" s="1"/>
  <c r="AE31" i="16"/>
  <c r="AI31" i="16" s="1"/>
  <c r="AU31" i="16" s="1"/>
  <c r="AF31" i="16"/>
  <c r="AJ31" i="16" s="1"/>
  <c r="AV31" i="16" s="1"/>
  <c r="AG31" i="16"/>
  <c r="AH31" i="16"/>
  <c r="AL31" i="16" s="1"/>
  <c r="V32" i="16"/>
  <c r="Z32" i="16" s="1"/>
  <c r="AO32" i="16" s="1"/>
  <c r="W32" i="16"/>
  <c r="AA32" i="16" s="1"/>
  <c r="AP32" i="16" s="1"/>
  <c r="X32" i="16"/>
  <c r="AB32" i="16" s="1"/>
  <c r="AQ32" i="16" s="1"/>
  <c r="Y32" i="16"/>
  <c r="AC32" i="16" s="1"/>
  <c r="AR32" i="16" s="1"/>
  <c r="AE32" i="16"/>
  <c r="AI32" i="16" s="1"/>
  <c r="AU32" i="16" s="1"/>
  <c r="AF32" i="16"/>
  <c r="AJ32" i="16" s="1"/>
  <c r="AV32" i="16" s="1"/>
  <c r="AG32" i="16"/>
  <c r="AH32" i="16"/>
  <c r="AL32" i="16" s="1"/>
  <c r="V33" i="16"/>
  <c r="Z33" i="16" s="1"/>
  <c r="AO33" i="16" s="1"/>
  <c r="W33" i="16"/>
  <c r="AA33" i="16" s="1"/>
  <c r="AP33" i="16" s="1"/>
  <c r="X33" i="16"/>
  <c r="AB33" i="16" s="1"/>
  <c r="AQ33" i="16" s="1"/>
  <c r="Y33" i="16"/>
  <c r="AC33" i="16" s="1"/>
  <c r="AR33" i="16" s="1"/>
  <c r="AE33" i="16"/>
  <c r="AF33" i="16"/>
  <c r="AG33" i="16"/>
  <c r="AH33" i="16"/>
  <c r="AL33" i="16" s="1"/>
  <c r="V34" i="16"/>
  <c r="Z34" i="16" s="1"/>
  <c r="AO34" i="16" s="1"/>
  <c r="W34" i="16"/>
  <c r="AA34" i="16" s="1"/>
  <c r="AP34" i="16" s="1"/>
  <c r="X34" i="16"/>
  <c r="AB34" i="16" s="1"/>
  <c r="AQ34" i="16" s="1"/>
  <c r="Y34" i="16"/>
  <c r="AC34" i="16" s="1"/>
  <c r="AR34" i="16" s="1"/>
  <c r="AE34" i="16"/>
  <c r="AI34" i="16" s="1"/>
  <c r="AU34" i="16" s="1"/>
  <c r="AF34" i="16"/>
  <c r="AG34" i="16"/>
  <c r="AH34" i="16"/>
  <c r="AL34" i="16" s="1"/>
  <c r="V35" i="16"/>
  <c r="Z35" i="16" s="1"/>
  <c r="AO35" i="16" s="1"/>
  <c r="W35" i="16"/>
  <c r="AA35" i="16" s="1"/>
  <c r="AP35" i="16" s="1"/>
  <c r="X35" i="16"/>
  <c r="AB35" i="16" s="1"/>
  <c r="AQ35" i="16" s="1"/>
  <c r="Y35" i="16"/>
  <c r="AC35" i="16" s="1"/>
  <c r="AR35" i="16" s="1"/>
  <c r="AE35" i="16"/>
  <c r="AI35" i="16" s="1"/>
  <c r="AU35" i="16" s="1"/>
  <c r="AF35" i="16"/>
  <c r="AJ35" i="16" s="1"/>
  <c r="AG35" i="16"/>
  <c r="AH35" i="16"/>
  <c r="V39" i="16"/>
  <c r="Z39" i="16" s="1"/>
  <c r="AO39" i="16" s="1"/>
  <c r="W39" i="16"/>
  <c r="AA39" i="16" s="1"/>
  <c r="AP39" i="16" s="1"/>
  <c r="X39" i="16"/>
  <c r="AB39" i="16" s="1"/>
  <c r="AQ39" i="16" s="1"/>
  <c r="Y39" i="16"/>
  <c r="AC39" i="16" s="1"/>
  <c r="AR39" i="16" s="1"/>
  <c r="AE39" i="16"/>
  <c r="AI39" i="16" s="1"/>
  <c r="AF39" i="16"/>
  <c r="AG39" i="16"/>
  <c r="AH39" i="16"/>
  <c r="AU39" i="16"/>
  <c r="V40" i="16"/>
  <c r="Z40" i="16" s="1"/>
  <c r="AO40" i="16" s="1"/>
  <c r="W40" i="16"/>
  <c r="AA40" i="16" s="1"/>
  <c r="AP40" i="16" s="1"/>
  <c r="X40" i="16"/>
  <c r="AB40" i="16" s="1"/>
  <c r="AQ40" i="16" s="1"/>
  <c r="Y40" i="16"/>
  <c r="AC40" i="16" s="1"/>
  <c r="AR40" i="16" s="1"/>
  <c r="AE40" i="16"/>
  <c r="AF40" i="16"/>
  <c r="AJ40" i="16" s="1"/>
  <c r="AG40" i="16"/>
  <c r="AH40" i="16"/>
  <c r="V41" i="16"/>
  <c r="Z41" i="16" s="1"/>
  <c r="AO41" i="16" s="1"/>
  <c r="W41" i="16"/>
  <c r="AA41" i="16" s="1"/>
  <c r="AP41" i="16" s="1"/>
  <c r="X41" i="16"/>
  <c r="AB41" i="16" s="1"/>
  <c r="AQ41" i="16" s="1"/>
  <c r="Y41" i="16"/>
  <c r="AC41" i="16" s="1"/>
  <c r="AR41" i="16" s="1"/>
  <c r="AE41" i="16"/>
  <c r="AI41" i="16" s="1"/>
  <c r="AU41" i="16" s="1"/>
  <c r="AF41" i="16"/>
  <c r="AG41" i="16"/>
  <c r="AK41" i="16" s="1"/>
  <c r="AW41" i="16" s="1"/>
  <c r="AH41" i="16"/>
  <c r="V42" i="16"/>
  <c r="Z42" i="16" s="1"/>
  <c r="AO42" i="16" s="1"/>
  <c r="W42" i="16"/>
  <c r="AA42" i="16" s="1"/>
  <c r="AP42" i="16" s="1"/>
  <c r="X42" i="16"/>
  <c r="AB42" i="16" s="1"/>
  <c r="AQ42" i="16" s="1"/>
  <c r="Y42" i="16"/>
  <c r="AC42" i="16" s="1"/>
  <c r="AR42" i="16" s="1"/>
  <c r="AE42" i="16"/>
  <c r="AI42" i="16" s="1"/>
  <c r="AU42" i="16" s="1"/>
  <c r="AF42" i="16"/>
  <c r="AG42" i="16"/>
  <c r="AH42" i="16"/>
  <c r="V43" i="16"/>
  <c r="Z43" i="16" s="1"/>
  <c r="AO43" i="16" s="1"/>
  <c r="W43" i="16"/>
  <c r="AA43" i="16" s="1"/>
  <c r="AP43" i="16" s="1"/>
  <c r="X43" i="16"/>
  <c r="AB43" i="16" s="1"/>
  <c r="AQ43" i="16" s="1"/>
  <c r="Y43" i="16"/>
  <c r="AC43" i="16" s="1"/>
  <c r="AR43" i="16" s="1"/>
  <c r="AE43" i="16"/>
  <c r="AI43" i="16" s="1"/>
  <c r="AU43" i="16" s="1"/>
  <c r="AF43" i="16"/>
  <c r="AJ43" i="16" s="1"/>
  <c r="AV43" i="16" s="1"/>
  <c r="AG43" i="16"/>
  <c r="AK43" i="16" s="1"/>
  <c r="AW43" i="16" s="1"/>
  <c r="AH43" i="16"/>
  <c r="AL43" i="16" s="1"/>
  <c r="AX43" i="16"/>
  <c r="V44" i="16"/>
  <c r="Z44" i="16" s="1"/>
  <c r="AO44" i="16" s="1"/>
  <c r="W44" i="16"/>
  <c r="AA44" i="16" s="1"/>
  <c r="AP44" i="16" s="1"/>
  <c r="X44" i="16"/>
  <c r="AB44" i="16" s="1"/>
  <c r="AQ44" i="16" s="1"/>
  <c r="Y44" i="16"/>
  <c r="AC44" i="16" s="1"/>
  <c r="AR44" i="16" s="1"/>
  <c r="AE44" i="16"/>
  <c r="AI44" i="16" s="1"/>
  <c r="AU44" i="16" s="1"/>
  <c r="AF44" i="16"/>
  <c r="AG44" i="16"/>
  <c r="AK44" i="16" s="1"/>
  <c r="AW44" i="16" s="1"/>
  <c r="AH44" i="16"/>
  <c r="V48" i="16"/>
  <c r="Z48" i="16" s="1"/>
  <c r="AO48" i="16" s="1"/>
  <c r="W48" i="16"/>
  <c r="AA48" i="16" s="1"/>
  <c r="AP48" i="16" s="1"/>
  <c r="X48" i="16"/>
  <c r="AB48" i="16" s="1"/>
  <c r="AQ48" i="16" s="1"/>
  <c r="Y48" i="16"/>
  <c r="AC48" i="16" s="1"/>
  <c r="AR48" i="16" s="1"/>
  <c r="AE48" i="16"/>
  <c r="AI48" i="16" s="1"/>
  <c r="AU48" i="16" s="1"/>
  <c r="AF48" i="16"/>
  <c r="AG48" i="16"/>
  <c r="AH48" i="16"/>
  <c r="V49" i="16"/>
  <c r="Z49" i="16" s="1"/>
  <c r="AO49" i="16" s="1"/>
  <c r="W49" i="16"/>
  <c r="AA49" i="16" s="1"/>
  <c r="AP49" i="16" s="1"/>
  <c r="X49" i="16"/>
  <c r="AB49" i="16" s="1"/>
  <c r="AQ49" i="16" s="1"/>
  <c r="Y49" i="16"/>
  <c r="AC49" i="16" s="1"/>
  <c r="AR49" i="16" s="1"/>
  <c r="AE49" i="16"/>
  <c r="AI49" i="16" s="1"/>
  <c r="AU49" i="16" s="1"/>
  <c r="AF49" i="16"/>
  <c r="AG49" i="16"/>
  <c r="AH49" i="16"/>
  <c r="V50" i="16"/>
  <c r="Z50" i="16" s="1"/>
  <c r="AO50" i="16" s="1"/>
  <c r="W50" i="16"/>
  <c r="AA50" i="16" s="1"/>
  <c r="AP50" i="16" s="1"/>
  <c r="X50" i="16"/>
  <c r="AB50" i="16" s="1"/>
  <c r="AQ50" i="16" s="1"/>
  <c r="Y50" i="16"/>
  <c r="AC50" i="16" s="1"/>
  <c r="AR50" i="16" s="1"/>
  <c r="AE50" i="16"/>
  <c r="AI50" i="16" s="1"/>
  <c r="AU50" i="16" s="1"/>
  <c r="AF50" i="16"/>
  <c r="AJ50" i="16" s="1"/>
  <c r="AV50" i="16" s="1"/>
  <c r="AG50" i="16"/>
  <c r="AH50" i="16"/>
  <c r="V51" i="16"/>
  <c r="Z51" i="16" s="1"/>
  <c r="AO51" i="16" s="1"/>
  <c r="W51" i="16"/>
  <c r="AA51" i="16" s="1"/>
  <c r="AP51" i="16" s="1"/>
  <c r="X51" i="16"/>
  <c r="AB51" i="16" s="1"/>
  <c r="AQ51" i="16" s="1"/>
  <c r="Y51" i="16"/>
  <c r="AC51" i="16" s="1"/>
  <c r="AR51" i="16" s="1"/>
  <c r="AE51" i="16"/>
  <c r="AF51" i="16"/>
  <c r="AG51" i="16"/>
  <c r="AH51" i="16"/>
  <c r="V52" i="16"/>
  <c r="Z52" i="16" s="1"/>
  <c r="AO52" i="16" s="1"/>
  <c r="W52" i="16"/>
  <c r="AA52" i="16" s="1"/>
  <c r="AP52" i="16" s="1"/>
  <c r="X52" i="16"/>
  <c r="AB52" i="16" s="1"/>
  <c r="AQ52" i="16" s="1"/>
  <c r="Y52" i="16"/>
  <c r="AC52" i="16" s="1"/>
  <c r="AR52" i="16" s="1"/>
  <c r="AE52" i="16"/>
  <c r="AI52" i="16" s="1"/>
  <c r="AU52" i="16" s="1"/>
  <c r="AF52" i="16"/>
  <c r="AG52" i="16"/>
  <c r="AH52" i="16"/>
  <c r="V53" i="16"/>
  <c r="Z53" i="16" s="1"/>
  <c r="AO53" i="16" s="1"/>
  <c r="W53" i="16"/>
  <c r="AA53" i="16" s="1"/>
  <c r="AP53" i="16" s="1"/>
  <c r="X53" i="16"/>
  <c r="AB53" i="16" s="1"/>
  <c r="AQ53" i="16" s="1"/>
  <c r="Y53" i="16"/>
  <c r="AC53" i="16" s="1"/>
  <c r="AR53" i="16" s="1"/>
  <c r="AE53" i="16"/>
  <c r="AI53" i="16" s="1"/>
  <c r="AF53" i="16"/>
  <c r="AJ53" i="16" s="1"/>
  <c r="AV53" i="16" s="1"/>
  <c r="AG53" i="16"/>
  <c r="AH53" i="16"/>
  <c r="AU53" i="16"/>
  <c r="V57" i="16"/>
  <c r="Z57" i="16" s="1"/>
  <c r="AO57" i="16" s="1"/>
  <c r="W57" i="16"/>
  <c r="AA57" i="16" s="1"/>
  <c r="AP57" i="16" s="1"/>
  <c r="X57" i="16"/>
  <c r="AB57" i="16" s="1"/>
  <c r="AQ57" i="16" s="1"/>
  <c r="Y57" i="16"/>
  <c r="AC57" i="16" s="1"/>
  <c r="AR57" i="16" s="1"/>
  <c r="AE57" i="16"/>
  <c r="AF57" i="16"/>
  <c r="AJ57" i="16" s="1"/>
  <c r="AV57" i="16" s="1"/>
  <c r="AG57" i="16"/>
  <c r="AH57" i="16"/>
  <c r="V58" i="16"/>
  <c r="Z58" i="16" s="1"/>
  <c r="AO58" i="16" s="1"/>
  <c r="W58" i="16"/>
  <c r="AA58" i="16" s="1"/>
  <c r="AP58" i="16" s="1"/>
  <c r="X58" i="16"/>
  <c r="AB58" i="16" s="1"/>
  <c r="AQ58" i="16" s="1"/>
  <c r="Y58" i="16"/>
  <c r="AC58" i="16" s="1"/>
  <c r="AR58" i="16" s="1"/>
  <c r="AE58" i="16"/>
  <c r="AF58" i="16"/>
  <c r="AG58" i="16"/>
  <c r="AH58" i="16"/>
  <c r="V59" i="16"/>
  <c r="Z59" i="16" s="1"/>
  <c r="AO59" i="16" s="1"/>
  <c r="W59" i="16"/>
  <c r="AA59" i="16" s="1"/>
  <c r="AP59" i="16" s="1"/>
  <c r="X59" i="16"/>
  <c r="AB59" i="16" s="1"/>
  <c r="AQ59" i="16" s="1"/>
  <c r="Y59" i="16"/>
  <c r="AC59" i="16" s="1"/>
  <c r="AR59" i="16" s="1"/>
  <c r="AE59" i="16"/>
  <c r="AI59" i="16" s="1"/>
  <c r="AU59" i="16" s="1"/>
  <c r="AF59" i="16"/>
  <c r="AJ59" i="16" s="1"/>
  <c r="AV59" i="16" s="1"/>
  <c r="AG59" i="16"/>
  <c r="AH59" i="16"/>
  <c r="V60" i="16"/>
  <c r="Z60" i="16" s="1"/>
  <c r="AO60" i="16" s="1"/>
  <c r="W60" i="16"/>
  <c r="AA60" i="16" s="1"/>
  <c r="AP60" i="16" s="1"/>
  <c r="X60" i="16"/>
  <c r="AB60" i="16" s="1"/>
  <c r="AQ60" i="16" s="1"/>
  <c r="Y60" i="16"/>
  <c r="AC60" i="16" s="1"/>
  <c r="AR60" i="16" s="1"/>
  <c r="AE60" i="16"/>
  <c r="AI60" i="16" s="1"/>
  <c r="AU60" i="16" s="1"/>
  <c r="AF60" i="16"/>
  <c r="AJ60" i="16" s="1"/>
  <c r="AV60" i="16" s="1"/>
  <c r="AG60" i="16"/>
  <c r="AH60" i="16"/>
  <c r="V61" i="16"/>
  <c r="Z61" i="16" s="1"/>
  <c r="AO61" i="16" s="1"/>
  <c r="W61" i="16"/>
  <c r="AA61" i="16" s="1"/>
  <c r="AP61" i="16" s="1"/>
  <c r="X61" i="16"/>
  <c r="Y61" i="16"/>
  <c r="AC61" i="16" s="1"/>
  <c r="AR61" i="16" s="1"/>
  <c r="AB61" i="16"/>
  <c r="AQ61" i="16" s="1"/>
  <c r="AE61" i="16"/>
  <c r="AF61" i="16"/>
  <c r="AG61" i="16"/>
  <c r="AH61" i="16"/>
  <c r="V62" i="16"/>
  <c r="Z62" i="16" s="1"/>
  <c r="AO62" i="16" s="1"/>
  <c r="W62" i="16"/>
  <c r="AA62" i="16" s="1"/>
  <c r="AP62" i="16" s="1"/>
  <c r="X62" i="16"/>
  <c r="AB62" i="16" s="1"/>
  <c r="AQ62" i="16" s="1"/>
  <c r="Y62" i="16"/>
  <c r="AC62" i="16" s="1"/>
  <c r="AR62" i="16" s="1"/>
  <c r="AE62" i="16"/>
  <c r="AF62" i="16"/>
  <c r="AG62" i="16"/>
  <c r="AH62" i="16"/>
  <c r="V66" i="16"/>
  <c r="Z66" i="16" s="1"/>
  <c r="AO66" i="16" s="1"/>
  <c r="W66" i="16"/>
  <c r="AA66" i="16" s="1"/>
  <c r="AP66" i="16" s="1"/>
  <c r="X66" i="16"/>
  <c r="AB66" i="16" s="1"/>
  <c r="AQ66" i="16" s="1"/>
  <c r="Y66" i="16"/>
  <c r="AC66" i="16" s="1"/>
  <c r="AR66" i="16" s="1"/>
  <c r="AE66" i="16"/>
  <c r="AI66" i="16" s="1"/>
  <c r="AU66" i="16" s="1"/>
  <c r="AF66" i="16"/>
  <c r="AJ66" i="16" s="1"/>
  <c r="AV66" i="16" s="1"/>
  <c r="AG66" i="16"/>
  <c r="AH66" i="16"/>
  <c r="V67" i="16"/>
  <c r="Z67" i="16" s="1"/>
  <c r="AO67" i="16" s="1"/>
  <c r="W67" i="16"/>
  <c r="AA67" i="16" s="1"/>
  <c r="AP67" i="16" s="1"/>
  <c r="X67" i="16"/>
  <c r="AB67" i="16" s="1"/>
  <c r="AQ67" i="16" s="1"/>
  <c r="Y67" i="16"/>
  <c r="AC67" i="16"/>
  <c r="AR67" i="16" s="1"/>
  <c r="AE67" i="16"/>
  <c r="AF67" i="16"/>
  <c r="AJ67" i="16" s="1"/>
  <c r="AG67" i="16"/>
  <c r="AH67" i="16"/>
  <c r="AV67" i="16"/>
  <c r="V68" i="16"/>
  <c r="Z68" i="16" s="1"/>
  <c r="AO68" i="16" s="1"/>
  <c r="W68" i="16"/>
  <c r="AA68" i="16" s="1"/>
  <c r="AP68" i="16" s="1"/>
  <c r="X68" i="16"/>
  <c r="AB68" i="16" s="1"/>
  <c r="AQ68" i="16" s="1"/>
  <c r="Y68" i="16"/>
  <c r="AC68" i="16" s="1"/>
  <c r="AR68" i="16" s="1"/>
  <c r="AE68" i="16"/>
  <c r="AF68" i="16"/>
  <c r="AG68" i="16"/>
  <c r="AH68" i="16"/>
  <c r="V69" i="16"/>
  <c r="Z69" i="16" s="1"/>
  <c r="AO69" i="16" s="1"/>
  <c r="W69" i="16"/>
  <c r="AA69" i="16" s="1"/>
  <c r="AP69" i="16" s="1"/>
  <c r="X69" i="16"/>
  <c r="AB69" i="16" s="1"/>
  <c r="AQ69" i="16" s="1"/>
  <c r="Y69" i="16"/>
  <c r="AC69" i="16" s="1"/>
  <c r="AR69" i="16" s="1"/>
  <c r="AE69" i="16"/>
  <c r="AI69" i="16" s="1"/>
  <c r="AU69" i="16" s="1"/>
  <c r="AF69" i="16"/>
  <c r="AJ69" i="16" s="1"/>
  <c r="AV69" i="16" s="1"/>
  <c r="AG69" i="16"/>
  <c r="AH69" i="16"/>
  <c r="V70" i="16"/>
  <c r="Z70" i="16" s="1"/>
  <c r="AO70" i="16" s="1"/>
  <c r="W70" i="16"/>
  <c r="AA70" i="16" s="1"/>
  <c r="AP70" i="16" s="1"/>
  <c r="X70" i="16"/>
  <c r="AB70" i="16" s="1"/>
  <c r="AQ70" i="16" s="1"/>
  <c r="Y70" i="16"/>
  <c r="AC70" i="16" s="1"/>
  <c r="AR70" i="16" s="1"/>
  <c r="AE70" i="16"/>
  <c r="AI70" i="16" s="1"/>
  <c r="AU70" i="16" s="1"/>
  <c r="AF70" i="16"/>
  <c r="AJ70" i="16" s="1"/>
  <c r="AV70" i="16" s="1"/>
  <c r="AG70" i="16"/>
  <c r="AH70" i="16"/>
  <c r="V71" i="16"/>
  <c r="Z71" i="16" s="1"/>
  <c r="AO71" i="16" s="1"/>
  <c r="W71" i="16"/>
  <c r="AA71" i="16" s="1"/>
  <c r="AP71" i="16" s="1"/>
  <c r="X71" i="16"/>
  <c r="AB71" i="16" s="1"/>
  <c r="AQ71" i="16" s="1"/>
  <c r="Y71" i="16"/>
  <c r="AC71" i="16" s="1"/>
  <c r="AR71" i="16" s="1"/>
  <c r="AE71" i="16"/>
  <c r="AF71" i="16"/>
  <c r="AJ71" i="16" s="1"/>
  <c r="AV71" i="16" s="1"/>
  <c r="AG71" i="16"/>
  <c r="AH71" i="16"/>
  <c r="V75" i="16"/>
  <c r="Z75" i="16" s="1"/>
  <c r="AO75" i="16" s="1"/>
  <c r="W75" i="16"/>
  <c r="AA75" i="16" s="1"/>
  <c r="AP75" i="16" s="1"/>
  <c r="X75" i="16"/>
  <c r="AB75" i="16" s="1"/>
  <c r="AQ75" i="16" s="1"/>
  <c r="Y75" i="16"/>
  <c r="AC75" i="16" s="1"/>
  <c r="AR75" i="16" s="1"/>
  <c r="AE75" i="16"/>
  <c r="AI75" i="16" s="1"/>
  <c r="AU75" i="16" s="1"/>
  <c r="AF75" i="16"/>
  <c r="AG75" i="16"/>
  <c r="AH75" i="16"/>
  <c r="V76" i="16"/>
  <c r="Z76" i="16" s="1"/>
  <c r="AO76" i="16" s="1"/>
  <c r="W76" i="16"/>
  <c r="AA76" i="16" s="1"/>
  <c r="AP76" i="16" s="1"/>
  <c r="X76" i="16"/>
  <c r="AB76" i="16" s="1"/>
  <c r="AQ76" i="16" s="1"/>
  <c r="Y76" i="16"/>
  <c r="AC76" i="16" s="1"/>
  <c r="AR76" i="16" s="1"/>
  <c r="AE76" i="16"/>
  <c r="AI76" i="16" s="1"/>
  <c r="AU76" i="16" s="1"/>
  <c r="AF76" i="16"/>
  <c r="AJ76" i="16" s="1"/>
  <c r="AV76" i="16" s="1"/>
  <c r="AG76" i="16"/>
  <c r="AH76" i="16"/>
  <c r="V77" i="16"/>
  <c r="Z77" i="16" s="1"/>
  <c r="AO77" i="16" s="1"/>
  <c r="W77" i="16"/>
  <c r="AA77" i="16" s="1"/>
  <c r="AP77" i="16" s="1"/>
  <c r="X77" i="16"/>
  <c r="AB77" i="16" s="1"/>
  <c r="AQ77" i="16" s="1"/>
  <c r="Y77" i="16"/>
  <c r="AC77" i="16" s="1"/>
  <c r="AR77" i="16" s="1"/>
  <c r="AE77" i="16"/>
  <c r="AF77" i="16"/>
  <c r="AJ77" i="16" s="1"/>
  <c r="AV77" i="16" s="1"/>
  <c r="AG77" i="16"/>
  <c r="AH77" i="16"/>
  <c r="V78" i="16"/>
  <c r="Z78" i="16" s="1"/>
  <c r="AO78" i="16" s="1"/>
  <c r="W78" i="16"/>
  <c r="AA78" i="16" s="1"/>
  <c r="AP78" i="16" s="1"/>
  <c r="X78" i="16"/>
  <c r="AB78" i="16" s="1"/>
  <c r="AQ78" i="16" s="1"/>
  <c r="Y78" i="16"/>
  <c r="AC78" i="16" s="1"/>
  <c r="AR78" i="16" s="1"/>
  <c r="AE78" i="16"/>
  <c r="AF78" i="16"/>
  <c r="AJ78" i="16" s="1"/>
  <c r="AV78" i="16" s="1"/>
  <c r="AG78" i="16"/>
  <c r="AH78" i="16"/>
  <c r="V79" i="16"/>
  <c r="Z79" i="16" s="1"/>
  <c r="AO79" i="16" s="1"/>
  <c r="W79" i="16"/>
  <c r="AA79" i="16" s="1"/>
  <c r="AP79" i="16" s="1"/>
  <c r="X79" i="16"/>
  <c r="AB79" i="16" s="1"/>
  <c r="AQ79" i="16" s="1"/>
  <c r="Y79" i="16"/>
  <c r="AC79" i="16" s="1"/>
  <c r="AR79" i="16" s="1"/>
  <c r="AE79" i="16"/>
  <c r="AF79" i="16"/>
  <c r="AG79" i="16"/>
  <c r="AH79" i="16"/>
  <c r="V80" i="16"/>
  <c r="Z80" i="16" s="1"/>
  <c r="AO80" i="16" s="1"/>
  <c r="W80" i="16"/>
  <c r="AA80" i="16" s="1"/>
  <c r="AP80" i="16" s="1"/>
  <c r="X80" i="16"/>
  <c r="AB80" i="16" s="1"/>
  <c r="AQ80" i="16" s="1"/>
  <c r="Y80" i="16"/>
  <c r="AC80" i="16" s="1"/>
  <c r="AR80" i="16" s="1"/>
  <c r="AE80" i="16"/>
  <c r="AI80" i="16" s="1"/>
  <c r="AU80" i="16" s="1"/>
  <c r="AF80" i="16"/>
  <c r="AJ80" i="16" s="1"/>
  <c r="AV80" i="16" s="1"/>
  <c r="AG80" i="16"/>
  <c r="AH80" i="16"/>
  <c r="V84" i="16"/>
  <c r="Z84" i="16" s="1"/>
  <c r="AO84" i="16" s="1"/>
  <c r="W84" i="16"/>
  <c r="AA84" i="16" s="1"/>
  <c r="AP84" i="16" s="1"/>
  <c r="X84" i="16"/>
  <c r="AB84" i="16" s="1"/>
  <c r="AQ84" i="16" s="1"/>
  <c r="Y84" i="16"/>
  <c r="AC84" i="16" s="1"/>
  <c r="AR84" i="16" s="1"/>
  <c r="AE84" i="16"/>
  <c r="AF84" i="16"/>
  <c r="AJ84" i="16" s="1"/>
  <c r="AG84" i="16"/>
  <c r="AH84" i="16"/>
  <c r="V85" i="16"/>
  <c r="Z85" i="16" s="1"/>
  <c r="AO85" i="16" s="1"/>
  <c r="W85" i="16"/>
  <c r="AA85" i="16" s="1"/>
  <c r="AP85" i="16" s="1"/>
  <c r="X85" i="16"/>
  <c r="AB85" i="16" s="1"/>
  <c r="AQ85" i="16" s="1"/>
  <c r="Y85" i="16"/>
  <c r="AC85" i="16" s="1"/>
  <c r="AR85" i="16" s="1"/>
  <c r="AE85" i="16"/>
  <c r="AF85" i="16"/>
  <c r="AJ85" i="16" s="1"/>
  <c r="AG85" i="16"/>
  <c r="AH85" i="16"/>
  <c r="V86" i="16"/>
  <c r="Z86" i="16" s="1"/>
  <c r="AO86" i="16" s="1"/>
  <c r="W86" i="16"/>
  <c r="AA86" i="16" s="1"/>
  <c r="AP86" i="16" s="1"/>
  <c r="X86" i="16"/>
  <c r="AB86" i="16" s="1"/>
  <c r="AQ86" i="16" s="1"/>
  <c r="Y86" i="16"/>
  <c r="AC86" i="16" s="1"/>
  <c r="AR86" i="16" s="1"/>
  <c r="AE86" i="16"/>
  <c r="AF86" i="16"/>
  <c r="AJ86" i="16" s="1"/>
  <c r="AG86" i="16"/>
  <c r="AH86" i="16"/>
  <c r="V87" i="16"/>
  <c r="Z87" i="16" s="1"/>
  <c r="AO87" i="16" s="1"/>
  <c r="W87" i="16"/>
  <c r="AA87" i="16" s="1"/>
  <c r="AP87" i="16" s="1"/>
  <c r="X87" i="16"/>
  <c r="AB87" i="16" s="1"/>
  <c r="AQ87" i="16" s="1"/>
  <c r="Y87" i="16"/>
  <c r="AC87" i="16" s="1"/>
  <c r="AR87" i="16" s="1"/>
  <c r="AE87" i="16"/>
  <c r="AF87" i="16"/>
  <c r="AJ87" i="16" s="1"/>
  <c r="AG87" i="16"/>
  <c r="AH87" i="16"/>
  <c r="V88" i="16"/>
  <c r="Z88" i="16" s="1"/>
  <c r="AO88" i="16" s="1"/>
  <c r="W88" i="16"/>
  <c r="AA88" i="16" s="1"/>
  <c r="AP88" i="16" s="1"/>
  <c r="X88" i="16"/>
  <c r="AB88" i="16" s="1"/>
  <c r="AQ88" i="16" s="1"/>
  <c r="Y88" i="16"/>
  <c r="AC88" i="16" s="1"/>
  <c r="AR88" i="16" s="1"/>
  <c r="AE88" i="16"/>
  <c r="AI88" i="16" s="1"/>
  <c r="AU88" i="16" s="1"/>
  <c r="AF88" i="16"/>
  <c r="AJ88" i="16" s="1"/>
  <c r="AG88" i="16"/>
  <c r="AH88" i="16"/>
  <c r="V89" i="16"/>
  <c r="Z89" i="16" s="1"/>
  <c r="AO89" i="16" s="1"/>
  <c r="W89" i="16"/>
  <c r="AA89" i="16" s="1"/>
  <c r="AP89" i="16" s="1"/>
  <c r="X89" i="16"/>
  <c r="AB89" i="16" s="1"/>
  <c r="AQ89" i="16" s="1"/>
  <c r="Y89" i="16"/>
  <c r="AC89" i="16" s="1"/>
  <c r="AR89" i="16" s="1"/>
  <c r="AE89" i="16"/>
  <c r="AI89" i="16" s="1"/>
  <c r="AU89" i="16" s="1"/>
  <c r="AF89" i="16"/>
  <c r="AJ89" i="16" s="1"/>
  <c r="AG89" i="16"/>
  <c r="AH89" i="16"/>
  <c r="V93" i="16"/>
  <c r="Z93" i="16" s="1"/>
  <c r="AO93" i="16" s="1"/>
  <c r="W93" i="16"/>
  <c r="AA93" i="16" s="1"/>
  <c r="AP93" i="16" s="1"/>
  <c r="X93" i="16"/>
  <c r="AB93" i="16" s="1"/>
  <c r="AQ93" i="16" s="1"/>
  <c r="Y93" i="16"/>
  <c r="AC93" i="16" s="1"/>
  <c r="AR93" i="16" s="1"/>
  <c r="AE93" i="16"/>
  <c r="AF93" i="16"/>
  <c r="AJ93" i="16" s="1"/>
  <c r="AG93" i="16"/>
  <c r="AH93" i="16"/>
  <c r="V94" i="16"/>
  <c r="Z94" i="16" s="1"/>
  <c r="AO94" i="16" s="1"/>
  <c r="W94" i="16"/>
  <c r="AA94" i="16" s="1"/>
  <c r="AP94" i="16" s="1"/>
  <c r="X94" i="16"/>
  <c r="AB94" i="16" s="1"/>
  <c r="AQ94" i="16" s="1"/>
  <c r="Y94" i="16"/>
  <c r="AC94" i="16" s="1"/>
  <c r="AR94" i="16" s="1"/>
  <c r="AE94" i="16"/>
  <c r="AF94" i="16"/>
  <c r="AJ94" i="16" s="1"/>
  <c r="AG94" i="16"/>
  <c r="AH94" i="16"/>
  <c r="V95" i="16"/>
  <c r="Z95" i="16" s="1"/>
  <c r="AO95" i="16" s="1"/>
  <c r="W95" i="16"/>
  <c r="AA95" i="16" s="1"/>
  <c r="AP95" i="16" s="1"/>
  <c r="X95" i="16"/>
  <c r="AB95" i="16" s="1"/>
  <c r="AQ95" i="16" s="1"/>
  <c r="Y95" i="16"/>
  <c r="AC95" i="16" s="1"/>
  <c r="AR95" i="16" s="1"/>
  <c r="AE95" i="16"/>
  <c r="AI95" i="16" s="1"/>
  <c r="AU95" i="16" s="1"/>
  <c r="AF95" i="16"/>
  <c r="AJ95" i="16" s="1"/>
  <c r="AG95" i="16"/>
  <c r="AH95" i="16"/>
  <c r="V96" i="16"/>
  <c r="Z96" i="16" s="1"/>
  <c r="AO96" i="16" s="1"/>
  <c r="W96" i="16"/>
  <c r="AA96" i="16" s="1"/>
  <c r="AP96" i="16" s="1"/>
  <c r="X96" i="16"/>
  <c r="AB96" i="16" s="1"/>
  <c r="AQ96" i="16" s="1"/>
  <c r="Y96" i="16"/>
  <c r="AC96" i="16"/>
  <c r="AR96" i="16" s="1"/>
  <c r="AE96" i="16"/>
  <c r="AF96" i="16"/>
  <c r="AJ96" i="16" s="1"/>
  <c r="AG96" i="16"/>
  <c r="AH96" i="16"/>
  <c r="V97" i="16"/>
  <c r="Z97" i="16" s="1"/>
  <c r="AO97" i="16" s="1"/>
  <c r="W97" i="16"/>
  <c r="AA97" i="16" s="1"/>
  <c r="AP97" i="16" s="1"/>
  <c r="X97" i="16"/>
  <c r="AB97" i="16" s="1"/>
  <c r="AQ97" i="16" s="1"/>
  <c r="Y97" i="16"/>
  <c r="AC97" i="16" s="1"/>
  <c r="AR97" i="16" s="1"/>
  <c r="AE97" i="16"/>
  <c r="AF97" i="16"/>
  <c r="AJ97" i="16" s="1"/>
  <c r="AG97" i="16"/>
  <c r="AH97" i="16"/>
  <c r="V98" i="16"/>
  <c r="Z98" i="16" s="1"/>
  <c r="AO98" i="16" s="1"/>
  <c r="W98" i="16"/>
  <c r="AA98" i="16" s="1"/>
  <c r="AP98" i="16" s="1"/>
  <c r="X98" i="16"/>
  <c r="AB98" i="16" s="1"/>
  <c r="AQ98" i="16" s="1"/>
  <c r="Y98" i="16"/>
  <c r="AC98" i="16" s="1"/>
  <c r="AR98" i="16" s="1"/>
  <c r="AE98" i="16"/>
  <c r="AI98" i="16" s="1"/>
  <c r="AU98" i="16" s="1"/>
  <c r="AF98" i="16"/>
  <c r="AJ98" i="16" s="1"/>
  <c r="AG98" i="16"/>
  <c r="AH98" i="16"/>
  <c r="V102" i="16"/>
  <c r="Z102" i="16" s="1"/>
  <c r="AO102" i="16" s="1"/>
  <c r="W102" i="16"/>
  <c r="AA102" i="16" s="1"/>
  <c r="AP102" i="16" s="1"/>
  <c r="X102" i="16"/>
  <c r="AB102" i="16" s="1"/>
  <c r="AQ102" i="16" s="1"/>
  <c r="Y102" i="16"/>
  <c r="AC102" i="16" s="1"/>
  <c r="AR102" i="16" s="1"/>
  <c r="AE102" i="16"/>
  <c r="AI102" i="16" s="1"/>
  <c r="AU102" i="16" s="1"/>
  <c r="AF102" i="16"/>
  <c r="AJ102" i="16" s="1"/>
  <c r="AV102" i="16" s="1"/>
  <c r="AG102" i="16"/>
  <c r="AH102" i="16"/>
  <c r="V103" i="16"/>
  <c r="Z103" i="16" s="1"/>
  <c r="AO103" i="16" s="1"/>
  <c r="W103" i="16"/>
  <c r="AA103" i="16" s="1"/>
  <c r="AP103" i="16" s="1"/>
  <c r="X103" i="16"/>
  <c r="AB103" i="16" s="1"/>
  <c r="AQ103" i="16" s="1"/>
  <c r="Y103" i="16"/>
  <c r="AC103" i="16" s="1"/>
  <c r="AR103" i="16" s="1"/>
  <c r="AE103" i="16"/>
  <c r="AF103" i="16"/>
  <c r="AG103" i="16"/>
  <c r="AH103" i="16"/>
  <c r="V104" i="16"/>
  <c r="Z104" i="16" s="1"/>
  <c r="AO104" i="16" s="1"/>
  <c r="W104" i="16"/>
  <c r="AA104" i="16" s="1"/>
  <c r="AP104" i="16" s="1"/>
  <c r="X104" i="16"/>
  <c r="AB104" i="16" s="1"/>
  <c r="AQ104" i="16" s="1"/>
  <c r="Y104" i="16"/>
  <c r="AC104" i="16" s="1"/>
  <c r="AR104" i="16" s="1"/>
  <c r="AE104" i="16"/>
  <c r="AF104" i="16"/>
  <c r="AG104" i="16"/>
  <c r="AH104" i="16"/>
  <c r="V105" i="16"/>
  <c r="Z105" i="16" s="1"/>
  <c r="AO105" i="16" s="1"/>
  <c r="W105" i="16"/>
  <c r="AA105" i="16" s="1"/>
  <c r="AP105" i="16" s="1"/>
  <c r="X105" i="16"/>
  <c r="AB105" i="16" s="1"/>
  <c r="AQ105" i="16" s="1"/>
  <c r="Y105" i="16"/>
  <c r="AC105" i="16" s="1"/>
  <c r="AR105" i="16" s="1"/>
  <c r="AE105" i="16"/>
  <c r="AI105" i="16" s="1"/>
  <c r="AU105" i="16" s="1"/>
  <c r="AF105" i="16"/>
  <c r="AG105" i="16"/>
  <c r="AH105" i="16"/>
  <c r="V106" i="16"/>
  <c r="Z106" i="16" s="1"/>
  <c r="AO106" i="16" s="1"/>
  <c r="W106" i="16"/>
  <c r="AA106" i="16" s="1"/>
  <c r="AP106" i="16" s="1"/>
  <c r="X106" i="16"/>
  <c r="AB106" i="16" s="1"/>
  <c r="AQ106" i="16" s="1"/>
  <c r="Y106" i="16"/>
  <c r="AC106" i="16" s="1"/>
  <c r="AR106" i="16" s="1"/>
  <c r="AE106" i="16"/>
  <c r="AF106" i="16"/>
  <c r="AJ106" i="16" s="1"/>
  <c r="AV106" i="16" s="1"/>
  <c r="AG106" i="16"/>
  <c r="AH106" i="16"/>
  <c r="V107" i="16"/>
  <c r="Z107" i="16" s="1"/>
  <c r="AO107" i="16" s="1"/>
  <c r="W107" i="16"/>
  <c r="AA107" i="16" s="1"/>
  <c r="AP107" i="16" s="1"/>
  <c r="X107" i="16"/>
  <c r="AB107" i="16" s="1"/>
  <c r="AQ107" i="16" s="1"/>
  <c r="Y107" i="16"/>
  <c r="AC107" i="16" s="1"/>
  <c r="AR107" i="16" s="1"/>
  <c r="AE107" i="16"/>
  <c r="AF107" i="16"/>
  <c r="AG107" i="16"/>
  <c r="AH107" i="16"/>
  <c r="V111" i="16"/>
  <c r="Z111" i="16" s="1"/>
  <c r="AO111" i="16" s="1"/>
  <c r="W111" i="16"/>
  <c r="AA111" i="16" s="1"/>
  <c r="AP111" i="16" s="1"/>
  <c r="X111" i="16"/>
  <c r="AB111" i="16" s="1"/>
  <c r="AQ111" i="16" s="1"/>
  <c r="Y111" i="16"/>
  <c r="AC111" i="16" s="1"/>
  <c r="AR111" i="16" s="1"/>
  <c r="AE111" i="16"/>
  <c r="AI111" i="16" s="1"/>
  <c r="AU111" i="16" s="1"/>
  <c r="AF111" i="16"/>
  <c r="AJ111" i="16" s="1"/>
  <c r="AG111" i="16"/>
  <c r="AH111" i="16"/>
  <c r="V112" i="16"/>
  <c r="Z112" i="16" s="1"/>
  <c r="AO112" i="16" s="1"/>
  <c r="W112" i="16"/>
  <c r="AA112" i="16" s="1"/>
  <c r="AP112" i="16" s="1"/>
  <c r="X112" i="16"/>
  <c r="AB112" i="16" s="1"/>
  <c r="AQ112" i="16" s="1"/>
  <c r="Y112" i="16"/>
  <c r="AC112" i="16" s="1"/>
  <c r="AR112" i="16" s="1"/>
  <c r="AE112" i="16"/>
  <c r="AI112" i="16" s="1"/>
  <c r="AU112" i="16" s="1"/>
  <c r="AF112" i="16"/>
  <c r="AJ112" i="16" s="1"/>
  <c r="AG112" i="16"/>
  <c r="AH112" i="16"/>
  <c r="V113" i="16"/>
  <c r="Z113" i="16" s="1"/>
  <c r="AO113" i="16" s="1"/>
  <c r="W113" i="16"/>
  <c r="AA113" i="16" s="1"/>
  <c r="AP113" i="16" s="1"/>
  <c r="X113" i="16"/>
  <c r="AB113" i="16" s="1"/>
  <c r="AQ113" i="16" s="1"/>
  <c r="Y113" i="16"/>
  <c r="AC113" i="16" s="1"/>
  <c r="AR113" i="16" s="1"/>
  <c r="AE113" i="16"/>
  <c r="AI113" i="16" s="1"/>
  <c r="AU113" i="16" s="1"/>
  <c r="AF113" i="16"/>
  <c r="AJ113" i="16" s="1"/>
  <c r="AV113" i="16" s="1"/>
  <c r="AG113" i="16"/>
  <c r="AH113" i="16"/>
  <c r="V114" i="16"/>
  <c r="Z114" i="16" s="1"/>
  <c r="AO114" i="16" s="1"/>
  <c r="W114" i="16"/>
  <c r="AA114" i="16" s="1"/>
  <c r="AP114" i="16" s="1"/>
  <c r="X114" i="16"/>
  <c r="AB114" i="16" s="1"/>
  <c r="AQ114" i="16" s="1"/>
  <c r="Y114" i="16"/>
  <c r="AC114" i="16"/>
  <c r="AR114" i="16" s="1"/>
  <c r="AE114" i="16"/>
  <c r="AI114" i="16" s="1"/>
  <c r="AU114" i="16" s="1"/>
  <c r="AF114" i="16"/>
  <c r="AG114" i="16"/>
  <c r="AH114" i="16"/>
  <c r="V115" i="16"/>
  <c r="Z115" i="16" s="1"/>
  <c r="AO115" i="16" s="1"/>
  <c r="W115" i="16"/>
  <c r="AA115" i="16" s="1"/>
  <c r="AP115" i="16" s="1"/>
  <c r="X115" i="16"/>
  <c r="AB115" i="16" s="1"/>
  <c r="AQ115" i="16" s="1"/>
  <c r="Y115" i="16"/>
  <c r="AC115" i="16" s="1"/>
  <c r="AR115" i="16" s="1"/>
  <c r="AE115" i="16"/>
  <c r="AF115" i="16"/>
  <c r="AJ115" i="16" s="1"/>
  <c r="AV115" i="16" s="1"/>
  <c r="AG115" i="16"/>
  <c r="AH115" i="16"/>
  <c r="V116" i="16"/>
  <c r="Z116" i="16" s="1"/>
  <c r="AO116" i="16" s="1"/>
  <c r="W116" i="16"/>
  <c r="AA116" i="16" s="1"/>
  <c r="AP116" i="16" s="1"/>
  <c r="X116" i="16"/>
  <c r="AB116" i="16" s="1"/>
  <c r="AQ116" i="16" s="1"/>
  <c r="Y116" i="16"/>
  <c r="AC116" i="16" s="1"/>
  <c r="AR116" i="16" s="1"/>
  <c r="AE116" i="16"/>
  <c r="AI116" i="16" s="1"/>
  <c r="AU116" i="16" s="1"/>
  <c r="AF116" i="16"/>
  <c r="AJ116" i="16" s="1"/>
  <c r="AV116" i="16" s="1"/>
  <c r="AG116" i="16"/>
  <c r="AH116" i="16"/>
  <c r="V120" i="16"/>
  <c r="Z120" i="16" s="1"/>
  <c r="AO120" i="16" s="1"/>
  <c r="W120" i="16"/>
  <c r="AA120" i="16" s="1"/>
  <c r="AP120" i="16" s="1"/>
  <c r="X120" i="16"/>
  <c r="AB120" i="16" s="1"/>
  <c r="AQ120" i="16" s="1"/>
  <c r="Y120" i="16"/>
  <c r="AC120" i="16" s="1"/>
  <c r="AR120" i="16" s="1"/>
  <c r="AE120" i="16"/>
  <c r="AI120" i="16" s="1"/>
  <c r="AU120" i="16" s="1"/>
  <c r="AF120" i="16"/>
  <c r="AJ120" i="16" s="1"/>
  <c r="AG120" i="16"/>
  <c r="AH120" i="16"/>
  <c r="V121" i="16"/>
  <c r="Z121" i="16" s="1"/>
  <c r="AO121" i="16" s="1"/>
  <c r="W121" i="16"/>
  <c r="AA121" i="16" s="1"/>
  <c r="AP121" i="16" s="1"/>
  <c r="X121" i="16"/>
  <c r="AB121" i="16" s="1"/>
  <c r="AQ121" i="16" s="1"/>
  <c r="Y121" i="16"/>
  <c r="AC121" i="16" s="1"/>
  <c r="AR121" i="16" s="1"/>
  <c r="AE121" i="16"/>
  <c r="AF121" i="16"/>
  <c r="AJ121" i="16" s="1"/>
  <c r="AG121" i="16"/>
  <c r="AH121" i="16"/>
  <c r="V122" i="16"/>
  <c r="Z122" i="16" s="1"/>
  <c r="W122" i="16"/>
  <c r="AA122" i="16" s="1"/>
  <c r="AP122" i="16" s="1"/>
  <c r="X122" i="16"/>
  <c r="AB122" i="16" s="1"/>
  <c r="AQ122" i="16" s="1"/>
  <c r="Y122" i="16"/>
  <c r="AC122" i="16" s="1"/>
  <c r="AR122" i="16" s="1"/>
  <c r="AE122" i="16"/>
  <c r="AF122" i="16"/>
  <c r="AJ122" i="16" s="1"/>
  <c r="AG122" i="16"/>
  <c r="AH122" i="16"/>
  <c r="AO122" i="16"/>
  <c r="V123" i="16"/>
  <c r="Z123" i="16" s="1"/>
  <c r="AO123" i="16" s="1"/>
  <c r="W123" i="16"/>
  <c r="AA123" i="16" s="1"/>
  <c r="AP123" i="16" s="1"/>
  <c r="X123" i="16"/>
  <c r="AB123" i="16" s="1"/>
  <c r="AQ123" i="16" s="1"/>
  <c r="Y123" i="16"/>
  <c r="AC123" i="16" s="1"/>
  <c r="AR123" i="16" s="1"/>
  <c r="AE123" i="16"/>
  <c r="AI123" i="16" s="1"/>
  <c r="AU123" i="16" s="1"/>
  <c r="AF123" i="16"/>
  <c r="AJ123" i="16" s="1"/>
  <c r="AG123" i="16"/>
  <c r="AH123" i="16"/>
  <c r="V124" i="16"/>
  <c r="Z124" i="16" s="1"/>
  <c r="AO124" i="16" s="1"/>
  <c r="W124" i="16"/>
  <c r="AA124" i="16" s="1"/>
  <c r="AP124" i="16" s="1"/>
  <c r="X124" i="16"/>
  <c r="AB124" i="16" s="1"/>
  <c r="AQ124" i="16" s="1"/>
  <c r="Y124" i="16"/>
  <c r="AC124" i="16" s="1"/>
  <c r="AR124" i="16" s="1"/>
  <c r="AE124" i="16"/>
  <c r="AI124" i="16" s="1"/>
  <c r="AU124" i="16" s="1"/>
  <c r="AF124" i="16"/>
  <c r="AJ124" i="16" s="1"/>
  <c r="AG124" i="16"/>
  <c r="AH124" i="16"/>
  <c r="V125" i="16"/>
  <c r="Z125" i="16" s="1"/>
  <c r="AO125" i="16" s="1"/>
  <c r="W125" i="16"/>
  <c r="AA125" i="16" s="1"/>
  <c r="AP125" i="16" s="1"/>
  <c r="X125" i="16"/>
  <c r="AB125" i="16" s="1"/>
  <c r="AQ125" i="16" s="1"/>
  <c r="Y125" i="16"/>
  <c r="AC125" i="16" s="1"/>
  <c r="AR125" i="16" s="1"/>
  <c r="AE125" i="16"/>
  <c r="AI125" i="16" s="1"/>
  <c r="AU125" i="16" s="1"/>
  <c r="AF125" i="16"/>
  <c r="AJ125" i="16" s="1"/>
  <c r="AG125" i="16"/>
  <c r="AH125" i="16"/>
  <c r="V129" i="16"/>
  <c r="Z129" i="16" s="1"/>
  <c r="AO129" i="16" s="1"/>
  <c r="W129" i="16"/>
  <c r="AA129" i="16" s="1"/>
  <c r="AP129" i="16" s="1"/>
  <c r="X129" i="16"/>
  <c r="AB129" i="16" s="1"/>
  <c r="AQ129" i="16" s="1"/>
  <c r="Y129" i="16"/>
  <c r="AC129" i="16" s="1"/>
  <c r="AR129" i="16" s="1"/>
  <c r="V130" i="16"/>
  <c r="W130" i="16"/>
  <c r="X130" i="16"/>
  <c r="AB130" i="16" s="1"/>
  <c r="AQ130" i="16" s="1"/>
  <c r="Y130" i="16"/>
  <c r="AC130" i="16" s="1"/>
  <c r="AR130" i="16" s="1"/>
  <c r="Z130" i="16"/>
  <c r="AO130" i="16" s="1"/>
  <c r="AA130" i="16"/>
  <c r="AP130" i="16" s="1"/>
  <c r="V131" i="16"/>
  <c r="Z131" i="16" s="1"/>
  <c r="AO131" i="16" s="1"/>
  <c r="W131" i="16"/>
  <c r="AA131" i="16" s="1"/>
  <c r="X131" i="16"/>
  <c r="AB131" i="16" s="1"/>
  <c r="AQ131" i="16" s="1"/>
  <c r="Y131" i="16"/>
  <c r="AC131" i="16" s="1"/>
  <c r="AR131" i="16" s="1"/>
  <c r="V132" i="16"/>
  <c r="Z132" i="16" s="1"/>
  <c r="AO132" i="16" s="1"/>
  <c r="W132" i="16"/>
  <c r="AA132" i="16" s="1"/>
  <c r="AP132" i="16" s="1"/>
  <c r="X132" i="16"/>
  <c r="AB132" i="16" s="1"/>
  <c r="AQ132" i="16" s="1"/>
  <c r="Y132" i="16"/>
  <c r="AC132" i="16" s="1"/>
  <c r="AR132" i="16" s="1"/>
  <c r="V133" i="16"/>
  <c r="Z133" i="16" s="1"/>
  <c r="AO133" i="16" s="1"/>
  <c r="W133" i="16"/>
  <c r="AA133" i="16" s="1"/>
  <c r="X133" i="16"/>
  <c r="AB133" i="16" s="1"/>
  <c r="AQ133" i="16" s="1"/>
  <c r="Y133" i="16"/>
  <c r="AC133" i="16" s="1"/>
  <c r="AR133" i="16" s="1"/>
  <c r="V134" i="16"/>
  <c r="Z134" i="16" s="1"/>
  <c r="AO134" i="16" s="1"/>
  <c r="W134" i="16"/>
  <c r="AA134" i="16" s="1"/>
  <c r="X134" i="16"/>
  <c r="AB134" i="16" s="1"/>
  <c r="AQ134" i="16" s="1"/>
  <c r="Y134" i="16"/>
  <c r="AC134" i="16" s="1"/>
  <c r="AR134" i="16" s="1"/>
  <c r="V138" i="16"/>
  <c r="Z138" i="16" s="1"/>
  <c r="AO138" i="16" s="1"/>
  <c r="W138" i="16"/>
  <c r="AA138" i="16" s="1"/>
  <c r="AP138" i="16" s="1"/>
  <c r="X138" i="16"/>
  <c r="AB138" i="16" s="1"/>
  <c r="AQ138" i="16" s="1"/>
  <c r="Y138" i="16"/>
  <c r="AC138" i="16" s="1"/>
  <c r="AR138" i="16" s="1"/>
  <c r="V139" i="16"/>
  <c r="Z139" i="16" s="1"/>
  <c r="AO139" i="16" s="1"/>
  <c r="W139" i="16"/>
  <c r="AA139" i="16" s="1"/>
  <c r="AP139" i="16" s="1"/>
  <c r="X139" i="16"/>
  <c r="AB139" i="16" s="1"/>
  <c r="AQ139" i="16" s="1"/>
  <c r="Y139" i="16"/>
  <c r="AC139" i="16" s="1"/>
  <c r="AR139" i="16" s="1"/>
  <c r="V140" i="16"/>
  <c r="W140" i="16"/>
  <c r="AA140" i="16" s="1"/>
  <c r="AP140" i="16" s="1"/>
  <c r="X140" i="16"/>
  <c r="AB140" i="16" s="1"/>
  <c r="AQ140" i="16" s="1"/>
  <c r="Y140" i="16"/>
  <c r="AC140" i="16" s="1"/>
  <c r="AR140" i="16" s="1"/>
  <c r="Z140" i="16"/>
  <c r="AO140" i="16" s="1"/>
  <c r="V141" i="16"/>
  <c r="Z141" i="16" s="1"/>
  <c r="AO141" i="16" s="1"/>
  <c r="W141" i="16"/>
  <c r="AA141" i="16" s="1"/>
  <c r="AP141" i="16" s="1"/>
  <c r="X141" i="16"/>
  <c r="AB141" i="16" s="1"/>
  <c r="AQ141" i="16" s="1"/>
  <c r="Y141" i="16"/>
  <c r="AC141" i="16" s="1"/>
  <c r="AR141" i="16" s="1"/>
  <c r="V142" i="16"/>
  <c r="Z142" i="16" s="1"/>
  <c r="AO142" i="16" s="1"/>
  <c r="W142" i="16"/>
  <c r="AA142" i="16" s="1"/>
  <c r="X142" i="16"/>
  <c r="AB142" i="16" s="1"/>
  <c r="AQ142" i="16" s="1"/>
  <c r="Y142" i="16"/>
  <c r="AC142" i="16" s="1"/>
  <c r="AR142" i="16" s="1"/>
  <c r="V143" i="16"/>
  <c r="Z143" i="16" s="1"/>
  <c r="AO143" i="16" s="1"/>
  <c r="W143" i="16"/>
  <c r="AA143" i="16" s="1"/>
  <c r="X143" i="16"/>
  <c r="AB143" i="16" s="1"/>
  <c r="AQ143" i="16" s="1"/>
  <c r="Y143" i="16"/>
  <c r="AC143" i="16" s="1"/>
  <c r="AR143" i="16" s="1"/>
  <c r="V147" i="16"/>
  <c r="Z147" i="16" s="1"/>
  <c r="AO147" i="16" s="1"/>
  <c r="W147" i="16"/>
  <c r="AA147" i="16" s="1"/>
  <c r="AP147" i="16" s="1"/>
  <c r="X147" i="16"/>
  <c r="AB147" i="16" s="1"/>
  <c r="AQ147" i="16" s="1"/>
  <c r="Y147" i="16"/>
  <c r="AC147" i="16" s="1"/>
  <c r="AR147" i="16" s="1"/>
  <c r="V148" i="16"/>
  <c r="Z148" i="16" s="1"/>
  <c r="AO148" i="16" s="1"/>
  <c r="W148" i="16"/>
  <c r="AA148" i="16" s="1"/>
  <c r="X148" i="16"/>
  <c r="AB148" i="16" s="1"/>
  <c r="AQ148" i="16" s="1"/>
  <c r="Y148" i="16"/>
  <c r="AC148" i="16" s="1"/>
  <c r="AR148" i="16" s="1"/>
  <c r="V149" i="16"/>
  <c r="Z149" i="16" s="1"/>
  <c r="AO149" i="16" s="1"/>
  <c r="W149" i="16"/>
  <c r="AA149" i="16" s="1"/>
  <c r="AP149" i="16" s="1"/>
  <c r="X149" i="16"/>
  <c r="AB149" i="16" s="1"/>
  <c r="AQ149" i="16" s="1"/>
  <c r="Y149" i="16"/>
  <c r="AC149" i="16" s="1"/>
  <c r="AR149" i="16" s="1"/>
  <c r="V150" i="16"/>
  <c r="Z150" i="16" s="1"/>
  <c r="AO150" i="16" s="1"/>
  <c r="W150" i="16"/>
  <c r="AA150" i="16" s="1"/>
  <c r="X150" i="16"/>
  <c r="AB150" i="16" s="1"/>
  <c r="AQ150" i="16" s="1"/>
  <c r="Y150" i="16"/>
  <c r="AC150" i="16" s="1"/>
  <c r="AR150" i="16" s="1"/>
  <c r="V151" i="16"/>
  <c r="Z151" i="16" s="1"/>
  <c r="AO151" i="16" s="1"/>
  <c r="W151" i="16"/>
  <c r="AA151" i="16" s="1"/>
  <c r="X151" i="16"/>
  <c r="Y151" i="16"/>
  <c r="AC151" i="16" s="1"/>
  <c r="AR151" i="16" s="1"/>
  <c r="AB151" i="16"/>
  <c r="AQ151" i="16" s="1"/>
  <c r="V152" i="16"/>
  <c r="Z152" i="16" s="1"/>
  <c r="AO152" i="16" s="1"/>
  <c r="W152" i="16"/>
  <c r="AA152" i="16" s="1"/>
  <c r="AP152" i="16" s="1"/>
  <c r="X152" i="16"/>
  <c r="AB152" i="16" s="1"/>
  <c r="AQ152" i="16" s="1"/>
  <c r="Y152" i="16"/>
  <c r="AC152" i="16" s="1"/>
  <c r="AR152" i="16" s="1"/>
  <c r="V156" i="16"/>
  <c r="Z156" i="16" s="1"/>
  <c r="AO156" i="16" s="1"/>
  <c r="W156" i="16"/>
  <c r="AA156" i="16" s="1"/>
  <c r="AP156" i="16" s="1"/>
  <c r="X156" i="16"/>
  <c r="AB156" i="16" s="1"/>
  <c r="AQ156" i="16" s="1"/>
  <c r="Y156" i="16"/>
  <c r="AC156" i="16" s="1"/>
  <c r="AR156" i="16" s="1"/>
  <c r="AE156" i="16"/>
  <c r="AI156" i="16" s="1"/>
  <c r="AU156" i="16" s="1"/>
  <c r="AF156" i="16"/>
  <c r="AG156" i="16"/>
  <c r="AH156" i="16"/>
  <c r="V157" i="16"/>
  <c r="Z157" i="16" s="1"/>
  <c r="AO157" i="16" s="1"/>
  <c r="W157" i="16"/>
  <c r="AA157" i="16" s="1"/>
  <c r="AP157" i="16" s="1"/>
  <c r="X157" i="16"/>
  <c r="AB157" i="16" s="1"/>
  <c r="AQ157" i="16" s="1"/>
  <c r="Y157" i="16"/>
  <c r="AC157" i="16" s="1"/>
  <c r="AR157" i="16" s="1"/>
  <c r="AE157" i="16"/>
  <c r="AI157" i="16" s="1"/>
  <c r="AU157" i="16" s="1"/>
  <c r="AF157" i="16"/>
  <c r="AJ157" i="16" s="1"/>
  <c r="AV157" i="16" s="1"/>
  <c r="AG157" i="16"/>
  <c r="AH157" i="16"/>
  <c r="V158" i="16"/>
  <c r="Z158" i="16" s="1"/>
  <c r="AO158" i="16" s="1"/>
  <c r="W158" i="16"/>
  <c r="AA158" i="16" s="1"/>
  <c r="X158" i="16"/>
  <c r="AB158" i="16" s="1"/>
  <c r="AQ158" i="16" s="1"/>
  <c r="Y158" i="16"/>
  <c r="AC158" i="16" s="1"/>
  <c r="AR158" i="16" s="1"/>
  <c r="AE158" i="16"/>
  <c r="AF158" i="16"/>
  <c r="AJ158" i="16" s="1"/>
  <c r="AV158" i="16" s="1"/>
  <c r="AG158" i="16"/>
  <c r="AK158" i="16" s="1"/>
  <c r="AW158" i="16" s="1"/>
  <c r="AH158" i="16"/>
  <c r="V159" i="16"/>
  <c r="Z159" i="16" s="1"/>
  <c r="AO159" i="16" s="1"/>
  <c r="W159" i="16"/>
  <c r="AA159" i="16" s="1"/>
  <c r="X159" i="16"/>
  <c r="AB159" i="16" s="1"/>
  <c r="AQ159" i="16" s="1"/>
  <c r="Y159" i="16"/>
  <c r="AC159" i="16" s="1"/>
  <c r="AR159" i="16" s="1"/>
  <c r="AE159" i="16"/>
  <c r="AF159" i="16"/>
  <c r="AG159" i="16"/>
  <c r="AK159" i="16" s="1"/>
  <c r="AW159" i="16" s="1"/>
  <c r="AH159" i="16"/>
  <c r="V160" i="16"/>
  <c r="Z160" i="16" s="1"/>
  <c r="AO160" i="16" s="1"/>
  <c r="W160" i="16"/>
  <c r="AA160" i="16" s="1"/>
  <c r="X160" i="16"/>
  <c r="AB160" i="16" s="1"/>
  <c r="AQ160" i="16" s="1"/>
  <c r="Y160" i="16"/>
  <c r="AC160" i="16"/>
  <c r="AR160" i="16" s="1"/>
  <c r="AE160" i="16"/>
  <c r="AF160" i="16"/>
  <c r="AG160" i="16"/>
  <c r="AH160" i="16"/>
  <c r="V161" i="16"/>
  <c r="Z161" i="16" s="1"/>
  <c r="AO161" i="16" s="1"/>
  <c r="W161" i="16"/>
  <c r="AA161" i="16" s="1"/>
  <c r="X161" i="16"/>
  <c r="AB161" i="16" s="1"/>
  <c r="AQ161" i="16" s="1"/>
  <c r="Y161" i="16"/>
  <c r="AC161" i="16" s="1"/>
  <c r="AR161" i="16" s="1"/>
  <c r="AE161" i="16"/>
  <c r="AF161" i="16"/>
  <c r="AG161" i="16"/>
  <c r="AH161" i="16"/>
  <c r="V165" i="16"/>
  <c r="Z165" i="16" s="1"/>
  <c r="AO165" i="16" s="1"/>
  <c r="W165" i="16"/>
  <c r="AA165" i="16" s="1"/>
  <c r="X165" i="16"/>
  <c r="AB165" i="16" s="1"/>
  <c r="AQ165" i="16" s="1"/>
  <c r="Y165" i="16"/>
  <c r="AC165" i="16"/>
  <c r="AR165" i="16" s="1"/>
  <c r="AE165" i="16"/>
  <c r="AI165" i="16" s="1"/>
  <c r="AU165" i="16" s="1"/>
  <c r="AF165" i="16"/>
  <c r="AG165" i="16"/>
  <c r="AH165" i="16"/>
  <c r="V166" i="16"/>
  <c r="Z166" i="16" s="1"/>
  <c r="AO166" i="16" s="1"/>
  <c r="W166" i="16"/>
  <c r="AA166" i="16" s="1"/>
  <c r="X166" i="16"/>
  <c r="AB166" i="16" s="1"/>
  <c r="AQ166" i="16" s="1"/>
  <c r="Y166" i="16"/>
  <c r="AC166" i="16" s="1"/>
  <c r="AR166" i="16" s="1"/>
  <c r="AE166" i="16"/>
  <c r="AF166" i="16"/>
  <c r="AG166" i="16"/>
  <c r="AH166" i="16"/>
  <c r="V167" i="16"/>
  <c r="Z167" i="16" s="1"/>
  <c r="AO167" i="16" s="1"/>
  <c r="W167" i="16"/>
  <c r="AA167" i="16" s="1"/>
  <c r="X167" i="16"/>
  <c r="AB167" i="16" s="1"/>
  <c r="AQ167" i="16" s="1"/>
  <c r="Y167" i="16"/>
  <c r="AC167" i="16" s="1"/>
  <c r="AR167" i="16" s="1"/>
  <c r="AE167" i="16"/>
  <c r="AF167" i="16"/>
  <c r="AJ167" i="16" s="1"/>
  <c r="AV167" i="16" s="1"/>
  <c r="AG167" i="16"/>
  <c r="AH167" i="16"/>
  <c r="V168" i="16"/>
  <c r="Z168" i="16" s="1"/>
  <c r="AO168" i="16" s="1"/>
  <c r="W168" i="16"/>
  <c r="AA168" i="16" s="1"/>
  <c r="X168" i="16"/>
  <c r="AB168" i="16" s="1"/>
  <c r="AQ168" i="16" s="1"/>
  <c r="Y168" i="16"/>
  <c r="AC168" i="16" s="1"/>
  <c r="AR168" i="16" s="1"/>
  <c r="AE168" i="16"/>
  <c r="AI168" i="16" s="1"/>
  <c r="AU168" i="16" s="1"/>
  <c r="AF168" i="16"/>
  <c r="AJ168" i="16" s="1"/>
  <c r="AG168" i="16"/>
  <c r="AK168" i="16" s="1"/>
  <c r="AW168" i="16" s="1"/>
  <c r="AH168" i="16"/>
  <c r="AV168" i="16"/>
  <c r="V169" i="16"/>
  <c r="Z169" i="16" s="1"/>
  <c r="AO169" i="16" s="1"/>
  <c r="W169" i="16"/>
  <c r="AA169" i="16" s="1"/>
  <c r="X169" i="16"/>
  <c r="AB169" i="16" s="1"/>
  <c r="AQ169" i="16" s="1"/>
  <c r="Y169" i="16"/>
  <c r="AC169" i="16" s="1"/>
  <c r="AR169" i="16" s="1"/>
  <c r="AE169" i="16"/>
  <c r="AI169" i="16" s="1"/>
  <c r="AU169" i="16" s="1"/>
  <c r="AF169" i="16"/>
  <c r="AJ169" i="16" s="1"/>
  <c r="AV169" i="16" s="1"/>
  <c r="AG169" i="16"/>
  <c r="AK169" i="16" s="1"/>
  <c r="AW169" i="16" s="1"/>
  <c r="AH169" i="16"/>
  <c r="V170" i="16"/>
  <c r="Z170" i="16" s="1"/>
  <c r="AO170" i="16" s="1"/>
  <c r="W170" i="16"/>
  <c r="AA170" i="16" s="1"/>
  <c r="X170" i="16"/>
  <c r="AB170" i="16" s="1"/>
  <c r="AQ170" i="16" s="1"/>
  <c r="Y170" i="16"/>
  <c r="AC170" i="16" s="1"/>
  <c r="AR170" i="16" s="1"/>
  <c r="AE170" i="16"/>
  <c r="AF170" i="16"/>
  <c r="AG170" i="16"/>
  <c r="AH170" i="16"/>
  <c r="V12" i="17"/>
  <c r="Z12" i="17" s="1"/>
  <c r="AO12" i="17" s="1"/>
  <c r="W12" i="17"/>
  <c r="AA12" i="17" s="1"/>
  <c r="X12" i="17"/>
  <c r="AB12" i="17" s="1"/>
  <c r="AQ12" i="17" s="1"/>
  <c r="Y12" i="17"/>
  <c r="AC12" i="17" s="1"/>
  <c r="AR12" i="17" s="1"/>
  <c r="AE12" i="17"/>
  <c r="AF12" i="17"/>
  <c r="AG12" i="17"/>
  <c r="AH12" i="17"/>
  <c r="V13" i="17"/>
  <c r="Z13" i="17" s="1"/>
  <c r="AO13" i="17" s="1"/>
  <c r="W13" i="17"/>
  <c r="AA13" i="17" s="1"/>
  <c r="X13" i="17"/>
  <c r="AB13" i="17" s="1"/>
  <c r="AQ13" i="17" s="1"/>
  <c r="Y13" i="17"/>
  <c r="AC13" i="17"/>
  <c r="AR13" i="17" s="1"/>
  <c r="AE13" i="17"/>
  <c r="AI13" i="17" s="1"/>
  <c r="AU13" i="17" s="1"/>
  <c r="AF13" i="17"/>
  <c r="AG13" i="17"/>
  <c r="AH13" i="17"/>
  <c r="V14" i="17"/>
  <c r="Z14" i="17" s="1"/>
  <c r="AO14" i="17" s="1"/>
  <c r="W14" i="17"/>
  <c r="AA14" i="17" s="1"/>
  <c r="X14" i="17"/>
  <c r="AB14" i="17" s="1"/>
  <c r="AQ14" i="17" s="1"/>
  <c r="Y14" i="17"/>
  <c r="AC14" i="17" s="1"/>
  <c r="AR14" i="17" s="1"/>
  <c r="AE14" i="17"/>
  <c r="AI14" i="17" s="1"/>
  <c r="AU14" i="17" s="1"/>
  <c r="AF14" i="17"/>
  <c r="AJ14" i="17" s="1"/>
  <c r="AV14" i="17" s="1"/>
  <c r="AG14" i="17"/>
  <c r="AH14" i="17"/>
  <c r="V15" i="17"/>
  <c r="Z15" i="17" s="1"/>
  <c r="AO15" i="17" s="1"/>
  <c r="W15" i="17"/>
  <c r="AA15" i="17" s="1"/>
  <c r="X15" i="17"/>
  <c r="AB15" i="17" s="1"/>
  <c r="AQ15" i="17" s="1"/>
  <c r="Y15" i="17"/>
  <c r="AC15" i="17" s="1"/>
  <c r="AR15" i="17" s="1"/>
  <c r="AE15" i="17"/>
  <c r="AF15" i="17"/>
  <c r="AJ15" i="17" s="1"/>
  <c r="AV15" i="17" s="1"/>
  <c r="AG15" i="17"/>
  <c r="AK15" i="17" s="1"/>
  <c r="AW15" i="17" s="1"/>
  <c r="AH15" i="17"/>
  <c r="V16" i="17"/>
  <c r="Z16" i="17" s="1"/>
  <c r="AO16" i="17" s="1"/>
  <c r="W16" i="17"/>
  <c r="AA16" i="17" s="1"/>
  <c r="X16" i="17"/>
  <c r="AB16" i="17" s="1"/>
  <c r="AQ16" i="17" s="1"/>
  <c r="Y16" i="17"/>
  <c r="AC16" i="17" s="1"/>
  <c r="AR16" i="17" s="1"/>
  <c r="AE16" i="17"/>
  <c r="AI16" i="17" s="1"/>
  <c r="AU16" i="17" s="1"/>
  <c r="AF16" i="17"/>
  <c r="AG16" i="17"/>
  <c r="AK16" i="17" s="1"/>
  <c r="AW16" i="17" s="1"/>
  <c r="AH16" i="17"/>
  <c r="V17" i="17"/>
  <c r="Z17" i="17" s="1"/>
  <c r="AO17" i="17" s="1"/>
  <c r="W17" i="17"/>
  <c r="AA17" i="17" s="1"/>
  <c r="X17" i="17"/>
  <c r="AB17" i="17" s="1"/>
  <c r="AQ17" i="17" s="1"/>
  <c r="Y17" i="17"/>
  <c r="AC17" i="17" s="1"/>
  <c r="AR17" i="17" s="1"/>
  <c r="AE17" i="17"/>
  <c r="AF17" i="17"/>
  <c r="AG17" i="17"/>
  <c r="AK17" i="17" s="1"/>
  <c r="AW17" i="17" s="1"/>
  <c r="AH17" i="17"/>
  <c r="V21" i="17"/>
  <c r="Z21" i="17" s="1"/>
  <c r="AO21" i="17" s="1"/>
  <c r="W21" i="17"/>
  <c r="AA21" i="17" s="1"/>
  <c r="X21" i="17"/>
  <c r="AB21" i="17" s="1"/>
  <c r="AQ21" i="17" s="1"/>
  <c r="Y21" i="17"/>
  <c r="AC21" i="17" s="1"/>
  <c r="AR21" i="17" s="1"/>
  <c r="AE21" i="17"/>
  <c r="AI21" i="17" s="1"/>
  <c r="AU21" i="17" s="1"/>
  <c r="AF21" i="17"/>
  <c r="AG21" i="17"/>
  <c r="AH21" i="17"/>
  <c r="V22" i="17"/>
  <c r="Z22" i="17" s="1"/>
  <c r="AO22" i="17" s="1"/>
  <c r="W22" i="17"/>
  <c r="AA22" i="17" s="1"/>
  <c r="X22" i="17"/>
  <c r="AB22" i="17" s="1"/>
  <c r="AQ22" i="17" s="1"/>
  <c r="Y22" i="17"/>
  <c r="AC22" i="17" s="1"/>
  <c r="AR22" i="17" s="1"/>
  <c r="AE22" i="17"/>
  <c r="AF22" i="17"/>
  <c r="AG22" i="17"/>
  <c r="AK22" i="17" s="1"/>
  <c r="AW22" i="17" s="1"/>
  <c r="AH22" i="17"/>
  <c r="V23" i="17"/>
  <c r="Z23" i="17" s="1"/>
  <c r="AO23" i="17" s="1"/>
  <c r="W23" i="17"/>
  <c r="AA23" i="17" s="1"/>
  <c r="X23" i="17"/>
  <c r="AB23" i="17" s="1"/>
  <c r="AQ23" i="17" s="1"/>
  <c r="Y23" i="17"/>
  <c r="AC23" i="17" s="1"/>
  <c r="AR23" i="17" s="1"/>
  <c r="AE23" i="17"/>
  <c r="AF23" i="17"/>
  <c r="AG23" i="17"/>
  <c r="AH23" i="17"/>
  <c r="V24" i="17"/>
  <c r="Z24" i="17" s="1"/>
  <c r="AO24" i="17" s="1"/>
  <c r="W24" i="17"/>
  <c r="AA24" i="17" s="1"/>
  <c r="X24" i="17"/>
  <c r="AB24" i="17" s="1"/>
  <c r="AQ24" i="17" s="1"/>
  <c r="Y24" i="17"/>
  <c r="AC24" i="17" s="1"/>
  <c r="AR24" i="17" s="1"/>
  <c r="AE24" i="17"/>
  <c r="AF24" i="17"/>
  <c r="AG24" i="17"/>
  <c r="AK24" i="17" s="1"/>
  <c r="AW24" i="17" s="1"/>
  <c r="AH24" i="17"/>
  <c r="V25" i="17"/>
  <c r="Z25" i="17" s="1"/>
  <c r="AO25" i="17" s="1"/>
  <c r="W25" i="17"/>
  <c r="AA25" i="17" s="1"/>
  <c r="X25" i="17"/>
  <c r="AB25" i="17" s="1"/>
  <c r="AQ25" i="17" s="1"/>
  <c r="Y25" i="17"/>
  <c r="AC25" i="17" s="1"/>
  <c r="AR25" i="17" s="1"/>
  <c r="AE25" i="17"/>
  <c r="AF25" i="17"/>
  <c r="AG25" i="17"/>
  <c r="AH25" i="17"/>
  <c r="V26" i="17"/>
  <c r="Z26" i="17" s="1"/>
  <c r="AO26" i="17" s="1"/>
  <c r="W26" i="17"/>
  <c r="AA26" i="17" s="1"/>
  <c r="X26" i="17"/>
  <c r="Y26" i="17"/>
  <c r="AC26" i="17" s="1"/>
  <c r="AR26" i="17" s="1"/>
  <c r="AB26" i="17"/>
  <c r="AQ26" i="17" s="1"/>
  <c r="AE26" i="17"/>
  <c r="AI26" i="17" s="1"/>
  <c r="AU26" i="17" s="1"/>
  <c r="AF26" i="17"/>
  <c r="AG26" i="17"/>
  <c r="AK26" i="17" s="1"/>
  <c r="AW26" i="17" s="1"/>
  <c r="AH26" i="17"/>
  <c r="V30" i="17"/>
  <c r="Z30" i="17" s="1"/>
  <c r="AO30" i="17" s="1"/>
  <c r="W30" i="17"/>
  <c r="AA30" i="17" s="1"/>
  <c r="X30" i="17"/>
  <c r="AB30" i="17" s="1"/>
  <c r="AQ30" i="17" s="1"/>
  <c r="Y30" i="17"/>
  <c r="AC30" i="17" s="1"/>
  <c r="AR30" i="17" s="1"/>
  <c r="AE30" i="17"/>
  <c r="AI30" i="17" s="1"/>
  <c r="AU30" i="17" s="1"/>
  <c r="AF30" i="17"/>
  <c r="AJ30" i="17" s="1"/>
  <c r="AV30" i="17" s="1"/>
  <c r="AG30" i="17"/>
  <c r="AH30" i="17"/>
  <c r="V31" i="17"/>
  <c r="Z31" i="17" s="1"/>
  <c r="AO31" i="17" s="1"/>
  <c r="W31" i="17"/>
  <c r="AA31" i="17" s="1"/>
  <c r="X31" i="17"/>
  <c r="AB31" i="17" s="1"/>
  <c r="AQ31" i="17" s="1"/>
  <c r="Y31" i="17"/>
  <c r="AC31" i="17" s="1"/>
  <c r="AR31" i="17" s="1"/>
  <c r="AE31" i="17"/>
  <c r="AF31" i="17"/>
  <c r="AJ31" i="17" s="1"/>
  <c r="AV31" i="17" s="1"/>
  <c r="AG31" i="17"/>
  <c r="AK31" i="17" s="1"/>
  <c r="AW31" i="17" s="1"/>
  <c r="AH31" i="17"/>
  <c r="V32" i="17"/>
  <c r="Z32" i="17" s="1"/>
  <c r="AO32" i="17" s="1"/>
  <c r="W32" i="17"/>
  <c r="AA32" i="17" s="1"/>
  <c r="X32" i="17"/>
  <c r="AB32" i="17" s="1"/>
  <c r="AQ32" i="17" s="1"/>
  <c r="Y32" i="17"/>
  <c r="AC32" i="17" s="1"/>
  <c r="AR32" i="17" s="1"/>
  <c r="AE32" i="17"/>
  <c r="AI32" i="17" s="1"/>
  <c r="AU32" i="17" s="1"/>
  <c r="AF32" i="17"/>
  <c r="AG32" i="17"/>
  <c r="AK32" i="17" s="1"/>
  <c r="AW32" i="17" s="1"/>
  <c r="AH32" i="17"/>
  <c r="V33" i="17"/>
  <c r="Z33" i="17" s="1"/>
  <c r="AO33" i="17" s="1"/>
  <c r="W33" i="17"/>
  <c r="AA33" i="17" s="1"/>
  <c r="X33" i="17"/>
  <c r="AB33" i="17" s="1"/>
  <c r="AQ33" i="17" s="1"/>
  <c r="Y33" i="17"/>
  <c r="AC33" i="17" s="1"/>
  <c r="AR33" i="17" s="1"/>
  <c r="AE33" i="17"/>
  <c r="AF33" i="17"/>
  <c r="AJ33" i="17" s="1"/>
  <c r="AV33" i="17" s="1"/>
  <c r="AG33" i="17"/>
  <c r="AK33" i="17" s="1"/>
  <c r="AW33" i="17" s="1"/>
  <c r="AH33" i="17"/>
  <c r="V34" i="17"/>
  <c r="Z34" i="17" s="1"/>
  <c r="AO34" i="17" s="1"/>
  <c r="W34" i="17"/>
  <c r="AA34" i="17" s="1"/>
  <c r="X34" i="17"/>
  <c r="AB34" i="17" s="1"/>
  <c r="AQ34" i="17" s="1"/>
  <c r="Y34" i="17"/>
  <c r="AC34" i="17" s="1"/>
  <c r="AR34" i="17" s="1"/>
  <c r="AE34" i="17"/>
  <c r="AF34" i="17"/>
  <c r="AG34" i="17"/>
  <c r="AK34" i="17" s="1"/>
  <c r="AW34" i="17" s="1"/>
  <c r="AH34" i="17"/>
  <c r="V35" i="17"/>
  <c r="Z35" i="17" s="1"/>
  <c r="AO35" i="17" s="1"/>
  <c r="W35" i="17"/>
  <c r="AA35" i="17" s="1"/>
  <c r="X35" i="17"/>
  <c r="AB35" i="17" s="1"/>
  <c r="AQ35" i="17" s="1"/>
  <c r="Y35" i="17"/>
  <c r="AC35" i="17" s="1"/>
  <c r="AR35" i="17" s="1"/>
  <c r="AE35" i="17"/>
  <c r="AF35" i="17"/>
  <c r="AG35" i="17"/>
  <c r="AK35" i="17" s="1"/>
  <c r="AW35" i="17" s="1"/>
  <c r="AH35" i="17"/>
  <c r="V39" i="17"/>
  <c r="Z39" i="17" s="1"/>
  <c r="AO39" i="17" s="1"/>
  <c r="W39" i="17"/>
  <c r="AA39" i="17" s="1"/>
  <c r="X39" i="17"/>
  <c r="AB39" i="17" s="1"/>
  <c r="AQ39" i="17" s="1"/>
  <c r="Y39" i="17"/>
  <c r="AC39" i="17" s="1"/>
  <c r="AR39" i="17" s="1"/>
  <c r="AE39" i="17"/>
  <c r="AF39" i="17"/>
  <c r="AJ39" i="17" s="1"/>
  <c r="AV39" i="17" s="1"/>
  <c r="AG39" i="17"/>
  <c r="AH39" i="17"/>
  <c r="V40" i="17"/>
  <c r="Z40" i="17" s="1"/>
  <c r="AO40" i="17" s="1"/>
  <c r="W40" i="17"/>
  <c r="AA40" i="17" s="1"/>
  <c r="X40" i="17"/>
  <c r="AB40" i="17" s="1"/>
  <c r="AQ40" i="17" s="1"/>
  <c r="Y40" i="17"/>
  <c r="AC40" i="17" s="1"/>
  <c r="AR40" i="17" s="1"/>
  <c r="AE40" i="17"/>
  <c r="AF40" i="17"/>
  <c r="AG40" i="17"/>
  <c r="AH40" i="17"/>
  <c r="V41" i="17"/>
  <c r="Z41" i="17" s="1"/>
  <c r="AO41" i="17" s="1"/>
  <c r="W41" i="17"/>
  <c r="AA41" i="17" s="1"/>
  <c r="X41" i="17"/>
  <c r="AB41" i="17" s="1"/>
  <c r="AQ41" i="17" s="1"/>
  <c r="Y41" i="17"/>
  <c r="AC41" i="17" s="1"/>
  <c r="AR41" i="17" s="1"/>
  <c r="AE41" i="17"/>
  <c r="AI41" i="17" s="1"/>
  <c r="AU41" i="17" s="1"/>
  <c r="AF41" i="17"/>
  <c r="AG41" i="17"/>
  <c r="AK41" i="17" s="1"/>
  <c r="AW41" i="17" s="1"/>
  <c r="AH41" i="17"/>
  <c r="V42" i="17"/>
  <c r="Z42" i="17" s="1"/>
  <c r="AO42" i="17" s="1"/>
  <c r="W42" i="17"/>
  <c r="AA42" i="17" s="1"/>
  <c r="X42" i="17"/>
  <c r="AB42" i="17" s="1"/>
  <c r="AQ42" i="17" s="1"/>
  <c r="Y42" i="17"/>
  <c r="AC42" i="17" s="1"/>
  <c r="AR42" i="17" s="1"/>
  <c r="AE42" i="17"/>
  <c r="AF42" i="17"/>
  <c r="AG42" i="17"/>
  <c r="AH42" i="17"/>
  <c r="V43" i="17"/>
  <c r="Z43" i="17" s="1"/>
  <c r="AO43" i="17" s="1"/>
  <c r="W43" i="17"/>
  <c r="AA43" i="17" s="1"/>
  <c r="X43" i="17"/>
  <c r="AB43" i="17" s="1"/>
  <c r="AQ43" i="17" s="1"/>
  <c r="Y43" i="17"/>
  <c r="AC43" i="17" s="1"/>
  <c r="AR43" i="17" s="1"/>
  <c r="AE43" i="17"/>
  <c r="AF43" i="17"/>
  <c r="AJ43" i="17" s="1"/>
  <c r="AV43" i="17" s="1"/>
  <c r="AG43" i="17"/>
  <c r="AK43" i="17" s="1"/>
  <c r="AW43" i="17" s="1"/>
  <c r="AH43" i="17"/>
  <c r="V44" i="17"/>
  <c r="Z44" i="17" s="1"/>
  <c r="AO44" i="17" s="1"/>
  <c r="W44" i="17"/>
  <c r="AA44" i="17" s="1"/>
  <c r="X44" i="17"/>
  <c r="AB44" i="17" s="1"/>
  <c r="AQ44" i="17" s="1"/>
  <c r="Y44" i="17"/>
  <c r="AC44" i="17"/>
  <c r="AR44" i="17" s="1"/>
  <c r="AE44" i="17"/>
  <c r="AI44" i="17" s="1"/>
  <c r="AU44" i="17" s="1"/>
  <c r="AF44" i="17"/>
  <c r="AG44" i="17"/>
  <c r="AH44" i="17"/>
  <c r="V48" i="17"/>
  <c r="Z48" i="17" s="1"/>
  <c r="AO48" i="17" s="1"/>
  <c r="W48" i="17"/>
  <c r="AA48" i="17" s="1"/>
  <c r="X48" i="17"/>
  <c r="AB48" i="17" s="1"/>
  <c r="AQ48" i="17" s="1"/>
  <c r="Y48" i="17"/>
  <c r="AC48" i="17" s="1"/>
  <c r="AR48" i="17" s="1"/>
  <c r="AE48" i="17"/>
  <c r="AI48" i="17" s="1"/>
  <c r="AU48" i="17" s="1"/>
  <c r="AF48" i="17"/>
  <c r="AJ48" i="17" s="1"/>
  <c r="AV48" i="17" s="1"/>
  <c r="AG48" i="17"/>
  <c r="AH48" i="17"/>
  <c r="V49" i="17"/>
  <c r="Z49" i="17" s="1"/>
  <c r="AO49" i="17" s="1"/>
  <c r="W49" i="17"/>
  <c r="AA49" i="17" s="1"/>
  <c r="X49" i="17"/>
  <c r="AB49" i="17" s="1"/>
  <c r="AQ49" i="17" s="1"/>
  <c r="Y49" i="17"/>
  <c r="AC49" i="17" s="1"/>
  <c r="AR49" i="17" s="1"/>
  <c r="AE49" i="17"/>
  <c r="AF49" i="17"/>
  <c r="AG49" i="17"/>
  <c r="AH49" i="17"/>
  <c r="V50" i="17"/>
  <c r="Z50" i="17" s="1"/>
  <c r="AO50" i="17" s="1"/>
  <c r="W50" i="17"/>
  <c r="AA50" i="17" s="1"/>
  <c r="X50" i="17"/>
  <c r="AB50" i="17" s="1"/>
  <c r="AQ50" i="17" s="1"/>
  <c r="Y50" i="17"/>
  <c r="AC50" i="17" s="1"/>
  <c r="AR50" i="17" s="1"/>
  <c r="AE50" i="17"/>
  <c r="AF50" i="17"/>
  <c r="AG50" i="17"/>
  <c r="AH50" i="17"/>
  <c r="V51" i="17"/>
  <c r="Z51" i="17" s="1"/>
  <c r="AO51" i="17" s="1"/>
  <c r="W51" i="17"/>
  <c r="AA51" i="17" s="1"/>
  <c r="X51" i="17"/>
  <c r="AB51" i="17" s="1"/>
  <c r="AQ51" i="17" s="1"/>
  <c r="Y51" i="17"/>
  <c r="AC51" i="17" s="1"/>
  <c r="AR51" i="17" s="1"/>
  <c r="AE51" i="17"/>
  <c r="AI51" i="17" s="1"/>
  <c r="AF51" i="17"/>
  <c r="AJ51" i="17" s="1"/>
  <c r="AV51" i="17" s="1"/>
  <c r="AG51" i="17"/>
  <c r="AH51" i="17"/>
  <c r="AU51" i="17"/>
  <c r="V52" i="17"/>
  <c r="Z52" i="17" s="1"/>
  <c r="AO52" i="17" s="1"/>
  <c r="W52" i="17"/>
  <c r="AA52" i="17" s="1"/>
  <c r="X52" i="17"/>
  <c r="AB52" i="17" s="1"/>
  <c r="AQ52" i="17" s="1"/>
  <c r="Y52" i="17"/>
  <c r="AC52" i="17" s="1"/>
  <c r="AR52" i="17" s="1"/>
  <c r="AE52" i="17"/>
  <c r="AI52" i="17" s="1"/>
  <c r="AU52" i="17" s="1"/>
  <c r="AF52" i="17"/>
  <c r="AG52" i="17"/>
  <c r="AK52" i="17" s="1"/>
  <c r="AW52" i="17" s="1"/>
  <c r="AH52" i="17"/>
  <c r="V53" i="17"/>
  <c r="Z53" i="17" s="1"/>
  <c r="AO53" i="17" s="1"/>
  <c r="W53" i="17"/>
  <c r="AA53" i="17" s="1"/>
  <c r="X53" i="17"/>
  <c r="AB53" i="17" s="1"/>
  <c r="AQ53" i="17" s="1"/>
  <c r="Y53" i="17"/>
  <c r="AC53" i="17" s="1"/>
  <c r="AR53" i="17" s="1"/>
  <c r="AE53" i="17"/>
  <c r="AI53" i="17" s="1"/>
  <c r="AU53" i="17" s="1"/>
  <c r="AF53" i="17"/>
  <c r="AG53" i="17"/>
  <c r="AH53" i="17"/>
  <c r="V57" i="17"/>
  <c r="Z57" i="17" s="1"/>
  <c r="AO57" i="17" s="1"/>
  <c r="W57" i="17"/>
  <c r="AA57" i="17" s="1"/>
  <c r="X57" i="17"/>
  <c r="AB57" i="17" s="1"/>
  <c r="AQ57" i="17" s="1"/>
  <c r="Y57" i="17"/>
  <c r="AC57" i="17" s="1"/>
  <c r="AR57" i="17" s="1"/>
  <c r="AE57" i="17"/>
  <c r="AF57" i="17"/>
  <c r="AJ57" i="17" s="1"/>
  <c r="AV57" i="17" s="1"/>
  <c r="AG57" i="17"/>
  <c r="AH57" i="17"/>
  <c r="V58" i="17"/>
  <c r="Z58" i="17" s="1"/>
  <c r="AO58" i="17" s="1"/>
  <c r="W58" i="17"/>
  <c r="AA58" i="17" s="1"/>
  <c r="X58" i="17"/>
  <c r="AB58" i="17" s="1"/>
  <c r="AQ58" i="17" s="1"/>
  <c r="Y58" i="17"/>
  <c r="AC58" i="17" s="1"/>
  <c r="AR58" i="17" s="1"/>
  <c r="AE58" i="17"/>
  <c r="AI58" i="17" s="1"/>
  <c r="AU58" i="17" s="1"/>
  <c r="AF58" i="17"/>
  <c r="AG58" i="17"/>
  <c r="AK58" i="17" s="1"/>
  <c r="AW58" i="17" s="1"/>
  <c r="AH58" i="17"/>
  <c r="V59" i="17"/>
  <c r="Z59" i="17" s="1"/>
  <c r="AO59" i="17" s="1"/>
  <c r="W59" i="17"/>
  <c r="AA59" i="17" s="1"/>
  <c r="X59" i="17"/>
  <c r="AB59" i="17" s="1"/>
  <c r="AQ59" i="17" s="1"/>
  <c r="Y59" i="17"/>
  <c r="AC59" i="17" s="1"/>
  <c r="AR59" i="17" s="1"/>
  <c r="AE59" i="17"/>
  <c r="AF59" i="17"/>
  <c r="AJ59" i="17" s="1"/>
  <c r="AV59" i="17" s="1"/>
  <c r="AG59" i="17"/>
  <c r="AH59" i="17"/>
  <c r="V60" i="17"/>
  <c r="Z60" i="17" s="1"/>
  <c r="AO60" i="17" s="1"/>
  <c r="W60" i="17"/>
  <c r="AA60" i="17" s="1"/>
  <c r="X60" i="17"/>
  <c r="AB60" i="17" s="1"/>
  <c r="AQ60" i="17" s="1"/>
  <c r="Y60" i="17"/>
  <c r="AC60" i="17" s="1"/>
  <c r="AR60" i="17" s="1"/>
  <c r="AE60" i="17"/>
  <c r="AF60" i="17"/>
  <c r="AG60" i="17"/>
  <c r="AK60" i="17" s="1"/>
  <c r="AW60" i="17" s="1"/>
  <c r="AH60" i="17"/>
  <c r="V61" i="17"/>
  <c r="Z61" i="17" s="1"/>
  <c r="AO61" i="17" s="1"/>
  <c r="W61" i="17"/>
  <c r="AA61" i="17" s="1"/>
  <c r="X61" i="17"/>
  <c r="AB61" i="17" s="1"/>
  <c r="AQ61" i="17" s="1"/>
  <c r="Y61" i="17"/>
  <c r="AC61" i="17" s="1"/>
  <c r="AR61" i="17" s="1"/>
  <c r="AE61" i="17"/>
  <c r="AI61" i="17" s="1"/>
  <c r="AU61" i="17" s="1"/>
  <c r="AF61" i="17"/>
  <c r="AG61" i="17"/>
  <c r="AH61" i="17"/>
  <c r="V62" i="17"/>
  <c r="Z62" i="17" s="1"/>
  <c r="AO62" i="17" s="1"/>
  <c r="W62" i="17"/>
  <c r="AA62" i="17" s="1"/>
  <c r="X62" i="17"/>
  <c r="AB62" i="17" s="1"/>
  <c r="AQ62" i="17" s="1"/>
  <c r="Y62" i="17"/>
  <c r="AC62" i="17" s="1"/>
  <c r="AR62" i="17" s="1"/>
  <c r="AE62" i="17"/>
  <c r="AI62" i="17" s="1"/>
  <c r="AU62" i="17" s="1"/>
  <c r="AF62" i="17"/>
  <c r="AJ62" i="17" s="1"/>
  <c r="AV62" i="17" s="1"/>
  <c r="AG62" i="17"/>
  <c r="AH62" i="17"/>
  <c r="V66" i="17"/>
  <c r="Z66" i="17" s="1"/>
  <c r="AO66" i="17" s="1"/>
  <c r="W66" i="17"/>
  <c r="AA66" i="17" s="1"/>
  <c r="X66" i="17"/>
  <c r="AB66" i="17" s="1"/>
  <c r="AQ66" i="17" s="1"/>
  <c r="Y66" i="17"/>
  <c r="AC66" i="17" s="1"/>
  <c r="AR66" i="17" s="1"/>
  <c r="AE66" i="17"/>
  <c r="AF66" i="17"/>
  <c r="AJ66" i="17" s="1"/>
  <c r="AV66" i="17" s="1"/>
  <c r="AG66" i="17"/>
  <c r="AK66" i="17" s="1"/>
  <c r="AW66" i="17" s="1"/>
  <c r="AH66" i="17"/>
  <c r="V67" i="17"/>
  <c r="Z67" i="17" s="1"/>
  <c r="AO67" i="17" s="1"/>
  <c r="W67" i="17"/>
  <c r="AA67" i="17" s="1"/>
  <c r="X67" i="17"/>
  <c r="AB67" i="17" s="1"/>
  <c r="AQ67" i="17" s="1"/>
  <c r="Y67" i="17"/>
  <c r="AC67" i="17" s="1"/>
  <c r="AR67" i="17" s="1"/>
  <c r="AE67" i="17"/>
  <c r="AF67" i="17"/>
  <c r="AG67" i="17"/>
  <c r="AK67" i="17" s="1"/>
  <c r="AW67" i="17" s="1"/>
  <c r="AH67" i="17"/>
  <c r="V68" i="17"/>
  <c r="Z68" i="17" s="1"/>
  <c r="AO68" i="17" s="1"/>
  <c r="W68" i="17"/>
  <c r="AA68" i="17" s="1"/>
  <c r="X68" i="17"/>
  <c r="AB68" i="17" s="1"/>
  <c r="AQ68" i="17" s="1"/>
  <c r="Y68" i="17"/>
  <c r="AC68" i="17" s="1"/>
  <c r="AR68" i="17" s="1"/>
  <c r="AE68" i="17"/>
  <c r="AI68" i="17" s="1"/>
  <c r="AU68" i="17" s="1"/>
  <c r="AF68" i="17"/>
  <c r="AJ68" i="17" s="1"/>
  <c r="AV68" i="17" s="1"/>
  <c r="AG68" i="17"/>
  <c r="AH68" i="17"/>
  <c r="V69" i="17"/>
  <c r="Z69" i="17" s="1"/>
  <c r="AO69" i="17" s="1"/>
  <c r="W69" i="17"/>
  <c r="AA69" i="17" s="1"/>
  <c r="X69" i="17"/>
  <c r="AB69" i="17" s="1"/>
  <c r="AQ69" i="17" s="1"/>
  <c r="Y69" i="17"/>
  <c r="AC69" i="17" s="1"/>
  <c r="AR69" i="17" s="1"/>
  <c r="AE69" i="17"/>
  <c r="AF69" i="17"/>
  <c r="AJ69" i="17" s="1"/>
  <c r="AV69" i="17" s="1"/>
  <c r="AG69" i="17"/>
  <c r="AH69" i="17"/>
  <c r="V70" i="17"/>
  <c r="Z70" i="17" s="1"/>
  <c r="AO70" i="17" s="1"/>
  <c r="W70" i="17"/>
  <c r="AA70" i="17" s="1"/>
  <c r="X70" i="17"/>
  <c r="AB70" i="17" s="1"/>
  <c r="AQ70" i="17" s="1"/>
  <c r="Y70" i="17"/>
  <c r="AC70" i="17" s="1"/>
  <c r="AR70" i="17" s="1"/>
  <c r="AE70" i="17"/>
  <c r="AF70" i="17"/>
  <c r="AJ70" i="17" s="1"/>
  <c r="AV70" i="17" s="1"/>
  <c r="AG70" i="17"/>
  <c r="AK70" i="17" s="1"/>
  <c r="AW70" i="17" s="1"/>
  <c r="AH70" i="17"/>
  <c r="V71" i="17"/>
  <c r="Z71" i="17" s="1"/>
  <c r="AO71" i="17" s="1"/>
  <c r="W71" i="17"/>
  <c r="AA71" i="17" s="1"/>
  <c r="X71" i="17"/>
  <c r="AB71" i="17" s="1"/>
  <c r="AQ71" i="17" s="1"/>
  <c r="Y71" i="17"/>
  <c r="AC71" i="17" s="1"/>
  <c r="AR71" i="17" s="1"/>
  <c r="AE71" i="17"/>
  <c r="AI71" i="17" s="1"/>
  <c r="AU71" i="17" s="1"/>
  <c r="AF71" i="17"/>
  <c r="AG71" i="17"/>
  <c r="AK71" i="17" s="1"/>
  <c r="AW71" i="17" s="1"/>
  <c r="AH71" i="17"/>
  <c r="V75" i="17"/>
  <c r="Z75" i="17" s="1"/>
  <c r="AO75" i="17" s="1"/>
  <c r="W75" i="17"/>
  <c r="AA75" i="17" s="1"/>
  <c r="X75" i="17"/>
  <c r="AB75" i="17" s="1"/>
  <c r="AQ75" i="17" s="1"/>
  <c r="Y75" i="17"/>
  <c r="AC75" i="17"/>
  <c r="AR75" i="17" s="1"/>
  <c r="AE75" i="17"/>
  <c r="AF75" i="17"/>
  <c r="AG75" i="17"/>
  <c r="AK75" i="17" s="1"/>
  <c r="AW75" i="17" s="1"/>
  <c r="AH75" i="17"/>
  <c r="V76" i="17"/>
  <c r="Z76" i="17" s="1"/>
  <c r="AO76" i="17" s="1"/>
  <c r="W76" i="17"/>
  <c r="AA76" i="17" s="1"/>
  <c r="X76" i="17"/>
  <c r="AB76" i="17" s="1"/>
  <c r="AQ76" i="17" s="1"/>
  <c r="Y76" i="17"/>
  <c r="AC76" i="17" s="1"/>
  <c r="AR76" i="17" s="1"/>
  <c r="AE76" i="17"/>
  <c r="AI76" i="17" s="1"/>
  <c r="AU76" i="17" s="1"/>
  <c r="AF76" i="17"/>
  <c r="AG76" i="17"/>
  <c r="AH76" i="17"/>
  <c r="V77" i="17"/>
  <c r="Z77" i="17" s="1"/>
  <c r="AO77" i="17" s="1"/>
  <c r="W77" i="17"/>
  <c r="AA77" i="17" s="1"/>
  <c r="X77" i="17"/>
  <c r="AB77" i="17" s="1"/>
  <c r="AQ77" i="17" s="1"/>
  <c r="Y77" i="17"/>
  <c r="AC77" i="17" s="1"/>
  <c r="AR77" i="17" s="1"/>
  <c r="AE77" i="17"/>
  <c r="AI77" i="17" s="1"/>
  <c r="AU77" i="17" s="1"/>
  <c r="AF77" i="17"/>
  <c r="AJ77" i="17" s="1"/>
  <c r="AV77" i="17" s="1"/>
  <c r="AG77" i="17"/>
  <c r="AH77" i="17"/>
  <c r="V78" i="17"/>
  <c r="Z78" i="17" s="1"/>
  <c r="AO78" i="17" s="1"/>
  <c r="W78" i="17"/>
  <c r="AA78" i="17" s="1"/>
  <c r="X78" i="17"/>
  <c r="AB78" i="17" s="1"/>
  <c r="AQ78" i="17" s="1"/>
  <c r="Y78" i="17"/>
  <c r="AC78" i="17" s="1"/>
  <c r="AR78" i="17" s="1"/>
  <c r="AE78" i="17"/>
  <c r="AI78" i="17" s="1"/>
  <c r="AU78" i="17" s="1"/>
  <c r="AF78" i="17"/>
  <c r="AG78" i="17"/>
  <c r="AK78" i="17" s="1"/>
  <c r="AW78" i="17" s="1"/>
  <c r="AH78" i="17"/>
  <c r="V79" i="17"/>
  <c r="Z79" i="17" s="1"/>
  <c r="AO79" i="17" s="1"/>
  <c r="W79" i="17"/>
  <c r="AA79" i="17" s="1"/>
  <c r="X79" i="17"/>
  <c r="AB79" i="17" s="1"/>
  <c r="AQ79" i="17" s="1"/>
  <c r="Y79" i="17"/>
  <c r="AC79" i="17" s="1"/>
  <c r="AR79" i="17" s="1"/>
  <c r="AE79" i="17"/>
  <c r="AI79" i="17" s="1"/>
  <c r="AU79" i="17" s="1"/>
  <c r="AF79" i="17"/>
  <c r="AJ79" i="17" s="1"/>
  <c r="AV79" i="17" s="1"/>
  <c r="AG79" i="17"/>
  <c r="AH79" i="17"/>
  <c r="V80" i="17"/>
  <c r="Z80" i="17" s="1"/>
  <c r="AO80" i="17" s="1"/>
  <c r="W80" i="17"/>
  <c r="AA80" i="17" s="1"/>
  <c r="X80" i="17"/>
  <c r="AB80" i="17" s="1"/>
  <c r="AQ80" i="17" s="1"/>
  <c r="Y80" i="17"/>
  <c r="AC80" i="17" s="1"/>
  <c r="AR80" i="17" s="1"/>
  <c r="AE80" i="17"/>
  <c r="AF80" i="17"/>
  <c r="AJ80" i="17" s="1"/>
  <c r="AV80" i="17" s="1"/>
  <c r="AG80" i="17"/>
  <c r="AK80" i="17" s="1"/>
  <c r="AW80" i="17" s="1"/>
  <c r="AH80" i="17"/>
  <c r="V84" i="17"/>
  <c r="Z84" i="17" s="1"/>
  <c r="AO84" i="17" s="1"/>
  <c r="W84" i="17"/>
  <c r="AA84" i="17" s="1"/>
  <c r="X84" i="17"/>
  <c r="AB84" i="17" s="1"/>
  <c r="AQ84" i="17" s="1"/>
  <c r="Y84" i="17"/>
  <c r="AC84" i="17" s="1"/>
  <c r="AR84" i="17" s="1"/>
  <c r="AE84" i="17"/>
  <c r="AF84" i="17"/>
  <c r="AG84" i="17"/>
  <c r="AK84" i="17" s="1"/>
  <c r="AW84" i="17" s="1"/>
  <c r="AH84" i="17"/>
  <c r="V85" i="17"/>
  <c r="Z85" i="17" s="1"/>
  <c r="AO85" i="17" s="1"/>
  <c r="W85" i="17"/>
  <c r="AA85" i="17" s="1"/>
  <c r="X85" i="17"/>
  <c r="AB85" i="17" s="1"/>
  <c r="AQ85" i="17" s="1"/>
  <c r="Y85" i="17"/>
  <c r="AC85" i="17" s="1"/>
  <c r="AR85" i="17" s="1"/>
  <c r="AE85" i="17"/>
  <c r="AF85" i="17"/>
  <c r="AJ85" i="17" s="1"/>
  <c r="AV85" i="17" s="1"/>
  <c r="AG85" i="17"/>
  <c r="AH85" i="17"/>
  <c r="V86" i="17"/>
  <c r="Z86" i="17" s="1"/>
  <c r="AO86" i="17" s="1"/>
  <c r="W86" i="17"/>
  <c r="AA86" i="17" s="1"/>
  <c r="X86" i="17"/>
  <c r="AB86" i="17" s="1"/>
  <c r="AQ86" i="17" s="1"/>
  <c r="Y86" i="17"/>
  <c r="AC86" i="17" s="1"/>
  <c r="AR86" i="17" s="1"/>
  <c r="AE86" i="17"/>
  <c r="AF86" i="17"/>
  <c r="AG86" i="17"/>
  <c r="AH86" i="17"/>
  <c r="V87" i="17"/>
  <c r="Z87" i="17" s="1"/>
  <c r="AO87" i="17" s="1"/>
  <c r="W87" i="17"/>
  <c r="AA87" i="17" s="1"/>
  <c r="X87" i="17"/>
  <c r="AB87" i="17" s="1"/>
  <c r="AQ87" i="17" s="1"/>
  <c r="Y87" i="17"/>
  <c r="AC87" i="17" s="1"/>
  <c r="AR87" i="17" s="1"/>
  <c r="AE87" i="17"/>
  <c r="AI87" i="17" s="1"/>
  <c r="AF87" i="17"/>
  <c r="AG87" i="17"/>
  <c r="AH87" i="17"/>
  <c r="AU87" i="17"/>
  <c r="V88" i="17"/>
  <c r="Z88" i="17" s="1"/>
  <c r="AO88" i="17" s="1"/>
  <c r="W88" i="17"/>
  <c r="AA88" i="17" s="1"/>
  <c r="X88" i="17"/>
  <c r="AB88" i="17" s="1"/>
  <c r="AQ88" i="17" s="1"/>
  <c r="Y88" i="17"/>
  <c r="AC88" i="17" s="1"/>
  <c r="AR88" i="17" s="1"/>
  <c r="AE88" i="17"/>
  <c r="AI88" i="17" s="1"/>
  <c r="AU88" i="17" s="1"/>
  <c r="AF88" i="17"/>
  <c r="AJ88" i="17" s="1"/>
  <c r="AV88" i="17" s="1"/>
  <c r="AG88" i="17"/>
  <c r="AH88" i="17"/>
  <c r="V89" i="17"/>
  <c r="Z89" i="17" s="1"/>
  <c r="AO89" i="17" s="1"/>
  <c r="W89" i="17"/>
  <c r="AA89" i="17" s="1"/>
  <c r="X89" i="17"/>
  <c r="AB89" i="17" s="1"/>
  <c r="AQ89" i="17" s="1"/>
  <c r="Y89" i="17"/>
  <c r="AC89" i="17" s="1"/>
  <c r="AR89" i="17" s="1"/>
  <c r="AE89" i="17"/>
  <c r="AI89" i="17" s="1"/>
  <c r="AU89" i="17" s="1"/>
  <c r="AF89" i="17"/>
  <c r="AJ89" i="17" s="1"/>
  <c r="AV89" i="17" s="1"/>
  <c r="AG89" i="17"/>
  <c r="AK89" i="17" s="1"/>
  <c r="AW89" i="17" s="1"/>
  <c r="AH89" i="17"/>
  <c r="V93" i="17"/>
  <c r="Z93" i="17" s="1"/>
  <c r="AO93" i="17" s="1"/>
  <c r="W93" i="17"/>
  <c r="AA93" i="17" s="1"/>
  <c r="X93" i="17"/>
  <c r="AB93" i="17" s="1"/>
  <c r="AQ93" i="17" s="1"/>
  <c r="Y93" i="17"/>
  <c r="AC93" i="17" s="1"/>
  <c r="AR93" i="17" s="1"/>
  <c r="AE93" i="17"/>
  <c r="AF93" i="17"/>
  <c r="AG93" i="17"/>
  <c r="AK93" i="17" s="1"/>
  <c r="AW93" i="17" s="1"/>
  <c r="AH93" i="17"/>
  <c r="V94" i="17"/>
  <c r="Z94" i="17" s="1"/>
  <c r="AO94" i="17" s="1"/>
  <c r="W94" i="17"/>
  <c r="AA94" i="17" s="1"/>
  <c r="X94" i="17"/>
  <c r="AB94" i="17" s="1"/>
  <c r="AQ94" i="17" s="1"/>
  <c r="Y94" i="17"/>
  <c r="AC94" i="17" s="1"/>
  <c r="AR94" i="17" s="1"/>
  <c r="AE94" i="17"/>
  <c r="AF94" i="17"/>
  <c r="AJ94" i="17" s="1"/>
  <c r="AV94" i="17" s="1"/>
  <c r="AG94" i="17"/>
  <c r="AH94" i="17"/>
  <c r="V95" i="17"/>
  <c r="Z95" i="17" s="1"/>
  <c r="AO95" i="17" s="1"/>
  <c r="W95" i="17"/>
  <c r="AA95" i="17" s="1"/>
  <c r="X95" i="17"/>
  <c r="AB95" i="17" s="1"/>
  <c r="AQ95" i="17" s="1"/>
  <c r="Y95" i="17"/>
  <c r="AC95" i="17" s="1"/>
  <c r="AR95" i="17" s="1"/>
  <c r="AE95" i="17"/>
  <c r="AF95" i="17"/>
  <c r="AG95" i="17"/>
  <c r="AH95" i="17"/>
  <c r="V96" i="17"/>
  <c r="Z96" i="17" s="1"/>
  <c r="AO96" i="17" s="1"/>
  <c r="W96" i="17"/>
  <c r="AA96" i="17" s="1"/>
  <c r="X96" i="17"/>
  <c r="AB96" i="17" s="1"/>
  <c r="AQ96" i="17" s="1"/>
  <c r="Y96" i="17"/>
  <c r="AC96" i="17" s="1"/>
  <c r="AR96" i="17" s="1"/>
  <c r="AE96" i="17"/>
  <c r="AI96" i="17" s="1"/>
  <c r="AU96" i="17" s="1"/>
  <c r="AF96" i="17"/>
  <c r="AG96" i="17"/>
  <c r="AH96" i="17"/>
  <c r="V97" i="17"/>
  <c r="Z97" i="17" s="1"/>
  <c r="AO97" i="17" s="1"/>
  <c r="W97" i="17"/>
  <c r="AA97" i="17" s="1"/>
  <c r="X97" i="17"/>
  <c r="AB97" i="17" s="1"/>
  <c r="AQ97" i="17" s="1"/>
  <c r="Y97" i="17"/>
  <c r="AC97" i="17" s="1"/>
  <c r="AR97" i="17" s="1"/>
  <c r="AE97" i="17"/>
  <c r="AI97" i="17" s="1"/>
  <c r="AU97" i="17" s="1"/>
  <c r="AF97" i="17"/>
  <c r="AJ97" i="17" s="1"/>
  <c r="AV97" i="17" s="1"/>
  <c r="AG97" i="17"/>
  <c r="AH97" i="17"/>
  <c r="V98" i="17"/>
  <c r="Z98" i="17" s="1"/>
  <c r="AO98" i="17" s="1"/>
  <c r="W98" i="17"/>
  <c r="AA98" i="17" s="1"/>
  <c r="X98" i="17"/>
  <c r="AB98" i="17" s="1"/>
  <c r="AQ98" i="17" s="1"/>
  <c r="Y98" i="17"/>
  <c r="AC98" i="17" s="1"/>
  <c r="AR98" i="17" s="1"/>
  <c r="AE98" i="17"/>
  <c r="AI98" i="17" s="1"/>
  <c r="AU98" i="17" s="1"/>
  <c r="AF98" i="17"/>
  <c r="AG98" i="17"/>
  <c r="AK98" i="17" s="1"/>
  <c r="AW98" i="17" s="1"/>
  <c r="AH98" i="17"/>
  <c r="V102" i="17"/>
  <c r="W102" i="17"/>
  <c r="X102" i="17"/>
  <c r="AB102" i="17" s="1"/>
  <c r="AQ102" i="17" s="1"/>
  <c r="Y102" i="17"/>
  <c r="AC102" i="17" s="1"/>
  <c r="AR102" i="17" s="1"/>
  <c r="Z102" i="17"/>
  <c r="AO102" i="17" s="1"/>
  <c r="AA102" i="17"/>
  <c r="AE102" i="17"/>
  <c r="AI102" i="17" s="1"/>
  <c r="AU102" i="17" s="1"/>
  <c r="AF102" i="17"/>
  <c r="AJ102" i="17" s="1"/>
  <c r="AG102" i="17"/>
  <c r="AH102" i="17"/>
  <c r="AV102" i="17"/>
  <c r="V103" i="17"/>
  <c r="Z103" i="17" s="1"/>
  <c r="AO103" i="17" s="1"/>
  <c r="W103" i="17"/>
  <c r="AA103" i="17" s="1"/>
  <c r="X103" i="17"/>
  <c r="AB103" i="17" s="1"/>
  <c r="AQ103" i="17" s="1"/>
  <c r="Y103" i="17"/>
  <c r="AC103" i="17" s="1"/>
  <c r="AR103" i="17" s="1"/>
  <c r="AE103" i="17"/>
  <c r="AF103" i="17"/>
  <c r="AJ103" i="17" s="1"/>
  <c r="AV103" i="17" s="1"/>
  <c r="AG103" i="17"/>
  <c r="AK103" i="17" s="1"/>
  <c r="AW103" i="17" s="1"/>
  <c r="AH103" i="17"/>
  <c r="V104" i="17"/>
  <c r="Z104" i="17" s="1"/>
  <c r="AO104" i="17" s="1"/>
  <c r="W104" i="17"/>
  <c r="AA104" i="17" s="1"/>
  <c r="X104" i="17"/>
  <c r="AB104" i="17" s="1"/>
  <c r="AQ104" i="17" s="1"/>
  <c r="Y104" i="17"/>
  <c r="AC104" i="17" s="1"/>
  <c r="AR104" i="17" s="1"/>
  <c r="AE104" i="17"/>
  <c r="AF104" i="17"/>
  <c r="AG104" i="17"/>
  <c r="AK104" i="17" s="1"/>
  <c r="AW104" i="17" s="1"/>
  <c r="AH104" i="17"/>
  <c r="V105" i="17"/>
  <c r="Z105" i="17" s="1"/>
  <c r="AO105" i="17" s="1"/>
  <c r="W105" i="17"/>
  <c r="AA105" i="17" s="1"/>
  <c r="X105" i="17"/>
  <c r="AB105" i="17" s="1"/>
  <c r="AQ105" i="17" s="1"/>
  <c r="Y105" i="17"/>
  <c r="AC105" i="17" s="1"/>
  <c r="AR105" i="17" s="1"/>
  <c r="AE105" i="17"/>
  <c r="AI105" i="17" s="1"/>
  <c r="AF105" i="17"/>
  <c r="AJ105" i="17" s="1"/>
  <c r="AV105" i="17" s="1"/>
  <c r="AG105" i="17"/>
  <c r="AH105" i="17"/>
  <c r="AU105" i="17"/>
  <c r="V106" i="17"/>
  <c r="Z106" i="17" s="1"/>
  <c r="AO106" i="17" s="1"/>
  <c r="W106" i="17"/>
  <c r="AA106" i="17" s="1"/>
  <c r="X106" i="17"/>
  <c r="AB106" i="17" s="1"/>
  <c r="AQ106" i="17" s="1"/>
  <c r="Y106" i="17"/>
  <c r="AC106" i="17" s="1"/>
  <c r="AR106" i="17" s="1"/>
  <c r="AE106" i="17"/>
  <c r="AF106" i="17"/>
  <c r="AG106" i="17"/>
  <c r="AH106" i="17"/>
  <c r="V107" i="17"/>
  <c r="Z107" i="17" s="1"/>
  <c r="AO107" i="17" s="1"/>
  <c r="W107" i="17"/>
  <c r="AA107" i="17" s="1"/>
  <c r="X107" i="17"/>
  <c r="AB107" i="17" s="1"/>
  <c r="AQ107" i="17" s="1"/>
  <c r="Y107" i="17"/>
  <c r="AC107" i="17" s="1"/>
  <c r="AR107" i="17" s="1"/>
  <c r="AE107" i="17"/>
  <c r="AI107" i="17" s="1"/>
  <c r="AU107" i="17" s="1"/>
  <c r="AF107" i="17"/>
  <c r="AJ107" i="17" s="1"/>
  <c r="AV107" i="17" s="1"/>
  <c r="AG107" i="17"/>
  <c r="AK107" i="17" s="1"/>
  <c r="AW107" i="17" s="1"/>
  <c r="AH107" i="17"/>
  <c r="V111" i="17"/>
  <c r="Z111" i="17" s="1"/>
  <c r="AO111" i="17" s="1"/>
  <c r="W111" i="17"/>
  <c r="AA111" i="17" s="1"/>
  <c r="X111" i="17"/>
  <c r="AB111" i="17" s="1"/>
  <c r="AQ111" i="17" s="1"/>
  <c r="Y111" i="17"/>
  <c r="AC111" i="17" s="1"/>
  <c r="AR111" i="17" s="1"/>
  <c r="AE111" i="17"/>
  <c r="AI111" i="17" s="1"/>
  <c r="AU111" i="17" s="1"/>
  <c r="AF111" i="17"/>
  <c r="AJ111" i="17" s="1"/>
  <c r="AV111" i="17" s="1"/>
  <c r="AG111" i="17"/>
  <c r="AK111" i="17" s="1"/>
  <c r="AW111" i="17" s="1"/>
  <c r="AH111" i="17"/>
  <c r="V112" i="17"/>
  <c r="Z112" i="17" s="1"/>
  <c r="AO112" i="17" s="1"/>
  <c r="W112" i="17"/>
  <c r="AA112" i="17" s="1"/>
  <c r="X112" i="17"/>
  <c r="AB112" i="17" s="1"/>
  <c r="AQ112" i="17" s="1"/>
  <c r="Y112" i="17"/>
  <c r="AC112" i="17" s="1"/>
  <c r="AR112" i="17" s="1"/>
  <c r="AE112" i="17"/>
  <c r="AF112" i="17"/>
  <c r="AJ112" i="17" s="1"/>
  <c r="AV112" i="17" s="1"/>
  <c r="AG112" i="17"/>
  <c r="AK112" i="17" s="1"/>
  <c r="AW112" i="17" s="1"/>
  <c r="AH112" i="17"/>
  <c r="V113" i="17"/>
  <c r="Z113" i="17" s="1"/>
  <c r="AO113" i="17" s="1"/>
  <c r="W113" i="17"/>
  <c r="AA113" i="17" s="1"/>
  <c r="X113" i="17"/>
  <c r="AB113" i="17" s="1"/>
  <c r="AQ113" i="17" s="1"/>
  <c r="Y113" i="17"/>
  <c r="AC113" i="17" s="1"/>
  <c r="AR113" i="17" s="1"/>
  <c r="AE113" i="17"/>
  <c r="AF113" i="17"/>
  <c r="AG113" i="17"/>
  <c r="AK113" i="17" s="1"/>
  <c r="AW113" i="17" s="1"/>
  <c r="AH113" i="17"/>
  <c r="V114" i="17"/>
  <c r="Z114" i="17" s="1"/>
  <c r="AO114" i="17" s="1"/>
  <c r="W114" i="17"/>
  <c r="AA114" i="17" s="1"/>
  <c r="X114" i="17"/>
  <c r="AB114" i="17" s="1"/>
  <c r="AQ114" i="17" s="1"/>
  <c r="Y114" i="17"/>
  <c r="AC114" i="17" s="1"/>
  <c r="AR114" i="17" s="1"/>
  <c r="AE114" i="17"/>
  <c r="AF114" i="17"/>
  <c r="AJ114" i="17" s="1"/>
  <c r="AV114" i="17" s="1"/>
  <c r="AG114" i="17"/>
  <c r="AH114" i="17"/>
  <c r="V115" i="17"/>
  <c r="Z115" i="17" s="1"/>
  <c r="AO115" i="17" s="1"/>
  <c r="W115" i="17"/>
  <c r="AA115" i="17" s="1"/>
  <c r="X115" i="17"/>
  <c r="AB115" i="17" s="1"/>
  <c r="AQ115" i="17" s="1"/>
  <c r="Y115" i="17"/>
  <c r="AC115" i="17" s="1"/>
  <c r="AR115" i="17" s="1"/>
  <c r="AE115" i="17"/>
  <c r="AF115" i="17"/>
  <c r="AG115" i="17"/>
  <c r="AK115" i="17" s="1"/>
  <c r="AW115" i="17" s="1"/>
  <c r="AH115" i="17"/>
  <c r="V116" i="17"/>
  <c r="Z116" i="17" s="1"/>
  <c r="AO116" i="17" s="1"/>
  <c r="W116" i="17"/>
  <c r="AA116" i="17" s="1"/>
  <c r="X116" i="17"/>
  <c r="AB116" i="17" s="1"/>
  <c r="AQ116" i="17" s="1"/>
  <c r="Y116" i="17"/>
  <c r="AC116" i="17" s="1"/>
  <c r="AR116" i="17" s="1"/>
  <c r="AE116" i="17"/>
  <c r="AI116" i="17" s="1"/>
  <c r="AU116" i="17" s="1"/>
  <c r="AF116" i="17"/>
  <c r="AG116" i="17"/>
  <c r="AH116" i="17"/>
  <c r="V120" i="17"/>
  <c r="Z120" i="17" s="1"/>
  <c r="AO120" i="17" s="1"/>
  <c r="W120" i="17"/>
  <c r="AA120" i="17" s="1"/>
  <c r="X120" i="17"/>
  <c r="AB120" i="17" s="1"/>
  <c r="AQ120" i="17" s="1"/>
  <c r="Y120" i="17"/>
  <c r="AC120" i="17" s="1"/>
  <c r="AR120" i="17" s="1"/>
  <c r="AE120" i="17"/>
  <c r="AI120" i="17" s="1"/>
  <c r="AU120" i="17" s="1"/>
  <c r="AF120" i="17"/>
  <c r="AJ120" i="17" s="1"/>
  <c r="AV120" i="17" s="1"/>
  <c r="AG120" i="17"/>
  <c r="AH120" i="17"/>
  <c r="V121" i="17"/>
  <c r="Z121" i="17" s="1"/>
  <c r="AO121" i="17" s="1"/>
  <c r="W121" i="17"/>
  <c r="AA121" i="17" s="1"/>
  <c r="X121" i="17"/>
  <c r="AB121" i="17" s="1"/>
  <c r="AQ121" i="17" s="1"/>
  <c r="Y121" i="17"/>
  <c r="AC121" i="17" s="1"/>
  <c r="AR121" i="17" s="1"/>
  <c r="AE121" i="17"/>
  <c r="AI121" i="17" s="1"/>
  <c r="AU121" i="17" s="1"/>
  <c r="AF121" i="17"/>
  <c r="AG121" i="17"/>
  <c r="AK121" i="17" s="1"/>
  <c r="AW121" i="17" s="1"/>
  <c r="AH121" i="17"/>
  <c r="V122" i="17"/>
  <c r="Z122" i="17" s="1"/>
  <c r="AO122" i="17" s="1"/>
  <c r="W122" i="17"/>
  <c r="AA122" i="17" s="1"/>
  <c r="X122" i="17"/>
  <c r="AB122" i="17" s="1"/>
  <c r="AQ122" i="17" s="1"/>
  <c r="Y122" i="17"/>
  <c r="AC122" i="17" s="1"/>
  <c r="AR122" i="17" s="1"/>
  <c r="AE122" i="17"/>
  <c r="AF122" i="17"/>
  <c r="AG122" i="17"/>
  <c r="AH122" i="17"/>
  <c r="V123" i="17"/>
  <c r="Z123" i="17" s="1"/>
  <c r="AO123" i="17" s="1"/>
  <c r="W123" i="17"/>
  <c r="AA123" i="17" s="1"/>
  <c r="X123" i="17"/>
  <c r="AB123" i="17" s="1"/>
  <c r="AQ123" i="17" s="1"/>
  <c r="Y123" i="17"/>
  <c r="AC123" i="17" s="1"/>
  <c r="AR123" i="17" s="1"/>
  <c r="AE123" i="17"/>
  <c r="AF123" i="17"/>
  <c r="AG123" i="17"/>
  <c r="AH123" i="17"/>
  <c r="V124" i="17"/>
  <c r="Z124" i="17" s="1"/>
  <c r="AO124" i="17" s="1"/>
  <c r="W124" i="17"/>
  <c r="AA124" i="17" s="1"/>
  <c r="X124" i="17"/>
  <c r="AB124" i="17" s="1"/>
  <c r="AQ124" i="17" s="1"/>
  <c r="Y124" i="17"/>
  <c r="AC124" i="17" s="1"/>
  <c r="AR124" i="17" s="1"/>
  <c r="AE124" i="17"/>
  <c r="AF124" i="17"/>
  <c r="AG124" i="17"/>
  <c r="AH124" i="17"/>
  <c r="V125" i="17"/>
  <c r="Z125" i="17" s="1"/>
  <c r="AO125" i="17" s="1"/>
  <c r="W125" i="17"/>
  <c r="AA125" i="17" s="1"/>
  <c r="X125" i="17"/>
  <c r="AB125" i="17" s="1"/>
  <c r="AQ125" i="17" s="1"/>
  <c r="Y125" i="17"/>
  <c r="AC125" i="17" s="1"/>
  <c r="AR125" i="17" s="1"/>
  <c r="AE125" i="17"/>
  <c r="AF125" i="17"/>
  <c r="AG125" i="17"/>
  <c r="AK125" i="17" s="1"/>
  <c r="AW125" i="17" s="1"/>
  <c r="AH125" i="17"/>
  <c r="V129" i="17"/>
  <c r="Z129" i="17" s="1"/>
  <c r="AO129" i="17" s="1"/>
  <c r="W129" i="17"/>
  <c r="AA129" i="17" s="1"/>
  <c r="X129" i="17"/>
  <c r="AB129" i="17" s="1"/>
  <c r="AQ129" i="17" s="1"/>
  <c r="Y129" i="17"/>
  <c r="AC129" i="17" s="1"/>
  <c r="AR129" i="17" s="1"/>
  <c r="V130" i="17"/>
  <c r="Z130" i="17" s="1"/>
  <c r="AO130" i="17" s="1"/>
  <c r="W130" i="17"/>
  <c r="AA130" i="17" s="1"/>
  <c r="X130" i="17"/>
  <c r="AB130" i="17" s="1"/>
  <c r="AQ130" i="17" s="1"/>
  <c r="Y130" i="17"/>
  <c r="AC130" i="17" s="1"/>
  <c r="AR130" i="17" s="1"/>
  <c r="V131" i="17"/>
  <c r="Z131" i="17" s="1"/>
  <c r="AO131" i="17" s="1"/>
  <c r="W131" i="17"/>
  <c r="AA131" i="17" s="1"/>
  <c r="X131" i="17"/>
  <c r="AB131" i="17" s="1"/>
  <c r="AQ131" i="17" s="1"/>
  <c r="Y131" i="17"/>
  <c r="AC131" i="17" s="1"/>
  <c r="AR131" i="17" s="1"/>
  <c r="V132" i="17"/>
  <c r="W132" i="17"/>
  <c r="AA132" i="17" s="1"/>
  <c r="X132" i="17"/>
  <c r="AB132" i="17" s="1"/>
  <c r="AQ132" i="17" s="1"/>
  <c r="Y132" i="17"/>
  <c r="AC132" i="17" s="1"/>
  <c r="AR132" i="17" s="1"/>
  <c r="Z132" i="17"/>
  <c r="AO132" i="17" s="1"/>
  <c r="V133" i="17"/>
  <c r="Z133" i="17" s="1"/>
  <c r="AO133" i="17" s="1"/>
  <c r="W133" i="17"/>
  <c r="AA133" i="17" s="1"/>
  <c r="X133" i="17"/>
  <c r="AB133" i="17" s="1"/>
  <c r="AQ133" i="17" s="1"/>
  <c r="Y133" i="17"/>
  <c r="AC133" i="17" s="1"/>
  <c r="AR133" i="17" s="1"/>
  <c r="V134" i="17"/>
  <c r="Z134" i="17" s="1"/>
  <c r="AO134" i="17" s="1"/>
  <c r="W134" i="17"/>
  <c r="AA134" i="17" s="1"/>
  <c r="X134" i="17"/>
  <c r="AB134" i="17" s="1"/>
  <c r="AQ134" i="17" s="1"/>
  <c r="Y134" i="17"/>
  <c r="AC134" i="17" s="1"/>
  <c r="AR134" i="17" s="1"/>
  <c r="V138" i="17"/>
  <c r="Z138" i="17" s="1"/>
  <c r="AO138" i="17" s="1"/>
  <c r="W138" i="17"/>
  <c r="AA138" i="17" s="1"/>
  <c r="X138" i="17"/>
  <c r="AB138" i="17" s="1"/>
  <c r="AQ138" i="17" s="1"/>
  <c r="Y138" i="17"/>
  <c r="AC138" i="17" s="1"/>
  <c r="AR138" i="17" s="1"/>
  <c r="V139" i="17"/>
  <c r="Z139" i="17" s="1"/>
  <c r="AO139" i="17" s="1"/>
  <c r="W139" i="17"/>
  <c r="AA139" i="17" s="1"/>
  <c r="X139" i="17"/>
  <c r="AB139" i="17" s="1"/>
  <c r="AQ139" i="17" s="1"/>
  <c r="Y139" i="17"/>
  <c r="AC139" i="17" s="1"/>
  <c r="AR139" i="17" s="1"/>
  <c r="V140" i="17"/>
  <c r="Z140" i="17" s="1"/>
  <c r="AO140" i="17" s="1"/>
  <c r="W140" i="17"/>
  <c r="AA140" i="17" s="1"/>
  <c r="X140" i="17"/>
  <c r="AB140" i="17" s="1"/>
  <c r="AQ140" i="17" s="1"/>
  <c r="Y140" i="17"/>
  <c r="AC140" i="17" s="1"/>
  <c r="AR140" i="17" s="1"/>
  <c r="V141" i="17"/>
  <c r="Z141" i="17" s="1"/>
  <c r="AO141" i="17" s="1"/>
  <c r="W141" i="17"/>
  <c r="AA141" i="17" s="1"/>
  <c r="AP141" i="17" s="1"/>
  <c r="X141" i="17"/>
  <c r="AB141" i="17" s="1"/>
  <c r="AQ141" i="17" s="1"/>
  <c r="Y141" i="17"/>
  <c r="AC141" i="17" s="1"/>
  <c r="AR141" i="17" s="1"/>
  <c r="V142" i="17"/>
  <c r="Z142" i="17" s="1"/>
  <c r="AO142" i="17" s="1"/>
  <c r="W142" i="17"/>
  <c r="AA142" i="17" s="1"/>
  <c r="X142" i="17"/>
  <c r="AB142" i="17" s="1"/>
  <c r="AQ142" i="17" s="1"/>
  <c r="Y142" i="17"/>
  <c r="AC142" i="17" s="1"/>
  <c r="AR142" i="17" s="1"/>
  <c r="V143" i="17"/>
  <c r="Z143" i="17" s="1"/>
  <c r="AO143" i="17" s="1"/>
  <c r="W143" i="17"/>
  <c r="AA143" i="17" s="1"/>
  <c r="X143" i="17"/>
  <c r="AB143" i="17" s="1"/>
  <c r="AQ143" i="17" s="1"/>
  <c r="Y143" i="17"/>
  <c r="AC143" i="17" s="1"/>
  <c r="AR143" i="17" s="1"/>
  <c r="V147" i="17"/>
  <c r="Z147" i="17" s="1"/>
  <c r="AO147" i="17" s="1"/>
  <c r="W147" i="17"/>
  <c r="AA147" i="17" s="1"/>
  <c r="X147" i="17"/>
  <c r="AB147" i="17" s="1"/>
  <c r="AQ147" i="17" s="1"/>
  <c r="Y147" i="17"/>
  <c r="AC147" i="17" s="1"/>
  <c r="AR147" i="17" s="1"/>
  <c r="V148" i="17"/>
  <c r="Z148" i="17" s="1"/>
  <c r="AO148" i="17" s="1"/>
  <c r="W148" i="17"/>
  <c r="AA148" i="17" s="1"/>
  <c r="X148" i="17"/>
  <c r="AB148" i="17" s="1"/>
  <c r="AQ148" i="17" s="1"/>
  <c r="Y148" i="17"/>
  <c r="AC148" i="17" s="1"/>
  <c r="AR148" i="17" s="1"/>
  <c r="V149" i="17"/>
  <c r="Z149" i="17" s="1"/>
  <c r="AO149" i="17" s="1"/>
  <c r="W149" i="17"/>
  <c r="AA149" i="17" s="1"/>
  <c r="X149" i="17"/>
  <c r="AB149" i="17" s="1"/>
  <c r="AQ149" i="17" s="1"/>
  <c r="Y149" i="17"/>
  <c r="AC149" i="17" s="1"/>
  <c r="AR149" i="17" s="1"/>
  <c r="V150" i="17"/>
  <c r="Z150" i="17" s="1"/>
  <c r="AO150" i="17" s="1"/>
  <c r="W150" i="17"/>
  <c r="AA150" i="17" s="1"/>
  <c r="X150" i="17"/>
  <c r="AB150" i="17" s="1"/>
  <c r="AQ150" i="17" s="1"/>
  <c r="Y150" i="17"/>
  <c r="AC150" i="17" s="1"/>
  <c r="AR150" i="17" s="1"/>
  <c r="V151" i="17"/>
  <c r="Z151" i="17" s="1"/>
  <c r="AO151" i="17" s="1"/>
  <c r="W151" i="17"/>
  <c r="AA151" i="17" s="1"/>
  <c r="X151" i="17"/>
  <c r="AB151" i="17" s="1"/>
  <c r="AQ151" i="17" s="1"/>
  <c r="Y151" i="17"/>
  <c r="AC151" i="17" s="1"/>
  <c r="AR151" i="17" s="1"/>
  <c r="V152" i="17"/>
  <c r="Z152" i="17" s="1"/>
  <c r="AO152" i="17" s="1"/>
  <c r="W152" i="17"/>
  <c r="AA152" i="17" s="1"/>
  <c r="X152" i="17"/>
  <c r="AB152" i="17" s="1"/>
  <c r="AQ152" i="17" s="1"/>
  <c r="Y152" i="17"/>
  <c r="AC152" i="17" s="1"/>
  <c r="AR152" i="17" s="1"/>
  <c r="V156" i="17"/>
  <c r="Z156" i="17" s="1"/>
  <c r="AO156" i="17" s="1"/>
  <c r="W156" i="17"/>
  <c r="AA156" i="17" s="1"/>
  <c r="AP156" i="17" s="1"/>
  <c r="X156" i="17"/>
  <c r="AB156" i="17" s="1"/>
  <c r="AQ156" i="17" s="1"/>
  <c r="Y156" i="17"/>
  <c r="AC156" i="17" s="1"/>
  <c r="AR156" i="17" s="1"/>
  <c r="AE156" i="17"/>
  <c r="AI156" i="17" s="1"/>
  <c r="AU156" i="17" s="1"/>
  <c r="AF156" i="17"/>
  <c r="AJ156" i="17" s="1"/>
  <c r="AV156" i="17" s="1"/>
  <c r="AG156" i="17"/>
  <c r="AK156" i="17" s="1"/>
  <c r="AW156" i="17" s="1"/>
  <c r="AH156" i="17"/>
  <c r="V157" i="17"/>
  <c r="Z157" i="17" s="1"/>
  <c r="AO157" i="17" s="1"/>
  <c r="W157" i="17"/>
  <c r="AA157" i="17" s="1"/>
  <c r="AP157" i="17" s="1"/>
  <c r="X157" i="17"/>
  <c r="AB157" i="17" s="1"/>
  <c r="AQ157" i="17" s="1"/>
  <c r="Y157" i="17"/>
  <c r="AC157" i="17" s="1"/>
  <c r="AR157" i="17" s="1"/>
  <c r="AE157" i="17"/>
  <c r="AI157" i="17" s="1"/>
  <c r="AU157" i="17" s="1"/>
  <c r="AF157" i="17"/>
  <c r="AJ157" i="17" s="1"/>
  <c r="AV157" i="17" s="1"/>
  <c r="AG157" i="17"/>
  <c r="AK157" i="17" s="1"/>
  <c r="AW157" i="17" s="1"/>
  <c r="AH157" i="17"/>
  <c r="V158" i="17"/>
  <c r="Z158" i="17" s="1"/>
  <c r="AO158" i="17" s="1"/>
  <c r="W158" i="17"/>
  <c r="AA158" i="17" s="1"/>
  <c r="AP158" i="17" s="1"/>
  <c r="X158" i="17"/>
  <c r="AB158" i="17" s="1"/>
  <c r="AQ158" i="17" s="1"/>
  <c r="Y158" i="17"/>
  <c r="AC158" i="17" s="1"/>
  <c r="AR158" i="17" s="1"/>
  <c r="AE158" i="17"/>
  <c r="AI158" i="17" s="1"/>
  <c r="AU158" i="17" s="1"/>
  <c r="AF158" i="17"/>
  <c r="AJ158" i="17" s="1"/>
  <c r="AV158" i="17" s="1"/>
  <c r="AG158" i="17"/>
  <c r="AK158" i="17" s="1"/>
  <c r="AW158" i="17" s="1"/>
  <c r="AH158" i="17"/>
  <c r="V159" i="17"/>
  <c r="Z159" i="17" s="1"/>
  <c r="AO159" i="17" s="1"/>
  <c r="W159" i="17"/>
  <c r="AA159" i="17" s="1"/>
  <c r="AP159" i="17" s="1"/>
  <c r="X159" i="17"/>
  <c r="AB159" i="17" s="1"/>
  <c r="AQ159" i="17" s="1"/>
  <c r="Y159" i="17"/>
  <c r="AC159" i="17" s="1"/>
  <c r="AR159" i="17" s="1"/>
  <c r="AE159" i="17"/>
  <c r="AI159" i="17" s="1"/>
  <c r="AU159" i="17" s="1"/>
  <c r="AF159" i="17"/>
  <c r="AJ159" i="17" s="1"/>
  <c r="AV159" i="17" s="1"/>
  <c r="AG159" i="17"/>
  <c r="AK159" i="17" s="1"/>
  <c r="AW159" i="17" s="1"/>
  <c r="AH159" i="17"/>
  <c r="V160" i="17"/>
  <c r="Z160" i="17" s="1"/>
  <c r="AO160" i="17" s="1"/>
  <c r="W160" i="17"/>
  <c r="AA160" i="17" s="1"/>
  <c r="AP160" i="17" s="1"/>
  <c r="X160" i="17"/>
  <c r="AB160" i="17" s="1"/>
  <c r="AQ160" i="17" s="1"/>
  <c r="Y160" i="17"/>
  <c r="AC160" i="17" s="1"/>
  <c r="AR160" i="17" s="1"/>
  <c r="AE160" i="17"/>
  <c r="AI160" i="17" s="1"/>
  <c r="AU160" i="17" s="1"/>
  <c r="AF160" i="17"/>
  <c r="AJ160" i="17" s="1"/>
  <c r="AV160" i="17" s="1"/>
  <c r="AG160" i="17"/>
  <c r="AK160" i="17" s="1"/>
  <c r="AW160" i="17" s="1"/>
  <c r="AH160" i="17"/>
  <c r="V161" i="17"/>
  <c r="Z161" i="17" s="1"/>
  <c r="AO161" i="17" s="1"/>
  <c r="W161" i="17"/>
  <c r="AA161" i="17" s="1"/>
  <c r="AP161" i="17" s="1"/>
  <c r="X161" i="17"/>
  <c r="AB161" i="17" s="1"/>
  <c r="AQ161" i="17" s="1"/>
  <c r="Y161" i="17"/>
  <c r="AC161" i="17" s="1"/>
  <c r="AR161" i="17" s="1"/>
  <c r="AE161" i="17"/>
  <c r="AI161" i="17" s="1"/>
  <c r="AU161" i="17" s="1"/>
  <c r="AF161" i="17"/>
  <c r="AJ161" i="17" s="1"/>
  <c r="AV161" i="17" s="1"/>
  <c r="AG161" i="17"/>
  <c r="AK161" i="17" s="1"/>
  <c r="AW161" i="17" s="1"/>
  <c r="AH161" i="17"/>
  <c r="V165" i="17"/>
  <c r="Z165" i="17" s="1"/>
  <c r="AO165" i="17" s="1"/>
  <c r="W165" i="17"/>
  <c r="AA165" i="17" s="1"/>
  <c r="AP165" i="17" s="1"/>
  <c r="X165" i="17"/>
  <c r="AB165" i="17" s="1"/>
  <c r="AQ165" i="17" s="1"/>
  <c r="Y165" i="17"/>
  <c r="AC165" i="17" s="1"/>
  <c r="AR165" i="17" s="1"/>
  <c r="AE165" i="17"/>
  <c r="AI165" i="17" s="1"/>
  <c r="AU165" i="17" s="1"/>
  <c r="AF165" i="17"/>
  <c r="AJ165" i="17" s="1"/>
  <c r="AV165" i="17" s="1"/>
  <c r="AG165" i="17"/>
  <c r="AK165" i="17" s="1"/>
  <c r="AW165" i="17" s="1"/>
  <c r="AH165" i="17"/>
  <c r="V166" i="17"/>
  <c r="Z166" i="17" s="1"/>
  <c r="AO166" i="17" s="1"/>
  <c r="W166" i="17"/>
  <c r="AA166" i="17" s="1"/>
  <c r="AP166" i="17" s="1"/>
  <c r="X166" i="17"/>
  <c r="AB166" i="17" s="1"/>
  <c r="AQ166" i="17" s="1"/>
  <c r="Y166" i="17"/>
  <c r="AC166" i="17" s="1"/>
  <c r="AR166" i="17" s="1"/>
  <c r="AE166" i="17"/>
  <c r="AI166" i="17" s="1"/>
  <c r="AU166" i="17" s="1"/>
  <c r="AF166" i="17"/>
  <c r="AJ166" i="17" s="1"/>
  <c r="AV166" i="17" s="1"/>
  <c r="AG166" i="17"/>
  <c r="AK166" i="17" s="1"/>
  <c r="AW166" i="17" s="1"/>
  <c r="AH166" i="17"/>
  <c r="V167" i="17"/>
  <c r="Z167" i="17" s="1"/>
  <c r="AO167" i="17" s="1"/>
  <c r="W167" i="17"/>
  <c r="AA167" i="17" s="1"/>
  <c r="AP167" i="17" s="1"/>
  <c r="X167" i="17"/>
  <c r="AB167" i="17" s="1"/>
  <c r="AQ167" i="17" s="1"/>
  <c r="Y167" i="17"/>
  <c r="AC167" i="17" s="1"/>
  <c r="AR167" i="17" s="1"/>
  <c r="AE167" i="17"/>
  <c r="AI167" i="17" s="1"/>
  <c r="AU167" i="17" s="1"/>
  <c r="AF167" i="17"/>
  <c r="AG167" i="17"/>
  <c r="AH167" i="17"/>
  <c r="V168" i="17"/>
  <c r="Z168" i="17" s="1"/>
  <c r="AO168" i="17" s="1"/>
  <c r="W168" i="17"/>
  <c r="AA168" i="17" s="1"/>
  <c r="AP168" i="17" s="1"/>
  <c r="X168" i="17"/>
  <c r="AB168" i="17" s="1"/>
  <c r="AQ168" i="17" s="1"/>
  <c r="Y168" i="17"/>
  <c r="AC168" i="17" s="1"/>
  <c r="AR168" i="17" s="1"/>
  <c r="AE168" i="17"/>
  <c r="AF168" i="17"/>
  <c r="AG168" i="17"/>
  <c r="AK168" i="17" s="1"/>
  <c r="AW168" i="17" s="1"/>
  <c r="AH168" i="17"/>
  <c r="V169" i="17"/>
  <c r="Z169" i="17" s="1"/>
  <c r="AO169" i="17" s="1"/>
  <c r="W169" i="17"/>
  <c r="AA169" i="17" s="1"/>
  <c r="AP169" i="17" s="1"/>
  <c r="X169" i="17"/>
  <c r="AB169" i="17" s="1"/>
  <c r="AQ169" i="17" s="1"/>
  <c r="Y169" i="17"/>
  <c r="AC169" i="17" s="1"/>
  <c r="AR169" i="17" s="1"/>
  <c r="AE169" i="17"/>
  <c r="AI169" i="17" s="1"/>
  <c r="AU169" i="17" s="1"/>
  <c r="AF169" i="17"/>
  <c r="AG169" i="17"/>
  <c r="AK169" i="17" s="1"/>
  <c r="AW169" i="17" s="1"/>
  <c r="AH169" i="17"/>
  <c r="V170" i="17"/>
  <c r="Z170" i="17" s="1"/>
  <c r="AO170" i="17" s="1"/>
  <c r="W170" i="17"/>
  <c r="AA170" i="17" s="1"/>
  <c r="AP170" i="17" s="1"/>
  <c r="X170" i="17"/>
  <c r="AB170" i="17" s="1"/>
  <c r="AQ170" i="17" s="1"/>
  <c r="Y170" i="17"/>
  <c r="AC170" i="17" s="1"/>
  <c r="AR170" i="17" s="1"/>
  <c r="AE170" i="17"/>
  <c r="AI170" i="17" s="1"/>
  <c r="AU170" i="17" s="1"/>
  <c r="AF170" i="17"/>
  <c r="AG170" i="17"/>
  <c r="AK170" i="17" s="1"/>
  <c r="AW170" i="17" s="1"/>
  <c r="AH170" i="17"/>
  <c r="V12" i="18"/>
  <c r="Z12" i="18" s="1"/>
  <c r="W12" i="18"/>
  <c r="AA12" i="18" s="1"/>
  <c r="AP12" i="18" s="1"/>
  <c r="X12" i="18"/>
  <c r="AB12" i="18" s="1"/>
  <c r="AQ12" i="18" s="1"/>
  <c r="Y12" i="18"/>
  <c r="AC12" i="18" s="1"/>
  <c r="AR12" i="18" s="1"/>
  <c r="AE12" i="18"/>
  <c r="AF12" i="18"/>
  <c r="AG12" i="18"/>
  <c r="AK12" i="18" s="1"/>
  <c r="AW12" i="18" s="1"/>
  <c r="AH12" i="18"/>
  <c r="V13" i="18"/>
  <c r="Z13" i="18" s="1"/>
  <c r="AO13" i="18" s="1"/>
  <c r="W13" i="18"/>
  <c r="AA13" i="18" s="1"/>
  <c r="AP13" i="18" s="1"/>
  <c r="X13" i="18"/>
  <c r="AB13" i="18" s="1"/>
  <c r="AQ13" i="18" s="1"/>
  <c r="Y13" i="18"/>
  <c r="AC13" i="18" s="1"/>
  <c r="AR13" i="18" s="1"/>
  <c r="AE13" i="18"/>
  <c r="AF13" i="18"/>
  <c r="AG13" i="18"/>
  <c r="AK13" i="18" s="1"/>
  <c r="AW13" i="18" s="1"/>
  <c r="AH13" i="18"/>
  <c r="V14" i="18"/>
  <c r="Z14" i="18" s="1"/>
  <c r="AO14" i="18" s="1"/>
  <c r="W14" i="18"/>
  <c r="AA14" i="18" s="1"/>
  <c r="AP14" i="18" s="1"/>
  <c r="X14" i="18"/>
  <c r="AB14" i="18" s="1"/>
  <c r="AQ14" i="18" s="1"/>
  <c r="Y14" i="18"/>
  <c r="AC14" i="18" s="1"/>
  <c r="AR14" i="18" s="1"/>
  <c r="AE14" i="18"/>
  <c r="AF14" i="18"/>
  <c r="AJ14" i="18" s="1"/>
  <c r="AV14" i="18" s="1"/>
  <c r="AG14" i="18"/>
  <c r="AH14" i="18"/>
  <c r="V15" i="18"/>
  <c r="Z15" i="18" s="1"/>
  <c r="AO15" i="18" s="1"/>
  <c r="W15" i="18"/>
  <c r="AA15" i="18" s="1"/>
  <c r="AP15" i="18" s="1"/>
  <c r="X15" i="18"/>
  <c r="AB15" i="18" s="1"/>
  <c r="AQ15" i="18" s="1"/>
  <c r="Y15" i="18"/>
  <c r="AC15" i="18" s="1"/>
  <c r="AR15" i="18" s="1"/>
  <c r="AE15" i="18"/>
  <c r="AF15" i="18"/>
  <c r="AG15" i="18"/>
  <c r="AH15" i="18"/>
  <c r="V16" i="18"/>
  <c r="Z16" i="18" s="1"/>
  <c r="AO16" i="18" s="1"/>
  <c r="W16" i="18"/>
  <c r="AA16" i="18" s="1"/>
  <c r="AP16" i="18" s="1"/>
  <c r="X16" i="18"/>
  <c r="Y16" i="18"/>
  <c r="AC16" i="18" s="1"/>
  <c r="AR16" i="18" s="1"/>
  <c r="AB16" i="18"/>
  <c r="AQ16" i="18" s="1"/>
  <c r="AE16" i="18"/>
  <c r="AI16" i="18" s="1"/>
  <c r="AU16" i="18" s="1"/>
  <c r="AF16" i="18"/>
  <c r="AG16" i="18"/>
  <c r="AH16" i="18"/>
  <c r="V17" i="18"/>
  <c r="Z17" i="18" s="1"/>
  <c r="AO17" i="18" s="1"/>
  <c r="W17" i="18"/>
  <c r="AA17" i="18" s="1"/>
  <c r="AP17" i="18" s="1"/>
  <c r="X17" i="18"/>
  <c r="AB17" i="18" s="1"/>
  <c r="AQ17" i="18" s="1"/>
  <c r="Y17" i="18"/>
  <c r="AC17" i="18" s="1"/>
  <c r="AR17" i="18" s="1"/>
  <c r="AE17" i="18"/>
  <c r="AI17" i="18" s="1"/>
  <c r="AU17" i="18" s="1"/>
  <c r="AF17" i="18"/>
  <c r="AJ17" i="18" s="1"/>
  <c r="AV17" i="18" s="1"/>
  <c r="AG17" i="18"/>
  <c r="AH17" i="18"/>
  <c r="Z21" i="18"/>
  <c r="AO21" i="18" s="1"/>
  <c r="W21" i="18"/>
  <c r="AA21" i="18" s="1"/>
  <c r="AP21" i="18" s="1"/>
  <c r="X21" i="18"/>
  <c r="AB21" i="18" s="1"/>
  <c r="AQ21" i="18" s="1"/>
  <c r="Y21" i="18"/>
  <c r="AC21" i="18" s="1"/>
  <c r="AR21" i="18" s="1"/>
  <c r="AE21" i="18"/>
  <c r="AF21" i="18"/>
  <c r="AG21" i="18"/>
  <c r="AK21" i="18" s="1"/>
  <c r="AW21" i="18" s="1"/>
  <c r="AH21" i="18"/>
  <c r="V22" i="18"/>
  <c r="Z22" i="18" s="1"/>
  <c r="AO22" i="18" s="1"/>
  <c r="W22" i="18"/>
  <c r="AA22" i="18" s="1"/>
  <c r="AP22" i="18" s="1"/>
  <c r="X22" i="18"/>
  <c r="AB22" i="18" s="1"/>
  <c r="AQ22" i="18" s="1"/>
  <c r="Y22" i="18"/>
  <c r="AC22" i="18" s="1"/>
  <c r="AR22" i="18" s="1"/>
  <c r="AE22" i="18"/>
  <c r="AF22" i="18"/>
  <c r="AG22" i="18"/>
  <c r="AH22" i="18"/>
  <c r="V23" i="18"/>
  <c r="Z23" i="18" s="1"/>
  <c r="AO23" i="18" s="1"/>
  <c r="W23" i="18"/>
  <c r="AA23" i="18" s="1"/>
  <c r="AP23" i="18" s="1"/>
  <c r="X23" i="18"/>
  <c r="AB23" i="18" s="1"/>
  <c r="AQ23" i="18" s="1"/>
  <c r="Y23" i="18"/>
  <c r="AC23" i="18" s="1"/>
  <c r="AR23" i="18" s="1"/>
  <c r="AE23" i="18"/>
  <c r="AF23" i="18"/>
  <c r="AG23" i="18"/>
  <c r="AK23" i="18" s="1"/>
  <c r="AW23" i="18" s="1"/>
  <c r="AH23" i="18"/>
  <c r="V24" i="18"/>
  <c r="Z24" i="18" s="1"/>
  <c r="AO24" i="18" s="1"/>
  <c r="W24" i="18"/>
  <c r="AA24" i="18" s="1"/>
  <c r="AP24" i="18" s="1"/>
  <c r="X24" i="18"/>
  <c r="AB24" i="18" s="1"/>
  <c r="AQ24" i="18" s="1"/>
  <c r="Y24" i="18"/>
  <c r="AC24" i="18" s="1"/>
  <c r="AR24" i="18" s="1"/>
  <c r="AE24" i="18"/>
  <c r="AI24" i="18" s="1"/>
  <c r="AU24" i="18" s="1"/>
  <c r="AF24" i="18"/>
  <c r="AG24" i="18"/>
  <c r="AK24" i="18" s="1"/>
  <c r="AW24" i="18" s="1"/>
  <c r="AH24" i="18"/>
  <c r="V25" i="18"/>
  <c r="Z25" i="18" s="1"/>
  <c r="AO25" i="18" s="1"/>
  <c r="W25" i="18"/>
  <c r="AA25" i="18" s="1"/>
  <c r="AP25" i="18" s="1"/>
  <c r="X25" i="18"/>
  <c r="AB25" i="18" s="1"/>
  <c r="AQ25" i="18" s="1"/>
  <c r="Y25" i="18"/>
  <c r="AC25" i="18" s="1"/>
  <c r="AR25" i="18" s="1"/>
  <c r="AE25" i="18"/>
  <c r="AF25" i="18"/>
  <c r="AG25" i="18"/>
  <c r="AK25" i="18" s="1"/>
  <c r="AW25" i="18" s="1"/>
  <c r="AH25" i="18"/>
  <c r="V26" i="18"/>
  <c r="W26" i="18"/>
  <c r="AA26" i="18" s="1"/>
  <c r="AP26" i="18" s="1"/>
  <c r="X26" i="18"/>
  <c r="AB26" i="18" s="1"/>
  <c r="AQ26" i="18" s="1"/>
  <c r="Y26" i="18"/>
  <c r="AC26" i="18" s="1"/>
  <c r="AR26" i="18" s="1"/>
  <c r="Z26" i="18"/>
  <c r="AO26" i="18" s="1"/>
  <c r="AE26" i="18"/>
  <c r="AI26" i="18" s="1"/>
  <c r="AU26" i="18" s="1"/>
  <c r="AF26" i="18"/>
  <c r="AJ26" i="18" s="1"/>
  <c r="AV26" i="18" s="1"/>
  <c r="AG26" i="18"/>
  <c r="AH26" i="18"/>
  <c r="V30" i="18"/>
  <c r="Z30" i="18" s="1"/>
  <c r="AO30" i="18" s="1"/>
  <c r="W30" i="18"/>
  <c r="AA30" i="18" s="1"/>
  <c r="AP30" i="18" s="1"/>
  <c r="X30" i="18"/>
  <c r="AB30" i="18" s="1"/>
  <c r="AQ30" i="18" s="1"/>
  <c r="Y30" i="18"/>
  <c r="AC30" i="18" s="1"/>
  <c r="AR30" i="18" s="1"/>
  <c r="AE30" i="18"/>
  <c r="AI30" i="18" s="1"/>
  <c r="AU30" i="18" s="1"/>
  <c r="AF30" i="18"/>
  <c r="AJ30" i="18" s="1"/>
  <c r="AV30" i="18" s="1"/>
  <c r="AG30" i="18"/>
  <c r="AH30" i="18"/>
  <c r="V31" i="18"/>
  <c r="Z31" i="18" s="1"/>
  <c r="AO31" i="18" s="1"/>
  <c r="W31" i="18"/>
  <c r="AA31" i="18" s="1"/>
  <c r="AP31" i="18" s="1"/>
  <c r="X31" i="18"/>
  <c r="AB31" i="18" s="1"/>
  <c r="AQ31" i="18" s="1"/>
  <c r="Y31" i="18"/>
  <c r="AC31" i="18" s="1"/>
  <c r="AR31" i="18" s="1"/>
  <c r="AE31" i="18"/>
  <c r="AI31" i="18" s="1"/>
  <c r="AU31" i="18" s="1"/>
  <c r="AF31" i="18"/>
  <c r="AG31" i="18"/>
  <c r="AK31" i="18" s="1"/>
  <c r="AW31" i="18" s="1"/>
  <c r="AH31" i="18"/>
  <c r="V32" i="18"/>
  <c r="Z32" i="18" s="1"/>
  <c r="AO32" i="18" s="1"/>
  <c r="W32" i="18"/>
  <c r="AA32" i="18" s="1"/>
  <c r="AP32" i="18" s="1"/>
  <c r="X32" i="18"/>
  <c r="AB32" i="18" s="1"/>
  <c r="AQ32" i="18" s="1"/>
  <c r="Y32" i="18"/>
  <c r="AC32" i="18" s="1"/>
  <c r="AR32" i="18" s="1"/>
  <c r="AE32" i="18"/>
  <c r="AF32" i="18"/>
  <c r="AG32" i="18"/>
  <c r="AH32" i="18"/>
  <c r="V33" i="18"/>
  <c r="Z33" i="18" s="1"/>
  <c r="AO33" i="18" s="1"/>
  <c r="W33" i="18"/>
  <c r="AA33" i="18" s="1"/>
  <c r="AP33" i="18" s="1"/>
  <c r="X33" i="18"/>
  <c r="AB33" i="18" s="1"/>
  <c r="AQ33" i="18" s="1"/>
  <c r="Y33" i="18"/>
  <c r="AC33" i="18" s="1"/>
  <c r="AR33" i="18" s="1"/>
  <c r="AE33" i="18"/>
  <c r="AF33" i="18"/>
  <c r="AJ33" i="18" s="1"/>
  <c r="AV33" i="18" s="1"/>
  <c r="AG33" i="18"/>
  <c r="AH33" i="18"/>
  <c r="V34" i="18"/>
  <c r="Z34" i="18" s="1"/>
  <c r="AO34" i="18" s="1"/>
  <c r="W34" i="18"/>
  <c r="AA34" i="18" s="1"/>
  <c r="AP34" i="18" s="1"/>
  <c r="X34" i="18"/>
  <c r="AB34" i="18" s="1"/>
  <c r="AQ34" i="18" s="1"/>
  <c r="Y34" i="18"/>
  <c r="AC34" i="18" s="1"/>
  <c r="AR34" i="18" s="1"/>
  <c r="AE34" i="18"/>
  <c r="AF34" i="18"/>
  <c r="AG34" i="18"/>
  <c r="AH34" i="18"/>
  <c r="V35" i="18"/>
  <c r="Z35" i="18" s="1"/>
  <c r="AO35" i="18" s="1"/>
  <c r="W35" i="18"/>
  <c r="AA35" i="18" s="1"/>
  <c r="AP35" i="18" s="1"/>
  <c r="X35" i="18"/>
  <c r="AB35" i="18" s="1"/>
  <c r="AQ35" i="18" s="1"/>
  <c r="Y35" i="18"/>
  <c r="AC35" i="18" s="1"/>
  <c r="AR35" i="18" s="1"/>
  <c r="AE35" i="18"/>
  <c r="AF35" i="18"/>
  <c r="AJ35" i="18" s="1"/>
  <c r="AV35" i="18" s="1"/>
  <c r="AG35" i="18"/>
  <c r="AH35" i="18"/>
  <c r="V39" i="18"/>
  <c r="Z39" i="18" s="1"/>
  <c r="AO39" i="18" s="1"/>
  <c r="W39" i="18"/>
  <c r="AA39" i="18" s="1"/>
  <c r="AP39" i="18" s="1"/>
  <c r="X39" i="18"/>
  <c r="AB39" i="18" s="1"/>
  <c r="AQ39" i="18" s="1"/>
  <c r="Y39" i="18"/>
  <c r="AC39" i="18" s="1"/>
  <c r="AR39" i="18" s="1"/>
  <c r="AE39" i="18"/>
  <c r="AI39" i="18" s="1"/>
  <c r="AU39" i="18" s="1"/>
  <c r="AF39" i="18"/>
  <c r="AJ39" i="18" s="1"/>
  <c r="AV39" i="18" s="1"/>
  <c r="AG39" i="18"/>
  <c r="AH39" i="18"/>
  <c r="V40" i="18"/>
  <c r="Z40" i="18" s="1"/>
  <c r="AO40" i="18" s="1"/>
  <c r="W40" i="18"/>
  <c r="AA40" i="18" s="1"/>
  <c r="AP40" i="18" s="1"/>
  <c r="X40" i="18"/>
  <c r="AB40" i="18" s="1"/>
  <c r="AQ40" i="18" s="1"/>
  <c r="Y40" i="18"/>
  <c r="AC40" i="18" s="1"/>
  <c r="AR40" i="18" s="1"/>
  <c r="AE40" i="18"/>
  <c r="AF40" i="18"/>
  <c r="AG40" i="18"/>
  <c r="AK40" i="18" s="1"/>
  <c r="AW40" i="18" s="1"/>
  <c r="AH40" i="18"/>
  <c r="V41" i="18"/>
  <c r="Z41" i="18" s="1"/>
  <c r="AO41" i="18" s="1"/>
  <c r="W41" i="18"/>
  <c r="AA41" i="18" s="1"/>
  <c r="AP41" i="18" s="1"/>
  <c r="X41" i="18"/>
  <c r="AB41" i="18" s="1"/>
  <c r="AQ41" i="18" s="1"/>
  <c r="Y41" i="18"/>
  <c r="AC41" i="18" s="1"/>
  <c r="AR41" i="18" s="1"/>
  <c r="AE41" i="18"/>
  <c r="AF41" i="18"/>
  <c r="AJ41" i="18" s="1"/>
  <c r="AV41" i="18" s="1"/>
  <c r="AG41" i="18"/>
  <c r="AH41" i="18"/>
  <c r="V42" i="18"/>
  <c r="Z42" i="18" s="1"/>
  <c r="AO42" i="18" s="1"/>
  <c r="W42" i="18"/>
  <c r="AA42" i="18" s="1"/>
  <c r="AP42" i="18" s="1"/>
  <c r="X42" i="18"/>
  <c r="AB42" i="18" s="1"/>
  <c r="AQ42" i="18" s="1"/>
  <c r="Y42" i="18"/>
  <c r="AC42" i="18" s="1"/>
  <c r="AR42" i="18" s="1"/>
  <c r="AE42" i="18"/>
  <c r="AF42" i="18"/>
  <c r="AG42" i="18"/>
  <c r="AH42" i="18"/>
  <c r="V43" i="18"/>
  <c r="Z43" i="18" s="1"/>
  <c r="AO43" i="18" s="1"/>
  <c r="W43" i="18"/>
  <c r="AA43" i="18" s="1"/>
  <c r="AP43" i="18" s="1"/>
  <c r="X43" i="18"/>
  <c r="AB43" i="18" s="1"/>
  <c r="AQ43" i="18" s="1"/>
  <c r="Y43" i="18"/>
  <c r="AC43" i="18" s="1"/>
  <c r="AR43" i="18" s="1"/>
  <c r="AE43" i="18"/>
  <c r="AF43" i="18"/>
  <c r="AJ43" i="18" s="1"/>
  <c r="AV43" i="18" s="1"/>
  <c r="AG43" i="18"/>
  <c r="AH43" i="18"/>
  <c r="V44" i="18"/>
  <c r="Z44" i="18" s="1"/>
  <c r="AO44" i="18" s="1"/>
  <c r="W44" i="18"/>
  <c r="AA44" i="18" s="1"/>
  <c r="AP44" i="18" s="1"/>
  <c r="X44" i="18"/>
  <c r="AB44" i="18" s="1"/>
  <c r="AQ44" i="18" s="1"/>
  <c r="Y44" i="18"/>
  <c r="AC44" i="18" s="1"/>
  <c r="AR44" i="18" s="1"/>
  <c r="AE44" i="18"/>
  <c r="AF44" i="18"/>
  <c r="AG44" i="18"/>
  <c r="AH44" i="18"/>
  <c r="V48" i="18"/>
  <c r="Z48" i="18" s="1"/>
  <c r="AO48" i="18" s="1"/>
  <c r="W48" i="18"/>
  <c r="AA48" i="18" s="1"/>
  <c r="AP48" i="18" s="1"/>
  <c r="X48" i="18"/>
  <c r="AB48" i="18" s="1"/>
  <c r="AQ48" i="18" s="1"/>
  <c r="Y48" i="18"/>
  <c r="AC48" i="18" s="1"/>
  <c r="AR48" i="18" s="1"/>
  <c r="AE48" i="18"/>
  <c r="AF48" i="18"/>
  <c r="AJ48" i="18" s="1"/>
  <c r="AV48" i="18" s="1"/>
  <c r="AG48" i="18"/>
  <c r="AH48" i="18"/>
  <c r="V49" i="18"/>
  <c r="Z49" i="18" s="1"/>
  <c r="AO49" i="18" s="1"/>
  <c r="W49" i="18"/>
  <c r="AA49" i="18" s="1"/>
  <c r="AP49" i="18" s="1"/>
  <c r="X49" i="18"/>
  <c r="AB49" i="18" s="1"/>
  <c r="AQ49" i="18" s="1"/>
  <c r="Y49" i="18"/>
  <c r="AC49" i="18" s="1"/>
  <c r="AR49" i="18" s="1"/>
  <c r="AE49" i="18"/>
  <c r="AF49" i="18"/>
  <c r="AG49" i="18"/>
  <c r="AK49" i="18" s="1"/>
  <c r="AW49" i="18" s="1"/>
  <c r="AH49" i="18"/>
  <c r="V50" i="18"/>
  <c r="Z50" i="18" s="1"/>
  <c r="AO50" i="18" s="1"/>
  <c r="W50" i="18"/>
  <c r="AA50" i="18" s="1"/>
  <c r="AP50" i="18" s="1"/>
  <c r="X50" i="18"/>
  <c r="AB50" i="18" s="1"/>
  <c r="AQ50" i="18" s="1"/>
  <c r="Y50" i="18"/>
  <c r="AC50" i="18" s="1"/>
  <c r="AR50" i="18" s="1"/>
  <c r="AE50" i="18"/>
  <c r="AF50" i="18"/>
  <c r="AG50" i="18"/>
  <c r="AK50" i="18" s="1"/>
  <c r="AW50" i="18" s="1"/>
  <c r="AH50" i="18"/>
  <c r="V51" i="18"/>
  <c r="Z51" i="18" s="1"/>
  <c r="AO51" i="18" s="1"/>
  <c r="W51" i="18"/>
  <c r="AA51" i="18" s="1"/>
  <c r="AP51" i="18" s="1"/>
  <c r="X51" i="18"/>
  <c r="AB51" i="18" s="1"/>
  <c r="AQ51" i="18" s="1"/>
  <c r="Y51" i="18"/>
  <c r="AC51" i="18" s="1"/>
  <c r="AR51" i="18" s="1"/>
  <c r="AE51" i="18"/>
  <c r="AI51" i="18" s="1"/>
  <c r="AU51" i="18" s="1"/>
  <c r="AF51" i="18"/>
  <c r="AG51" i="18"/>
  <c r="AH51" i="18"/>
  <c r="V52" i="18"/>
  <c r="Z52" i="18" s="1"/>
  <c r="AO52" i="18" s="1"/>
  <c r="W52" i="18"/>
  <c r="AA52" i="18" s="1"/>
  <c r="X52" i="18"/>
  <c r="AB52" i="18" s="1"/>
  <c r="AQ52" i="18" s="1"/>
  <c r="Y52" i="18"/>
  <c r="AC52" i="18" s="1"/>
  <c r="AR52" i="18" s="1"/>
  <c r="AE52" i="18"/>
  <c r="AI52" i="18" s="1"/>
  <c r="AU52" i="18" s="1"/>
  <c r="AF52" i="18"/>
  <c r="AG52" i="18"/>
  <c r="AH52" i="18"/>
  <c r="AP52" i="18"/>
  <c r="V53" i="18"/>
  <c r="Z53" i="18" s="1"/>
  <c r="AO53" i="18" s="1"/>
  <c r="W53" i="18"/>
  <c r="AA53" i="18" s="1"/>
  <c r="AP53" i="18" s="1"/>
  <c r="X53" i="18"/>
  <c r="AB53" i="18" s="1"/>
  <c r="AQ53" i="18" s="1"/>
  <c r="Y53" i="18"/>
  <c r="AC53" i="18" s="1"/>
  <c r="AR53" i="18" s="1"/>
  <c r="AE53" i="18"/>
  <c r="AI53" i="18" s="1"/>
  <c r="AU53" i="18" s="1"/>
  <c r="AF53" i="18"/>
  <c r="AG53" i="18"/>
  <c r="AH53" i="18"/>
  <c r="V57" i="18"/>
  <c r="W57" i="18"/>
  <c r="AA57" i="18" s="1"/>
  <c r="AP57" i="18" s="1"/>
  <c r="X57" i="18"/>
  <c r="AB57" i="18" s="1"/>
  <c r="AQ57" i="18" s="1"/>
  <c r="Y57" i="18"/>
  <c r="AC57" i="18" s="1"/>
  <c r="AR57" i="18" s="1"/>
  <c r="Z57" i="18"/>
  <c r="AO57" i="18" s="1"/>
  <c r="AE57" i="18"/>
  <c r="AI57" i="18" s="1"/>
  <c r="AU57" i="18" s="1"/>
  <c r="AF57" i="18"/>
  <c r="AG57" i="18"/>
  <c r="AH57" i="18"/>
  <c r="V58" i="18"/>
  <c r="Z58" i="18" s="1"/>
  <c r="AO58" i="18" s="1"/>
  <c r="W58" i="18"/>
  <c r="AA58" i="18" s="1"/>
  <c r="AP58" i="18" s="1"/>
  <c r="X58" i="18"/>
  <c r="AB58" i="18" s="1"/>
  <c r="AQ58" i="18" s="1"/>
  <c r="Y58" i="18"/>
  <c r="AC58" i="18" s="1"/>
  <c r="AR58" i="18" s="1"/>
  <c r="AE58" i="18"/>
  <c r="AI58" i="18" s="1"/>
  <c r="AU58" i="18" s="1"/>
  <c r="AF58" i="18"/>
  <c r="AG58" i="18"/>
  <c r="AH58" i="18"/>
  <c r="V59" i="18"/>
  <c r="Z59" i="18" s="1"/>
  <c r="AO59" i="18" s="1"/>
  <c r="W59" i="18"/>
  <c r="AA59" i="18" s="1"/>
  <c r="AP59" i="18" s="1"/>
  <c r="X59" i="18"/>
  <c r="AB59" i="18" s="1"/>
  <c r="AQ59" i="18" s="1"/>
  <c r="Y59" i="18"/>
  <c r="AC59" i="18" s="1"/>
  <c r="AR59" i="18" s="1"/>
  <c r="AE59" i="18"/>
  <c r="AI59" i="18" s="1"/>
  <c r="AU59" i="18" s="1"/>
  <c r="AF59" i="18"/>
  <c r="AG59" i="18"/>
  <c r="AH59" i="18"/>
  <c r="V60" i="18"/>
  <c r="Z60" i="18" s="1"/>
  <c r="AO60" i="18" s="1"/>
  <c r="W60" i="18"/>
  <c r="AA60" i="18" s="1"/>
  <c r="AP60" i="18" s="1"/>
  <c r="X60" i="18"/>
  <c r="AB60" i="18" s="1"/>
  <c r="AQ60" i="18" s="1"/>
  <c r="Y60" i="18"/>
  <c r="AC60" i="18" s="1"/>
  <c r="AR60" i="18" s="1"/>
  <c r="AE60" i="18"/>
  <c r="AI60" i="18" s="1"/>
  <c r="AU60" i="18" s="1"/>
  <c r="AF60" i="18"/>
  <c r="AG60" i="18"/>
  <c r="AH60" i="18"/>
  <c r="V61" i="18"/>
  <c r="Z61" i="18" s="1"/>
  <c r="AO61" i="18" s="1"/>
  <c r="W61" i="18"/>
  <c r="AA61" i="18" s="1"/>
  <c r="AP61" i="18" s="1"/>
  <c r="X61" i="18"/>
  <c r="AB61" i="18" s="1"/>
  <c r="AQ61" i="18" s="1"/>
  <c r="Y61" i="18"/>
  <c r="AC61" i="18" s="1"/>
  <c r="AR61" i="18" s="1"/>
  <c r="AE61" i="18"/>
  <c r="AI61" i="18" s="1"/>
  <c r="AU61" i="18" s="1"/>
  <c r="AF61" i="18"/>
  <c r="AG61" i="18"/>
  <c r="AH61" i="18"/>
  <c r="V62" i="18"/>
  <c r="Z62" i="18" s="1"/>
  <c r="AO62" i="18" s="1"/>
  <c r="W62" i="18"/>
  <c r="AA62" i="18" s="1"/>
  <c r="AP62" i="18" s="1"/>
  <c r="X62" i="18"/>
  <c r="AB62" i="18" s="1"/>
  <c r="AQ62" i="18" s="1"/>
  <c r="Y62" i="18"/>
  <c r="AC62" i="18" s="1"/>
  <c r="AR62" i="18" s="1"/>
  <c r="AE62" i="18"/>
  <c r="AI62" i="18" s="1"/>
  <c r="AU62" i="18" s="1"/>
  <c r="AF62" i="18"/>
  <c r="AG62" i="18"/>
  <c r="AH62" i="18"/>
  <c r="V66" i="18"/>
  <c r="Z66" i="18" s="1"/>
  <c r="AO66" i="18" s="1"/>
  <c r="W66" i="18"/>
  <c r="AA66" i="18" s="1"/>
  <c r="AP66" i="18" s="1"/>
  <c r="X66" i="18"/>
  <c r="AB66" i="18" s="1"/>
  <c r="AQ66" i="18" s="1"/>
  <c r="Y66" i="18"/>
  <c r="AC66" i="18" s="1"/>
  <c r="AR66" i="18" s="1"/>
  <c r="AE66" i="18"/>
  <c r="AI66" i="18" s="1"/>
  <c r="AF66" i="18"/>
  <c r="AJ66" i="18" s="1"/>
  <c r="AV66" i="18" s="1"/>
  <c r="AG66" i="18"/>
  <c r="AK66" i="18" s="1"/>
  <c r="AW66" i="18" s="1"/>
  <c r="AH66" i="18"/>
  <c r="AU66" i="18"/>
  <c r="V67" i="18"/>
  <c r="Z67" i="18" s="1"/>
  <c r="AO67" i="18" s="1"/>
  <c r="W67" i="18"/>
  <c r="AA67" i="18" s="1"/>
  <c r="AP67" i="18" s="1"/>
  <c r="X67" i="18"/>
  <c r="AB67" i="18" s="1"/>
  <c r="AQ67" i="18" s="1"/>
  <c r="Y67" i="18"/>
  <c r="AC67" i="18" s="1"/>
  <c r="AR67" i="18" s="1"/>
  <c r="AE67" i="18"/>
  <c r="AF67" i="18"/>
  <c r="AJ67" i="18" s="1"/>
  <c r="AV67" i="18" s="1"/>
  <c r="AG67" i="18"/>
  <c r="AK67" i="18" s="1"/>
  <c r="AW67" i="18" s="1"/>
  <c r="AH67" i="18"/>
  <c r="V68" i="18"/>
  <c r="Z68" i="18" s="1"/>
  <c r="AO68" i="18" s="1"/>
  <c r="W68" i="18"/>
  <c r="AA68" i="18" s="1"/>
  <c r="AP68" i="18" s="1"/>
  <c r="X68" i="18"/>
  <c r="AB68" i="18" s="1"/>
  <c r="AQ68" i="18" s="1"/>
  <c r="Y68" i="18"/>
  <c r="AC68" i="18" s="1"/>
  <c r="AR68" i="18" s="1"/>
  <c r="AE68" i="18"/>
  <c r="AF68" i="18"/>
  <c r="AJ68" i="18" s="1"/>
  <c r="AV68" i="18" s="1"/>
  <c r="AG68" i="18"/>
  <c r="AK68" i="18" s="1"/>
  <c r="AW68" i="18" s="1"/>
  <c r="AH68" i="18"/>
  <c r="V69" i="18"/>
  <c r="Z69" i="18" s="1"/>
  <c r="AO69" i="18" s="1"/>
  <c r="W69" i="18"/>
  <c r="AA69" i="18" s="1"/>
  <c r="AP69" i="18" s="1"/>
  <c r="X69" i="18"/>
  <c r="AB69" i="18" s="1"/>
  <c r="AQ69" i="18" s="1"/>
  <c r="Y69" i="18"/>
  <c r="AC69" i="18" s="1"/>
  <c r="AR69" i="18" s="1"/>
  <c r="AE69" i="18"/>
  <c r="AF69" i="18"/>
  <c r="AJ69" i="18" s="1"/>
  <c r="AV69" i="18" s="1"/>
  <c r="AG69" i="18"/>
  <c r="AK69" i="18" s="1"/>
  <c r="AH69" i="18"/>
  <c r="AW69" i="18"/>
  <c r="V70" i="18"/>
  <c r="Z70" i="18" s="1"/>
  <c r="AO70" i="18" s="1"/>
  <c r="W70" i="18"/>
  <c r="AA70" i="18" s="1"/>
  <c r="AP70" i="18" s="1"/>
  <c r="X70" i="18"/>
  <c r="AB70" i="18" s="1"/>
  <c r="AQ70" i="18" s="1"/>
  <c r="Y70" i="18"/>
  <c r="AC70" i="18" s="1"/>
  <c r="AR70" i="18" s="1"/>
  <c r="AE70" i="18"/>
  <c r="AF70" i="18"/>
  <c r="AJ70" i="18" s="1"/>
  <c r="AV70" i="18" s="1"/>
  <c r="AG70" i="18"/>
  <c r="AK70" i="18" s="1"/>
  <c r="AW70" i="18" s="1"/>
  <c r="AH70" i="18"/>
  <c r="V71" i="18"/>
  <c r="Z71" i="18" s="1"/>
  <c r="AO71" i="18" s="1"/>
  <c r="W71" i="18"/>
  <c r="AA71" i="18" s="1"/>
  <c r="AP71" i="18" s="1"/>
  <c r="X71" i="18"/>
  <c r="AB71" i="18" s="1"/>
  <c r="AQ71" i="18" s="1"/>
  <c r="Y71" i="18"/>
  <c r="AC71" i="18" s="1"/>
  <c r="AR71" i="18" s="1"/>
  <c r="AE71" i="18"/>
  <c r="AF71" i="18"/>
  <c r="AJ71" i="18" s="1"/>
  <c r="AV71" i="18" s="1"/>
  <c r="AG71" i="18"/>
  <c r="AK71" i="18" s="1"/>
  <c r="AW71" i="18" s="1"/>
  <c r="AH71" i="18"/>
  <c r="V75" i="18"/>
  <c r="Z75" i="18" s="1"/>
  <c r="AO75" i="18" s="1"/>
  <c r="W75" i="18"/>
  <c r="AA75" i="18" s="1"/>
  <c r="AP75" i="18" s="1"/>
  <c r="X75" i="18"/>
  <c r="AB75" i="18" s="1"/>
  <c r="AQ75" i="18" s="1"/>
  <c r="Y75" i="18"/>
  <c r="AC75" i="18" s="1"/>
  <c r="AR75" i="18" s="1"/>
  <c r="AE75" i="18"/>
  <c r="AF75" i="18"/>
  <c r="AJ75" i="18" s="1"/>
  <c r="AG75" i="18"/>
  <c r="AK75" i="18" s="1"/>
  <c r="AW75" i="18" s="1"/>
  <c r="AH75" i="18"/>
  <c r="AV75" i="18"/>
  <c r="V76" i="18"/>
  <c r="Z76" i="18" s="1"/>
  <c r="AO76" i="18" s="1"/>
  <c r="W76" i="18"/>
  <c r="AA76" i="18" s="1"/>
  <c r="AP76" i="18" s="1"/>
  <c r="X76" i="18"/>
  <c r="AB76" i="18" s="1"/>
  <c r="AQ76" i="18" s="1"/>
  <c r="Y76" i="18"/>
  <c r="AC76" i="18" s="1"/>
  <c r="AR76" i="18" s="1"/>
  <c r="AE76" i="18"/>
  <c r="AF76" i="18"/>
  <c r="AG76" i="18"/>
  <c r="AH76" i="18"/>
  <c r="V77" i="18"/>
  <c r="Z77" i="18" s="1"/>
  <c r="AO77" i="18" s="1"/>
  <c r="W77" i="18"/>
  <c r="AA77" i="18" s="1"/>
  <c r="AP77" i="18" s="1"/>
  <c r="X77" i="18"/>
  <c r="AB77" i="18" s="1"/>
  <c r="AQ77" i="18" s="1"/>
  <c r="Y77" i="18"/>
  <c r="AC77" i="18" s="1"/>
  <c r="AR77" i="18" s="1"/>
  <c r="AE77" i="18"/>
  <c r="AI77" i="18" s="1"/>
  <c r="AU77" i="18" s="1"/>
  <c r="AF77" i="18"/>
  <c r="AG77" i="18"/>
  <c r="AH77" i="18"/>
  <c r="V78" i="18"/>
  <c r="Z78" i="18" s="1"/>
  <c r="AO78" i="18" s="1"/>
  <c r="W78" i="18"/>
  <c r="AA78" i="18" s="1"/>
  <c r="AP78" i="18" s="1"/>
  <c r="X78" i="18"/>
  <c r="AB78" i="18" s="1"/>
  <c r="AQ78" i="18" s="1"/>
  <c r="Y78" i="18"/>
  <c r="AC78" i="18" s="1"/>
  <c r="AR78" i="18" s="1"/>
  <c r="AE78" i="18"/>
  <c r="AI78" i="18" s="1"/>
  <c r="AU78" i="18" s="1"/>
  <c r="AF78" i="18"/>
  <c r="AG78" i="18"/>
  <c r="AH78" i="18"/>
  <c r="V79" i="18"/>
  <c r="Z79" i="18" s="1"/>
  <c r="AO79" i="18" s="1"/>
  <c r="W79" i="18"/>
  <c r="AA79" i="18" s="1"/>
  <c r="AP79" i="18" s="1"/>
  <c r="X79" i="18"/>
  <c r="AB79" i="18" s="1"/>
  <c r="AQ79" i="18" s="1"/>
  <c r="Y79" i="18"/>
  <c r="AC79" i="18" s="1"/>
  <c r="AR79" i="18" s="1"/>
  <c r="AE79" i="18"/>
  <c r="AI79" i="18" s="1"/>
  <c r="AU79" i="18" s="1"/>
  <c r="AF79" i="18"/>
  <c r="AG79" i="18"/>
  <c r="AH79" i="18"/>
  <c r="V80" i="18"/>
  <c r="Z80" i="18" s="1"/>
  <c r="AO80" i="18" s="1"/>
  <c r="W80" i="18"/>
  <c r="AA80" i="18" s="1"/>
  <c r="AP80" i="18" s="1"/>
  <c r="X80" i="18"/>
  <c r="AB80" i="18" s="1"/>
  <c r="AQ80" i="18" s="1"/>
  <c r="Y80" i="18"/>
  <c r="AC80" i="18" s="1"/>
  <c r="AR80" i="18" s="1"/>
  <c r="AE80" i="18"/>
  <c r="AI80" i="18" s="1"/>
  <c r="AU80" i="18" s="1"/>
  <c r="AF80" i="18"/>
  <c r="AG80" i="18"/>
  <c r="AH80" i="18"/>
  <c r="V84" i="18"/>
  <c r="Z84" i="18" s="1"/>
  <c r="AO84" i="18" s="1"/>
  <c r="W84" i="18"/>
  <c r="AA84" i="18" s="1"/>
  <c r="AP84" i="18" s="1"/>
  <c r="X84" i="18"/>
  <c r="AB84" i="18" s="1"/>
  <c r="AQ84" i="18" s="1"/>
  <c r="Y84" i="18"/>
  <c r="AC84" i="18" s="1"/>
  <c r="AR84" i="18" s="1"/>
  <c r="AE84" i="18"/>
  <c r="AI84" i="18" s="1"/>
  <c r="AU84" i="18" s="1"/>
  <c r="AF84" i="18"/>
  <c r="AG84" i="18"/>
  <c r="AH84" i="18"/>
  <c r="V85" i="18"/>
  <c r="Z85" i="18" s="1"/>
  <c r="AO85" i="18" s="1"/>
  <c r="W85" i="18"/>
  <c r="AA85" i="18" s="1"/>
  <c r="AP85" i="18" s="1"/>
  <c r="X85" i="18"/>
  <c r="AB85" i="18" s="1"/>
  <c r="AQ85" i="18" s="1"/>
  <c r="Y85" i="18"/>
  <c r="AC85" i="18" s="1"/>
  <c r="AR85" i="18" s="1"/>
  <c r="AE85" i="18"/>
  <c r="AI85" i="18" s="1"/>
  <c r="AU85" i="18" s="1"/>
  <c r="AF85" i="18"/>
  <c r="AG85" i="18"/>
  <c r="AH85" i="18"/>
  <c r="V86" i="18"/>
  <c r="Z86" i="18" s="1"/>
  <c r="AO86" i="18" s="1"/>
  <c r="W86" i="18"/>
  <c r="AA86" i="18" s="1"/>
  <c r="AP86" i="18" s="1"/>
  <c r="X86" i="18"/>
  <c r="AB86" i="18" s="1"/>
  <c r="AQ86" i="18" s="1"/>
  <c r="Y86" i="18"/>
  <c r="AC86" i="18" s="1"/>
  <c r="AR86" i="18" s="1"/>
  <c r="AE86" i="18"/>
  <c r="AI86" i="18" s="1"/>
  <c r="AU86" i="18" s="1"/>
  <c r="AF86" i="18"/>
  <c r="AG86" i="18"/>
  <c r="AH86" i="18"/>
  <c r="V87" i="18"/>
  <c r="Z87" i="18" s="1"/>
  <c r="AO87" i="18" s="1"/>
  <c r="W87" i="18"/>
  <c r="AA87" i="18" s="1"/>
  <c r="AP87" i="18" s="1"/>
  <c r="X87" i="18"/>
  <c r="AB87" i="18" s="1"/>
  <c r="AQ87" i="18" s="1"/>
  <c r="Y87" i="18"/>
  <c r="AC87" i="18" s="1"/>
  <c r="AR87" i="18" s="1"/>
  <c r="AE87" i="18"/>
  <c r="AI87" i="18" s="1"/>
  <c r="AU87" i="18" s="1"/>
  <c r="AF87" i="18"/>
  <c r="AG87" i="18"/>
  <c r="AH87" i="18"/>
  <c r="V88" i="18"/>
  <c r="Z88" i="18" s="1"/>
  <c r="AO88" i="18" s="1"/>
  <c r="W88" i="18"/>
  <c r="AA88" i="18" s="1"/>
  <c r="AP88" i="18" s="1"/>
  <c r="X88" i="18"/>
  <c r="AB88" i="18" s="1"/>
  <c r="AQ88" i="18" s="1"/>
  <c r="Y88" i="18"/>
  <c r="AC88" i="18" s="1"/>
  <c r="AR88" i="18" s="1"/>
  <c r="AE88" i="18"/>
  <c r="AI88" i="18" s="1"/>
  <c r="AU88" i="18" s="1"/>
  <c r="AF88" i="18"/>
  <c r="AG88" i="18"/>
  <c r="AH88" i="18"/>
  <c r="V89" i="18"/>
  <c r="W89" i="18"/>
  <c r="AA89" i="18" s="1"/>
  <c r="AP89" i="18" s="1"/>
  <c r="X89" i="18"/>
  <c r="AB89" i="18" s="1"/>
  <c r="AQ89" i="18" s="1"/>
  <c r="Y89" i="18"/>
  <c r="AC89" i="18" s="1"/>
  <c r="AR89" i="18" s="1"/>
  <c r="Z89" i="18"/>
  <c r="AO89" i="18" s="1"/>
  <c r="AE89" i="18"/>
  <c r="AI89" i="18" s="1"/>
  <c r="AU89" i="18" s="1"/>
  <c r="AF89" i="18"/>
  <c r="AG89" i="18"/>
  <c r="AH89" i="18"/>
  <c r="V93" i="18"/>
  <c r="Z93" i="18" s="1"/>
  <c r="AO93" i="18" s="1"/>
  <c r="W93" i="18"/>
  <c r="AA93" i="18" s="1"/>
  <c r="AP93" i="18" s="1"/>
  <c r="X93" i="18"/>
  <c r="AB93" i="18" s="1"/>
  <c r="AQ93" i="18" s="1"/>
  <c r="Y93" i="18"/>
  <c r="AC93" i="18" s="1"/>
  <c r="AR93" i="18" s="1"/>
  <c r="AE93" i="18"/>
  <c r="AI93" i="18" s="1"/>
  <c r="AU93" i="18" s="1"/>
  <c r="AF93" i="18"/>
  <c r="AG93" i="18"/>
  <c r="AH93" i="18"/>
  <c r="V94" i="18"/>
  <c r="Z94" i="18" s="1"/>
  <c r="AO94" i="18" s="1"/>
  <c r="W94" i="18"/>
  <c r="AA94" i="18" s="1"/>
  <c r="AP94" i="18" s="1"/>
  <c r="X94" i="18"/>
  <c r="AB94" i="18" s="1"/>
  <c r="AQ94" i="18" s="1"/>
  <c r="Y94" i="18"/>
  <c r="AC94" i="18" s="1"/>
  <c r="AR94" i="18" s="1"/>
  <c r="AE94" i="18"/>
  <c r="AI94" i="18" s="1"/>
  <c r="AU94" i="18" s="1"/>
  <c r="AF94" i="18"/>
  <c r="AG94" i="18"/>
  <c r="AH94" i="18"/>
  <c r="V95" i="18"/>
  <c r="Z95" i="18" s="1"/>
  <c r="AO95" i="18" s="1"/>
  <c r="W95" i="18"/>
  <c r="AA95" i="18" s="1"/>
  <c r="AP95" i="18" s="1"/>
  <c r="X95" i="18"/>
  <c r="AB95" i="18" s="1"/>
  <c r="AQ95" i="18" s="1"/>
  <c r="Y95" i="18"/>
  <c r="AC95" i="18" s="1"/>
  <c r="AR95" i="18" s="1"/>
  <c r="AE95" i="18"/>
  <c r="AI95" i="18" s="1"/>
  <c r="AU95" i="18" s="1"/>
  <c r="AF95" i="18"/>
  <c r="AG95" i="18"/>
  <c r="AH95" i="18"/>
  <c r="V96" i="18"/>
  <c r="Z96" i="18" s="1"/>
  <c r="AO96" i="18" s="1"/>
  <c r="W96" i="18"/>
  <c r="AA96" i="18" s="1"/>
  <c r="AP96" i="18" s="1"/>
  <c r="X96" i="18"/>
  <c r="AB96" i="18" s="1"/>
  <c r="AQ96" i="18" s="1"/>
  <c r="Y96" i="18"/>
  <c r="AC96" i="18" s="1"/>
  <c r="AR96" i="18" s="1"/>
  <c r="AE96" i="18"/>
  <c r="AI96" i="18" s="1"/>
  <c r="AU96" i="18" s="1"/>
  <c r="AF96" i="18"/>
  <c r="AG96" i="18"/>
  <c r="AH96" i="18"/>
  <c r="V97" i="18"/>
  <c r="Z97" i="18" s="1"/>
  <c r="AO97" i="18" s="1"/>
  <c r="W97" i="18"/>
  <c r="AA97" i="18" s="1"/>
  <c r="AP97" i="18" s="1"/>
  <c r="X97" i="18"/>
  <c r="AB97" i="18" s="1"/>
  <c r="AQ97" i="18" s="1"/>
  <c r="Y97" i="18"/>
  <c r="AC97" i="18" s="1"/>
  <c r="AR97" i="18" s="1"/>
  <c r="AE97" i="18"/>
  <c r="AI97" i="18" s="1"/>
  <c r="AU97" i="18" s="1"/>
  <c r="AF97" i="18"/>
  <c r="AG97" i="18"/>
  <c r="AH97" i="18"/>
  <c r="V98" i="18"/>
  <c r="Z98" i="18" s="1"/>
  <c r="AO98" i="18" s="1"/>
  <c r="W98" i="18"/>
  <c r="AA98" i="18" s="1"/>
  <c r="AP98" i="18" s="1"/>
  <c r="X98" i="18"/>
  <c r="AB98" i="18" s="1"/>
  <c r="AQ98" i="18" s="1"/>
  <c r="Y98" i="18"/>
  <c r="AC98" i="18" s="1"/>
  <c r="AR98" i="18" s="1"/>
  <c r="AE98" i="18"/>
  <c r="AI98" i="18" s="1"/>
  <c r="AU98" i="18" s="1"/>
  <c r="AF98" i="18"/>
  <c r="AJ98" i="18" s="1"/>
  <c r="AV98" i="18" s="1"/>
  <c r="AG98" i="18"/>
  <c r="AH98" i="18"/>
  <c r="V102" i="18"/>
  <c r="Z102" i="18" s="1"/>
  <c r="AO102" i="18" s="1"/>
  <c r="W102" i="18"/>
  <c r="AA102" i="18" s="1"/>
  <c r="AP102" i="18" s="1"/>
  <c r="X102" i="18"/>
  <c r="AB102" i="18" s="1"/>
  <c r="AQ102" i="18" s="1"/>
  <c r="Y102" i="18"/>
  <c r="AC102" i="18" s="1"/>
  <c r="AR102" i="18" s="1"/>
  <c r="AE102" i="18"/>
  <c r="AF102" i="18"/>
  <c r="AJ102" i="18" s="1"/>
  <c r="AV102" i="18" s="1"/>
  <c r="AG102" i="18"/>
  <c r="AK102" i="18" s="1"/>
  <c r="AW102" i="18" s="1"/>
  <c r="AH102" i="18"/>
  <c r="V103" i="18"/>
  <c r="Z103" i="18" s="1"/>
  <c r="AO103" i="18" s="1"/>
  <c r="W103" i="18"/>
  <c r="AA103" i="18" s="1"/>
  <c r="AP103" i="18" s="1"/>
  <c r="X103" i="18"/>
  <c r="AB103" i="18" s="1"/>
  <c r="AQ103" i="18" s="1"/>
  <c r="Y103" i="18"/>
  <c r="AC103" i="18" s="1"/>
  <c r="AR103" i="18" s="1"/>
  <c r="AE103" i="18"/>
  <c r="AF103" i="18"/>
  <c r="AJ103" i="18" s="1"/>
  <c r="AV103" i="18" s="1"/>
  <c r="AG103" i="18"/>
  <c r="AK103" i="18" s="1"/>
  <c r="AW103" i="18" s="1"/>
  <c r="AH103" i="18"/>
  <c r="V104" i="18"/>
  <c r="Z104" i="18" s="1"/>
  <c r="AO104" i="18" s="1"/>
  <c r="W104" i="18"/>
  <c r="AA104" i="18" s="1"/>
  <c r="AP104" i="18" s="1"/>
  <c r="X104" i="18"/>
  <c r="AB104" i="18" s="1"/>
  <c r="AQ104" i="18" s="1"/>
  <c r="Y104" i="18"/>
  <c r="AC104" i="18" s="1"/>
  <c r="AR104" i="18" s="1"/>
  <c r="AE104" i="18"/>
  <c r="AF104" i="18"/>
  <c r="AG104" i="18"/>
  <c r="AH104" i="18"/>
  <c r="V105" i="18"/>
  <c r="Z105" i="18" s="1"/>
  <c r="AO105" i="18" s="1"/>
  <c r="W105" i="18"/>
  <c r="AA105" i="18" s="1"/>
  <c r="AP105" i="18" s="1"/>
  <c r="X105" i="18"/>
  <c r="AB105" i="18" s="1"/>
  <c r="AQ105" i="18" s="1"/>
  <c r="Y105" i="18"/>
  <c r="AC105" i="18" s="1"/>
  <c r="AR105" i="18" s="1"/>
  <c r="AE105" i="18"/>
  <c r="AI105" i="18" s="1"/>
  <c r="AU105" i="18" s="1"/>
  <c r="AF105" i="18"/>
  <c r="AJ105" i="18" s="1"/>
  <c r="AV105" i="18" s="1"/>
  <c r="AG105" i="18"/>
  <c r="AK105" i="18" s="1"/>
  <c r="AW105" i="18" s="1"/>
  <c r="AH105" i="18"/>
  <c r="V106" i="18"/>
  <c r="Z106" i="18" s="1"/>
  <c r="AO106" i="18" s="1"/>
  <c r="W106" i="18"/>
  <c r="AA106" i="18" s="1"/>
  <c r="AP106" i="18" s="1"/>
  <c r="X106" i="18"/>
  <c r="AB106" i="18" s="1"/>
  <c r="AQ106" i="18" s="1"/>
  <c r="Y106" i="18"/>
  <c r="AC106" i="18" s="1"/>
  <c r="AR106" i="18" s="1"/>
  <c r="AE106" i="18"/>
  <c r="AI106" i="18" s="1"/>
  <c r="AU106" i="18" s="1"/>
  <c r="AF106" i="18"/>
  <c r="AJ106" i="18" s="1"/>
  <c r="AV106" i="18" s="1"/>
  <c r="AG106" i="18"/>
  <c r="AK106" i="18" s="1"/>
  <c r="AW106" i="18" s="1"/>
  <c r="AH106" i="18"/>
  <c r="V107" i="18"/>
  <c r="Z107" i="18" s="1"/>
  <c r="AO107" i="18" s="1"/>
  <c r="W107" i="18"/>
  <c r="AA107" i="18" s="1"/>
  <c r="AP107" i="18" s="1"/>
  <c r="X107" i="18"/>
  <c r="AB107" i="18" s="1"/>
  <c r="AQ107" i="18" s="1"/>
  <c r="Y107" i="18"/>
  <c r="AC107" i="18" s="1"/>
  <c r="AR107" i="18" s="1"/>
  <c r="AE107" i="18"/>
  <c r="AI107" i="18" s="1"/>
  <c r="AU107" i="18" s="1"/>
  <c r="AF107" i="18"/>
  <c r="AJ107" i="18" s="1"/>
  <c r="AG107" i="18"/>
  <c r="AK107" i="18" s="1"/>
  <c r="AW107" i="18" s="1"/>
  <c r="AH107" i="18"/>
  <c r="AV107" i="18"/>
  <c r="V111" i="18"/>
  <c r="Z111" i="18" s="1"/>
  <c r="AO111" i="18" s="1"/>
  <c r="W111" i="18"/>
  <c r="AA111" i="18" s="1"/>
  <c r="AP111" i="18" s="1"/>
  <c r="X111" i="18"/>
  <c r="AB111" i="18" s="1"/>
  <c r="AQ111" i="18" s="1"/>
  <c r="Y111" i="18"/>
  <c r="AC111" i="18" s="1"/>
  <c r="AR111" i="18" s="1"/>
  <c r="AE111" i="18"/>
  <c r="AI111" i="18" s="1"/>
  <c r="AU111" i="18" s="1"/>
  <c r="AF111" i="18"/>
  <c r="AJ111" i="18" s="1"/>
  <c r="AV111" i="18" s="1"/>
  <c r="AG111" i="18"/>
  <c r="AK111" i="18" s="1"/>
  <c r="AW111" i="18" s="1"/>
  <c r="AH111" i="18"/>
  <c r="V112" i="18"/>
  <c r="Z112" i="18" s="1"/>
  <c r="AO112" i="18" s="1"/>
  <c r="W112" i="18"/>
  <c r="AA112" i="18" s="1"/>
  <c r="AP112" i="18" s="1"/>
  <c r="X112" i="18"/>
  <c r="AB112" i="18" s="1"/>
  <c r="AQ112" i="18" s="1"/>
  <c r="Y112" i="18"/>
  <c r="AC112" i="18" s="1"/>
  <c r="AR112" i="18" s="1"/>
  <c r="AE112" i="18"/>
  <c r="AI112" i="18" s="1"/>
  <c r="AU112" i="18" s="1"/>
  <c r="AF112" i="18"/>
  <c r="AJ112" i="18" s="1"/>
  <c r="AV112" i="18" s="1"/>
  <c r="AG112" i="18"/>
  <c r="AK112" i="18" s="1"/>
  <c r="AW112" i="18" s="1"/>
  <c r="AH112" i="18"/>
  <c r="V113" i="18"/>
  <c r="Z113" i="18" s="1"/>
  <c r="AO113" i="18" s="1"/>
  <c r="W113" i="18"/>
  <c r="AA113" i="18" s="1"/>
  <c r="AP113" i="18" s="1"/>
  <c r="X113" i="18"/>
  <c r="AB113" i="18" s="1"/>
  <c r="AQ113" i="18" s="1"/>
  <c r="Y113" i="18"/>
  <c r="AC113" i="18" s="1"/>
  <c r="AR113" i="18" s="1"/>
  <c r="AE113" i="18"/>
  <c r="AI113" i="18" s="1"/>
  <c r="AU113" i="18" s="1"/>
  <c r="AF113" i="18"/>
  <c r="AJ113" i="18" s="1"/>
  <c r="AV113" i="18" s="1"/>
  <c r="AG113" i="18"/>
  <c r="AK113" i="18" s="1"/>
  <c r="AW113" i="18" s="1"/>
  <c r="AH113" i="18"/>
  <c r="V114" i="18"/>
  <c r="Z114" i="18" s="1"/>
  <c r="AO114" i="18" s="1"/>
  <c r="W114" i="18"/>
  <c r="AA114" i="18" s="1"/>
  <c r="AP114" i="18" s="1"/>
  <c r="X114" i="18"/>
  <c r="AB114" i="18" s="1"/>
  <c r="AQ114" i="18" s="1"/>
  <c r="Y114" i="18"/>
  <c r="AC114" i="18" s="1"/>
  <c r="AR114" i="18" s="1"/>
  <c r="AE114" i="18"/>
  <c r="AI114" i="18" s="1"/>
  <c r="AU114" i="18" s="1"/>
  <c r="AF114" i="18"/>
  <c r="AJ114" i="18" s="1"/>
  <c r="AG114" i="18"/>
  <c r="AK114" i="18" s="1"/>
  <c r="AW114" i="18" s="1"/>
  <c r="AH114" i="18"/>
  <c r="AV114" i="18"/>
  <c r="V115" i="18"/>
  <c r="Z115" i="18" s="1"/>
  <c r="AO115" i="18" s="1"/>
  <c r="W115" i="18"/>
  <c r="AA115" i="18" s="1"/>
  <c r="AP115" i="18" s="1"/>
  <c r="X115" i="18"/>
  <c r="Y115" i="18"/>
  <c r="AB115" i="18"/>
  <c r="AQ115" i="18" s="1"/>
  <c r="AC115" i="18"/>
  <c r="AR115" i="18" s="1"/>
  <c r="AE115" i="18"/>
  <c r="AI115" i="18" s="1"/>
  <c r="AU115" i="18" s="1"/>
  <c r="AF115" i="18"/>
  <c r="AJ115" i="18" s="1"/>
  <c r="AV115" i="18" s="1"/>
  <c r="AG115" i="18"/>
  <c r="AK115" i="18" s="1"/>
  <c r="AW115" i="18" s="1"/>
  <c r="AH115" i="18"/>
  <c r="V116" i="18"/>
  <c r="Z116" i="18" s="1"/>
  <c r="AO116" i="18" s="1"/>
  <c r="W116" i="18"/>
  <c r="AA116" i="18" s="1"/>
  <c r="AP116" i="18" s="1"/>
  <c r="X116" i="18"/>
  <c r="AB116" i="18" s="1"/>
  <c r="AQ116" i="18" s="1"/>
  <c r="Y116" i="18"/>
  <c r="AC116" i="18" s="1"/>
  <c r="AR116" i="18" s="1"/>
  <c r="AE116" i="18"/>
  <c r="AI116" i="18" s="1"/>
  <c r="AU116" i="18" s="1"/>
  <c r="AF116" i="18"/>
  <c r="AJ116" i="18" s="1"/>
  <c r="AV116" i="18" s="1"/>
  <c r="AG116" i="18"/>
  <c r="AK116" i="18" s="1"/>
  <c r="AW116" i="18" s="1"/>
  <c r="AH116" i="18"/>
  <c r="V120" i="18"/>
  <c r="Z120" i="18" s="1"/>
  <c r="AO120" i="18" s="1"/>
  <c r="W120" i="18"/>
  <c r="AA120" i="18" s="1"/>
  <c r="AP120" i="18" s="1"/>
  <c r="X120" i="18"/>
  <c r="AB120" i="18" s="1"/>
  <c r="AQ120" i="18" s="1"/>
  <c r="Y120" i="18"/>
  <c r="AC120" i="18" s="1"/>
  <c r="AR120" i="18" s="1"/>
  <c r="AE120" i="18"/>
  <c r="AI120" i="18" s="1"/>
  <c r="AU120" i="18" s="1"/>
  <c r="AF120" i="18"/>
  <c r="AJ120" i="18" s="1"/>
  <c r="AV120" i="18" s="1"/>
  <c r="AG120" i="18"/>
  <c r="AK120" i="18" s="1"/>
  <c r="AW120" i="18" s="1"/>
  <c r="AH120" i="18"/>
  <c r="V121" i="18"/>
  <c r="Z121" i="18" s="1"/>
  <c r="AO121" i="18" s="1"/>
  <c r="W121" i="18"/>
  <c r="AA121" i="18" s="1"/>
  <c r="AP121" i="18" s="1"/>
  <c r="X121" i="18"/>
  <c r="AB121" i="18" s="1"/>
  <c r="AQ121" i="18" s="1"/>
  <c r="Y121" i="18"/>
  <c r="AC121" i="18" s="1"/>
  <c r="AR121" i="18" s="1"/>
  <c r="AE121" i="18"/>
  <c r="AI121" i="18" s="1"/>
  <c r="AU121" i="18" s="1"/>
  <c r="AF121" i="18"/>
  <c r="AJ121" i="18" s="1"/>
  <c r="AG121" i="18"/>
  <c r="AK121" i="18" s="1"/>
  <c r="AH121" i="18"/>
  <c r="AV121" i="18"/>
  <c r="AW121" i="18"/>
  <c r="V122" i="18"/>
  <c r="Z122" i="18" s="1"/>
  <c r="AO122" i="18" s="1"/>
  <c r="W122" i="18"/>
  <c r="X122" i="18"/>
  <c r="AB122" i="18" s="1"/>
  <c r="AQ122" i="18" s="1"/>
  <c r="Y122" i="18"/>
  <c r="AC122" i="18" s="1"/>
  <c r="AR122" i="18" s="1"/>
  <c r="AA122" i="18"/>
  <c r="AE122" i="18"/>
  <c r="AI122" i="18" s="1"/>
  <c r="AU122" i="18" s="1"/>
  <c r="AF122" i="18"/>
  <c r="AJ122" i="18" s="1"/>
  <c r="AV122" i="18" s="1"/>
  <c r="AG122" i="18"/>
  <c r="AK122" i="18" s="1"/>
  <c r="AW122" i="18" s="1"/>
  <c r="AH122" i="18"/>
  <c r="AP122" i="18"/>
  <c r="V123" i="18"/>
  <c r="Z123" i="18" s="1"/>
  <c r="AO123" i="18" s="1"/>
  <c r="W123" i="18"/>
  <c r="AA123" i="18" s="1"/>
  <c r="AP123" i="18" s="1"/>
  <c r="X123" i="18"/>
  <c r="AB123" i="18" s="1"/>
  <c r="AQ123" i="18" s="1"/>
  <c r="Y123" i="18"/>
  <c r="AC123" i="18" s="1"/>
  <c r="AR123" i="18" s="1"/>
  <c r="AE123" i="18"/>
  <c r="AI123" i="18" s="1"/>
  <c r="AU123" i="18" s="1"/>
  <c r="AF123" i="18"/>
  <c r="AJ123" i="18" s="1"/>
  <c r="AG123" i="18"/>
  <c r="AK123" i="18" s="1"/>
  <c r="AW123" i="18" s="1"/>
  <c r="AH123" i="18"/>
  <c r="AV123" i="18"/>
  <c r="V124" i="18"/>
  <c r="Z124" i="18" s="1"/>
  <c r="AO124" i="18" s="1"/>
  <c r="W124" i="18"/>
  <c r="AA124" i="18" s="1"/>
  <c r="AP124" i="18" s="1"/>
  <c r="X124" i="18"/>
  <c r="AB124" i="18" s="1"/>
  <c r="AQ124" i="18" s="1"/>
  <c r="Y124" i="18"/>
  <c r="AC124" i="18" s="1"/>
  <c r="AR124" i="18" s="1"/>
  <c r="AE124" i="18"/>
  <c r="AI124" i="18" s="1"/>
  <c r="AU124" i="18" s="1"/>
  <c r="AF124" i="18"/>
  <c r="AJ124" i="18" s="1"/>
  <c r="AG124" i="18"/>
  <c r="AK124" i="18" s="1"/>
  <c r="AW124" i="18" s="1"/>
  <c r="AH124" i="18"/>
  <c r="AV124" i="18"/>
  <c r="V125" i="18"/>
  <c r="Z125" i="18" s="1"/>
  <c r="AO125" i="18" s="1"/>
  <c r="W125" i="18"/>
  <c r="AA125" i="18" s="1"/>
  <c r="AP125" i="18" s="1"/>
  <c r="X125" i="18"/>
  <c r="AB125" i="18" s="1"/>
  <c r="AQ125" i="18" s="1"/>
  <c r="Y125" i="18"/>
  <c r="AC125" i="18" s="1"/>
  <c r="AR125" i="18" s="1"/>
  <c r="AE125" i="18"/>
  <c r="AI125" i="18" s="1"/>
  <c r="AU125" i="18" s="1"/>
  <c r="AF125" i="18"/>
  <c r="AJ125" i="18" s="1"/>
  <c r="AV125" i="18" s="1"/>
  <c r="AG125" i="18"/>
  <c r="AK125" i="18" s="1"/>
  <c r="AW125" i="18" s="1"/>
  <c r="AH125" i="18"/>
  <c r="V129" i="18"/>
  <c r="Z129" i="18" s="1"/>
  <c r="AO129" i="18" s="1"/>
  <c r="W129" i="18"/>
  <c r="AA129" i="18" s="1"/>
  <c r="AP129" i="18" s="1"/>
  <c r="X129" i="18"/>
  <c r="AB129" i="18" s="1"/>
  <c r="AQ129" i="18" s="1"/>
  <c r="Y129" i="18"/>
  <c r="AC129" i="18"/>
  <c r="AR129" i="18" s="1"/>
  <c r="V130" i="18"/>
  <c r="Z130" i="18" s="1"/>
  <c r="AO130" i="18" s="1"/>
  <c r="W130" i="18"/>
  <c r="AA130" i="18" s="1"/>
  <c r="AP130" i="18" s="1"/>
  <c r="X130" i="18"/>
  <c r="AB130" i="18" s="1"/>
  <c r="AQ130" i="18" s="1"/>
  <c r="Y130" i="18"/>
  <c r="AC130" i="18" s="1"/>
  <c r="AR130" i="18" s="1"/>
  <c r="V131" i="18"/>
  <c r="Z131" i="18" s="1"/>
  <c r="AO131" i="18" s="1"/>
  <c r="W131" i="18"/>
  <c r="AA131" i="18" s="1"/>
  <c r="AP131" i="18" s="1"/>
  <c r="X131" i="18"/>
  <c r="AB131" i="18" s="1"/>
  <c r="AQ131" i="18" s="1"/>
  <c r="Y131" i="18"/>
  <c r="AC131" i="18" s="1"/>
  <c r="AR131" i="18" s="1"/>
  <c r="V132" i="18"/>
  <c r="Z132" i="18" s="1"/>
  <c r="AO132" i="18" s="1"/>
  <c r="W132" i="18"/>
  <c r="AA132" i="18" s="1"/>
  <c r="AP132" i="18" s="1"/>
  <c r="X132" i="18"/>
  <c r="AB132" i="18" s="1"/>
  <c r="AQ132" i="18" s="1"/>
  <c r="Y132" i="18"/>
  <c r="AC132" i="18" s="1"/>
  <c r="AR132" i="18" s="1"/>
  <c r="V133" i="18"/>
  <c r="Z133" i="18" s="1"/>
  <c r="AO133" i="18" s="1"/>
  <c r="W133" i="18"/>
  <c r="X133" i="18"/>
  <c r="AB133" i="18" s="1"/>
  <c r="AQ133" i="18" s="1"/>
  <c r="Y133" i="18"/>
  <c r="AC133" i="18" s="1"/>
  <c r="AR133" i="18" s="1"/>
  <c r="AA133" i="18"/>
  <c r="AP133" i="18" s="1"/>
  <c r="V134" i="18"/>
  <c r="Z134" i="18" s="1"/>
  <c r="AO134" i="18" s="1"/>
  <c r="W134" i="18"/>
  <c r="AA134" i="18" s="1"/>
  <c r="AP134" i="18" s="1"/>
  <c r="X134" i="18"/>
  <c r="AB134" i="18" s="1"/>
  <c r="AQ134" i="18" s="1"/>
  <c r="Y134" i="18"/>
  <c r="AC134" i="18" s="1"/>
  <c r="AR134" i="18" s="1"/>
  <c r="V138" i="18"/>
  <c r="Z138" i="18" s="1"/>
  <c r="AO138" i="18" s="1"/>
  <c r="W138" i="18"/>
  <c r="AA138" i="18" s="1"/>
  <c r="AP138" i="18" s="1"/>
  <c r="X138" i="18"/>
  <c r="AB138" i="18" s="1"/>
  <c r="AQ138" i="18" s="1"/>
  <c r="Y138" i="18"/>
  <c r="AC138" i="18" s="1"/>
  <c r="AR138" i="18" s="1"/>
  <c r="V139" i="18"/>
  <c r="Z139" i="18" s="1"/>
  <c r="AO139" i="18" s="1"/>
  <c r="W139" i="18"/>
  <c r="AA139" i="18" s="1"/>
  <c r="AP139" i="18" s="1"/>
  <c r="X139" i="18"/>
  <c r="AB139" i="18" s="1"/>
  <c r="AQ139" i="18" s="1"/>
  <c r="Y139" i="18"/>
  <c r="AC139" i="18" s="1"/>
  <c r="AR139" i="18" s="1"/>
  <c r="V140" i="18"/>
  <c r="Z140" i="18" s="1"/>
  <c r="AO140" i="18" s="1"/>
  <c r="W140" i="18"/>
  <c r="AA140" i="18" s="1"/>
  <c r="AP140" i="18" s="1"/>
  <c r="X140" i="18"/>
  <c r="AB140" i="18" s="1"/>
  <c r="AQ140" i="18" s="1"/>
  <c r="Y140" i="18"/>
  <c r="AC140" i="18" s="1"/>
  <c r="AR140" i="18" s="1"/>
  <c r="V141" i="18"/>
  <c r="Z141" i="18" s="1"/>
  <c r="AO141" i="18" s="1"/>
  <c r="W141" i="18"/>
  <c r="AA141" i="18" s="1"/>
  <c r="AP141" i="18" s="1"/>
  <c r="X141" i="18"/>
  <c r="AB141" i="18" s="1"/>
  <c r="AQ141" i="18" s="1"/>
  <c r="Y141" i="18"/>
  <c r="AC141" i="18" s="1"/>
  <c r="AR141" i="18" s="1"/>
  <c r="V142" i="18"/>
  <c r="Z142" i="18" s="1"/>
  <c r="AO142" i="18" s="1"/>
  <c r="W142" i="18"/>
  <c r="AA142" i="18" s="1"/>
  <c r="AP142" i="18" s="1"/>
  <c r="X142" i="18"/>
  <c r="AB142" i="18" s="1"/>
  <c r="AQ142" i="18" s="1"/>
  <c r="Y142" i="18"/>
  <c r="AC142" i="18" s="1"/>
  <c r="AR142" i="18" s="1"/>
  <c r="V143" i="18"/>
  <c r="Z143" i="18" s="1"/>
  <c r="AO143" i="18" s="1"/>
  <c r="W143" i="18"/>
  <c r="AA143" i="18" s="1"/>
  <c r="AP143" i="18" s="1"/>
  <c r="X143" i="18"/>
  <c r="AB143" i="18" s="1"/>
  <c r="AQ143" i="18" s="1"/>
  <c r="Y143" i="18"/>
  <c r="AC143" i="18" s="1"/>
  <c r="AR143" i="18" s="1"/>
  <c r="V147" i="18"/>
  <c r="Z147" i="18" s="1"/>
  <c r="AO147" i="18" s="1"/>
  <c r="W147" i="18"/>
  <c r="AA147" i="18" s="1"/>
  <c r="AP147" i="18" s="1"/>
  <c r="X147" i="18"/>
  <c r="AB147" i="18" s="1"/>
  <c r="AQ147" i="18" s="1"/>
  <c r="Y147" i="18"/>
  <c r="AC147" i="18" s="1"/>
  <c r="AR147" i="18" s="1"/>
  <c r="V148" i="18"/>
  <c r="Z148" i="18" s="1"/>
  <c r="AO148" i="18" s="1"/>
  <c r="W148" i="18"/>
  <c r="AA148" i="18" s="1"/>
  <c r="AP148" i="18" s="1"/>
  <c r="X148" i="18"/>
  <c r="AB148" i="18" s="1"/>
  <c r="AQ148" i="18" s="1"/>
  <c r="Y148" i="18"/>
  <c r="AC148" i="18" s="1"/>
  <c r="AR148" i="18" s="1"/>
  <c r="V149" i="18"/>
  <c r="Z149" i="18" s="1"/>
  <c r="AO149" i="18" s="1"/>
  <c r="W149" i="18"/>
  <c r="X149" i="18"/>
  <c r="AB149" i="18" s="1"/>
  <c r="AQ149" i="18" s="1"/>
  <c r="Y149" i="18"/>
  <c r="AC149" i="18" s="1"/>
  <c r="AR149" i="18" s="1"/>
  <c r="AA149" i="18"/>
  <c r="AP149" i="18" s="1"/>
  <c r="V150" i="18"/>
  <c r="Z150" i="18" s="1"/>
  <c r="AO150" i="18" s="1"/>
  <c r="W150" i="18"/>
  <c r="AA150" i="18" s="1"/>
  <c r="AP150" i="18" s="1"/>
  <c r="X150" i="18"/>
  <c r="Y150" i="18"/>
  <c r="AC150" i="18" s="1"/>
  <c r="AR150" i="18" s="1"/>
  <c r="AB150" i="18"/>
  <c r="AQ150" i="18" s="1"/>
  <c r="V151" i="18"/>
  <c r="Z151" i="18" s="1"/>
  <c r="AO151" i="18" s="1"/>
  <c r="W151" i="18"/>
  <c r="AA151" i="18" s="1"/>
  <c r="AP151" i="18" s="1"/>
  <c r="X151" i="18"/>
  <c r="AB151" i="18" s="1"/>
  <c r="AQ151" i="18" s="1"/>
  <c r="Y151" i="18"/>
  <c r="AC151" i="18" s="1"/>
  <c r="AR151" i="18" s="1"/>
  <c r="V152" i="18"/>
  <c r="Z152" i="18" s="1"/>
  <c r="AO152" i="18" s="1"/>
  <c r="W152" i="18"/>
  <c r="AA152" i="18" s="1"/>
  <c r="AP152" i="18" s="1"/>
  <c r="X152" i="18"/>
  <c r="AB152" i="18" s="1"/>
  <c r="AQ152" i="18" s="1"/>
  <c r="Y152" i="18"/>
  <c r="AC152" i="18" s="1"/>
  <c r="AR152" i="18" s="1"/>
  <c r="V156" i="18"/>
  <c r="Z156" i="18" s="1"/>
  <c r="AO156" i="18" s="1"/>
  <c r="W156" i="18"/>
  <c r="AA156" i="18" s="1"/>
  <c r="AP156" i="18" s="1"/>
  <c r="X156" i="18"/>
  <c r="AB156" i="18" s="1"/>
  <c r="AQ156" i="18" s="1"/>
  <c r="Y156" i="18"/>
  <c r="AC156" i="18" s="1"/>
  <c r="AR156" i="18" s="1"/>
  <c r="AE156" i="18"/>
  <c r="AI156" i="18" s="1"/>
  <c r="AU156" i="18" s="1"/>
  <c r="AF156" i="18"/>
  <c r="AG156" i="18"/>
  <c r="AK156" i="18" s="1"/>
  <c r="AW156" i="18" s="1"/>
  <c r="AH156" i="18"/>
  <c r="V157" i="18"/>
  <c r="Z157" i="18" s="1"/>
  <c r="AO157" i="18" s="1"/>
  <c r="W157" i="18"/>
  <c r="AA157" i="18" s="1"/>
  <c r="AP157" i="18" s="1"/>
  <c r="X157" i="18"/>
  <c r="AB157" i="18" s="1"/>
  <c r="AQ157" i="18" s="1"/>
  <c r="Y157" i="18"/>
  <c r="AC157" i="18" s="1"/>
  <c r="AR157" i="18" s="1"/>
  <c r="AE157" i="18"/>
  <c r="AF157" i="18"/>
  <c r="AG157" i="18"/>
  <c r="AH157" i="18"/>
  <c r="V158" i="18"/>
  <c r="Z158" i="18" s="1"/>
  <c r="AO158" i="18" s="1"/>
  <c r="W158" i="18"/>
  <c r="AA158" i="18" s="1"/>
  <c r="AP158" i="18" s="1"/>
  <c r="X158" i="18"/>
  <c r="AB158" i="18" s="1"/>
  <c r="AQ158" i="18" s="1"/>
  <c r="Y158" i="18"/>
  <c r="AC158" i="18" s="1"/>
  <c r="AR158" i="18" s="1"/>
  <c r="AE158" i="18"/>
  <c r="AF158" i="18"/>
  <c r="AJ158" i="18" s="1"/>
  <c r="AV158" i="18" s="1"/>
  <c r="AG158" i="18"/>
  <c r="AH158" i="18"/>
  <c r="V159" i="18"/>
  <c r="Z159" i="18" s="1"/>
  <c r="AO159" i="18" s="1"/>
  <c r="W159" i="18"/>
  <c r="AA159" i="18" s="1"/>
  <c r="AP159" i="18" s="1"/>
  <c r="X159" i="18"/>
  <c r="AB159" i="18" s="1"/>
  <c r="AQ159" i="18" s="1"/>
  <c r="Y159" i="18"/>
  <c r="AC159" i="18" s="1"/>
  <c r="AR159" i="18" s="1"/>
  <c r="AE159" i="18"/>
  <c r="AF159" i="18"/>
  <c r="AG159" i="18"/>
  <c r="AH159" i="18"/>
  <c r="V160" i="18"/>
  <c r="Z160" i="18" s="1"/>
  <c r="AO160" i="18" s="1"/>
  <c r="W160" i="18"/>
  <c r="AA160" i="18" s="1"/>
  <c r="AP160" i="18" s="1"/>
  <c r="X160" i="18"/>
  <c r="AB160" i="18" s="1"/>
  <c r="AQ160" i="18" s="1"/>
  <c r="Y160" i="18"/>
  <c r="AC160" i="18" s="1"/>
  <c r="AR160" i="18" s="1"/>
  <c r="AE160" i="18"/>
  <c r="AF160" i="18"/>
  <c r="AG160" i="18"/>
  <c r="AH160" i="18"/>
  <c r="V161" i="18"/>
  <c r="Z161" i="18" s="1"/>
  <c r="AO161" i="18" s="1"/>
  <c r="W161" i="18"/>
  <c r="AA161" i="18" s="1"/>
  <c r="AP161" i="18" s="1"/>
  <c r="X161" i="18"/>
  <c r="AB161" i="18" s="1"/>
  <c r="AQ161" i="18" s="1"/>
  <c r="Y161" i="18"/>
  <c r="AC161" i="18" s="1"/>
  <c r="AR161" i="18" s="1"/>
  <c r="AE161" i="18"/>
  <c r="AF161" i="18"/>
  <c r="AG161" i="18"/>
  <c r="AH161" i="18"/>
  <c r="V165" i="18"/>
  <c r="Z165" i="18" s="1"/>
  <c r="AO165" i="18" s="1"/>
  <c r="W165" i="18"/>
  <c r="AA165" i="18" s="1"/>
  <c r="AP165" i="18" s="1"/>
  <c r="X165" i="18"/>
  <c r="AB165" i="18" s="1"/>
  <c r="AQ165" i="18" s="1"/>
  <c r="Y165" i="18"/>
  <c r="AC165" i="18" s="1"/>
  <c r="AR165" i="18" s="1"/>
  <c r="AE165" i="18"/>
  <c r="AF165" i="18"/>
  <c r="AJ165" i="18" s="1"/>
  <c r="AV165" i="18" s="1"/>
  <c r="AG165" i="18"/>
  <c r="AH165" i="18"/>
  <c r="V166" i="18"/>
  <c r="Z166" i="18" s="1"/>
  <c r="AO166" i="18" s="1"/>
  <c r="W166" i="18"/>
  <c r="AA166" i="18" s="1"/>
  <c r="AP166" i="18" s="1"/>
  <c r="X166" i="18"/>
  <c r="AB166" i="18" s="1"/>
  <c r="AQ166" i="18" s="1"/>
  <c r="Y166" i="18"/>
  <c r="AC166" i="18" s="1"/>
  <c r="AR166" i="18" s="1"/>
  <c r="AE166" i="18"/>
  <c r="AF166" i="18"/>
  <c r="AG166" i="18"/>
  <c r="AH166" i="18"/>
  <c r="V167" i="18"/>
  <c r="Z167" i="18" s="1"/>
  <c r="AO167" i="18" s="1"/>
  <c r="W167" i="18"/>
  <c r="AA167" i="18" s="1"/>
  <c r="AP167" i="18" s="1"/>
  <c r="X167" i="18"/>
  <c r="AB167" i="18" s="1"/>
  <c r="AQ167" i="18" s="1"/>
  <c r="Y167" i="18"/>
  <c r="AC167" i="18" s="1"/>
  <c r="AR167" i="18" s="1"/>
  <c r="AE167" i="18"/>
  <c r="AF167" i="18"/>
  <c r="AJ167" i="18" s="1"/>
  <c r="AV167" i="18" s="1"/>
  <c r="AG167" i="18"/>
  <c r="AH167" i="18"/>
  <c r="V168" i="18"/>
  <c r="Z168" i="18" s="1"/>
  <c r="AO168" i="18" s="1"/>
  <c r="W168" i="18"/>
  <c r="AA168" i="18" s="1"/>
  <c r="AP168" i="18" s="1"/>
  <c r="X168" i="18"/>
  <c r="AB168" i="18" s="1"/>
  <c r="AQ168" i="18" s="1"/>
  <c r="Y168" i="18"/>
  <c r="AC168" i="18" s="1"/>
  <c r="AR168" i="18" s="1"/>
  <c r="AE168" i="18"/>
  <c r="AF168" i="18"/>
  <c r="AG168" i="18"/>
  <c r="AH168" i="18"/>
  <c r="V169" i="18"/>
  <c r="Z169" i="18" s="1"/>
  <c r="AO169" i="18" s="1"/>
  <c r="W169" i="18"/>
  <c r="AA169" i="18" s="1"/>
  <c r="AP169" i="18" s="1"/>
  <c r="X169" i="18"/>
  <c r="AB169" i="18" s="1"/>
  <c r="AQ169" i="18" s="1"/>
  <c r="Y169" i="18"/>
  <c r="AC169" i="18" s="1"/>
  <c r="AR169" i="18" s="1"/>
  <c r="AE169" i="18"/>
  <c r="AF169" i="18"/>
  <c r="AG169" i="18"/>
  <c r="AH169" i="18"/>
  <c r="V170" i="18"/>
  <c r="Z170" i="18" s="1"/>
  <c r="AO170" i="18" s="1"/>
  <c r="W170" i="18"/>
  <c r="AA170" i="18" s="1"/>
  <c r="AP170" i="18" s="1"/>
  <c r="X170" i="18"/>
  <c r="AB170" i="18" s="1"/>
  <c r="AQ170" i="18" s="1"/>
  <c r="Y170" i="18"/>
  <c r="AC170" i="18" s="1"/>
  <c r="AR170" i="18" s="1"/>
  <c r="AE170" i="18"/>
  <c r="AF170" i="18"/>
  <c r="AG170" i="18"/>
  <c r="AH170" i="18"/>
  <c r="V12" i="19"/>
  <c r="Z12" i="19" s="1"/>
  <c r="AO12" i="19" s="1"/>
  <c r="W12" i="19"/>
  <c r="AA12" i="19" s="1"/>
  <c r="AP12" i="19" s="1"/>
  <c r="X12" i="19"/>
  <c r="AB12" i="19" s="1"/>
  <c r="AQ12" i="19" s="1"/>
  <c r="Y12" i="19"/>
  <c r="AC12" i="19" s="1"/>
  <c r="AR12" i="19" s="1"/>
  <c r="AE12" i="19"/>
  <c r="AF12" i="19"/>
  <c r="AJ12" i="19" s="1"/>
  <c r="AV12" i="19" s="1"/>
  <c r="AG12" i="19"/>
  <c r="AH12" i="19"/>
  <c r="V13" i="19"/>
  <c r="Z13" i="19" s="1"/>
  <c r="AO13" i="19" s="1"/>
  <c r="W13" i="19"/>
  <c r="AA13" i="19" s="1"/>
  <c r="AP13" i="19" s="1"/>
  <c r="X13" i="19"/>
  <c r="AB13" i="19" s="1"/>
  <c r="AQ13" i="19" s="1"/>
  <c r="Y13" i="19"/>
  <c r="AC13" i="19" s="1"/>
  <c r="AR13" i="19" s="1"/>
  <c r="AE13" i="19"/>
  <c r="AF13" i="19"/>
  <c r="AG13" i="19"/>
  <c r="AH13" i="19"/>
  <c r="V14" i="19"/>
  <c r="Z14" i="19" s="1"/>
  <c r="AO14" i="19" s="1"/>
  <c r="W14" i="19"/>
  <c r="AA14" i="19" s="1"/>
  <c r="AP14" i="19" s="1"/>
  <c r="X14" i="19"/>
  <c r="AB14" i="19" s="1"/>
  <c r="AQ14" i="19" s="1"/>
  <c r="Y14" i="19"/>
  <c r="AC14" i="19" s="1"/>
  <c r="AR14" i="19" s="1"/>
  <c r="AE14" i="19"/>
  <c r="AF14" i="19"/>
  <c r="AG14" i="19"/>
  <c r="AH14" i="19"/>
  <c r="V15" i="19"/>
  <c r="Z15" i="19" s="1"/>
  <c r="AO15" i="19" s="1"/>
  <c r="W15" i="19"/>
  <c r="AA15" i="19" s="1"/>
  <c r="AP15" i="19" s="1"/>
  <c r="X15" i="19"/>
  <c r="AB15" i="19" s="1"/>
  <c r="AQ15" i="19" s="1"/>
  <c r="Y15" i="19"/>
  <c r="AC15" i="19" s="1"/>
  <c r="AR15" i="19" s="1"/>
  <c r="AE15" i="19"/>
  <c r="AF15" i="19"/>
  <c r="AG15" i="19"/>
  <c r="AH15" i="19"/>
  <c r="V16" i="19"/>
  <c r="Z16" i="19" s="1"/>
  <c r="AO16" i="19" s="1"/>
  <c r="W16" i="19"/>
  <c r="AA16" i="19" s="1"/>
  <c r="AP16" i="19" s="1"/>
  <c r="X16" i="19"/>
  <c r="AB16" i="19" s="1"/>
  <c r="AQ16" i="19" s="1"/>
  <c r="Y16" i="19"/>
  <c r="AC16" i="19" s="1"/>
  <c r="AR16" i="19" s="1"/>
  <c r="AE16" i="19"/>
  <c r="AF16" i="19"/>
  <c r="AJ16" i="19" s="1"/>
  <c r="AV16" i="19" s="1"/>
  <c r="AG16" i="19"/>
  <c r="AH16" i="19"/>
  <c r="V17" i="19"/>
  <c r="Z17" i="19" s="1"/>
  <c r="AO17" i="19" s="1"/>
  <c r="W17" i="19"/>
  <c r="AA17" i="19" s="1"/>
  <c r="AP17" i="19" s="1"/>
  <c r="X17" i="19"/>
  <c r="AB17" i="19" s="1"/>
  <c r="AQ17" i="19" s="1"/>
  <c r="Y17" i="19"/>
  <c r="AC17" i="19" s="1"/>
  <c r="AR17" i="19" s="1"/>
  <c r="AE17" i="19"/>
  <c r="AF17" i="19"/>
  <c r="AJ17" i="19" s="1"/>
  <c r="AV17" i="19" s="1"/>
  <c r="AG17" i="19"/>
  <c r="AH17" i="19"/>
  <c r="V21" i="19"/>
  <c r="Z21" i="19" s="1"/>
  <c r="AO21" i="19" s="1"/>
  <c r="W21" i="19"/>
  <c r="AA21" i="19" s="1"/>
  <c r="AP21" i="19" s="1"/>
  <c r="X21" i="19"/>
  <c r="AB21" i="19" s="1"/>
  <c r="AQ21" i="19" s="1"/>
  <c r="Y21" i="19"/>
  <c r="AC21" i="19" s="1"/>
  <c r="AR21" i="19" s="1"/>
  <c r="AE21" i="19"/>
  <c r="AF21" i="19"/>
  <c r="AG21" i="19"/>
  <c r="AH21" i="19"/>
  <c r="V22" i="19"/>
  <c r="Z22" i="19" s="1"/>
  <c r="AO22" i="19" s="1"/>
  <c r="W22" i="19"/>
  <c r="AA22" i="19" s="1"/>
  <c r="AP22" i="19" s="1"/>
  <c r="X22" i="19"/>
  <c r="Y22" i="19"/>
  <c r="AC22" i="19" s="1"/>
  <c r="AR22" i="19" s="1"/>
  <c r="AB22" i="19"/>
  <c r="AQ22" i="19" s="1"/>
  <c r="AE22" i="19"/>
  <c r="AF22" i="19"/>
  <c r="AG22" i="19"/>
  <c r="AH22" i="19"/>
  <c r="V23" i="19"/>
  <c r="Z23" i="19" s="1"/>
  <c r="AO23" i="19" s="1"/>
  <c r="W23" i="19"/>
  <c r="AA23" i="19" s="1"/>
  <c r="AP23" i="19" s="1"/>
  <c r="X23" i="19"/>
  <c r="AB23" i="19" s="1"/>
  <c r="AQ23" i="19" s="1"/>
  <c r="Y23" i="19"/>
  <c r="AC23" i="19" s="1"/>
  <c r="AR23" i="19" s="1"/>
  <c r="AE23" i="19"/>
  <c r="AF23" i="19"/>
  <c r="AG23" i="19"/>
  <c r="AH23" i="19"/>
  <c r="V24" i="19"/>
  <c r="Z24" i="19" s="1"/>
  <c r="AO24" i="19" s="1"/>
  <c r="W24" i="19"/>
  <c r="AA24" i="19" s="1"/>
  <c r="AP24" i="19" s="1"/>
  <c r="X24" i="19"/>
  <c r="AB24" i="19" s="1"/>
  <c r="AQ24" i="19" s="1"/>
  <c r="Y24" i="19"/>
  <c r="AC24" i="19" s="1"/>
  <c r="AR24" i="19" s="1"/>
  <c r="AE24" i="19"/>
  <c r="AF24" i="19"/>
  <c r="AG24" i="19"/>
  <c r="AH24" i="19"/>
  <c r="V25" i="19"/>
  <c r="Z25" i="19" s="1"/>
  <c r="AO25" i="19" s="1"/>
  <c r="W25" i="19"/>
  <c r="AA25" i="19" s="1"/>
  <c r="AP25" i="19" s="1"/>
  <c r="X25" i="19"/>
  <c r="AB25" i="19" s="1"/>
  <c r="AQ25" i="19" s="1"/>
  <c r="Y25" i="19"/>
  <c r="AC25" i="19" s="1"/>
  <c r="AR25" i="19" s="1"/>
  <c r="AE25" i="19"/>
  <c r="AF25" i="19"/>
  <c r="AG25" i="19"/>
  <c r="AH25" i="19"/>
  <c r="V26" i="19"/>
  <c r="Z26" i="19" s="1"/>
  <c r="AO26" i="19" s="1"/>
  <c r="W26" i="19"/>
  <c r="AA26" i="19" s="1"/>
  <c r="AP26" i="19" s="1"/>
  <c r="X26" i="19"/>
  <c r="AB26" i="19" s="1"/>
  <c r="AQ26" i="19" s="1"/>
  <c r="Y26" i="19"/>
  <c r="AC26" i="19" s="1"/>
  <c r="AR26" i="19" s="1"/>
  <c r="AE26" i="19"/>
  <c r="AF26" i="19"/>
  <c r="AG26" i="19"/>
  <c r="AK26" i="19" s="1"/>
  <c r="AW26" i="19" s="1"/>
  <c r="AH26" i="19"/>
  <c r="V30" i="19"/>
  <c r="Z30" i="19" s="1"/>
  <c r="AO30" i="19" s="1"/>
  <c r="W30" i="19"/>
  <c r="AA30" i="19" s="1"/>
  <c r="AP30" i="19" s="1"/>
  <c r="X30" i="19"/>
  <c r="AB30" i="19" s="1"/>
  <c r="AQ30" i="19" s="1"/>
  <c r="Y30" i="19"/>
  <c r="AC30" i="19" s="1"/>
  <c r="AR30" i="19" s="1"/>
  <c r="AE30" i="19"/>
  <c r="AI30" i="19" s="1"/>
  <c r="AU30" i="19" s="1"/>
  <c r="AF30" i="19"/>
  <c r="AG30" i="19"/>
  <c r="AK30" i="19" s="1"/>
  <c r="AW30" i="19" s="1"/>
  <c r="AH30" i="19"/>
  <c r="V31" i="19"/>
  <c r="Z31" i="19" s="1"/>
  <c r="AO31" i="19" s="1"/>
  <c r="W31" i="19"/>
  <c r="AA31" i="19" s="1"/>
  <c r="AP31" i="19" s="1"/>
  <c r="X31" i="19"/>
  <c r="AB31" i="19" s="1"/>
  <c r="AQ31" i="19" s="1"/>
  <c r="Y31" i="19"/>
  <c r="AC31" i="19" s="1"/>
  <c r="AR31" i="19" s="1"/>
  <c r="AE31" i="19"/>
  <c r="AF31" i="19"/>
  <c r="AG31" i="19"/>
  <c r="AK31" i="19" s="1"/>
  <c r="AW31" i="19" s="1"/>
  <c r="AH31" i="19"/>
  <c r="V32" i="19"/>
  <c r="Z32" i="19" s="1"/>
  <c r="AO32" i="19" s="1"/>
  <c r="W32" i="19"/>
  <c r="AA32" i="19" s="1"/>
  <c r="AP32" i="19" s="1"/>
  <c r="X32" i="19"/>
  <c r="AB32" i="19" s="1"/>
  <c r="AQ32" i="19" s="1"/>
  <c r="Y32" i="19"/>
  <c r="AC32" i="19" s="1"/>
  <c r="AR32" i="19" s="1"/>
  <c r="AE32" i="19"/>
  <c r="AF32" i="19"/>
  <c r="AG32" i="19"/>
  <c r="AH32" i="19"/>
  <c r="V33" i="19"/>
  <c r="Z33" i="19" s="1"/>
  <c r="AO33" i="19" s="1"/>
  <c r="W33" i="19"/>
  <c r="AA33" i="19" s="1"/>
  <c r="AP33" i="19" s="1"/>
  <c r="X33" i="19"/>
  <c r="AB33" i="19" s="1"/>
  <c r="AQ33" i="19" s="1"/>
  <c r="Y33" i="19"/>
  <c r="AC33" i="19" s="1"/>
  <c r="AR33" i="19" s="1"/>
  <c r="AE33" i="19"/>
  <c r="AI33" i="19" s="1"/>
  <c r="AU33" i="19" s="1"/>
  <c r="AF33" i="19"/>
  <c r="AG33" i="19"/>
  <c r="AH33" i="19"/>
  <c r="V34" i="19"/>
  <c r="Z34" i="19" s="1"/>
  <c r="AO34" i="19" s="1"/>
  <c r="W34" i="19"/>
  <c r="AA34" i="19" s="1"/>
  <c r="AP34" i="19" s="1"/>
  <c r="X34" i="19"/>
  <c r="AB34" i="19" s="1"/>
  <c r="AQ34" i="19" s="1"/>
  <c r="Y34" i="19"/>
  <c r="AC34" i="19" s="1"/>
  <c r="AR34" i="19" s="1"/>
  <c r="AE34" i="19"/>
  <c r="AI34" i="19" s="1"/>
  <c r="AU34" i="19" s="1"/>
  <c r="AF34" i="19"/>
  <c r="AG34" i="19"/>
  <c r="AK34" i="19" s="1"/>
  <c r="AW34" i="19" s="1"/>
  <c r="AH34" i="19"/>
  <c r="V35" i="19"/>
  <c r="Z35" i="19" s="1"/>
  <c r="AO35" i="19" s="1"/>
  <c r="W35" i="19"/>
  <c r="AA35" i="19" s="1"/>
  <c r="AP35" i="19" s="1"/>
  <c r="X35" i="19"/>
  <c r="AB35" i="19" s="1"/>
  <c r="AQ35" i="19" s="1"/>
  <c r="Y35" i="19"/>
  <c r="AC35" i="19" s="1"/>
  <c r="AR35" i="19" s="1"/>
  <c r="AE35" i="19"/>
  <c r="AF35" i="19"/>
  <c r="AG35" i="19"/>
  <c r="AK35" i="19" s="1"/>
  <c r="AW35" i="19" s="1"/>
  <c r="AH35" i="19"/>
  <c r="V39" i="19"/>
  <c r="Z39" i="19" s="1"/>
  <c r="AO39" i="19" s="1"/>
  <c r="W39" i="19"/>
  <c r="AA39" i="19" s="1"/>
  <c r="AP39" i="19" s="1"/>
  <c r="X39" i="19"/>
  <c r="AB39" i="19" s="1"/>
  <c r="AQ39" i="19" s="1"/>
  <c r="Y39" i="19"/>
  <c r="AC39" i="19" s="1"/>
  <c r="AR39" i="19" s="1"/>
  <c r="AE39" i="19"/>
  <c r="AI39" i="19" s="1"/>
  <c r="AU39" i="19" s="1"/>
  <c r="AF39" i="19"/>
  <c r="AG39" i="19"/>
  <c r="AH39" i="19"/>
  <c r="V40" i="19"/>
  <c r="Z40" i="19" s="1"/>
  <c r="AO40" i="19" s="1"/>
  <c r="W40" i="19"/>
  <c r="AA40" i="19" s="1"/>
  <c r="AP40" i="19" s="1"/>
  <c r="X40" i="19"/>
  <c r="AB40" i="19" s="1"/>
  <c r="AQ40" i="19" s="1"/>
  <c r="Y40" i="19"/>
  <c r="AC40" i="19" s="1"/>
  <c r="AR40" i="19" s="1"/>
  <c r="AE40" i="19"/>
  <c r="AF40" i="19"/>
  <c r="AG40" i="19"/>
  <c r="AH40" i="19"/>
  <c r="V41" i="19"/>
  <c r="Z41" i="19" s="1"/>
  <c r="AO41" i="19" s="1"/>
  <c r="W41" i="19"/>
  <c r="AA41" i="19" s="1"/>
  <c r="AP41" i="19" s="1"/>
  <c r="X41" i="19"/>
  <c r="AB41" i="19" s="1"/>
  <c r="AQ41" i="19" s="1"/>
  <c r="Y41" i="19"/>
  <c r="AC41" i="19" s="1"/>
  <c r="AR41" i="19" s="1"/>
  <c r="AE41" i="19"/>
  <c r="AI41" i="19" s="1"/>
  <c r="AU41" i="19" s="1"/>
  <c r="AF41" i="19"/>
  <c r="AJ41" i="19" s="1"/>
  <c r="AV41" i="19" s="1"/>
  <c r="AG41" i="19"/>
  <c r="AH41" i="19"/>
  <c r="V42" i="19"/>
  <c r="Z42" i="19" s="1"/>
  <c r="AO42" i="19" s="1"/>
  <c r="W42" i="19"/>
  <c r="AA42" i="19" s="1"/>
  <c r="AP42" i="19" s="1"/>
  <c r="X42" i="19"/>
  <c r="AB42" i="19" s="1"/>
  <c r="AQ42" i="19" s="1"/>
  <c r="Y42" i="19"/>
  <c r="AC42" i="19" s="1"/>
  <c r="AR42" i="19" s="1"/>
  <c r="AE42" i="19"/>
  <c r="AI42" i="19" s="1"/>
  <c r="AF42" i="19"/>
  <c r="AJ42" i="19" s="1"/>
  <c r="AV42" i="19" s="1"/>
  <c r="AG42" i="19"/>
  <c r="AK42" i="19" s="1"/>
  <c r="AW42" i="19" s="1"/>
  <c r="AH42" i="19"/>
  <c r="AU42" i="19"/>
  <c r="V43" i="19"/>
  <c r="Z43" i="19" s="1"/>
  <c r="AO43" i="19" s="1"/>
  <c r="W43" i="19"/>
  <c r="AA43" i="19" s="1"/>
  <c r="AP43" i="19" s="1"/>
  <c r="X43" i="19"/>
  <c r="AB43" i="19" s="1"/>
  <c r="AQ43" i="19" s="1"/>
  <c r="Y43" i="19"/>
  <c r="AC43" i="19" s="1"/>
  <c r="AR43" i="19" s="1"/>
  <c r="AE43" i="19"/>
  <c r="AI43" i="19" s="1"/>
  <c r="AU43" i="19" s="1"/>
  <c r="AF43" i="19"/>
  <c r="AJ43" i="19" s="1"/>
  <c r="AV43" i="19" s="1"/>
  <c r="AG43" i="19"/>
  <c r="AK43" i="19" s="1"/>
  <c r="AW43" i="19" s="1"/>
  <c r="AH43" i="19"/>
  <c r="V44" i="19"/>
  <c r="Z44" i="19" s="1"/>
  <c r="AO44" i="19" s="1"/>
  <c r="W44" i="19"/>
  <c r="AA44" i="19" s="1"/>
  <c r="AP44" i="19" s="1"/>
  <c r="X44" i="19"/>
  <c r="AB44" i="19" s="1"/>
  <c r="AQ44" i="19" s="1"/>
  <c r="Y44" i="19"/>
  <c r="AC44" i="19" s="1"/>
  <c r="AR44" i="19" s="1"/>
  <c r="AE44" i="19"/>
  <c r="AF44" i="19"/>
  <c r="AJ44" i="19" s="1"/>
  <c r="AV44" i="19" s="1"/>
  <c r="AG44" i="19"/>
  <c r="AK44" i="19" s="1"/>
  <c r="AW44" i="19" s="1"/>
  <c r="AH44" i="19"/>
  <c r="V48" i="19"/>
  <c r="Z48" i="19" s="1"/>
  <c r="AO48" i="19" s="1"/>
  <c r="W48" i="19"/>
  <c r="AA48" i="19" s="1"/>
  <c r="AP48" i="19" s="1"/>
  <c r="X48" i="19"/>
  <c r="AB48" i="19" s="1"/>
  <c r="AQ48" i="19" s="1"/>
  <c r="Y48" i="19"/>
  <c r="AC48" i="19" s="1"/>
  <c r="AR48" i="19" s="1"/>
  <c r="AE48" i="19"/>
  <c r="AF48" i="19"/>
  <c r="AG48" i="19"/>
  <c r="AK48" i="19" s="1"/>
  <c r="AW48" i="19" s="1"/>
  <c r="AH48" i="19"/>
  <c r="V49" i="19"/>
  <c r="Z49" i="19" s="1"/>
  <c r="AO49" i="19" s="1"/>
  <c r="W49" i="19"/>
  <c r="AA49" i="19" s="1"/>
  <c r="AP49" i="19" s="1"/>
  <c r="X49" i="19"/>
  <c r="AB49" i="19" s="1"/>
  <c r="AQ49" i="19" s="1"/>
  <c r="Y49" i="19"/>
  <c r="AC49" i="19" s="1"/>
  <c r="AR49" i="19" s="1"/>
  <c r="AE49" i="19"/>
  <c r="AF49" i="19"/>
  <c r="AG49" i="19"/>
  <c r="AH49" i="19"/>
  <c r="V50" i="19"/>
  <c r="Z50" i="19" s="1"/>
  <c r="AO50" i="19" s="1"/>
  <c r="W50" i="19"/>
  <c r="AA50" i="19" s="1"/>
  <c r="AP50" i="19" s="1"/>
  <c r="X50" i="19"/>
  <c r="AB50" i="19" s="1"/>
  <c r="AQ50" i="19" s="1"/>
  <c r="Y50" i="19"/>
  <c r="AC50" i="19" s="1"/>
  <c r="AR50" i="19" s="1"/>
  <c r="AE50" i="19"/>
  <c r="AF50" i="19"/>
  <c r="AG50" i="19"/>
  <c r="AH50" i="19"/>
  <c r="V51" i="19"/>
  <c r="Z51" i="19" s="1"/>
  <c r="AO51" i="19" s="1"/>
  <c r="W51" i="19"/>
  <c r="AA51" i="19" s="1"/>
  <c r="AP51" i="19" s="1"/>
  <c r="X51" i="19"/>
  <c r="AB51" i="19" s="1"/>
  <c r="AQ51" i="19" s="1"/>
  <c r="Y51" i="19"/>
  <c r="AC51" i="19" s="1"/>
  <c r="AR51" i="19" s="1"/>
  <c r="AE51" i="19"/>
  <c r="AI51" i="19" s="1"/>
  <c r="AU51" i="19" s="1"/>
  <c r="AF51" i="19"/>
  <c r="AJ51" i="19" s="1"/>
  <c r="AV51" i="19" s="1"/>
  <c r="AG51" i="19"/>
  <c r="AK51" i="19" s="1"/>
  <c r="AW51" i="19" s="1"/>
  <c r="AH51" i="19"/>
  <c r="V52" i="19"/>
  <c r="Z52" i="19" s="1"/>
  <c r="AO52" i="19" s="1"/>
  <c r="W52" i="19"/>
  <c r="AA52" i="19" s="1"/>
  <c r="AP52" i="19" s="1"/>
  <c r="X52" i="19"/>
  <c r="AB52" i="19" s="1"/>
  <c r="AQ52" i="19" s="1"/>
  <c r="Y52" i="19"/>
  <c r="AC52" i="19" s="1"/>
  <c r="AR52" i="19" s="1"/>
  <c r="AE52" i="19"/>
  <c r="AI52" i="19" s="1"/>
  <c r="AU52" i="19" s="1"/>
  <c r="AF52" i="19"/>
  <c r="AJ52" i="19" s="1"/>
  <c r="AV52" i="19" s="1"/>
  <c r="AG52" i="19"/>
  <c r="AK52" i="19" s="1"/>
  <c r="AW52" i="19" s="1"/>
  <c r="AH52" i="19"/>
  <c r="V53" i="19"/>
  <c r="Z53" i="19" s="1"/>
  <c r="AO53" i="19" s="1"/>
  <c r="W53" i="19"/>
  <c r="AA53" i="19" s="1"/>
  <c r="AP53" i="19" s="1"/>
  <c r="X53" i="19"/>
  <c r="AB53" i="19" s="1"/>
  <c r="AQ53" i="19" s="1"/>
  <c r="Y53" i="19"/>
  <c r="AC53" i="19" s="1"/>
  <c r="AR53" i="19" s="1"/>
  <c r="AE53" i="19"/>
  <c r="AF53" i="19"/>
  <c r="AJ53" i="19" s="1"/>
  <c r="AV53" i="19" s="1"/>
  <c r="AG53" i="19"/>
  <c r="AK53" i="19" s="1"/>
  <c r="AW53" i="19" s="1"/>
  <c r="AH53" i="19"/>
  <c r="V57" i="19"/>
  <c r="Z57" i="19" s="1"/>
  <c r="AO57" i="19" s="1"/>
  <c r="W57" i="19"/>
  <c r="AA57" i="19" s="1"/>
  <c r="AP57" i="19" s="1"/>
  <c r="X57" i="19"/>
  <c r="AB57" i="19" s="1"/>
  <c r="AQ57" i="19" s="1"/>
  <c r="Y57" i="19"/>
  <c r="AC57" i="19"/>
  <c r="AR57" i="19" s="1"/>
  <c r="AE57" i="19"/>
  <c r="AF57" i="19"/>
  <c r="AG57" i="19"/>
  <c r="AK57" i="19" s="1"/>
  <c r="AW57" i="19" s="1"/>
  <c r="AH57" i="19"/>
  <c r="V58" i="19"/>
  <c r="Z58" i="19" s="1"/>
  <c r="AO58" i="19" s="1"/>
  <c r="W58" i="19"/>
  <c r="AA58" i="19" s="1"/>
  <c r="AP58" i="19" s="1"/>
  <c r="X58" i="19"/>
  <c r="AB58" i="19" s="1"/>
  <c r="AQ58" i="19" s="1"/>
  <c r="Y58" i="19"/>
  <c r="AC58" i="19" s="1"/>
  <c r="AR58" i="19" s="1"/>
  <c r="AE58" i="19"/>
  <c r="AF58" i="19"/>
  <c r="AG58" i="19"/>
  <c r="AH58" i="19"/>
  <c r="V59" i="19"/>
  <c r="W59" i="19"/>
  <c r="AA59" i="19" s="1"/>
  <c r="AP59" i="19" s="1"/>
  <c r="X59" i="19"/>
  <c r="AB59" i="19" s="1"/>
  <c r="AQ59" i="19" s="1"/>
  <c r="Y59" i="19"/>
  <c r="AC59" i="19" s="1"/>
  <c r="AR59" i="19" s="1"/>
  <c r="Z59" i="19"/>
  <c r="AO59" i="19" s="1"/>
  <c r="AE59" i="19"/>
  <c r="AI59" i="19" s="1"/>
  <c r="AU59" i="19" s="1"/>
  <c r="AF59" i="19"/>
  <c r="AG59" i="19"/>
  <c r="AK59" i="19" s="1"/>
  <c r="AW59" i="19" s="1"/>
  <c r="AH59" i="19"/>
  <c r="V60" i="19"/>
  <c r="Z60" i="19" s="1"/>
  <c r="AO60" i="19" s="1"/>
  <c r="W60" i="19"/>
  <c r="AA60" i="19" s="1"/>
  <c r="AP60" i="19" s="1"/>
  <c r="X60" i="19"/>
  <c r="AB60" i="19" s="1"/>
  <c r="AQ60" i="19" s="1"/>
  <c r="Y60" i="19"/>
  <c r="AC60" i="19" s="1"/>
  <c r="AR60" i="19" s="1"/>
  <c r="AE60" i="19"/>
  <c r="AF60" i="19"/>
  <c r="AG60" i="19"/>
  <c r="AH60" i="19"/>
  <c r="V61" i="19"/>
  <c r="Z61" i="19" s="1"/>
  <c r="AO61" i="19" s="1"/>
  <c r="W61" i="19"/>
  <c r="AA61" i="19" s="1"/>
  <c r="AP61" i="19" s="1"/>
  <c r="X61" i="19"/>
  <c r="AB61" i="19" s="1"/>
  <c r="AQ61" i="19" s="1"/>
  <c r="Y61" i="19"/>
  <c r="AC61" i="19" s="1"/>
  <c r="AR61" i="19" s="1"/>
  <c r="AE61" i="19"/>
  <c r="AI61" i="19" s="1"/>
  <c r="AU61" i="19" s="1"/>
  <c r="AF61" i="19"/>
  <c r="AG61" i="19"/>
  <c r="AH61" i="19"/>
  <c r="V62" i="19"/>
  <c r="Z62" i="19" s="1"/>
  <c r="AO62" i="19" s="1"/>
  <c r="W62" i="19"/>
  <c r="AA62" i="19" s="1"/>
  <c r="AP62" i="19" s="1"/>
  <c r="X62" i="19"/>
  <c r="AB62" i="19" s="1"/>
  <c r="AQ62" i="19" s="1"/>
  <c r="Y62" i="19"/>
  <c r="AC62" i="19" s="1"/>
  <c r="AR62" i="19" s="1"/>
  <c r="AE62" i="19"/>
  <c r="AI62" i="19" s="1"/>
  <c r="AU62" i="19" s="1"/>
  <c r="AF62" i="19"/>
  <c r="AJ62" i="19" s="1"/>
  <c r="AV62" i="19" s="1"/>
  <c r="AG62" i="19"/>
  <c r="AH62" i="19"/>
  <c r="V66" i="19"/>
  <c r="Z66" i="19" s="1"/>
  <c r="AO66" i="19" s="1"/>
  <c r="W66" i="19"/>
  <c r="AA66" i="19" s="1"/>
  <c r="X66" i="19"/>
  <c r="AB66" i="19" s="1"/>
  <c r="AQ66" i="19" s="1"/>
  <c r="Y66" i="19"/>
  <c r="AC66" i="19" s="1"/>
  <c r="AR66" i="19" s="1"/>
  <c r="AE66" i="19"/>
  <c r="AF66" i="19"/>
  <c r="AG66" i="19"/>
  <c r="AH66" i="19"/>
  <c r="V67" i="19"/>
  <c r="Z67" i="19" s="1"/>
  <c r="AO67" i="19" s="1"/>
  <c r="W67" i="19"/>
  <c r="AA67" i="19" s="1"/>
  <c r="X67" i="19"/>
  <c r="AB67" i="19" s="1"/>
  <c r="AQ67" i="19" s="1"/>
  <c r="Y67" i="19"/>
  <c r="AC67" i="19" s="1"/>
  <c r="AR67" i="19" s="1"/>
  <c r="AE67" i="19"/>
  <c r="AI67" i="19" s="1"/>
  <c r="AU67" i="19" s="1"/>
  <c r="AF67" i="19"/>
  <c r="AJ67" i="19" s="1"/>
  <c r="AV67" i="19" s="1"/>
  <c r="AG67" i="19"/>
  <c r="AH67" i="19"/>
  <c r="V68" i="19"/>
  <c r="Z68" i="19" s="1"/>
  <c r="AO68" i="19" s="1"/>
  <c r="W68" i="19"/>
  <c r="AA68" i="19" s="1"/>
  <c r="X68" i="19"/>
  <c r="AB68" i="19" s="1"/>
  <c r="AQ68" i="19" s="1"/>
  <c r="Y68" i="19"/>
  <c r="AC68" i="19" s="1"/>
  <c r="AR68" i="19" s="1"/>
  <c r="AE68" i="19"/>
  <c r="AI68" i="19" s="1"/>
  <c r="AU68" i="19" s="1"/>
  <c r="AF68" i="19"/>
  <c r="AJ68" i="19" s="1"/>
  <c r="AG68" i="19"/>
  <c r="AK68" i="19" s="1"/>
  <c r="AW68" i="19" s="1"/>
  <c r="AH68" i="19"/>
  <c r="AV68" i="19"/>
  <c r="V69" i="19"/>
  <c r="Z69" i="19" s="1"/>
  <c r="AO69" i="19" s="1"/>
  <c r="W69" i="19"/>
  <c r="AA69" i="19" s="1"/>
  <c r="X69" i="19"/>
  <c r="AB69" i="19" s="1"/>
  <c r="AQ69" i="19" s="1"/>
  <c r="Y69" i="19"/>
  <c r="AC69" i="19" s="1"/>
  <c r="AR69" i="19" s="1"/>
  <c r="AE69" i="19"/>
  <c r="AI69" i="19" s="1"/>
  <c r="AU69" i="19" s="1"/>
  <c r="AF69" i="19"/>
  <c r="AJ69" i="19" s="1"/>
  <c r="AV69" i="19" s="1"/>
  <c r="AG69" i="19"/>
  <c r="AK69" i="19" s="1"/>
  <c r="AW69" i="19" s="1"/>
  <c r="AH69" i="19"/>
  <c r="V70" i="19"/>
  <c r="Z70" i="19" s="1"/>
  <c r="AO70" i="19" s="1"/>
  <c r="W70" i="19"/>
  <c r="AA70" i="19" s="1"/>
  <c r="X70" i="19"/>
  <c r="AB70" i="19" s="1"/>
  <c r="AQ70" i="19" s="1"/>
  <c r="Y70" i="19"/>
  <c r="AC70" i="19" s="1"/>
  <c r="AR70" i="19" s="1"/>
  <c r="AE70" i="19"/>
  <c r="AF70" i="19"/>
  <c r="AJ70" i="19" s="1"/>
  <c r="AV70" i="19" s="1"/>
  <c r="AG70" i="19"/>
  <c r="AK70" i="19" s="1"/>
  <c r="AW70" i="19" s="1"/>
  <c r="AH70" i="19"/>
  <c r="V71" i="19"/>
  <c r="Z71" i="19" s="1"/>
  <c r="AO71" i="19" s="1"/>
  <c r="W71" i="19"/>
  <c r="AA71" i="19" s="1"/>
  <c r="X71" i="19"/>
  <c r="AB71" i="19" s="1"/>
  <c r="AQ71" i="19" s="1"/>
  <c r="Y71" i="19"/>
  <c r="AC71" i="19" s="1"/>
  <c r="AR71" i="19" s="1"/>
  <c r="AE71" i="19"/>
  <c r="AF71" i="19"/>
  <c r="AG71" i="19"/>
  <c r="AH71" i="19"/>
  <c r="V75" i="19"/>
  <c r="Z75" i="19" s="1"/>
  <c r="AO75" i="19" s="1"/>
  <c r="W75" i="19"/>
  <c r="AA75" i="19" s="1"/>
  <c r="AP75" i="19" s="1"/>
  <c r="X75" i="19"/>
  <c r="AB75" i="19" s="1"/>
  <c r="AQ75" i="19" s="1"/>
  <c r="Y75" i="19"/>
  <c r="AC75" i="19" s="1"/>
  <c r="AR75" i="19" s="1"/>
  <c r="AE75" i="19"/>
  <c r="AI75" i="19" s="1"/>
  <c r="AU75" i="19" s="1"/>
  <c r="AF75" i="19"/>
  <c r="AJ75" i="19" s="1"/>
  <c r="AV75" i="19" s="1"/>
  <c r="AG75" i="19"/>
  <c r="AH75" i="19"/>
  <c r="V76" i="19"/>
  <c r="Z76" i="19" s="1"/>
  <c r="AO76" i="19" s="1"/>
  <c r="W76" i="19"/>
  <c r="AA76" i="19" s="1"/>
  <c r="AP76" i="19" s="1"/>
  <c r="X76" i="19"/>
  <c r="AB76" i="19" s="1"/>
  <c r="AQ76" i="19" s="1"/>
  <c r="Y76" i="19"/>
  <c r="AC76" i="19" s="1"/>
  <c r="AR76" i="19" s="1"/>
  <c r="AE76" i="19"/>
  <c r="AF76" i="19"/>
  <c r="AG76" i="19"/>
  <c r="AK76" i="19" s="1"/>
  <c r="AW76" i="19" s="1"/>
  <c r="AH76" i="19"/>
  <c r="V77" i="19"/>
  <c r="Z77" i="19" s="1"/>
  <c r="AO77" i="19" s="1"/>
  <c r="W77" i="19"/>
  <c r="AA77" i="19" s="1"/>
  <c r="AP77" i="19" s="1"/>
  <c r="X77" i="19"/>
  <c r="AB77" i="19" s="1"/>
  <c r="AQ77" i="19" s="1"/>
  <c r="Y77" i="19"/>
  <c r="AC77" i="19"/>
  <c r="AR77" i="19" s="1"/>
  <c r="AE77" i="19"/>
  <c r="AF77" i="19"/>
  <c r="AG77" i="19"/>
  <c r="AH77" i="19"/>
  <c r="V78" i="19"/>
  <c r="Z78" i="19" s="1"/>
  <c r="AO78" i="19" s="1"/>
  <c r="W78" i="19"/>
  <c r="AA78" i="19" s="1"/>
  <c r="AP78" i="19" s="1"/>
  <c r="X78" i="19"/>
  <c r="AB78" i="19" s="1"/>
  <c r="AQ78" i="19" s="1"/>
  <c r="Y78" i="19"/>
  <c r="AC78" i="19" s="1"/>
  <c r="AR78" i="19" s="1"/>
  <c r="AE78" i="19"/>
  <c r="AF78" i="19"/>
  <c r="AG78" i="19"/>
  <c r="AH78" i="19"/>
  <c r="V79" i="19"/>
  <c r="Z79" i="19" s="1"/>
  <c r="AO79" i="19" s="1"/>
  <c r="W79" i="19"/>
  <c r="AA79" i="19" s="1"/>
  <c r="AP79" i="19" s="1"/>
  <c r="X79" i="19"/>
  <c r="AB79" i="19" s="1"/>
  <c r="AQ79" i="19" s="1"/>
  <c r="Y79" i="19"/>
  <c r="AC79" i="19" s="1"/>
  <c r="AR79" i="19" s="1"/>
  <c r="AE79" i="19"/>
  <c r="AI79" i="19" s="1"/>
  <c r="AU79" i="19" s="1"/>
  <c r="AF79" i="19"/>
  <c r="AG79" i="19"/>
  <c r="AH79" i="19"/>
  <c r="V80" i="19"/>
  <c r="Z80" i="19" s="1"/>
  <c r="AO80" i="19" s="1"/>
  <c r="W80" i="19"/>
  <c r="AA80" i="19" s="1"/>
  <c r="AP80" i="19" s="1"/>
  <c r="X80" i="19"/>
  <c r="AB80" i="19" s="1"/>
  <c r="AQ80" i="19" s="1"/>
  <c r="Y80" i="19"/>
  <c r="AC80" i="19" s="1"/>
  <c r="AR80" i="19" s="1"/>
  <c r="AE80" i="19"/>
  <c r="AF80" i="19"/>
  <c r="AJ80" i="19" s="1"/>
  <c r="AG80" i="19"/>
  <c r="AK80" i="19" s="1"/>
  <c r="AW80" i="19" s="1"/>
  <c r="AH80" i="19"/>
  <c r="AV80" i="19"/>
  <c r="V84" i="19"/>
  <c r="Z84" i="19" s="1"/>
  <c r="AO84" i="19" s="1"/>
  <c r="W84" i="19"/>
  <c r="AA84" i="19" s="1"/>
  <c r="AP84" i="19" s="1"/>
  <c r="X84" i="19"/>
  <c r="AB84" i="19" s="1"/>
  <c r="AQ84" i="19" s="1"/>
  <c r="Y84" i="19"/>
  <c r="AC84" i="19" s="1"/>
  <c r="AR84" i="19" s="1"/>
  <c r="AE84" i="19"/>
  <c r="AF84" i="19"/>
  <c r="AG84" i="19"/>
  <c r="AK84" i="19" s="1"/>
  <c r="AW84" i="19" s="1"/>
  <c r="AH84" i="19"/>
  <c r="V85" i="19"/>
  <c r="Z85" i="19" s="1"/>
  <c r="AO85" i="19" s="1"/>
  <c r="W85" i="19"/>
  <c r="AA85" i="19" s="1"/>
  <c r="AP85" i="19" s="1"/>
  <c r="X85" i="19"/>
  <c r="AB85" i="19" s="1"/>
  <c r="AQ85" i="19" s="1"/>
  <c r="Y85" i="19"/>
  <c r="AC85" i="19"/>
  <c r="AR85" i="19" s="1"/>
  <c r="AE85" i="19"/>
  <c r="AF85" i="19"/>
  <c r="AG85" i="19"/>
  <c r="AH85" i="19"/>
  <c r="V86" i="19"/>
  <c r="Z86" i="19" s="1"/>
  <c r="AO86" i="19" s="1"/>
  <c r="W86" i="19"/>
  <c r="AA86" i="19" s="1"/>
  <c r="AP86" i="19" s="1"/>
  <c r="X86" i="19"/>
  <c r="AB86" i="19" s="1"/>
  <c r="AQ86" i="19" s="1"/>
  <c r="Y86" i="19"/>
  <c r="AC86" i="19" s="1"/>
  <c r="AR86" i="19" s="1"/>
  <c r="AE86" i="19"/>
  <c r="AF86" i="19"/>
  <c r="AG86" i="19"/>
  <c r="AH86" i="19"/>
  <c r="V87" i="19"/>
  <c r="Z87" i="19" s="1"/>
  <c r="AO87" i="19" s="1"/>
  <c r="W87" i="19"/>
  <c r="AA87" i="19" s="1"/>
  <c r="AP87" i="19" s="1"/>
  <c r="X87" i="19"/>
  <c r="AB87" i="19" s="1"/>
  <c r="AQ87" i="19" s="1"/>
  <c r="Y87" i="19"/>
  <c r="AC87" i="19" s="1"/>
  <c r="AR87" i="19" s="1"/>
  <c r="AE87" i="19"/>
  <c r="AI87" i="19" s="1"/>
  <c r="AU87" i="19" s="1"/>
  <c r="AF87" i="19"/>
  <c r="AG87" i="19"/>
  <c r="AH87" i="19"/>
  <c r="V88" i="19"/>
  <c r="Z88" i="19" s="1"/>
  <c r="AO88" i="19" s="1"/>
  <c r="W88" i="19"/>
  <c r="AA88" i="19" s="1"/>
  <c r="AP88" i="19" s="1"/>
  <c r="X88" i="19"/>
  <c r="AB88" i="19" s="1"/>
  <c r="AQ88" i="19" s="1"/>
  <c r="Y88" i="19"/>
  <c r="AC88" i="19" s="1"/>
  <c r="AR88" i="19" s="1"/>
  <c r="AE88" i="19"/>
  <c r="AI88" i="19" s="1"/>
  <c r="AU88" i="19" s="1"/>
  <c r="AF88" i="19"/>
  <c r="AJ88" i="19" s="1"/>
  <c r="AV88" i="19" s="1"/>
  <c r="AG88" i="19"/>
  <c r="AH88" i="19"/>
  <c r="V89" i="19"/>
  <c r="Z89" i="19" s="1"/>
  <c r="AO89" i="19" s="1"/>
  <c r="W89" i="19"/>
  <c r="X89" i="19"/>
  <c r="AB89" i="19" s="1"/>
  <c r="AQ89" i="19" s="1"/>
  <c r="Y89" i="19"/>
  <c r="AC89" i="19" s="1"/>
  <c r="AR89" i="19" s="1"/>
  <c r="AA89" i="19"/>
  <c r="AP89" i="19" s="1"/>
  <c r="AE89" i="19"/>
  <c r="AI89" i="19" s="1"/>
  <c r="AU89" i="19" s="1"/>
  <c r="AF89" i="19"/>
  <c r="AJ89" i="19" s="1"/>
  <c r="AV89" i="19" s="1"/>
  <c r="AG89" i="19"/>
  <c r="AK89" i="19" s="1"/>
  <c r="AW89" i="19" s="1"/>
  <c r="AH89" i="19"/>
  <c r="V93" i="19"/>
  <c r="Z93" i="19" s="1"/>
  <c r="AO93" i="19" s="1"/>
  <c r="W93" i="19"/>
  <c r="AA93" i="19" s="1"/>
  <c r="AP93" i="19" s="1"/>
  <c r="X93" i="19"/>
  <c r="AB93" i="19" s="1"/>
  <c r="AQ93" i="19" s="1"/>
  <c r="Y93" i="19"/>
  <c r="AC93" i="19" s="1"/>
  <c r="AR93" i="19" s="1"/>
  <c r="AE93" i="19"/>
  <c r="AI93" i="19" s="1"/>
  <c r="AU93" i="19" s="1"/>
  <c r="AF93" i="19"/>
  <c r="AJ93" i="19" s="1"/>
  <c r="AV93" i="19" s="1"/>
  <c r="AG93" i="19"/>
  <c r="AK93" i="19" s="1"/>
  <c r="AW93" i="19" s="1"/>
  <c r="AH93" i="19"/>
  <c r="V94" i="19"/>
  <c r="Z94" i="19" s="1"/>
  <c r="AO94" i="19" s="1"/>
  <c r="W94" i="19"/>
  <c r="AA94" i="19" s="1"/>
  <c r="AP94" i="19" s="1"/>
  <c r="X94" i="19"/>
  <c r="AB94" i="19" s="1"/>
  <c r="AQ94" i="19" s="1"/>
  <c r="Y94" i="19"/>
  <c r="AC94" i="19"/>
  <c r="AR94" i="19" s="1"/>
  <c r="AE94" i="19"/>
  <c r="AF94" i="19"/>
  <c r="AJ94" i="19" s="1"/>
  <c r="AV94" i="19" s="1"/>
  <c r="AG94" i="19"/>
  <c r="AK94" i="19" s="1"/>
  <c r="AW94" i="19" s="1"/>
  <c r="AH94" i="19"/>
  <c r="V95" i="19"/>
  <c r="Z95" i="19" s="1"/>
  <c r="AO95" i="19" s="1"/>
  <c r="W95" i="19"/>
  <c r="AA95" i="19" s="1"/>
  <c r="AP95" i="19" s="1"/>
  <c r="X95" i="19"/>
  <c r="AB95" i="19" s="1"/>
  <c r="AQ95" i="19" s="1"/>
  <c r="Y95" i="19"/>
  <c r="AC95" i="19" s="1"/>
  <c r="AR95" i="19" s="1"/>
  <c r="AE95" i="19"/>
  <c r="AF95" i="19"/>
  <c r="AG95" i="19"/>
  <c r="AK95" i="19" s="1"/>
  <c r="AW95" i="19" s="1"/>
  <c r="AH95" i="19"/>
  <c r="V96" i="19"/>
  <c r="Z96" i="19" s="1"/>
  <c r="AO96" i="19" s="1"/>
  <c r="W96" i="19"/>
  <c r="AA96" i="19" s="1"/>
  <c r="AP96" i="19" s="1"/>
  <c r="X96" i="19"/>
  <c r="AB96" i="19" s="1"/>
  <c r="AQ96" i="19" s="1"/>
  <c r="Y96" i="19"/>
  <c r="AC96" i="19" s="1"/>
  <c r="AR96" i="19" s="1"/>
  <c r="AE96" i="19"/>
  <c r="AF96" i="19"/>
  <c r="AG96" i="19"/>
  <c r="AH96" i="19"/>
  <c r="V97" i="19"/>
  <c r="Z97" i="19" s="1"/>
  <c r="AO97" i="19" s="1"/>
  <c r="W97" i="19"/>
  <c r="AA97" i="19" s="1"/>
  <c r="AP97" i="19" s="1"/>
  <c r="X97" i="19"/>
  <c r="AB97" i="19" s="1"/>
  <c r="AQ97" i="19" s="1"/>
  <c r="Y97" i="19"/>
  <c r="AC97" i="19" s="1"/>
  <c r="AR97" i="19" s="1"/>
  <c r="AE97" i="19"/>
  <c r="AF97" i="19"/>
  <c r="AG97" i="19"/>
  <c r="AH97" i="19"/>
  <c r="V98" i="19"/>
  <c r="Z98" i="19" s="1"/>
  <c r="AO98" i="19" s="1"/>
  <c r="W98" i="19"/>
  <c r="AA98" i="19" s="1"/>
  <c r="AP98" i="19" s="1"/>
  <c r="X98" i="19"/>
  <c r="AB98" i="19" s="1"/>
  <c r="AQ98" i="19" s="1"/>
  <c r="Y98" i="19"/>
  <c r="AC98" i="19" s="1"/>
  <c r="AR98" i="19" s="1"/>
  <c r="AE98" i="19"/>
  <c r="AI98" i="19" s="1"/>
  <c r="AU98" i="19" s="1"/>
  <c r="AF98" i="19"/>
  <c r="AG98" i="19"/>
  <c r="AH98" i="19"/>
  <c r="V102" i="19"/>
  <c r="Z102" i="19" s="1"/>
  <c r="AO102" i="19" s="1"/>
  <c r="W102" i="19"/>
  <c r="AA102" i="19" s="1"/>
  <c r="AP102" i="19" s="1"/>
  <c r="X102" i="19"/>
  <c r="AB102" i="19" s="1"/>
  <c r="AQ102" i="19" s="1"/>
  <c r="Y102" i="19"/>
  <c r="AC102" i="19" s="1"/>
  <c r="AR102" i="19" s="1"/>
  <c r="AE102" i="19"/>
  <c r="AI102" i="19" s="1"/>
  <c r="AU102" i="19" s="1"/>
  <c r="AF102" i="19"/>
  <c r="AJ102" i="19" s="1"/>
  <c r="AV102" i="19" s="1"/>
  <c r="AG102" i="19"/>
  <c r="AH102" i="19"/>
  <c r="V103" i="19"/>
  <c r="Z103" i="19" s="1"/>
  <c r="AO103" i="19" s="1"/>
  <c r="W103" i="19"/>
  <c r="AA103" i="19" s="1"/>
  <c r="AP103" i="19" s="1"/>
  <c r="X103" i="19"/>
  <c r="AB103" i="19" s="1"/>
  <c r="AQ103" i="19" s="1"/>
  <c r="Y103" i="19"/>
  <c r="AC103" i="19" s="1"/>
  <c r="AR103" i="19" s="1"/>
  <c r="AE103" i="19"/>
  <c r="AI103" i="19" s="1"/>
  <c r="AU103" i="19" s="1"/>
  <c r="AF103" i="19"/>
  <c r="AJ103" i="19" s="1"/>
  <c r="AV103" i="19" s="1"/>
  <c r="AG103" i="19"/>
  <c r="AH103" i="19"/>
  <c r="V104" i="19"/>
  <c r="Z104" i="19" s="1"/>
  <c r="AO104" i="19" s="1"/>
  <c r="W104" i="19"/>
  <c r="AA104" i="19" s="1"/>
  <c r="AP104" i="19" s="1"/>
  <c r="X104" i="19"/>
  <c r="AB104" i="19" s="1"/>
  <c r="AQ104" i="19" s="1"/>
  <c r="Y104" i="19"/>
  <c r="AC104" i="19" s="1"/>
  <c r="AR104" i="19" s="1"/>
  <c r="AE104" i="19"/>
  <c r="AF104" i="19"/>
  <c r="AG104" i="19"/>
  <c r="AH104" i="19"/>
  <c r="V105" i="19"/>
  <c r="Z105" i="19" s="1"/>
  <c r="AO105" i="19" s="1"/>
  <c r="W105" i="19"/>
  <c r="AA105" i="19" s="1"/>
  <c r="AP105" i="19" s="1"/>
  <c r="X105" i="19"/>
  <c r="AB105" i="19" s="1"/>
  <c r="AQ105" i="19" s="1"/>
  <c r="Y105" i="19"/>
  <c r="AC105" i="19" s="1"/>
  <c r="AR105" i="19" s="1"/>
  <c r="AE105" i="19"/>
  <c r="AI105" i="19" s="1"/>
  <c r="AU105" i="19" s="1"/>
  <c r="AF105" i="19"/>
  <c r="AJ105" i="19" s="1"/>
  <c r="AV105" i="19" s="1"/>
  <c r="AG105" i="19"/>
  <c r="AK105" i="19" s="1"/>
  <c r="AW105" i="19" s="1"/>
  <c r="AH105" i="19"/>
  <c r="V106" i="19"/>
  <c r="Z106" i="19" s="1"/>
  <c r="AO106" i="19" s="1"/>
  <c r="W106" i="19"/>
  <c r="AA106" i="19" s="1"/>
  <c r="AP106" i="19" s="1"/>
  <c r="X106" i="19"/>
  <c r="AB106" i="19" s="1"/>
  <c r="AQ106" i="19" s="1"/>
  <c r="Y106" i="19"/>
  <c r="AC106" i="19" s="1"/>
  <c r="AR106" i="19" s="1"/>
  <c r="AE106" i="19"/>
  <c r="AF106" i="19"/>
  <c r="AG106" i="19"/>
  <c r="AK106" i="19" s="1"/>
  <c r="AW106" i="19" s="1"/>
  <c r="AH106" i="19"/>
  <c r="V107" i="19"/>
  <c r="Z107" i="19" s="1"/>
  <c r="AO107" i="19" s="1"/>
  <c r="W107" i="19"/>
  <c r="AA107" i="19" s="1"/>
  <c r="AP107" i="19" s="1"/>
  <c r="X107" i="19"/>
  <c r="AB107" i="19" s="1"/>
  <c r="AQ107" i="19" s="1"/>
  <c r="Y107" i="19"/>
  <c r="AC107" i="19" s="1"/>
  <c r="AR107" i="19" s="1"/>
  <c r="AE107" i="19"/>
  <c r="AF107" i="19"/>
  <c r="AG107" i="19"/>
  <c r="AH107" i="19"/>
  <c r="V111" i="19"/>
  <c r="Z111" i="19" s="1"/>
  <c r="AO111" i="19" s="1"/>
  <c r="W111" i="19"/>
  <c r="AA111" i="19" s="1"/>
  <c r="AP111" i="19" s="1"/>
  <c r="X111" i="19"/>
  <c r="AB111" i="19" s="1"/>
  <c r="AQ111" i="19" s="1"/>
  <c r="Y111" i="19"/>
  <c r="AC111" i="19" s="1"/>
  <c r="AR111" i="19" s="1"/>
  <c r="AE111" i="19"/>
  <c r="AF111" i="19"/>
  <c r="AG111" i="19"/>
  <c r="AH111" i="19"/>
  <c r="V112" i="19"/>
  <c r="Z112" i="19" s="1"/>
  <c r="AO112" i="19" s="1"/>
  <c r="W112" i="19"/>
  <c r="AA112" i="19" s="1"/>
  <c r="AP112" i="19" s="1"/>
  <c r="X112" i="19"/>
  <c r="AB112" i="19" s="1"/>
  <c r="AQ112" i="19" s="1"/>
  <c r="Y112" i="19"/>
  <c r="AC112" i="19" s="1"/>
  <c r="AR112" i="19" s="1"/>
  <c r="AE112" i="19"/>
  <c r="AF112" i="19"/>
  <c r="AG112" i="19"/>
  <c r="AH112" i="19"/>
  <c r="V113" i="19"/>
  <c r="Z113" i="19" s="1"/>
  <c r="AO113" i="19" s="1"/>
  <c r="W113" i="19"/>
  <c r="AA113" i="19" s="1"/>
  <c r="AP113" i="19" s="1"/>
  <c r="X113" i="19"/>
  <c r="AB113" i="19" s="1"/>
  <c r="AQ113" i="19" s="1"/>
  <c r="Y113" i="19"/>
  <c r="AC113" i="19" s="1"/>
  <c r="AR113" i="19" s="1"/>
  <c r="AE113" i="19"/>
  <c r="AI113" i="19" s="1"/>
  <c r="AU113" i="19" s="1"/>
  <c r="AF113" i="19"/>
  <c r="AG113" i="19"/>
  <c r="AH113" i="19"/>
  <c r="V114" i="19"/>
  <c r="Z114" i="19" s="1"/>
  <c r="AO114" i="19" s="1"/>
  <c r="W114" i="19"/>
  <c r="AA114" i="19" s="1"/>
  <c r="AP114" i="19" s="1"/>
  <c r="X114" i="19"/>
  <c r="AB114" i="19" s="1"/>
  <c r="AQ114" i="19" s="1"/>
  <c r="Y114" i="19"/>
  <c r="AC114" i="19" s="1"/>
  <c r="AR114" i="19" s="1"/>
  <c r="AE114" i="19"/>
  <c r="AF114" i="19"/>
  <c r="AG114" i="19"/>
  <c r="AK114" i="19" s="1"/>
  <c r="AW114" i="19" s="1"/>
  <c r="AH114" i="19"/>
  <c r="V115" i="19"/>
  <c r="Z115" i="19" s="1"/>
  <c r="AO115" i="19" s="1"/>
  <c r="W115" i="19"/>
  <c r="AA115" i="19" s="1"/>
  <c r="AP115" i="19" s="1"/>
  <c r="X115" i="19"/>
  <c r="AB115" i="19" s="1"/>
  <c r="AQ115" i="19" s="1"/>
  <c r="Y115" i="19"/>
  <c r="AC115" i="19" s="1"/>
  <c r="AR115" i="19" s="1"/>
  <c r="AE115" i="19"/>
  <c r="AF115" i="19"/>
  <c r="AG115" i="19"/>
  <c r="AH115" i="19"/>
  <c r="V116" i="19"/>
  <c r="Z116" i="19" s="1"/>
  <c r="AO116" i="19" s="1"/>
  <c r="W116" i="19"/>
  <c r="AA116" i="19" s="1"/>
  <c r="AP116" i="19" s="1"/>
  <c r="X116" i="19"/>
  <c r="AB116" i="19" s="1"/>
  <c r="AQ116" i="19" s="1"/>
  <c r="Y116" i="19"/>
  <c r="AC116" i="19" s="1"/>
  <c r="AR116" i="19" s="1"/>
  <c r="AE116" i="19"/>
  <c r="AF116" i="19"/>
  <c r="AG116" i="19"/>
  <c r="AH116" i="19"/>
  <c r="V120" i="19"/>
  <c r="Z120" i="19" s="1"/>
  <c r="AO120" i="19" s="1"/>
  <c r="W120" i="19"/>
  <c r="AA120" i="19" s="1"/>
  <c r="AP120" i="19" s="1"/>
  <c r="X120" i="19"/>
  <c r="AB120" i="19" s="1"/>
  <c r="AQ120" i="19" s="1"/>
  <c r="Y120" i="19"/>
  <c r="AC120" i="19" s="1"/>
  <c r="AR120" i="19" s="1"/>
  <c r="AE120" i="19"/>
  <c r="AI120" i="19" s="1"/>
  <c r="AU120" i="19" s="1"/>
  <c r="AF120" i="19"/>
  <c r="AG120" i="19"/>
  <c r="AH120" i="19"/>
  <c r="V121" i="19"/>
  <c r="Z121" i="19" s="1"/>
  <c r="AO121" i="19" s="1"/>
  <c r="W121" i="19"/>
  <c r="AA121" i="19" s="1"/>
  <c r="AP121" i="19" s="1"/>
  <c r="X121" i="19"/>
  <c r="AB121" i="19" s="1"/>
  <c r="AQ121" i="19" s="1"/>
  <c r="Y121" i="19"/>
  <c r="AC121" i="19" s="1"/>
  <c r="AR121" i="19" s="1"/>
  <c r="AE121" i="19"/>
  <c r="AI121" i="19" s="1"/>
  <c r="AU121" i="19" s="1"/>
  <c r="AF121" i="19"/>
  <c r="AG121" i="19"/>
  <c r="AH121" i="19"/>
  <c r="V122" i="19"/>
  <c r="Z122" i="19" s="1"/>
  <c r="AO122" i="19" s="1"/>
  <c r="W122" i="19"/>
  <c r="AA122" i="19" s="1"/>
  <c r="AP122" i="19" s="1"/>
  <c r="X122" i="19"/>
  <c r="AB122" i="19" s="1"/>
  <c r="AQ122" i="19" s="1"/>
  <c r="Y122" i="19"/>
  <c r="AC122" i="19" s="1"/>
  <c r="AR122" i="19" s="1"/>
  <c r="AE122" i="19"/>
  <c r="AI122" i="19" s="1"/>
  <c r="AU122" i="19" s="1"/>
  <c r="AF122" i="19"/>
  <c r="AG122" i="19"/>
  <c r="AH122" i="19"/>
  <c r="V123" i="19"/>
  <c r="Z123" i="19" s="1"/>
  <c r="AO123" i="19" s="1"/>
  <c r="W123" i="19"/>
  <c r="AA123" i="19" s="1"/>
  <c r="AP123" i="19" s="1"/>
  <c r="X123" i="19"/>
  <c r="AB123" i="19" s="1"/>
  <c r="AQ123" i="19" s="1"/>
  <c r="Y123" i="19"/>
  <c r="AC123" i="19" s="1"/>
  <c r="AR123" i="19" s="1"/>
  <c r="AE123" i="19"/>
  <c r="AI123" i="19" s="1"/>
  <c r="AU123" i="19" s="1"/>
  <c r="AF123" i="19"/>
  <c r="AG123" i="19"/>
  <c r="AH123" i="19"/>
  <c r="V124" i="19"/>
  <c r="Z124" i="19" s="1"/>
  <c r="AO124" i="19" s="1"/>
  <c r="W124" i="19"/>
  <c r="AA124" i="19" s="1"/>
  <c r="AP124" i="19" s="1"/>
  <c r="X124" i="19"/>
  <c r="AB124" i="19" s="1"/>
  <c r="AQ124" i="19" s="1"/>
  <c r="Y124" i="19"/>
  <c r="AC124" i="19" s="1"/>
  <c r="AR124" i="19" s="1"/>
  <c r="AE124" i="19"/>
  <c r="AI124" i="19" s="1"/>
  <c r="AU124" i="19" s="1"/>
  <c r="AF124" i="19"/>
  <c r="AG124" i="19"/>
  <c r="AH124" i="19"/>
  <c r="V125" i="19"/>
  <c r="Z125" i="19" s="1"/>
  <c r="AO125" i="19" s="1"/>
  <c r="W125" i="19"/>
  <c r="AA125" i="19" s="1"/>
  <c r="AP125" i="19" s="1"/>
  <c r="X125" i="19"/>
  <c r="AB125" i="19" s="1"/>
  <c r="AQ125" i="19" s="1"/>
  <c r="Y125" i="19"/>
  <c r="AC125" i="19" s="1"/>
  <c r="AR125" i="19" s="1"/>
  <c r="AE125" i="19"/>
  <c r="AI125" i="19" s="1"/>
  <c r="AU125" i="19" s="1"/>
  <c r="AF125" i="19"/>
  <c r="AG125" i="19"/>
  <c r="AH125" i="19"/>
  <c r="V129" i="19"/>
  <c r="Z129" i="19" s="1"/>
  <c r="AO129" i="19" s="1"/>
  <c r="W129" i="19"/>
  <c r="AA129" i="19" s="1"/>
  <c r="X129" i="19"/>
  <c r="AB129" i="19" s="1"/>
  <c r="AQ129" i="19" s="1"/>
  <c r="Y129" i="19"/>
  <c r="AC129" i="19" s="1"/>
  <c r="AR129" i="19" s="1"/>
  <c r="V130" i="19"/>
  <c r="Z130" i="19" s="1"/>
  <c r="AO130" i="19" s="1"/>
  <c r="W130" i="19"/>
  <c r="AA130" i="19" s="1"/>
  <c r="X130" i="19"/>
  <c r="AB130" i="19" s="1"/>
  <c r="AQ130" i="19" s="1"/>
  <c r="Y130" i="19"/>
  <c r="AC130" i="19" s="1"/>
  <c r="AR130" i="19" s="1"/>
  <c r="V131" i="19"/>
  <c r="Z131" i="19" s="1"/>
  <c r="AO131" i="19" s="1"/>
  <c r="W131" i="19"/>
  <c r="AA131" i="19" s="1"/>
  <c r="X131" i="19"/>
  <c r="AB131" i="19" s="1"/>
  <c r="AQ131" i="19" s="1"/>
  <c r="Y131" i="19"/>
  <c r="AC131" i="19" s="1"/>
  <c r="AR131" i="19" s="1"/>
  <c r="V132" i="19"/>
  <c r="Z132" i="19" s="1"/>
  <c r="AO132" i="19" s="1"/>
  <c r="W132" i="19"/>
  <c r="AA132" i="19" s="1"/>
  <c r="X132" i="19"/>
  <c r="AB132" i="19" s="1"/>
  <c r="AQ132" i="19" s="1"/>
  <c r="Y132" i="19"/>
  <c r="AC132" i="19" s="1"/>
  <c r="AR132" i="19" s="1"/>
  <c r="V133" i="19"/>
  <c r="Z133" i="19" s="1"/>
  <c r="AO133" i="19" s="1"/>
  <c r="W133" i="19"/>
  <c r="AA133" i="19" s="1"/>
  <c r="X133" i="19"/>
  <c r="AB133" i="19" s="1"/>
  <c r="AQ133" i="19" s="1"/>
  <c r="Y133" i="19"/>
  <c r="AC133" i="19" s="1"/>
  <c r="AR133" i="19" s="1"/>
  <c r="V134" i="19"/>
  <c r="Z134" i="19" s="1"/>
  <c r="AO134" i="19" s="1"/>
  <c r="W134" i="19"/>
  <c r="AA134" i="19" s="1"/>
  <c r="X134" i="19"/>
  <c r="AB134" i="19" s="1"/>
  <c r="AQ134" i="19" s="1"/>
  <c r="Y134" i="19"/>
  <c r="AC134" i="19" s="1"/>
  <c r="AR134" i="19" s="1"/>
  <c r="V138" i="19"/>
  <c r="Z138" i="19" s="1"/>
  <c r="AO138" i="19" s="1"/>
  <c r="W138" i="19"/>
  <c r="AA138" i="19" s="1"/>
  <c r="AP138" i="19" s="1"/>
  <c r="X138" i="19"/>
  <c r="AB138" i="19" s="1"/>
  <c r="AQ138" i="19" s="1"/>
  <c r="Y138" i="19"/>
  <c r="AC138" i="19" s="1"/>
  <c r="AR138" i="19" s="1"/>
  <c r="V139" i="19"/>
  <c r="Z139" i="19" s="1"/>
  <c r="AO139" i="19" s="1"/>
  <c r="W139" i="19"/>
  <c r="AA139" i="19" s="1"/>
  <c r="AP139" i="19" s="1"/>
  <c r="X139" i="19"/>
  <c r="AB139" i="19" s="1"/>
  <c r="AQ139" i="19" s="1"/>
  <c r="Y139" i="19"/>
  <c r="AC139" i="19" s="1"/>
  <c r="AR139" i="19" s="1"/>
  <c r="V140" i="19"/>
  <c r="Z140" i="19" s="1"/>
  <c r="AO140" i="19" s="1"/>
  <c r="W140" i="19"/>
  <c r="AA140" i="19" s="1"/>
  <c r="AP140" i="19" s="1"/>
  <c r="X140" i="19"/>
  <c r="AB140" i="19" s="1"/>
  <c r="AQ140" i="19" s="1"/>
  <c r="Y140" i="19"/>
  <c r="AC140" i="19" s="1"/>
  <c r="AR140" i="19" s="1"/>
  <c r="V141" i="19"/>
  <c r="Z141" i="19" s="1"/>
  <c r="AO141" i="19" s="1"/>
  <c r="W141" i="19"/>
  <c r="AA141" i="19" s="1"/>
  <c r="AP141" i="19" s="1"/>
  <c r="X141" i="19"/>
  <c r="AB141" i="19" s="1"/>
  <c r="AQ141" i="19" s="1"/>
  <c r="Y141" i="19"/>
  <c r="AC141" i="19" s="1"/>
  <c r="AR141" i="19" s="1"/>
  <c r="V142" i="19"/>
  <c r="Z142" i="19" s="1"/>
  <c r="AO142" i="19" s="1"/>
  <c r="W142" i="19"/>
  <c r="AA142" i="19" s="1"/>
  <c r="AP142" i="19" s="1"/>
  <c r="X142" i="19"/>
  <c r="AB142" i="19" s="1"/>
  <c r="AQ142" i="19" s="1"/>
  <c r="Y142" i="19"/>
  <c r="AC142" i="19" s="1"/>
  <c r="AR142" i="19" s="1"/>
  <c r="V143" i="19"/>
  <c r="Z143" i="19" s="1"/>
  <c r="AO143" i="19" s="1"/>
  <c r="W143" i="19"/>
  <c r="AA143" i="19" s="1"/>
  <c r="AP143" i="19" s="1"/>
  <c r="X143" i="19"/>
  <c r="AB143" i="19" s="1"/>
  <c r="AQ143" i="19" s="1"/>
  <c r="Y143" i="19"/>
  <c r="AC143" i="19" s="1"/>
  <c r="AR143" i="19" s="1"/>
  <c r="V147" i="19"/>
  <c r="Z147" i="19" s="1"/>
  <c r="AO147" i="19" s="1"/>
  <c r="W147" i="19"/>
  <c r="AA147" i="19" s="1"/>
  <c r="X147" i="19"/>
  <c r="AB147" i="19" s="1"/>
  <c r="AQ147" i="19" s="1"/>
  <c r="Y147" i="19"/>
  <c r="AC147" i="19" s="1"/>
  <c r="AR147" i="19" s="1"/>
  <c r="V148" i="19"/>
  <c r="Z148" i="19" s="1"/>
  <c r="AO148" i="19" s="1"/>
  <c r="W148" i="19"/>
  <c r="AA148" i="19" s="1"/>
  <c r="X148" i="19"/>
  <c r="AB148" i="19" s="1"/>
  <c r="AQ148" i="19" s="1"/>
  <c r="Y148" i="19"/>
  <c r="AC148" i="19" s="1"/>
  <c r="AR148" i="19" s="1"/>
  <c r="V149" i="19"/>
  <c r="Z149" i="19" s="1"/>
  <c r="AO149" i="19" s="1"/>
  <c r="W149" i="19"/>
  <c r="AA149" i="19" s="1"/>
  <c r="X149" i="19"/>
  <c r="AB149" i="19" s="1"/>
  <c r="AQ149" i="19" s="1"/>
  <c r="Y149" i="19"/>
  <c r="AC149" i="19" s="1"/>
  <c r="AR149" i="19" s="1"/>
  <c r="V150" i="19"/>
  <c r="Z150" i="19" s="1"/>
  <c r="AO150" i="19" s="1"/>
  <c r="W150" i="19"/>
  <c r="AA150" i="19" s="1"/>
  <c r="X150" i="19"/>
  <c r="Y150" i="19"/>
  <c r="AC150" i="19" s="1"/>
  <c r="AR150" i="19" s="1"/>
  <c r="AB150" i="19"/>
  <c r="AQ150" i="19" s="1"/>
  <c r="V151" i="19"/>
  <c r="Z151" i="19" s="1"/>
  <c r="AO151" i="19" s="1"/>
  <c r="W151" i="19"/>
  <c r="AA151" i="19" s="1"/>
  <c r="X151" i="19"/>
  <c r="AB151" i="19" s="1"/>
  <c r="AQ151" i="19" s="1"/>
  <c r="Y151" i="19"/>
  <c r="AC151" i="19" s="1"/>
  <c r="AR151" i="19" s="1"/>
  <c r="V152" i="19"/>
  <c r="Z152" i="19" s="1"/>
  <c r="AO152" i="19" s="1"/>
  <c r="W152" i="19"/>
  <c r="AA152" i="19" s="1"/>
  <c r="X152" i="19"/>
  <c r="AB152" i="19" s="1"/>
  <c r="AQ152" i="19" s="1"/>
  <c r="Y152" i="19"/>
  <c r="AC152" i="19" s="1"/>
  <c r="AR152" i="19" s="1"/>
  <c r="V156" i="19"/>
  <c r="Z156" i="19" s="1"/>
  <c r="AO156" i="19" s="1"/>
  <c r="W156" i="19"/>
  <c r="AA156" i="19" s="1"/>
  <c r="X156" i="19"/>
  <c r="AB156" i="19" s="1"/>
  <c r="AQ156" i="19" s="1"/>
  <c r="Y156" i="19"/>
  <c r="AC156" i="19" s="1"/>
  <c r="AR156" i="19" s="1"/>
  <c r="AE156" i="19"/>
  <c r="AF156" i="19"/>
  <c r="AJ156" i="19" s="1"/>
  <c r="AV156" i="19" s="1"/>
  <c r="AG156" i="19"/>
  <c r="AK156" i="19" s="1"/>
  <c r="AW156" i="19" s="1"/>
  <c r="AH156" i="19"/>
  <c r="V157" i="19"/>
  <c r="Z157" i="19" s="1"/>
  <c r="AO157" i="19" s="1"/>
  <c r="W157" i="19"/>
  <c r="AA157" i="19" s="1"/>
  <c r="X157" i="19"/>
  <c r="Y157" i="19"/>
  <c r="AC157" i="19" s="1"/>
  <c r="AR157" i="19" s="1"/>
  <c r="AB157" i="19"/>
  <c r="AQ157" i="19" s="1"/>
  <c r="AE157" i="19"/>
  <c r="AF157" i="19"/>
  <c r="AG157" i="19"/>
  <c r="AK157" i="19" s="1"/>
  <c r="AW157" i="19" s="1"/>
  <c r="AH157" i="19"/>
  <c r="V158" i="19"/>
  <c r="Z158" i="19" s="1"/>
  <c r="AO158" i="19" s="1"/>
  <c r="W158" i="19"/>
  <c r="AA158" i="19" s="1"/>
  <c r="X158" i="19"/>
  <c r="AB158" i="19" s="1"/>
  <c r="AQ158" i="19" s="1"/>
  <c r="Y158" i="19"/>
  <c r="AC158" i="19" s="1"/>
  <c r="AR158" i="19" s="1"/>
  <c r="AE158" i="19"/>
  <c r="AF158" i="19"/>
  <c r="AG158" i="19"/>
  <c r="AH158" i="19"/>
  <c r="V159" i="19"/>
  <c r="Z159" i="19" s="1"/>
  <c r="AO159" i="19" s="1"/>
  <c r="W159" i="19"/>
  <c r="AA159" i="19" s="1"/>
  <c r="X159" i="19"/>
  <c r="AB159" i="19" s="1"/>
  <c r="AQ159" i="19" s="1"/>
  <c r="Y159" i="19"/>
  <c r="AC159" i="19" s="1"/>
  <c r="AR159" i="19" s="1"/>
  <c r="AE159" i="19"/>
  <c r="AF159" i="19"/>
  <c r="AG159" i="19"/>
  <c r="AK159" i="19" s="1"/>
  <c r="AW159" i="19" s="1"/>
  <c r="AH159" i="19"/>
  <c r="V160" i="19"/>
  <c r="Z160" i="19" s="1"/>
  <c r="AO160" i="19" s="1"/>
  <c r="W160" i="19"/>
  <c r="AA160" i="19" s="1"/>
  <c r="X160" i="19"/>
  <c r="AB160" i="19" s="1"/>
  <c r="AQ160" i="19" s="1"/>
  <c r="Y160" i="19"/>
  <c r="AC160" i="19" s="1"/>
  <c r="AR160" i="19" s="1"/>
  <c r="AE160" i="19"/>
  <c r="AI160" i="19" s="1"/>
  <c r="AU160" i="19" s="1"/>
  <c r="AF160" i="19"/>
  <c r="AG160" i="19"/>
  <c r="AH160" i="19"/>
  <c r="V161" i="19"/>
  <c r="Z161" i="19" s="1"/>
  <c r="AO161" i="19" s="1"/>
  <c r="W161" i="19"/>
  <c r="AA161" i="19" s="1"/>
  <c r="X161" i="19"/>
  <c r="AB161" i="19" s="1"/>
  <c r="AQ161" i="19" s="1"/>
  <c r="Y161" i="19"/>
  <c r="AC161" i="19" s="1"/>
  <c r="AR161" i="19" s="1"/>
  <c r="AE161" i="19"/>
  <c r="AF161" i="19"/>
  <c r="AG161" i="19"/>
  <c r="AH161" i="19"/>
  <c r="V165" i="19"/>
  <c r="Z165" i="19" s="1"/>
  <c r="AO165" i="19" s="1"/>
  <c r="W165" i="19"/>
  <c r="AA165" i="19" s="1"/>
  <c r="AP165" i="19" s="1"/>
  <c r="X165" i="19"/>
  <c r="AB165" i="19" s="1"/>
  <c r="AQ165" i="19" s="1"/>
  <c r="Y165" i="19"/>
  <c r="AC165" i="19" s="1"/>
  <c r="AR165" i="19" s="1"/>
  <c r="AE165" i="19"/>
  <c r="AI165" i="19" s="1"/>
  <c r="AU165" i="19" s="1"/>
  <c r="AF165" i="19"/>
  <c r="AG165" i="19"/>
  <c r="AK165" i="19" s="1"/>
  <c r="AW165" i="19" s="1"/>
  <c r="AH165" i="19"/>
  <c r="V166" i="19"/>
  <c r="Z166" i="19" s="1"/>
  <c r="AO166" i="19" s="1"/>
  <c r="W166" i="19"/>
  <c r="AA166" i="19" s="1"/>
  <c r="AP166" i="19" s="1"/>
  <c r="X166" i="19"/>
  <c r="AB166" i="19" s="1"/>
  <c r="AQ166" i="19" s="1"/>
  <c r="Y166" i="19"/>
  <c r="AC166" i="19"/>
  <c r="AR166" i="19" s="1"/>
  <c r="AE166" i="19"/>
  <c r="AI166" i="19" s="1"/>
  <c r="AU166" i="19" s="1"/>
  <c r="AF166" i="19"/>
  <c r="AG166" i="19"/>
  <c r="AK166" i="19" s="1"/>
  <c r="AW166" i="19" s="1"/>
  <c r="AH166" i="19"/>
  <c r="V167" i="19"/>
  <c r="Z167" i="19" s="1"/>
  <c r="AO167" i="19" s="1"/>
  <c r="W167" i="19"/>
  <c r="AA167" i="19" s="1"/>
  <c r="AP167" i="19" s="1"/>
  <c r="X167" i="19"/>
  <c r="AB167" i="19" s="1"/>
  <c r="AQ167" i="19" s="1"/>
  <c r="Y167" i="19"/>
  <c r="AC167" i="19" s="1"/>
  <c r="AR167" i="19" s="1"/>
  <c r="AE167" i="19"/>
  <c r="AI167" i="19" s="1"/>
  <c r="AU167" i="19" s="1"/>
  <c r="AF167" i="19"/>
  <c r="AG167" i="19"/>
  <c r="AH167" i="19"/>
  <c r="V168" i="19"/>
  <c r="Z168" i="19" s="1"/>
  <c r="AO168" i="19" s="1"/>
  <c r="W168" i="19"/>
  <c r="AA168" i="19" s="1"/>
  <c r="AP168" i="19" s="1"/>
  <c r="X168" i="19"/>
  <c r="AB168" i="19" s="1"/>
  <c r="AQ168" i="19" s="1"/>
  <c r="Y168" i="19"/>
  <c r="AC168" i="19" s="1"/>
  <c r="AR168" i="19" s="1"/>
  <c r="AE168" i="19"/>
  <c r="AF168" i="19"/>
  <c r="AJ168" i="19" s="1"/>
  <c r="AG168" i="19"/>
  <c r="AH168" i="19"/>
  <c r="AV168" i="19"/>
  <c r="V169" i="19"/>
  <c r="Z169" i="19" s="1"/>
  <c r="AO169" i="19" s="1"/>
  <c r="W169" i="19"/>
  <c r="AA169" i="19" s="1"/>
  <c r="AP169" i="19" s="1"/>
  <c r="X169" i="19"/>
  <c r="AB169" i="19" s="1"/>
  <c r="AQ169" i="19" s="1"/>
  <c r="Y169" i="19"/>
  <c r="AC169" i="19" s="1"/>
  <c r="AR169" i="19" s="1"/>
  <c r="AE169" i="19"/>
  <c r="AI169" i="19" s="1"/>
  <c r="AU169" i="19" s="1"/>
  <c r="AF169" i="19"/>
  <c r="AJ169" i="19" s="1"/>
  <c r="AV169" i="19" s="1"/>
  <c r="AG169" i="19"/>
  <c r="AH169" i="19"/>
  <c r="V170" i="19"/>
  <c r="Z170" i="19" s="1"/>
  <c r="AO170" i="19" s="1"/>
  <c r="W170" i="19"/>
  <c r="AA170" i="19" s="1"/>
  <c r="AP170" i="19" s="1"/>
  <c r="X170" i="19"/>
  <c r="AB170" i="19" s="1"/>
  <c r="AQ170" i="19" s="1"/>
  <c r="Y170" i="19"/>
  <c r="AC170" i="19" s="1"/>
  <c r="AR170" i="19" s="1"/>
  <c r="AE170" i="19"/>
  <c r="AF170" i="19"/>
  <c r="AG170" i="19"/>
  <c r="AH170" i="19"/>
  <c r="AA6" i="2"/>
  <c r="BJ6" i="2"/>
  <c r="C7" i="2"/>
  <c r="C8" i="2"/>
  <c r="C9" i="2"/>
  <c r="C10" i="2"/>
  <c r="C11" i="2"/>
  <c r="C12" i="2"/>
  <c r="C13" i="2"/>
  <c r="C14" i="2"/>
  <c r="C15" i="2"/>
  <c r="C16" i="2"/>
  <c r="C17" i="2"/>
  <c r="C18" i="2"/>
  <c r="C19" i="2"/>
  <c r="C20" i="2"/>
  <c r="C21" i="2"/>
  <c r="C22" i="2"/>
  <c r="C23" i="2"/>
  <c r="C24" i="2"/>
  <c r="AA26" i="2"/>
  <c r="AA27" i="2"/>
  <c r="AA28" i="2"/>
  <c r="AA29" i="2"/>
  <c r="AA30" i="2"/>
  <c r="E34" i="2"/>
  <c r="E42" i="2" s="1"/>
  <c r="F34" i="2"/>
  <c r="F42" i="2" s="1"/>
  <c r="G34" i="2"/>
  <c r="G42" i="2" s="1"/>
  <c r="H34" i="2"/>
  <c r="H42" i="2" s="1"/>
  <c r="I34" i="2"/>
  <c r="I42" i="2" s="1"/>
  <c r="J34" i="2"/>
  <c r="J42" i="2" s="1"/>
  <c r="K34" i="2"/>
  <c r="K42" i="2" s="1"/>
  <c r="L34" i="2"/>
  <c r="L42" i="2" s="1"/>
  <c r="M34" i="2"/>
  <c r="M42" i="2" s="1"/>
  <c r="N34" i="2"/>
  <c r="N42" i="2" s="1"/>
  <c r="AL34" i="2"/>
  <c r="AL42" i="2" s="1"/>
  <c r="AM34" i="2"/>
  <c r="AM42" i="2" s="1"/>
  <c r="AN34" i="2"/>
  <c r="AN42" i="2" s="1"/>
  <c r="AO34" i="2"/>
  <c r="AO42" i="2" s="1"/>
  <c r="AP34" i="2"/>
  <c r="AP42" i="2" s="1"/>
  <c r="AQ34" i="2"/>
  <c r="AQ42" i="2" s="1"/>
  <c r="AR34" i="2"/>
  <c r="AR42" i="2" s="1"/>
  <c r="AS34" i="2"/>
  <c r="AS42" i="2" s="1"/>
  <c r="AT34" i="2"/>
  <c r="AT42" i="2" s="1"/>
  <c r="AU34" i="2"/>
  <c r="AU42" i="2" s="1"/>
  <c r="E35" i="2"/>
  <c r="F35" i="2"/>
  <c r="G35" i="2"/>
  <c r="H35" i="2"/>
  <c r="I35" i="2"/>
  <c r="J35" i="2"/>
  <c r="K35" i="2"/>
  <c r="L35" i="2"/>
  <c r="M35" i="2"/>
  <c r="AL35" i="2"/>
  <c r="AM35" i="2"/>
  <c r="AN35" i="2"/>
  <c r="AO35" i="2"/>
  <c r="AP35" i="2"/>
  <c r="AQ35" i="2"/>
  <c r="AR35" i="2"/>
  <c r="AS35" i="2"/>
  <c r="AT35" i="2"/>
  <c r="AU35" i="2"/>
  <c r="E38" i="2"/>
  <c r="F38" i="2"/>
  <c r="F46" i="2" s="1"/>
  <c r="G38" i="2"/>
  <c r="G46" i="2" s="1"/>
  <c r="H38" i="2"/>
  <c r="H46" i="2" s="1"/>
  <c r="I38" i="2"/>
  <c r="I46" i="2" s="1"/>
  <c r="J38" i="2"/>
  <c r="J46" i="2" s="1"/>
  <c r="K38" i="2"/>
  <c r="K46" i="2" s="1"/>
  <c r="L38" i="2"/>
  <c r="L46" i="2" s="1"/>
  <c r="M38" i="2"/>
  <c r="M46" i="2" s="1"/>
  <c r="N38" i="2"/>
  <c r="N46" i="2" s="1"/>
  <c r="O46" i="2"/>
  <c r="P38" i="2"/>
  <c r="P46" i="2" s="1"/>
  <c r="Q38" i="2"/>
  <c r="Q46" i="2" s="1"/>
  <c r="R38" i="2"/>
  <c r="R46" i="2" s="1"/>
  <c r="S38" i="2"/>
  <c r="S46" i="2" s="1"/>
  <c r="T38" i="2"/>
  <c r="T46" i="2" s="1"/>
  <c r="AL38" i="2"/>
  <c r="AL46" i="2" s="1"/>
  <c r="AM38" i="2"/>
  <c r="AM46" i="2" s="1"/>
  <c r="AN38" i="2"/>
  <c r="AN46" i="2" s="1"/>
  <c r="AO38" i="2"/>
  <c r="AO46" i="2" s="1"/>
  <c r="AP38" i="2"/>
  <c r="AP46" i="2" s="1"/>
  <c r="AQ38" i="2"/>
  <c r="AQ46" i="2" s="1"/>
  <c r="AR38" i="2"/>
  <c r="AR46" i="2" s="1"/>
  <c r="AS38" i="2"/>
  <c r="AS46" i="2" s="1"/>
  <c r="AT38" i="2"/>
  <c r="AT46" i="2" s="1"/>
  <c r="AU38" i="2"/>
  <c r="AU46" i="2" s="1"/>
  <c r="AV38" i="2"/>
  <c r="AW38" i="2"/>
  <c r="AW46" i="2" s="1"/>
  <c r="AX38" i="2"/>
  <c r="AX46" i="2" s="1"/>
  <c r="AY38" i="2"/>
  <c r="AY46" i="2" s="1"/>
  <c r="AZ38" i="2"/>
  <c r="AZ46" i="2" s="1"/>
  <c r="BA38" i="2"/>
  <c r="BA46" i="2" s="1"/>
  <c r="E39" i="2"/>
  <c r="F39" i="2"/>
  <c r="G39" i="2"/>
  <c r="H39" i="2"/>
  <c r="I39" i="2"/>
  <c r="J39" i="2"/>
  <c r="K39" i="2"/>
  <c r="L39" i="2"/>
  <c r="M39" i="2"/>
  <c r="N39" i="2"/>
  <c r="O39" i="2"/>
  <c r="P39" i="2"/>
  <c r="Q39" i="2"/>
  <c r="R39" i="2"/>
  <c r="S39" i="2"/>
  <c r="T39" i="2"/>
  <c r="AL39" i="2"/>
  <c r="AM39" i="2"/>
  <c r="AN39" i="2"/>
  <c r="AO39" i="2"/>
  <c r="AP39" i="2"/>
  <c r="AQ39" i="2"/>
  <c r="AR39" i="2"/>
  <c r="AS39" i="2"/>
  <c r="AT39" i="2"/>
  <c r="AU39" i="2"/>
  <c r="AV39" i="2"/>
  <c r="AW39" i="2"/>
  <c r="AX39" i="2"/>
  <c r="AY39" i="2"/>
  <c r="AZ39" i="2"/>
  <c r="BA39" i="2"/>
  <c r="E46" i="2"/>
  <c r="AA52" i="2"/>
  <c r="AJ29" i="2"/>
  <c r="E53" i="2"/>
  <c r="F53" i="2"/>
  <c r="G53" i="2"/>
  <c r="H53" i="2"/>
  <c r="I53" i="2"/>
  <c r="J53" i="2"/>
  <c r="K53" i="2"/>
  <c r="L53" i="2"/>
  <c r="M53" i="2"/>
  <c r="N53" i="2"/>
  <c r="O53" i="2"/>
  <c r="P53" i="2"/>
  <c r="R53" i="2"/>
  <c r="S53" i="2"/>
  <c r="AA54" i="2"/>
  <c r="AA55" i="2"/>
  <c r="F57" i="2"/>
  <c r="G57" i="2"/>
  <c r="H57" i="2"/>
  <c r="I57" i="2"/>
  <c r="J57" i="2"/>
  <c r="K57" i="2"/>
  <c r="L57" i="2"/>
  <c r="M57" i="2"/>
  <c r="N57" i="2"/>
  <c r="O57" i="2"/>
  <c r="P57" i="2"/>
  <c r="Q57" i="2"/>
  <c r="R57" i="2"/>
  <c r="S57" i="2"/>
  <c r="F69" i="2"/>
  <c r="G69" i="2"/>
  <c r="H69" i="2"/>
  <c r="I69" i="2"/>
  <c r="J69" i="2"/>
  <c r="K69" i="2"/>
  <c r="L69" i="2"/>
  <c r="M69" i="2"/>
  <c r="N69" i="2"/>
  <c r="O69" i="2"/>
  <c r="P69" i="2"/>
  <c r="Q69" i="2"/>
  <c r="R69" i="2"/>
  <c r="S69" i="2"/>
  <c r="AA70" i="2"/>
  <c r="AA71" i="2"/>
  <c r="E72" i="2"/>
  <c r="F72" i="2"/>
  <c r="G72" i="2"/>
  <c r="H72" i="2"/>
  <c r="I72" i="2"/>
  <c r="J72" i="2"/>
  <c r="K72" i="2"/>
  <c r="L72" i="2"/>
  <c r="M72" i="2"/>
  <c r="N72" i="2"/>
  <c r="E73" i="2"/>
  <c r="F73" i="2"/>
  <c r="G73" i="2"/>
  <c r="H73" i="2"/>
  <c r="I73" i="2"/>
  <c r="J73" i="2"/>
  <c r="K73" i="2"/>
  <c r="L73" i="2"/>
  <c r="M73" i="2"/>
  <c r="N73" i="2"/>
  <c r="AU42" i="24"/>
  <c r="AU115" i="24"/>
  <c r="AJ28" i="2"/>
  <c r="AU49" i="1"/>
  <c r="CJ61" i="4"/>
  <c r="AJ27" i="2"/>
  <c r="AO21" i="25"/>
  <c r="AO93" i="25"/>
  <c r="AO15" i="25"/>
  <c r="AO86" i="25"/>
  <c r="AU141" i="25"/>
  <c r="AU62" i="25"/>
  <c r="AU116" i="25"/>
  <c r="AU151" i="25"/>
  <c r="AU167" i="25"/>
  <c r="H160" i="4"/>
  <c r="H73" i="4"/>
  <c r="V147" i="4"/>
  <c r="H72" i="4" s="1"/>
  <c r="H177" i="4"/>
  <c r="M184" i="4"/>
  <c r="CL76" i="4"/>
  <c r="D175" i="4"/>
  <c r="D176" i="4" s="1"/>
  <c r="D160" i="4"/>
  <c r="D167" i="4" s="1"/>
  <c r="M160" i="4"/>
  <c r="CH76" i="4"/>
  <c r="M120" i="4" s="1"/>
  <c r="M177" i="4"/>
  <c r="AF15" i="4"/>
  <c r="M175" i="4" s="1"/>
  <c r="CK61" i="4"/>
  <c r="AU147" i="29"/>
  <c r="BF36" i="2" l="1"/>
  <c r="BF44" i="2" s="1"/>
  <c r="BF37" i="2"/>
  <c r="BF45" i="2" s="1"/>
  <c r="BF25" i="2"/>
  <c r="BF31" i="2"/>
  <c r="BF33" i="2"/>
  <c r="AI12" i="31"/>
  <c r="AU12" i="31" s="1"/>
  <c r="AI13" i="31"/>
  <c r="AM13" i="31" s="1"/>
  <c r="AI14" i="31"/>
  <c r="AM14" i="31" s="1"/>
  <c r="AI15" i="31"/>
  <c r="AM15" i="31" s="1"/>
  <c r="AI16" i="31"/>
  <c r="AU16" i="31" s="1"/>
  <c r="AI17" i="31"/>
  <c r="AM17" i="31" s="1"/>
  <c r="AI21" i="31"/>
  <c r="AU21" i="31" s="1"/>
  <c r="AI22" i="31"/>
  <c r="AM22" i="31" s="1"/>
  <c r="AI23" i="31"/>
  <c r="AU23" i="31" s="1"/>
  <c r="AI24" i="31"/>
  <c r="AM24" i="31" s="1"/>
  <c r="AI25" i="31"/>
  <c r="AU25" i="31" s="1"/>
  <c r="AI26" i="31"/>
  <c r="AM26" i="31" s="1"/>
  <c r="AI30" i="31"/>
  <c r="AU30" i="31" s="1"/>
  <c r="AI31" i="31"/>
  <c r="AM31" i="31" s="1"/>
  <c r="AI32" i="31"/>
  <c r="AM32" i="31" s="1"/>
  <c r="AI33" i="31"/>
  <c r="AM33" i="31" s="1"/>
  <c r="AI34" i="31"/>
  <c r="AU34" i="31" s="1"/>
  <c r="AI35" i="31"/>
  <c r="AM35" i="31" s="1"/>
  <c r="AI39" i="31"/>
  <c r="AM39" i="31" s="1"/>
  <c r="AI40" i="31"/>
  <c r="AM40" i="31" s="1"/>
  <c r="AI41" i="31"/>
  <c r="AU41" i="31" s="1"/>
  <c r="AI42" i="31"/>
  <c r="AM42" i="31" s="1"/>
  <c r="AI43" i="31"/>
  <c r="AM43" i="31" s="1"/>
  <c r="AI44" i="31"/>
  <c r="AM44" i="31" s="1"/>
  <c r="AI48" i="31"/>
  <c r="AU48" i="31" s="1"/>
  <c r="AI49" i="31"/>
  <c r="AM49" i="31" s="1"/>
  <c r="AI50" i="31"/>
  <c r="AM50" i="31" s="1"/>
  <c r="AI51" i="31"/>
  <c r="AM51" i="31" s="1"/>
  <c r="AI52" i="31"/>
  <c r="AU52" i="31" s="1"/>
  <c r="AI53" i="31"/>
  <c r="AM53" i="31" s="1"/>
  <c r="AI57" i="31"/>
  <c r="AM57" i="31" s="1"/>
  <c r="AI58" i="31"/>
  <c r="AM58" i="31" s="1"/>
  <c r="AI59" i="31"/>
  <c r="AU59" i="31" s="1"/>
  <c r="AI60" i="31"/>
  <c r="AM60" i="31" s="1"/>
  <c r="AI61" i="31"/>
  <c r="AM61" i="31" s="1"/>
  <c r="AI62" i="31"/>
  <c r="AM62" i="31" s="1"/>
  <c r="AI66" i="31"/>
  <c r="AU66" i="31" s="1"/>
  <c r="AI67" i="31"/>
  <c r="AM67" i="31" s="1"/>
  <c r="AI68" i="31"/>
  <c r="AM68" i="31" s="1"/>
  <c r="AI69" i="31"/>
  <c r="AM69" i="31" s="1"/>
  <c r="AI70" i="31"/>
  <c r="AU70" i="31" s="1"/>
  <c r="AI71" i="31"/>
  <c r="AM71" i="31" s="1"/>
  <c r="AI75" i="31"/>
  <c r="AU75" i="31" s="1"/>
  <c r="AI76" i="31"/>
  <c r="AM76" i="31" s="1"/>
  <c r="AI77" i="31"/>
  <c r="AU77" i="31" s="1"/>
  <c r="AI78" i="31"/>
  <c r="AU78" i="31" s="1"/>
  <c r="AI79" i="31"/>
  <c r="AU79" i="31" s="1"/>
  <c r="AI80" i="31"/>
  <c r="AM80" i="31" s="1"/>
  <c r="AI84" i="31"/>
  <c r="AU84" i="31" s="1"/>
  <c r="AI85" i="31"/>
  <c r="AU85" i="31" s="1"/>
  <c r="AI86" i="31"/>
  <c r="AM86" i="31" s="1"/>
  <c r="AI87" i="31"/>
  <c r="AM87" i="31" s="1"/>
  <c r="AI88" i="31"/>
  <c r="AU88" i="31" s="1"/>
  <c r="AI89" i="31"/>
  <c r="AU89" i="31" s="1"/>
  <c r="AI93" i="31"/>
  <c r="AM93" i="31" s="1"/>
  <c r="AI94" i="31"/>
  <c r="AM94" i="31" s="1"/>
  <c r="AI95" i="31"/>
  <c r="AU95" i="31" s="1"/>
  <c r="AI98" i="31"/>
  <c r="AU98" i="31" s="1"/>
  <c r="AY98" i="31" s="1"/>
  <c r="AI102" i="31"/>
  <c r="AM102" i="31" s="1"/>
  <c r="AI105" i="31"/>
  <c r="AU105" i="31" s="1"/>
  <c r="AI106" i="31"/>
  <c r="AU106" i="31" s="1"/>
  <c r="AI129" i="31"/>
  <c r="AU129" i="31" s="1"/>
  <c r="AI130" i="31"/>
  <c r="AU130" i="31" s="1"/>
  <c r="AI131" i="31"/>
  <c r="AM131" i="31" s="1"/>
  <c r="AI132" i="31"/>
  <c r="AU132" i="31" s="1"/>
  <c r="AI133" i="31"/>
  <c r="AU133" i="31" s="1"/>
  <c r="AI134" i="31"/>
  <c r="AU134" i="31" s="1"/>
  <c r="AI138" i="31"/>
  <c r="AM138" i="31" s="1"/>
  <c r="AI139" i="31"/>
  <c r="AU139" i="31" s="1"/>
  <c r="AI140" i="31"/>
  <c r="AU140" i="31" s="1"/>
  <c r="AI141" i="31"/>
  <c r="AM141" i="31" s="1"/>
  <c r="AI142" i="31"/>
  <c r="AM142" i="31" s="1"/>
  <c r="AI143" i="31"/>
  <c r="AU143" i="31" s="1"/>
  <c r="AI147" i="31"/>
  <c r="AU147" i="31" s="1"/>
  <c r="AI148" i="31"/>
  <c r="AU148" i="31" s="1"/>
  <c r="AI149" i="31"/>
  <c r="AM149" i="31" s="1"/>
  <c r="AI150" i="31"/>
  <c r="AU150" i="31" s="1"/>
  <c r="AI151" i="31"/>
  <c r="AU151" i="31" s="1"/>
  <c r="AI152" i="31"/>
  <c r="AU152" i="31" s="1"/>
  <c r="AK156" i="14"/>
  <c r="AW156" i="14" s="1"/>
  <c r="AJ121" i="14"/>
  <c r="AI58" i="14"/>
  <c r="AU58" i="14" s="1"/>
  <c r="AL131" i="14"/>
  <c r="AX131" i="14" s="1"/>
  <c r="AL138" i="14"/>
  <c r="AX138" i="14" s="1"/>
  <c r="AL149" i="14"/>
  <c r="AX149" i="14" s="1"/>
  <c r="AI157" i="14"/>
  <c r="AI121" i="14"/>
  <c r="AU121" i="14" s="1"/>
  <c r="AK114" i="14"/>
  <c r="AW114" i="14" s="1"/>
  <c r="AJ94" i="14"/>
  <c r="AK68" i="14"/>
  <c r="AW68" i="14" s="1"/>
  <c r="AK41" i="14"/>
  <c r="AW41" i="14" s="1"/>
  <c r="AI23" i="14"/>
  <c r="AU23" i="14" s="1"/>
  <c r="AK168" i="14"/>
  <c r="AW168" i="14" s="1"/>
  <c r="AJ157" i="14"/>
  <c r="AV157" i="14" s="1"/>
  <c r="AJ120" i="14"/>
  <c r="AV120" i="14" s="1"/>
  <c r="AK103" i="14"/>
  <c r="AW103" i="14" s="1"/>
  <c r="AK78" i="14"/>
  <c r="AW78" i="14" s="1"/>
  <c r="AI61" i="14"/>
  <c r="AU61" i="14" s="1"/>
  <c r="AI59" i="14"/>
  <c r="AK34" i="14"/>
  <c r="AW34" i="14" s="1"/>
  <c r="AJ24" i="14"/>
  <c r="AV24" i="14" s="1"/>
  <c r="AJ23" i="14"/>
  <c r="AV23" i="14" s="1"/>
  <c r="AK14" i="14"/>
  <c r="AW14" i="14" s="1"/>
  <c r="AL129" i="14"/>
  <c r="AX129" i="14" s="1"/>
  <c r="AL133" i="14"/>
  <c r="AX133" i="14" s="1"/>
  <c r="AL140" i="14"/>
  <c r="AX140" i="14" s="1"/>
  <c r="AL142" i="14"/>
  <c r="AX142" i="14" s="1"/>
  <c r="AL147" i="14"/>
  <c r="AX147" i="14" s="1"/>
  <c r="AL151" i="14"/>
  <c r="AX151" i="14" s="1"/>
  <c r="AI125" i="14"/>
  <c r="AU125" i="14" s="1"/>
  <c r="AK123" i="14"/>
  <c r="AW123" i="14" s="1"/>
  <c r="AK87" i="14"/>
  <c r="AW87" i="14" s="1"/>
  <c r="AJ78" i="14"/>
  <c r="AV78" i="14" s="1"/>
  <c r="AK57" i="14"/>
  <c r="AW57" i="14" s="1"/>
  <c r="AJ34" i="14"/>
  <c r="AV34" i="14" s="1"/>
  <c r="AK26" i="14"/>
  <c r="AW26" i="14" s="1"/>
  <c r="AI24" i="14"/>
  <c r="AU24" i="14" s="1"/>
  <c r="AI130" i="14"/>
  <c r="AU130" i="14" s="1"/>
  <c r="AI132" i="14"/>
  <c r="AU132" i="14" s="1"/>
  <c r="AI134" i="14"/>
  <c r="AU134" i="14" s="1"/>
  <c r="AI139" i="14"/>
  <c r="AU139" i="14" s="1"/>
  <c r="AI141" i="14"/>
  <c r="AU141" i="14" s="1"/>
  <c r="AI168" i="14"/>
  <c r="AU168" i="14" s="1"/>
  <c r="AK167" i="14"/>
  <c r="AW167" i="14" s="1"/>
  <c r="AI165" i="14"/>
  <c r="AU165" i="14" s="1"/>
  <c r="AK111" i="14"/>
  <c r="AW111" i="14" s="1"/>
  <c r="AK80" i="14"/>
  <c r="AW80" i="14" s="1"/>
  <c r="AJ41" i="14"/>
  <c r="AV41" i="14" s="1"/>
  <c r="AK40" i="14"/>
  <c r="AW40" i="14" s="1"/>
  <c r="AK21" i="14"/>
  <c r="AW21" i="14" s="1"/>
  <c r="AJ132" i="14"/>
  <c r="AJ139" i="14"/>
  <c r="AV139" i="14" s="1"/>
  <c r="AJ141" i="14"/>
  <c r="AV141" i="14" s="1"/>
  <c r="AJ143" i="14"/>
  <c r="AJ148" i="14"/>
  <c r="AV148" i="14" s="1"/>
  <c r="AJ150" i="14"/>
  <c r="AV150" i="14" s="1"/>
  <c r="AJ152" i="14"/>
  <c r="AK170" i="14"/>
  <c r="AW170" i="14" s="1"/>
  <c r="AK160" i="14"/>
  <c r="AM160" i="14" s="1"/>
  <c r="AK113" i="14"/>
  <c r="AW113" i="14" s="1"/>
  <c r="AI93" i="14"/>
  <c r="AK86" i="14"/>
  <c r="AW86" i="14" s="1"/>
  <c r="AK85" i="14"/>
  <c r="AW85" i="14" s="1"/>
  <c r="AI77" i="14"/>
  <c r="AU77" i="14" s="1"/>
  <c r="AI68" i="14"/>
  <c r="AK66" i="14"/>
  <c r="AW66" i="14" s="1"/>
  <c r="AK62" i="14"/>
  <c r="AW62" i="14" s="1"/>
  <c r="AK60" i="14"/>
  <c r="AW60" i="14" s="1"/>
  <c r="AI57" i="14"/>
  <c r="AJ50" i="14"/>
  <c r="AV50" i="14" s="1"/>
  <c r="AK49" i="14"/>
  <c r="AW49" i="14" s="1"/>
  <c r="AI41" i="14"/>
  <c r="AU41" i="14" s="1"/>
  <c r="AJ40" i="14"/>
  <c r="AV40" i="14" s="1"/>
  <c r="AK33" i="14"/>
  <c r="AW33" i="14" s="1"/>
  <c r="AK32" i="14"/>
  <c r="AW32" i="14" s="1"/>
  <c r="AK31" i="14"/>
  <c r="AW31" i="14" s="1"/>
  <c r="AK17" i="14"/>
  <c r="AK13" i="14"/>
  <c r="AW13" i="14" s="1"/>
  <c r="AK130" i="14"/>
  <c r="AW130" i="14" s="1"/>
  <c r="AK132" i="14"/>
  <c r="AW132" i="14" s="1"/>
  <c r="AK134" i="14"/>
  <c r="AK139" i="14"/>
  <c r="AW139" i="14" s="1"/>
  <c r="AK141" i="14"/>
  <c r="AW141" i="14" s="1"/>
  <c r="AK143" i="14"/>
  <c r="AW143" i="14" s="1"/>
  <c r="AK148" i="14"/>
  <c r="AK150" i="14"/>
  <c r="AW150" i="14" s="1"/>
  <c r="AK152" i="14"/>
  <c r="AW152" i="14" s="1"/>
  <c r="AJ170" i="14"/>
  <c r="AV170" i="14" s="1"/>
  <c r="AI167" i="14"/>
  <c r="AK161" i="14"/>
  <c r="AW161" i="14" s="1"/>
  <c r="AK124" i="14"/>
  <c r="AW124" i="14" s="1"/>
  <c r="AJ113" i="14"/>
  <c r="AV113" i="14" s="1"/>
  <c r="AI105" i="14"/>
  <c r="AU105" i="14" s="1"/>
  <c r="AK102" i="14"/>
  <c r="AW102" i="14" s="1"/>
  <c r="AK88" i="14"/>
  <c r="AM88" i="14" s="1"/>
  <c r="AJ86" i="14"/>
  <c r="AV86" i="14" s="1"/>
  <c r="AJ85" i="14"/>
  <c r="AV85" i="14" s="1"/>
  <c r="AK75" i="14"/>
  <c r="AW75" i="14" s="1"/>
  <c r="AJ62" i="14"/>
  <c r="AV62" i="14" s="1"/>
  <c r="AI50" i="14"/>
  <c r="AU50" i="14" s="1"/>
  <c r="AJ49" i="14"/>
  <c r="AI40" i="14"/>
  <c r="AU40" i="14" s="1"/>
  <c r="AJ33" i="14"/>
  <c r="AV33" i="14" s="1"/>
  <c r="AJ32" i="14"/>
  <c r="AV32" i="14" s="1"/>
  <c r="AJ31" i="14"/>
  <c r="AV31" i="14" s="1"/>
  <c r="AK22" i="14"/>
  <c r="AW22" i="14" s="1"/>
  <c r="AJ17" i="14"/>
  <c r="AV17" i="14" s="1"/>
  <c r="AK16" i="14"/>
  <c r="AW16" i="14" s="1"/>
  <c r="AJ13" i="14"/>
  <c r="AV13" i="14" s="1"/>
  <c r="AK12" i="14"/>
  <c r="AW12" i="14" s="1"/>
  <c r="AL130" i="14"/>
  <c r="AX130" i="14" s="1"/>
  <c r="AL132" i="14"/>
  <c r="AX132" i="14" s="1"/>
  <c r="AL134" i="14"/>
  <c r="AX134" i="14" s="1"/>
  <c r="AL139" i="14"/>
  <c r="AX139" i="14" s="1"/>
  <c r="AL141" i="14"/>
  <c r="AX141" i="14" s="1"/>
  <c r="AL143" i="14"/>
  <c r="AX143" i="14" s="1"/>
  <c r="AL148" i="14"/>
  <c r="AX148" i="14" s="1"/>
  <c r="AL150" i="14"/>
  <c r="AX150" i="14" s="1"/>
  <c r="AX152" i="14"/>
  <c r="AL152" i="14"/>
  <c r="AK169" i="14"/>
  <c r="AW169" i="14" s="1"/>
  <c r="AK165" i="14"/>
  <c r="AW165" i="14" s="1"/>
  <c r="AK159" i="14"/>
  <c r="AW159" i="14" s="1"/>
  <c r="AK116" i="14"/>
  <c r="AW116" i="14" s="1"/>
  <c r="AK94" i="14"/>
  <c r="AW94" i="14" s="1"/>
  <c r="AJ69" i="14"/>
  <c r="AV69" i="14" s="1"/>
  <c r="AJ168" i="14"/>
  <c r="AJ156" i="14"/>
  <c r="AV156" i="14" s="1"/>
  <c r="AK77" i="14"/>
  <c r="AW77" i="14" s="1"/>
  <c r="AI69" i="14"/>
  <c r="AK43" i="14"/>
  <c r="AW43" i="14" s="1"/>
  <c r="AI143" i="14"/>
  <c r="AU143" i="14" s="1"/>
  <c r="AI156" i="14"/>
  <c r="AU156" i="14" s="1"/>
  <c r="AI116" i="14"/>
  <c r="AK105" i="14"/>
  <c r="AW105" i="14" s="1"/>
  <c r="AI103" i="14"/>
  <c r="AU103" i="14" s="1"/>
  <c r="AI94" i="14"/>
  <c r="AU94" i="14" s="1"/>
  <c r="AI78" i="14"/>
  <c r="AU78" i="14" s="1"/>
  <c r="AJ68" i="14"/>
  <c r="AV68" i="14" s="1"/>
  <c r="AK50" i="14"/>
  <c r="AW50" i="14" s="1"/>
  <c r="AI14" i="14"/>
  <c r="AU14" i="14" s="1"/>
  <c r="AI170" i="14"/>
  <c r="AU170" i="14" s="1"/>
  <c r="AK115" i="14"/>
  <c r="AW115" i="14" s="1"/>
  <c r="AI113" i="14"/>
  <c r="AU113" i="14" s="1"/>
  <c r="AI85" i="14"/>
  <c r="AU85" i="14" s="1"/>
  <c r="AK84" i="14"/>
  <c r="AK70" i="14"/>
  <c r="AW70" i="14" s="1"/>
  <c r="AK67" i="14"/>
  <c r="AW67" i="14" s="1"/>
  <c r="AK35" i="14"/>
  <c r="AW35" i="14" s="1"/>
  <c r="AI31" i="14"/>
  <c r="AK30" i="14"/>
  <c r="AW30" i="14" s="1"/>
  <c r="AK25" i="14"/>
  <c r="AW25" i="14" s="1"/>
  <c r="AI17" i="14"/>
  <c r="AU17" i="14" s="1"/>
  <c r="AJ16" i="14"/>
  <c r="AV16" i="14" s="1"/>
  <c r="AK15" i="14"/>
  <c r="AW15" i="14" s="1"/>
  <c r="AJ12" i="14"/>
  <c r="AV12" i="14" s="1"/>
  <c r="AI140" i="14"/>
  <c r="AU140" i="14" s="1"/>
  <c r="AI147" i="14"/>
  <c r="AI151" i="14"/>
  <c r="AU151" i="14" s="1"/>
  <c r="AK107" i="14"/>
  <c r="AW107" i="14" s="1"/>
  <c r="AK106" i="14"/>
  <c r="AW106" i="14" s="1"/>
  <c r="AJ98" i="14"/>
  <c r="AJ97" i="14"/>
  <c r="AV97" i="14" s="1"/>
  <c r="AK89" i="14"/>
  <c r="AW89" i="14" s="1"/>
  <c r="AJ84" i="14"/>
  <c r="AV84" i="14" s="1"/>
  <c r="AK79" i="14"/>
  <c r="AW79" i="14" s="1"/>
  <c r="AK76" i="14"/>
  <c r="AW76" i="14" s="1"/>
  <c r="AJ71" i="14"/>
  <c r="AV71" i="14" s="1"/>
  <c r="AJ70" i="14"/>
  <c r="AV70" i="14" s="1"/>
  <c r="AK61" i="14"/>
  <c r="AW61" i="14" s="1"/>
  <c r="AK59" i="14"/>
  <c r="AW59" i="14" s="1"/>
  <c r="AK58" i="14"/>
  <c r="AW58" i="14" s="1"/>
  <c r="AK53" i="14"/>
  <c r="AW53" i="14" s="1"/>
  <c r="AJ44" i="14"/>
  <c r="AV44" i="14" s="1"/>
  <c r="AK39" i="14"/>
  <c r="AW39" i="14" s="1"/>
  <c r="AJ30" i="14"/>
  <c r="AV30" i="14" s="1"/>
  <c r="AJ25" i="14"/>
  <c r="AV25" i="14" s="1"/>
  <c r="AI16" i="14"/>
  <c r="AJ15" i="14"/>
  <c r="AI12" i="14"/>
  <c r="AU12" i="14" s="1"/>
  <c r="AJ129" i="14"/>
  <c r="AV129" i="14" s="1"/>
  <c r="AJ131" i="14"/>
  <c r="AJ133" i="14"/>
  <c r="AV133" i="14" s="1"/>
  <c r="AJ138" i="14"/>
  <c r="AJ140" i="14"/>
  <c r="AV140" i="14" s="1"/>
  <c r="AJ142" i="14"/>
  <c r="AV142" i="14" s="1"/>
  <c r="AJ149" i="14"/>
  <c r="AV149" i="14" s="1"/>
  <c r="AJ151" i="14"/>
  <c r="AV151" i="14" s="1"/>
  <c r="AI106" i="14"/>
  <c r="AU106" i="14" s="1"/>
  <c r="AI120" i="14"/>
  <c r="AK96" i="14"/>
  <c r="AW96" i="14" s="1"/>
  <c r="AK93" i="14"/>
  <c r="AW93" i="14" s="1"/>
  <c r="AK51" i="14"/>
  <c r="AW51" i="14" s="1"/>
  <c r="AJ114" i="14"/>
  <c r="AV114" i="14" s="1"/>
  <c r="AK158" i="14"/>
  <c r="AW158" i="14" s="1"/>
  <c r="AK122" i="14"/>
  <c r="AW122" i="14" s="1"/>
  <c r="AK112" i="14"/>
  <c r="AW112" i="14" s="1"/>
  <c r="AK98" i="14"/>
  <c r="AW98" i="14" s="1"/>
  <c r="AK97" i="14"/>
  <c r="AW97" i="14" s="1"/>
  <c r="AI86" i="14"/>
  <c r="AK71" i="14"/>
  <c r="AW71" i="14" s="1"/>
  <c r="AI62" i="14"/>
  <c r="AU62" i="14" s="1"/>
  <c r="AK52" i="14"/>
  <c r="AW52" i="14" s="1"/>
  <c r="AK48" i="14"/>
  <c r="AW48" i="14" s="1"/>
  <c r="AK44" i="14"/>
  <c r="AW44" i="14" s="1"/>
  <c r="AI32" i="14"/>
  <c r="AI149" i="14"/>
  <c r="AK166" i="14"/>
  <c r="AM166" i="14" s="1"/>
  <c r="AK157" i="14"/>
  <c r="AW157" i="14" s="1"/>
  <c r="AK125" i="14"/>
  <c r="AW125" i="14" s="1"/>
  <c r="AK121" i="14"/>
  <c r="AW121" i="14" s="1"/>
  <c r="AK120" i="14"/>
  <c r="AW120" i="14" s="1"/>
  <c r="AI112" i="14"/>
  <c r="AU112" i="14" s="1"/>
  <c r="AJ107" i="14"/>
  <c r="AJ106" i="14"/>
  <c r="AV106" i="14" s="1"/>
  <c r="AK104" i="14"/>
  <c r="AW104" i="14" s="1"/>
  <c r="AI98" i="14"/>
  <c r="AU98" i="14" s="1"/>
  <c r="AI97" i="14"/>
  <c r="AU97" i="14" s="1"/>
  <c r="AK95" i="14"/>
  <c r="AW95" i="14" s="1"/>
  <c r="AI84" i="14"/>
  <c r="AU84" i="14" s="1"/>
  <c r="AJ79" i="14"/>
  <c r="AV79" i="14" s="1"/>
  <c r="AI71" i="14"/>
  <c r="AI70" i="14"/>
  <c r="AU70" i="14" s="1"/>
  <c r="AK69" i="14"/>
  <c r="AW69" i="14" s="1"/>
  <c r="AJ59" i="14"/>
  <c r="AV59" i="14" s="1"/>
  <c r="AJ58" i="14"/>
  <c r="AV58" i="14" s="1"/>
  <c r="AI44" i="14"/>
  <c r="AU44" i="14" s="1"/>
  <c r="AK42" i="14"/>
  <c r="AW42" i="14" s="1"/>
  <c r="AI30" i="14"/>
  <c r="AU30" i="14" s="1"/>
  <c r="AK24" i="14"/>
  <c r="AW24" i="14" s="1"/>
  <c r="AK23" i="14"/>
  <c r="AW23" i="14" s="1"/>
  <c r="AI15" i="14"/>
  <c r="AU15" i="14" s="1"/>
  <c r="AK129" i="14"/>
  <c r="AW129" i="14" s="1"/>
  <c r="AK131" i="14"/>
  <c r="AW131" i="14" s="1"/>
  <c r="AK133" i="14"/>
  <c r="AW133" i="14" s="1"/>
  <c r="AK138" i="14"/>
  <c r="AW138" i="14" s="1"/>
  <c r="AK140" i="14"/>
  <c r="AW140" i="14" s="1"/>
  <c r="AK142" i="14"/>
  <c r="AW142" i="14" s="1"/>
  <c r="AK147" i="14"/>
  <c r="AW147" i="14" s="1"/>
  <c r="AK149" i="14"/>
  <c r="AW149" i="14" s="1"/>
  <c r="AK151" i="14"/>
  <c r="AW151" i="14" s="1"/>
  <c r="AI123" i="15"/>
  <c r="AU123" i="15" s="1"/>
  <c r="AJ87" i="15"/>
  <c r="AV87" i="15" s="1"/>
  <c r="AI52" i="15"/>
  <c r="AU52" i="15" s="1"/>
  <c r="AK168" i="15"/>
  <c r="AM168" i="15" s="1"/>
  <c r="AK30" i="15"/>
  <c r="AW30" i="15" s="1"/>
  <c r="AJ107" i="15"/>
  <c r="AV107" i="15" s="1"/>
  <c r="AI98" i="15"/>
  <c r="AU98" i="15" s="1"/>
  <c r="AK51" i="15"/>
  <c r="AW51" i="15" s="1"/>
  <c r="AJ35" i="15"/>
  <c r="AV35" i="15" s="1"/>
  <c r="AJ132" i="15"/>
  <c r="AV132" i="15" s="1"/>
  <c r="AJ139" i="15"/>
  <c r="AV139" i="15" s="1"/>
  <c r="AJ141" i="15"/>
  <c r="AJ143" i="15"/>
  <c r="AV143" i="15" s="1"/>
  <c r="AJ152" i="15"/>
  <c r="AV152" i="15" s="1"/>
  <c r="AK158" i="15"/>
  <c r="AW158" i="15" s="1"/>
  <c r="AK125" i="15"/>
  <c r="AW125" i="15" s="1"/>
  <c r="AJ121" i="15"/>
  <c r="AV121" i="15" s="1"/>
  <c r="AK105" i="15"/>
  <c r="AK93" i="15"/>
  <c r="AK77" i="15"/>
  <c r="AW77" i="15" s="1"/>
  <c r="AI61" i="15"/>
  <c r="AU61" i="15" s="1"/>
  <c r="AK41" i="15"/>
  <c r="AW41" i="15" s="1"/>
  <c r="AI35" i="15"/>
  <c r="AK34" i="15"/>
  <c r="AI30" i="15"/>
  <c r="AU30" i="15" s="1"/>
  <c r="AK26" i="15"/>
  <c r="AM26" i="15" s="1"/>
  <c r="AK12" i="15"/>
  <c r="AK130" i="15"/>
  <c r="AW130" i="15" s="1"/>
  <c r="AK132" i="15"/>
  <c r="AW132" i="15" s="1"/>
  <c r="AK134" i="15"/>
  <c r="AW134" i="15" s="1"/>
  <c r="AK139" i="15"/>
  <c r="AW139" i="15" s="1"/>
  <c r="AK141" i="15"/>
  <c r="AW141" i="15" s="1"/>
  <c r="AK143" i="15"/>
  <c r="AW143" i="15" s="1"/>
  <c r="AK148" i="15"/>
  <c r="AW148" i="15" s="1"/>
  <c r="AK150" i="15"/>
  <c r="AW150" i="15" s="1"/>
  <c r="AK152" i="15"/>
  <c r="AJ165" i="15"/>
  <c r="AV165" i="15" s="1"/>
  <c r="AJ158" i="15"/>
  <c r="AV158" i="15" s="1"/>
  <c r="AJ125" i="15"/>
  <c r="AV125" i="15" s="1"/>
  <c r="AI114" i="15"/>
  <c r="AK84" i="15"/>
  <c r="AW84" i="15" s="1"/>
  <c r="AJ77" i="15"/>
  <c r="AK58" i="15"/>
  <c r="AW58" i="15" s="1"/>
  <c r="AK40" i="15"/>
  <c r="AM40" i="15" s="1"/>
  <c r="AK24" i="15"/>
  <c r="AW24" i="15" s="1"/>
  <c r="AJ12" i="15"/>
  <c r="AV12" i="15" s="1"/>
  <c r="AL130" i="15"/>
  <c r="AX130" i="15" s="1"/>
  <c r="AL132" i="15"/>
  <c r="AL134" i="15"/>
  <c r="AX134" i="15" s="1"/>
  <c r="AL141" i="15"/>
  <c r="AX141" i="15" s="1"/>
  <c r="AL143" i="15"/>
  <c r="AL148" i="15"/>
  <c r="AX148" i="15" s="1"/>
  <c r="AL150" i="15"/>
  <c r="AX150" i="15" s="1"/>
  <c r="AX152" i="15"/>
  <c r="AL152" i="15"/>
  <c r="AI79" i="15"/>
  <c r="AK166" i="15"/>
  <c r="AW166" i="15" s="1"/>
  <c r="AI69" i="15"/>
  <c r="AU69" i="15" s="1"/>
  <c r="AK159" i="15"/>
  <c r="AM159" i="15" s="1"/>
  <c r="AK106" i="15"/>
  <c r="AW106" i="15" s="1"/>
  <c r="AJ130" i="15"/>
  <c r="AJ148" i="15"/>
  <c r="AV148" i="15" s="1"/>
  <c r="AK104" i="15"/>
  <c r="AW104" i="15" s="1"/>
  <c r="AK71" i="15"/>
  <c r="AW71" i="15" s="1"/>
  <c r="AJ43" i="15"/>
  <c r="AV43" i="15" s="1"/>
  <c r="AK17" i="15"/>
  <c r="AW17" i="15" s="1"/>
  <c r="AJ161" i="15"/>
  <c r="AV161" i="15" s="1"/>
  <c r="AK123" i="15"/>
  <c r="AW123" i="15" s="1"/>
  <c r="AK112" i="15"/>
  <c r="AW112" i="15" s="1"/>
  <c r="AJ104" i="15"/>
  <c r="AV104" i="15" s="1"/>
  <c r="AK103" i="15"/>
  <c r="AW103" i="15" s="1"/>
  <c r="AK88" i="15"/>
  <c r="AW88" i="15" s="1"/>
  <c r="AI75" i="15"/>
  <c r="AJ71" i="15"/>
  <c r="AV71" i="15" s="1"/>
  <c r="AK66" i="15"/>
  <c r="AM66" i="15" s="1"/>
  <c r="AI43" i="15"/>
  <c r="AU43" i="15" s="1"/>
  <c r="AK32" i="15"/>
  <c r="AW32" i="15" s="1"/>
  <c r="AI24" i="15"/>
  <c r="AU24" i="15" s="1"/>
  <c r="AJ17" i="15"/>
  <c r="AV17" i="15" s="1"/>
  <c r="AK156" i="15"/>
  <c r="AW156" i="15" s="1"/>
  <c r="AK115" i="15"/>
  <c r="AW115" i="15" s="1"/>
  <c r="AI88" i="15"/>
  <c r="AU88" i="15" s="1"/>
  <c r="AK167" i="15"/>
  <c r="AW167" i="15" s="1"/>
  <c r="AK122" i="15"/>
  <c r="AW122" i="15" s="1"/>
  <c r="AK107" i="15"/>
  <c r="AJ134" i="15"/>
  <c r="AV134" i="15" s="1"/>
  <c r="AJ150" i="15"/>
  <c r="AV150" i="15" s="1"/>
  <c r="AI158" i="15"/>
  <c r="AI161" i="15"/>
  <c r="AK160" i="15"/>
  <c r="AW160" i="15" s="1"/>
  <c r="AI157" i="15"/>
  <c r="AU157" i="15" s="1"/>
  <c r="AI116" i="15"/>
  <c r="AK111" i="15"/>
  <c r="AW111" i="15" s="1"/>
  <c r="AI95" i="15"/>
  <c r="AU95" i="15" s="1"/>
  <c r="AK87" i="15"/>
  <c r="AW87" i="15" s="1"/>
  <c r="AK62" i="15"/>
  <c r="AW62" i="15" s="1"/>
  <c r="AK14" i="15"/>
  <c r="AM14" i="15" s="1"/>
  <c r="AK96" i="15"/>
  <c r="AW96" i="15" s="1"/>
  <c r="AK95" i="15"/>
  <c r="AW95" i="15" s="1"/>
  <c r="AJ89" i="15"/>
  <c r="AJ85" i="15"/>
  <c r="AJ80" i="15"/>
  <c r="AV80" i="15" s="1"/>
  <c r="AJ67" i="15"/>
  <c r="AV67" i="15" s="1"/>
  <c r="AK61" i="15"/>
  <c r="AW61" i="15" s="1"/>
  <c r="AK52" i="15"/>
  <c r="AW52" i="15" s="1"/>
  <c r="AI49" i="15"/>
  <c r="AU49" i="15" s="1"/>
  <c r="AI48" i="15"/>
  <c r="AU48" i="15" s="1"/>
  <c r="AK44" i="15"/>
  <c r="AW44" i="15" s="1"/>
  <c r="AI42" i="15"/>
  <c r="AI31" i="15"/>
  <c r="AU31" i="15" s="1"/>
  <c r="AI25" i="15"/>
  <c r="AU25" i="15" s="1"/>
  <c r="AK23" i="15"/>
  <c r="AW23" i="15" s="1"/>
  <c r="AJ21" i="15"/>
  <c r="AV21" i="15" s="1"/>
  <c r="AJ15" i="15"/>
  <c r="AV15" i="15" s="1"/>
  <c r="AK13" i="15"/>
  <c r="AM13" i="15" s="1"/>
  <c r="AL129" i="15"/>
  <c r="AX129" i="15" s="1"/>
  <c r="AL131" i="15"/>
  <c r="AX131" i="15" s="1"/>
  <c r="AL133" i="15"/>
  <c r="AX133" i="15" s="1"/>
  <c r="AL138" i="15"/>
  <c r="AX138" i="15" s="1"/>
  <c r="AL140" i="15"/>
  <c r="AX140" i="15" s="1"/>
  <c r="AL142" i="15"/>
  <c r="AX142" i="15" s="1"/>
  <c r="AL147" i="15"/>
  <c r="AX147" i="15" s="1"/>
  <c r="AL149" i="15"/>
  <c r="AX149" i="15" s="1"/>
  <c r="AL151" i="15"/>
  <c r="AX151" i="15" s="1"/>
  <c r="AK161" i="15"/>
  <c r="AW161" i="15" s="1"/>
  <c r="AI121" i="15"/>
  <c r="AU121" i="15" s="1"/>
  <c r="AK120" i="15"/>
  <c r="AW120" i="15" s="1"/>
  <c r="AI113" i="15"/>
  <c r="AJ111" i="15"/>
  <c r="AV111" i="15" s="1"/>
  <c r="AJ105" i="15"/>
  <c r="AV105" i="15" s="1"/>
  <c r="AK98" i="15"/>
  <c r="AW98" i="15" s="1"/>
  <c r="AJ96" i="15"/>
  <c r="AJ95" i="15"/>
  <c r="AV95" i="15" s="1"/>
  <c r="AK79" i="15"/>
  <c r="AW79" i="15" s="1"/>
  <c r="AK75" i="15"/>
  <c r="AW75" i="15" s="1"/>
  <c r="AK69" i="15"/>
  <c r="AW69" i="15" s="1"/>
  <c r="AJ44" i="15"/>
  <c r="AV44" i="15" s="1"/>
  <c r="AK43" i="15"/>
  <c r="AW43" i="15" s="1"/>
  <c r="AK35" i="15"/>
  <c r="AW35" i="15" s="1"/>
  <c r="AI21" i="15"/>
  <c r="AI15" i="15"/>
  <c r="AI130" i="15"/>
  <c r="AU130" i="15" s="1"/>
  <c r="AI132" i="15"/>
  <c r="AU132" i="15" s="1"/>
  <c r="AI134" i="15"/>
  <c r="AU134" i="15" s="1"/>
  <c r="AI139" i="15"/>
  <c r="AI141" i="15"/>
  <c r="AU141" i="15" s="1"/>
  <c r="AI143" i="15"/>
  <c r="AU143" i="15" s="1"/>
  <c r="AI148" i="15"/>
  <c r="AI150" i="15"/>
  <c r="AI152" i="15"/>
  <c r="AU152" i="15" s="1"/>
  <c r="AK124" i="15"/>
  <c r="AW124" i="15" s="1"/>
  <c r="AK97" i="15"/>
  <c r="AW97" i="15" s="1"/>
  <c r="AK94" i="15"/>
  <c r="AM94" i="15" s="1"/>
  <c r="AK59" i="15"/>
  <c r="AW59" i="15" s="1"/>
  <c r="AK57" i="15"/>
  <c r="AW57" i="15" s="1"/>
  <c r="AK16" i="15"/>
  <c r="AW16" i="15" s="1"/>
  <c r="AI131" i="15"/>
  <c r="AI147" i="15"/>
  <c r="AU147" i="15" s="1"/>
  <c r="AI151" i="15"/>
  <c r="AU151" i="15" s="1"/>
  <c r="AL169" i="15"/>
  <c r="AX169" i="15" s="1"/>
  <c r="AJ167" i="15"/>
  <c r="AV167" i="15" s="1"/>
  <c r="AJ166" i="15"/>
  <c r="AV166" i="15" s="1"/>
  <c r="AK157" i="15"/>
  <c r="AJ124" i="15"/>
  <c r="AV124" i="15" s="1"/>
  <c r="AK116" i="15"/>
  <c r="AW116" i="15" s="1"/>
  <c r="AK114" i="15"/>
  <c r="AW114" i="15" s="1"/>
  <c r="AI106" i="15"/>
  <c r="AU106" i="15" s="1"/>
  <c r="AK102" i="15"/>
  <c r="AJ86" i="15"/>
  <c r="AV86" i="15" s="1"/>
  <c r="AK78" i="15"/>
  <c r="AW78" i="15" s="1"/>
  <c r="AK76" i="15"/>
  <c r="AW76" i="15" s="1"/>
  <c r="AK70" i="15"/>
  <c r="AW70" i="15" s="1"/>
  <c r="AI62" i="15"/>
  <c r="AK60" i="15"/>
  <c r="AW60" i="15" s="1"/>
  <c r="AJ57" i="15"/>
  <c r="AV57" i="15" s="1"/>
  <c r="AJ53" i="15"/>
  <c r="AI51" i="15"/>
  <c r="AU51" i="15" s="1"/>
  <c r="AK50" i="15"/>
  <c r="AW50" i="15" s="1"/>
  <c r="AK49" i="15"/>
  <c r="AW49" i="15" s="1"/>
  <c r="AK48" i="15"/>
  <c r="AK42" i="15"/>
  <c r="AW42" i="15" s="1"/>
  <c r="AI34" i="15"/>
  <c r="AU34" i="15" s="1"/>
  <c r="AK33" i="15"/>
  <c r="AW33" i="15" s="1"/>
  <c r="AK31" i="15"/>
  <c r="AW31" i="15" s="1"/>
  <c r="AI26" i="15"/>
  <c r="AU26" i="15" s="1"/>
  <c r="AK25" i="15"/>
  <c r="AW25" i="15" s="1"/>
  <c r="AK22" i="15"/>
  <c r="AW22" i="15" s="1"/>
  <c r="AJ16" i="15"/>
  <c r="AV16" i="15" s="1"/>
  <c r="AJ129" i="15"/>
  <c r="AJ131" i="15"/>
  <c r="AV131" i="15" s="1"/>
  <c r="AJ133" i="15"/>
  <c r="AV133" i="15" s="1"/>
  <c r="AJ138" i="15"/>
  <c r="AV138" i="15" s="1"/>
  <c r="AJ140" i="15"/>
  <c r="AV140" i="15" s="1"/>
  <c r="AJ142" i="15"/>
  <c r="AV142" i="15" s="1"/>
  <c r="AJ149" i="15"/>
  <c r="AV149" i="15" s="1"/>
  <c r="AJ151" i="15"/>
  <c r="AV151" i="15" s="1"/>
  <c r="AJ103" i="15"/>
  <c r="AV103" i="15" s="1"/>
  <c r="AI87" i="15"/>
  <c r="AU87" i="15" s="1"/>
  <c r="AK86" i="15"/>
  <c r="AW86" i="15" s="1"/>
  <c r="AK68" i="15"/>
  <c r="AW68" i="15" s="1"/>
  <c r="AJ62" i="15"/>
  <c r="AV62" i="15" s="1"/>
  <c r="AK53" i="15"/>
  <c r="AW53" i="15" s="1"/>
  <c r="AI129" i="15"/>
  <c r="AU129" i="15" s="1"/>
  <c r="AI133" i="15"/>
  <c r="AU133" i="15" s="1"/>
  <c r="AI138" i="15"/>
  <c r="AU138" i="15" s="1"/>
  <c r="AI140" i="15"/>
  <c r="AU140" i="15" s="1"/>
  <c r="AK169" i="15"/>
  <c r="AW169" i="15" s="1"/>
  <c r="AY169" i="15" s="1"/>
  <c r="AI167" i="15"/>
  <c r="AI166" i="15"/>
  <c r="AU166" i="15" s="1"/>
  <c r="AK165" i="15"/>
  <c r="AW165" i="15" s="1"/>
  <c r="AK121" i="15"/>
  <c r="AW121" i="15" s="1"/>
  <c r="AJ114" i="15"/>
  <c r="AV114" i="15" s="1"/>
  <c r="AK113" i="15"/>
  <c r="AW113" i="15" s="1"/>
  <c r="AJ102" i="15"/>
  <c r="AV102" i="15" s="1"/>
  <c r="AK89" i="15"/>
  <c r="AW89" i="15" s="1"/>
  <c r="AI86" i="15"/>
  <c r="AK85" i="15"/>
  <c r="AW85" i="15" s="1"/>
  <c r="AK80" i="15"/>
  <c r="AW80" i="15" s="1"/>
  <c r="AJ76" i="15"/>
  <c r="AV76" i="15" s="1"/>
  <c r="AJ70" i="15"/>
  <c r="AV70" i="15" s="1"/>
  <c r="AI68" i="15"/>
  <c r="AK67" i="15"/>
  <c r="AW67" i="15" s="1"/>
  <c r="AI53" i="15"/>
  <c r="AU53" i="15" s="1"/>
  <c r="AJ50" i="15"/>
  <c r="AV50" i="15" s="1"/>
  <c r="AJ49" i="15"/>
  <c r="AJ48" i="15"/>
  <c r="AV48" i="15" s="1"/>
  <c r="AW39" i="15"/>
  <c r="AK39" i="15"/>
  <c r="AJ33" i="15"/>
  <c r="AV33" i="15" s="1"/>
  <c r="AJ25" i="15"/>
  <c r="AV25" i="15" s="1"/>
  <c r="AK21" i="15"/>
  <c r="AW21" i="15" s="1"/>
  <c r="AK15" i="15"/>
  <c r="AW15" i="15" s="1"/>
  <c r="AK129" i="15"/>
  <c r="AW129" i="15" s="1"/>
  <c r="AK131" i="15"/>
  <c r="AW131" i="15" s="1"/>
  <c r="AK133" i="15"/>
  <c r="AW133" i="15" s="1"/>
  <c r="AK138" i="15"/>
  <c r="AW138" i="15" s="1"/>
  <c r="AK140" i="15"/>
  <c r="AW140" i="15" s="1"/>
  <c r="AK142" i="15"/>
  <c r="AW142" i="15" s="1"/>
  <c r="AK147" i="15"/>
  <c r="AW147" i="15" s="1"/>
  <c r="AK149" i="15"/>
  <c r="AW149" i="15" s="1"/>
  <c r="AK151" i="15"/>
  <c r="AW151" i="15" s="1"/>
  <c r="AK166" i="16"/>
  <c r="AW166" i="16" s="1"/>
  <c r="AL156" i="16"/>
  <c r="AX156" i="16" s="1"/>
  <c r="AJ166" i="16"/>
  <c r="AV166" i="16" s="1"/>
  <c r="AI106" i="16"/>
  <c r="AI166" i="16"/>
  <c r="AU166" i="16" s="1"/>
  <c r="AL165" i="16"/>
  <c r="AX165" i="16" s="1"/>
  <c r="AI122" i="16"/>
  <c r="AU122" i="16" s="1"/>
  <c r="AK94" i="16"/>
  <c r="AK77" i="16"/>
  <c r="AW77" i="16" s="1"/>
  <c r="AK75" i="16"/>
  <c r="AW75" i="16" s="1"/>
  <c r="AL42" i="16"/>
  <c r="AX42" i="16" s="1"/>
  <c r="AJ148" i="16"/>
  <c r="AK165" i="16"/>
  <c r="AW165" i="16" s="1"/>
  <c r="AL124" i="16"/>
  <c r="AX124" i="16" s="1"/>
  <c r="AL104" i="16"/>
  <c r="AX104" i="16" s="1"/>
  <c r="AK85" i="16"/>
  <c r="AW85" i="16" s="1"/>
  <c r="AI68" i="16"/>
  <c r="AU68" i="16" s="1"/>
  <c r="AL49" i="16"/>
  <c r="AX49" i="16" s="1"/>
  <c r="AK42" i="16"/>
  <c r="AW42" i="16" s="1"/>
  <c r="AJ39" i="16"/>
  <c r="AV39" i="16" s="1"/>
  <c r="AL168" i="16"/>
  <c r="AX168" i="16" s="1"/>
  <c r="AY168" i="16" s="1"/>
  <c r="AJ165" i="16"/>
  <c r="AV165" i="16" s="1"/>
  <c r="AK161" i="16"/>
  <c r="AW161" i="16" s="1"/>
  <c r="AL160" i="16"/>
  <c r="AX160" i="16" s="1"/>
  <c r="AL158" i="16"/>
  <c r="AX158" i="16" s="1"/>
  <c r="AK124" i="16"/>
  <c r="AW124" i="16" s="1"/>
  <c r="AK120" i="16"/>
  <c r="AL115" i="16"/>
  <c r="AX115" i="16" s="1"/>
  <c r="AK111" i="16"/>
  <c r="AW111" i="16" s="1"/>
  <c r="AK107" i="16"/>
  <c r="AW107" i="16" s="1"/>
  <c r="AK104" i="16"/>
  <c r="AW104" i="16" s="1"/>
  <c r="AL103" i="16"/>
  <c r="AX103" i="16" s="1"/>
  <c r="AL98" i="16"/>
  <c r="AX98" i="16" s="1"/>
  <c r="AL97" i="16"/>
  <c r="AX97" i="16" s="1"/>
  <c r="AI94" i="16"/>
  <c r="AU94" i="16" s="1"/>
  <c r="AL93" i="16"/>
  <c r="AK80" i="16"/>
  <c r="AW80" i="16" s="1"/>
  <c r="AI77" i="16"/>
  <c r="AU77" i="16" s="1"/>
  <c r="AK71" i="16"/>
  <c r="AW71" i="16" s="1"/>
  <c r="AI58" i="16"/>
  <c r="AU58" i="16" s="1"/>
  <c r="AL57" i="16"/>
  <c r="AX57" i="16" s="1"/>
  <c r="AL52" i="16"/>
  <c r="AX52" i="16" s="1"/>
  <c r="AK49" i="16"/>
  <c r="AL48" i="16"/>
  <c r="AX48" i="16" s="1"/>
  <c r="AJ42" i="16"/>
  <c r="AV42" i="16" s="1"/>
  <c r="AL41" i="16"/>
  <c r="AX41" i="16" s="1"/>
  <c r="AJ30" i="16"/>
  <c r="AV30" i="16" s="1"/>
  <c r="AK26" i="16"/>
  <c r="AW26" i="16" s="1"/>
  <c r="AK25" i="16"/>
  <c r="AW25" i="16" s="1"/>
  <c r="AI23" i="16"/>
  <c r="AU23" i="16" s="1"/>
  <c r="AL13" i="16"/>
  <c r="AL130" i="16"/>
  <c r="AL132" i="16"/>
  <c r="AX132" i="16" s="1"/>
  <c r="AL134" i="16"/>
  <c r="AX134" i="16" s="1"/>
  <c r="AL139" i="16"/>
  <c r="AX139" i="16" s="1"/>
  <c r="AL141" i="16"/>
  <c r="AX141" i="16" s="1"/>
  <c r="AL143" i="16"/>
  <c r="AX143" i="16" s="1"/>
  <c r="AL148" i="16"/>
  <c r="AX148" i="16" s="1"/>
  <c r="AL150" i="16"/>
  <c r="AX150" i="16" s="1"/>
  <c r="AL152" i="16"/>
  <c r="AK125" i="16"/>
  <c r="AW125" i="16" s="1"/>
  <c r="AK121" i="16"/>
  <c r="AW121" i="16" s="1"/>
  <c r="AK102" i="16"/>
  <c r="AL89" i="16"/>
  <c r="AI79" i="16"/>
  <c r="AU79" i="16" s="1"/>
  <c r="AL70" i="16"/>
  <c r="AX70" i="16" s="1"/>
  <c r="AL68" i="16"/>
  <c r="AX68" i="16" s="1"/>
  <c r="AJ61" i="16"/>
  <c r="AV61" i="16" s="1"/>
  <c r="AJ51" i="16"/>
  <c r="AV51" i="16" s="1"/>
  <c r="AL44" i="16"/>
  <c r="AX44" i="16" s="1"/>
  <c r="AK40" i="16"/>
  <c r="AW40" i="16" s="1"/>
  <c r="AJ33" i="16"/>
  <c r="AV33" i="16" s="1"/>
  <c r="AK16" i="16"/>
  <c r="AW16" i="16" s="1"/>
  <c r="AL129" i="16"/>
  <c r="AX129" i="16" s="1"/>
  <c r="AL131" i="16"/>
  <c r="AL138" i="16"/>
  <c r="AX138" i="16" s="1"/>
  <c r="AL142" i="16"/>
  <c r="AX142" i="16" s="1"/>
  <c r="AL151" i="16"/>
  <c r="AX151" i="16" s="1"/>
  <c r="AK170" i="16"/>
  <c r="AW170" i="16" s="1"/>
  <c r="AI167" i="16"/>
  <c r="AI96" i="16"/>
  <c r="AU96" i="16" s="1"/>
  <c r="AK68" i="16"/>
  <c r="AW68" i="16" s="1"/>
  <c r="AL58" i="16"/>
  <c r="AX58" i="16" s="1"/>
  <c r="AL53" i="16"/>
  <c r="AI51" i="16"/>
  <c r="AU51" i="16" s="1"/>
  <c r="AL50" i="16"/>
  <c r="AX50" i="16" s="1"/>
  <c r="AI33" i="16"/>
  <c r="AU33" i="16" s="1"/>
  <c r="AJ16" i="16"/>
  <c r="AV16" i="16" s="1"/>
  <c r="AK12" i="16"/>
  <c r="AW12" i="16" s="1"/>
  <c r="AI132" i="16"/>
  <c r="AU132" i="16" s="1"/>
  <c r="AI134" i="16"/>
  <c r="AI141" i="16"/>
  <c r="AI148" i="16"/>
  <c r="AU148" i="16" s="1"/>
  <c r="AI152" i="16"/>
  <c r="AU152" i="16" s="1"/>
  <c r="AI121" i="16"/>
  <c r="AU121" i="16" s="1"/>
  <c r="AL67" i="16"/>
  <c r="AX67" i="16" s="1"/>
  <c r="AK53" i="16"/>
  <c r="AW53" i="16" s="1"/>
  <c r="AK50" i="16"/>
  <c r="AW50" i="16" s="1"/>
  <c r="AI40" i="16"/>
  <c r="AU40" i="16" s="1"/>
  <c r="AK39" i="16"/>
  <c r="AW39" i="16" s="1"/>
  <c r="AL35" i="16"/>
  <c r="AX35" i="16" s="1"/>
  <c r="AK23" i="16"/>
  <c r="AW23" i="16" s="1"/>
  <c r="AI16" i="16"/>
  <c r="AU16" i="16" s="1"/>
  <c r="AJ130" i="16"/>
  <c r="AV130" i="16" s="1"/>
  <c r="AJ134" i="16"/>
  <c r="AV134" i="16" s="1"/>
  <c r="AJ139" i="16"/>
  <c r="AV139" i="16" s="1"/>
  <c r="AK113" i="16"/>
  <c r="AW113" i="16" s="1"/>
  <c r="AK60" i="16"/>
  <c r="AW60" i="16" s="1"/>
  <c r="AK35" i="16"/>
  <c r="AW35" i="16" s="1"/>
  <c r="AK15" i="16"/>
  <c r="AW15" i="16" s="1"/>
  <c r="AK132" i="16"/>
  <c r="AK139" i="16"/>
  <c r="AK148" i="16"/>
  <c r="AW148" i="16" s="1"/>
  <c r="AK150" i="16"/>
  <c r="AW150" i="16" s="1"/>
  <c r="AL169" i="16"/>
  <c r="AX169" i="16" s="1"/>
  <c r="AY169" i="16" s="1"/>
  <c r="AJ161" i="16"/>
  <c r="AV161" i="16" s="1"/>
  <c r="AK160" i="16"/>
  <c r="AW160" i="16" s="1"/>
  <c r="AL123" i="16"/>
  <c r="AX123" i="16" s="1"/>
  <c r="AK115" i="16"/>
  <c r="AW115" i="16" s="1"/>
  <c r="AL114" i="16"/>
  <c r="AJ107" i="16"/>
  <c r="AV107" i="16" s="1"/>
  <c r="AJ104" i="16"/>
  <c r="AV104" i="16" s="1"/>
  <c r="AK103" i="16"/>
  <c r="AW103" i="16" s="1"/>
  <c r="AK98" i="16"/>
  <c r="AW98" i="16" s="1"/>
  <c r="AK97" i="16"/>
  <c r="AW97" i="16" s="1"/>
  <c r="AK93" i="16"/>
  <c r="AW93" i="16" s="1"/>
  <c r="AL88" i="16"/>
  <c r="AX88" i="16" s="1"/>
  <c r="AI85" i="16"/>
  <c r="AL79" i="16"/>
  <c r="AX79" i="16" s="1"/>
  <c r="AI67" i="16"/>
  <c r="AU67" i="16" s="1"/>
  <c r="AX66" i="16"/>
  <c r="AL66" i="16"/>
  <c r="AL62" i="16"/>
  <c r="AX62" i="16" s="1"/>
  <c r="AK57" i="16"/>
  <c r="AW57" i="16" s="1"/>
  <c r="AK52" i="16"/>
  <c r="AW52" i="16" s="1"/>
  <c r="AJ49" i="16"/>
  <c r="AV49" i="16" s="1"/>
  <c r="AK48" i="16"/>
  <c r="AW48" i="16" s="1"/>
  <c r="AK34" i="16"/>
  <c r="AW34" i="16" s="1"/>
  <c r="AI30" i="16"/>
  <c r="AU30" i="16" s="1"/>
  <c r="AJ26" i="16"/>
  <c r="AJ25" i="16"/>
  <c r="AV25" i="16" s="1"/>
  <c r="AK22" i="16"/>
  <c r="AW22" i="16" s="1"/>
  <c r="AK21" i="16"/>
  <c r="AW21" i="16" s="1"/>
  <c r="AK13" i="16"/>
  <c r="AW13" i="16" s="1"/>
  <c r="AI129" i="16"/>
  <c r="AI133" i="16"/>
  <c r="AU133" i="16" s="1"/>
  <c r="AI142" i="16"/>
  <c r="AU142" i="16" s="1"/>
  <c r="AI147" i="16"/>
  <c r="AU147" i="16" s="1"/>
  <c r="AI149" i="16"/>
  <c r="AI151" i="16"/>
  <c r="AU151" i="16" s="1"/>
  <c r="AL170" i="16"/>
  <c r="AX170" i="16" s="1"/>
  <c r="AK122" i="16"/>
  <c r="AW122" i="16" s="1"/>
  <c r="AL116" i="16"/>
  <c r="AX116" i="16" s="1"/>
  <c r="AK112" i="16"/>
  <c r="AW112" i="16" s="1"/>
  <c r="AK78" i="16"/>
  <c r="AW78" i="16" s="1"/>
  <c r="AI62" i="16"/>
  <c r="AU62" i="16" s="1"/>
  <c r="AL59" i="16"/>
  <c r="AX59" i="16" s="1"/>
  <c r="AK24" i="16"/>
  <c r="AW24" i="16" s="1"/>
  <c r="AL12" i="16"/>
  <c r="AX12" i="16" s="1"/>
  <c r="AL133" i="16"/>
  <c r="AX133" i="16" s="1"/>
  <c r="AL140" i="16"/>
  <c r="AX140" i="16" s="1"/>
  <c r="AL147" i="16"/>
  <c r="AX147" i="16" s="1"/>
  <c r="AL149" i="16"/>
  <c r="AX149" i="16" s="1"/>
  <c r="AJ159" i="16"/>
  <c r="AK156" i="16"/>
  <c r="AW156" i="16" s="1"/>
  <c r="AL94" i="16"/>
  <c r="AX94" i="16" s="1"/>
  <c r="AK89" i="16"/>
  <c r="AW89" i="16" s="1"/>
  <c r="AI87" i="16"/>
  <c r="AL75" i="16"/>
  <c r="AX75" i="16" s="1"/>
  <c r="AK70" i="16"/>
  <c r="AW70" i="16" s="1"/>
  <c r="AY70" i="16" s="1"/>
  <c r="AI61" i="16"/>
  <c r="AU61" i="16" s="1"/>
  <c r="AL39" i="16"/>
  <c r="AX39" i="16" s="1"/>
  <c r="AK31" i="16"/>
  <c r="AW31" i="16" s="1"/>
  <c r="AI130" i="16"/>
  <c r="AU130" i="16" s="1"/>
  <c r="AI139" i="16"/>
  <c r="AU139" i="16" s="1"/>
  <c r="AJ156" i="16"/>
  <c r="AV156" i="16" s="1"/>
  <c r="AL113" i="16"/>
  <c r="AX113" i="16" s="1"/>
  <c r="AK105" i="16"/>
  <c r="AW105" i="16" s="1"/>
  <c r="AL85" i="16"/>
  <c r="AX85" i="16" s="1"/>
  <c r="AI78" i="16"/>
  <c r="AU78" i="16" s="1"/>
  <c r="AJ68" i="16"/>
  <c r="AV68" i="16" s="1"/>
  <c r="AK58" i="16"/>
  <c r="AW58" i="16" s="1"/>
  <c r="AJ44" i="16"/>
  <c r="AV44" i="16" s="1"/>
  <c r="AY44" i="16" s="1"/>
  <c r="AK32" i="16"/>
  <c r="AW32" i="16" s="1"/>
  <c r="AK14" i="16"/>
  <c r="AM14" i="16" s="1"/>
  <c r="AJ132" i="16"/>
  <c r="AV132" i="16" s="1"/>
  <c r="AJ143" i="16"/>
  <c r="AV143" i="16" s="1"/>
  <c r="AJ150" i="16"/>
  <c r="AV150" i="16" s="1"/>
  <c r="AL120" i="16"/>
  <c r="AX120" i="16" s="1"/>
  <c r="AL111" i="16"/>
  <c r="AX111" i="16" s="1"/>
  <c r="AJ105" i="16"/>
  <c r="AV105" i="16" s="1"/>
  <c r="AL80" i="16"/>
  <c r="AX80" i="16" s="1"/>
  <c r="AJ75" i="16"/>
  <c r="AV75" i="16" s="1"/>
  <c r="AJ58" i="16"/>
  <c r="AV58" i="16" s="1"/>
  <c r="AJ23" i="16"/>
  <c r="AV23" i="16" s="1"/>
  <c r="AK130" i="16"/>
  <c r="AW130" i="16" s="1"/>
  <c r="AK134" i="16"/>
  <c r="AW134" i="16" s="1"/>
  <c r="AK143" i="16"/>
  <c r="AW143" i="16" s="1"/>
  <c r="AK152" i="16"/>
  <c r="AW152" i="16" s="1"/>
  <c r="AL167" i="16"/>
  <c r="AX167" i="16" s="1"/>
  <c r="AI161" i="16"/>
  <c r="AJ160" i="16"/>
  <c r="AV160" i="16" s="1"/>
  <c r="AL157" i="16"/>
  <c r="AX157" i="16" s="1"/>
  <c r="AY157" i="16" s="1"/>
  <c r="AK123" i="16"/>
  <c r="AW123" i="16" s="1"/>
  <c r="AK114" i="16"/>
  <c r="AW114" i="16" s="1"/>
  <c r="AI107" i="16"/>
  <c r="AU107" i="16" s="1"/>
  <c r="AL106" i="16"/>
  <c r="AX106" i="16" s="1"/>
  <c r="AI104" i="16"/>
  <c r="AJ103" i="16"/>
  <c r="AV103" i="16" s="1"/>
  <c r="AY103" i="16" s="1"/>
  <c r="AL96" i="16"/>
  <c r="AX96" i="16" s="1"/>
  <c r="AK88" i="16"/>
  <c r="AW88" i="16" s="1"/>
  <c r="AL87" i="16"/>
  <c r="AX87" i="16" s="1"/>
  <c r="AL86" i="16"/>
  <c r="AX86" i="16" s="1"/>
  <c r="AL84" i="16"/>
  <c r="AX84" i="16" s="1"/>
  <c r="AK79" i="16"/>
  <c r="AW79" i="16" s="1"/>
  <c r="AL76" i="16"/>
  <c r="AX76" i="16" s="1"/>
  <c r="AI71" i="16"/>
  <c r="AL69" i="16"/>
  <c r="AX69" i="16" s="1"/>
  <c r="AK66" i="16"/>
  <c r="AW66" i="16" s="1"/>
  <c r="AK62" i="16"/>
  <c r="AW62" i="16" s="1"/>
  <c r="AL61" i="16"/>
  <c r="AX61" i="16" s="1"/>
  <c r="AJ52" i="16"/>
  <c r="AV52" i="16" s="1"/>
  <c r="AL51" i="16"/>
  <c r="AX51" i="16" s="1"/>
  <c r="AJ48" i="16"/>
  <c r="AV48" i="16" s="1"/>
  <c r="AJ41" i="16"/>
  <c r="AV41" i="16" s="1"/>
  <c r="AJ34" i="16"/>
  <c r="AV34" i="16" s="1"/>
  <c r="AI26" i="16"/>
  <c r="AU26" i="16" s="1"/>
  <c r="AI25" i="16"/>
  <c r="AU25" i="16" s="1"/>
  <c r="AJ21" i="16"/>
  <c r="AV21" i="16" s="1"/>
  <c r="AK17" i="16"/>
  <c r="AW17" i="16" s="1"/>
  <c r="AJ129" i="16"/>
  <c r="AV129" i="16" s="1"/>
  <c r="AJ131" i="16"/>
  <c r="AV131" i="16" s="1"/>
  <c r="AJ138" i="16"/>
  <c r="AV138" i="16" s="1"/>
  <c r="AJ140" i="16"/>
  <c r="AV140" i="16" s="1"/>
  <c r="AJ142" i="16"/>
  <c r="AV142" i="16" s="1"/>
  <c r="AJ147" i="16"/>
  <c r="AV147" i="16" s="1"/>
  <c r="AJ149" i="16"/>
  <c r="AV149" i="16" s="1"/>
  <c r="AJ151" i="16"/>
  <c r="AV151" i="16" s="1"/>
  <c r="AK116" i="16"/>
  <c r="AW116" i="16" s="1"/>
  <c r="AL105" i="16"/>
  <c r="AL95" i="16"/>
  <c r="AX95" i="16" s="1"/>
  <c r="AI86" i="16"/>
  <c r="AU86" i="16" s="1"/>
  <c r="AI84" i="16"/>
  <c r="AU84" i="16" s="1"/>
  <c r="AL77" i="16"/>
  <c r="AX77" i="16" s="1"/>
  <c r="AK59" i="16"/>
  <c r="AW59" i="16" s="1"/>
  <c r="AJ170" i="16"/>
  <c r="AV170" i="16" s="1"/>
  <c r="AI159" i="16"/>
  <c r="AU159" i="16" s="1"/>
  <c r="AK95" i="16"/>
  <c r="AW95" i="16" s="1"/>
  <c r="AL60" i="16"/>
  <c r="AX60" i="16" s="1"/>
  <c r="AI170" i="16"/>
  <c r="AU170" i="16" s="1"/>
  <c r="AL161" i="16"/>
  <c r="AX161" i="16" s="1"/>
  <c r="AL107" i="16"/>
  <c r="AL71" i="16"/>
  <c r="AX71" i="16" s="1"/>
  <c r="AK67" i="16"/>
  <c r="AW67" i="16" s="1"/>
  <c r="AK30" i="16"/>
  <c r="AW30" i="16" s="1"/>
  <c r="AK141" i="16"/>
  <c r="AW141" i="16" s="1"/>
  <c r="AK167" i="16"/>
  <c r="AW167" i="16" s="1"/>
  <c r="AL166" i="16"/>
  <c r="AX166" i="16" s="1"/>
  <c r="AI160" i="16"/>
  <c r="AU160" i="16" s="1"/>
  <c r="AL159" i="16"/>
  <c r="AX159" i="16" s="1"/>
  <c r="AI158" i="16"/>
  <c r="AK157" i="16"/>
  <c r="AW157" i="16" s="1"/>
  <c r="AL125" i="16"/>
  <c r="AX125" i="16" s="1"/>
  <c r="AL122" i="16"/>
  <c r="AX122" i="16" s="1"/>
  <c r="AL121" i="16"/>
  <c r="AX121" i="16" s="1"/>
  <c r="AI115" i="16"/>
  <c r="AU115" i="16" s="1"/>
  <c r="AJ114" i="16"/>
  <c r="AV114" i="16" s="1"/>
  <c r="AL112" i="16"/>
  <c r="AX112" i="16" s="1"/>
  <c r="AK106" i="16"/>
  <c r="AW106" i="16" s="1"/>
  <c r="AI103" i="16"/>
  <c r="AU103" i="16" s="1"/>
  <c r="AL102" i="16"/>
  <c r="AX102" i="16" s="1"/>
  <c r="AI97" i="16"/>
  <c r="AK96" i="16"/>
  <c r="AW96" i="16" s="1"/>
  <c r="AI93" i="16"/>
  <c r="AU93" i="16" s="1"/>
  <c r="AK87" i="16"/>
  <c r="AW87" i="16" s="1"/>
  <c r="AK86" i="16"/>
  <c r="AW86" i="16" s="1"/>
  <c r="AK84" i="16"/>
  <c r="AW84" i="16" s="1"/>
  <c r="AJ79" i="16"/>
  <c r="AV79" i="16" s="1"/>
  <c r="AL78" i="16"/>
  <c r="AX78" i="16" s="1"/>
  <c r="AK76" i="16"/>
  <c r="AW76" i="16" s="1"/>
  <c r="AK69" i="16"/>
  <c r="AW69" i="16" s="1"/>
  <c r="AJ62" i="16"/>
  <c r="AV62" i="16" s="1"/>
  <c r="AK61" i="16"/>
  <c r="AW61" i="16" s="1"/>
  <c r="AI57" i="16"/>
  <c r="AK51" i="16"/>
  <c r="AL40" i="16"/>
  <c r="AX40" i="16" s="1"/>
  <c r="AK33" i="16"/>
  <c r="AW33" i="16" s="1"/>
  <c r="AI21" i="16"/>
  <c r="AJ17" i="16"/>
  <c r="AM17" i="16" s="1"/>
  <c r="AK129" i="16"/>
  <c r="AW129" i="16" s="1"/>
  <c r="AK131" i="16"/>
  <c r="AW131" i="16" s="1"/>
  <c r="AK133" i="16"/>
  <c r="AW133" i="16" s="1"/>
  <c r="AK138" i="16"/>
  <c r="AW138" i="16" s="1"/>
  <c r="AK140" i="16"/>
  <c r="AW140" i="16" s="1"/>
  <c r="AK142" i="16"/>
  <c r="AW142" i="16" s="1"/>
  <c r="AK147" i="16"/>
  <c r="AW147" i="16" s="1"/>
  <c r="AK149" i="16"/>
  <c r="AW149" i="16" s="1"/>
  <c r="AK151" i="16"/>
  <c r="AW151" i="16" s="1"/>
  <c r="AI125" i="17"/>
  <c r="AK62" i="17"/>
  <c r="AW62" i="17" s="1"/>
  <c r="AL31" i="17"/>
  <c r="AX31" i="17" s="1"/>
  <c r="AL16" i="17"/>
  <c r="AX16" i="17" s="1"/>
  <c r="AK12" i="17"/>
  <c r="AW12" i="17" s="1"/>
  <c r="AL133" i="17"/>
  <c r="AX133" i="17" s="1"/>
  <c r="AL138" i="17"/>
  <c r="AX138" i="17" s="1"/>
  <c r="AL142" i="17"/>
  <c r="AX142" i="17" s="1"/>
  <c r="AL149" i="17"/>
  <c r="AX149" i="17" s="1"/>
  <c r="AL167" i="17"/>
  <c r="AX167" i="17" s="1"/>
  <c r="AI124" i="17"/>
  <c r="AU124" i="17" s="1"/>
  <c r="AL114" i="17"/>
  <c r="AX114" i="17" s="1"/>
  <c r="AL87" i="17"/>
  <c r="AX87" i="17" s="1"/>
  <c r="AI80" i="17"/>
  <c r="AU80" i="17" s="1"/>
  <c r="AL79" i="17"/>
  <c r="AX79" i="17" s="1"/>
  <c r="AJ75" i="17"/>
  <c r="AV75" i="17" s="1"/>
  <c r="AI57" i="17"/>
  <c r="AU57" i="17" s="1"/>
  <c r="AJ53" i="17"/>
  <c r="AV53" i="17" s="1"/>
  <c r="AJ44" i="17"/>
  <c r="AV44" i="17" s="1"/>
  <c r="AJ25" i="17"/>
  <c r="AV25" i="17" s="1"/>
  <c r="AL24" i="17"/>
  <c r="AX24" i="17" s="1"/>
  <c r="AJ12" i="17"/>
  <c r="AV12" i="17" s="1"/>
  <c r="AI130" i="17"/>
  <c r="AU130" i="17" s="1"/>
  <c r="AI132" i="17"/>
  <c r="AI134" i="17"/>
  <c r="AU134" i="17" s="1"/>
  <c r="AI139" i="17"/>
  <c r="AU139" i="17" s="1"/>
  <c r="AI141" i="17"/>
  <c r="AU141" i="17" s="1"/>
  <c r="AI143" i="17"/>
  <c r="AU143" i="17" s="1"/>
  <c r="AI148" i="17"/>
  <c r="AU148" i="17" s="1"/>
  <c r="AI150" i="17"/>
  <c r="AU150" i="17" s="1"/>
  <c r="AI152" i="17"/>
  <c r="AU152" i="17" s="1"/>
  <c r="AJ170" i="17"/>
  <c r="AV170" i="17" s="1"/>
  <c r="AK167" i="17"/>
  <c r="AW167" i="17" s="1"/>
  <c r="AJ121" i="17"/>
  <c r="AV121" i="17" s="1"/>
  <c r="AJ115" i="17"/>
  <c r="AV115" i="17" s="1"/>
  <c r="AK114" i="17"/>
  <c r="AW114" i="17" s="1"/>
  <c r="AK106" i="17"/>
  <c r="AW106" i="17" s="1"/>
  <c r="AL105" i="17"/>
  <c r="AX105" i="17" s="1"/>
  <c r="AJ93" i="17"/>
  <c r="AK87" i="17"/>
  <c r="AW87" i="17" s="1"/>
  <c r="AK79" i="17"/>
  <c r="AI75" i="17"/>
  <c r="AU75" i="17" s="1"/>
  <c r="AL67" i="17"/>
  <c r="AX67" i="17" s="1"/>
  <c r="AK30" i="17"/>
  <c r="AI25" i="17"/>
  <c r="AU25" i="17" s="1"/>
  <c r="AL23" i="17"/>
  <c r="AX23" i="17" s="1"/>
  <c r="AL15" i="17"/>
  <c r="AX15" i="17" s="1"/>
  <c r="AI12" i="17"/>
  <c r="AJ130" i="17"/>
  <c r="AV130" i="17" s="1"/>
  <c r="AJ132" i="17"/>
  <c r="AV132" i="17" s="1"/>
  <c r="AJ134" i="17"/>
  <c r="AV134" i="17" s="1"/>
  <c r="AJ139" i="17"/>
  <c r="AV139" i="17" s="1"/>
  <c r="AJ141" i="17"/>
  <c r="AV141" i="17" s="1"/>
  <c r="AJ143" i="17"/>
  <c r="AV143" i="17" s="1"/>
  <c r="AJ148" i="17"/>
  <c r="AJ150" i="17"/>
  <c r="AV150" i="17" s="1"/>
  <c r="AJ152" i="17"/>
  <c r="AV152" i="17" s="1"/>
  <c r="AJ167" i="17"/>
  <c r="AV167" i="17" s="1"/>
  <c r="AL166" i="17"/>
  <c r="AX166" i="17" s="1"/>
  <c r="AY166" i="17" s="1"/>
  <c r="AL159" i="17"/>
  <c r="AX159" i="17" s="1"/>
  <c r="AY159" i="17" s="1"/>
  <c r="AL120" i="17"/>
  <c r="AX120" i="17" s="1"/>
  <c r="AJ106" i="17"/>
  <c r="AV106" i="17" s="1"/>
  <c r="AK105" i="17"/>
  <c r="AW105" i="17" s="1"/>
  <c r="AJ98" i="17"/>
  <c r="AV98" i="17" s="1"/>
  <c r="AI93" i="17"/>
  <c r="AU93" i="17" s="1"/>
  <c r="AL84" i="17"/>
  <c r="AX84" i="17" s="1"/>
  <c r="AL71" i="17"/>
  <c r="AX71" i="17" s="1"/>
  <c r="AK59" i="17"/>
  <c r="AL43" i="17"/>
  <c r="AX43" i="17" s="1"/>
  <c r="AL42" i="17"/>
  <c r="AX42" i="17" s="1"/>
  <c r="AI34" i="17"/>
  <c r="AM34" i="17" s="1"/>
  <c r="AL33" i="17"/>
  <c r="AX33" i="17" s="1"/>
  <c r="AV24" i="17"/>
  <c r="AJ24" i="17"/>
  <c r="AK130" i="17"/>
  <c r="AW130" i="17" s="1"/>
  <c r="AK132" i="17"/>
  <c r="AW132" i="17" s="1"/>
  <c r="AK134" i="17"/>
  <c r="AW134" i="17" s="1"/>
  <c r="AK139" i="17"/>
  <c r="AW139" i="17" s="1"/>
  <c r="AK141" i="17"/>
  <c r="AW141" i="17" s="1"/>
  <c r="AK143" i="17"/>
  <c r="AW143" i="17" s="1"/>
  <c r="AK148" i="17"/>
  <c r="AW148" i="17" s="1"/>
  <c r="AK150" i="17"/>
  <c r="AW150" i="17" s="1"/>
  <c r="AK152" i="17"/>
  <c r="AW152" i="17" s="1"/>
  <c r="AJ168" i="17"/>
  <c r="AV168" i="17" s="1"/>
  <c r="AJ124" i="17"/>
  <c r="AV124" i="17" s="1"/>
  <c r="AJ123" i="17"/>
  <c r="AV123" i="17" s="1"/>
  <c r="AL121" i="17"/>
  <c r="AX121" i="17" s="1"/>
  <c r="AL115" i="17"/>
  <c r="AX115" i="17" s="1"/>
  <c r="AK88" i="17"/>
  <c r="AW88" i="17" s="1"/>
  <c r="AI70" i="17"/>
  <c r="AL61" i="17"/>
  <c r="AX61" i="17" s="1"/>
  <c r="AK53" i="17"/>
  <c r="AW53" i="17" s="1"/>
  <c r="AI40" i="17"/>
  <c r="AK25" i="17"/>
  <c r="AW25" i="17" s="1"/>
  <c r="AJ13" i="17"/>
  <c r="AV13" i="17" s="1"/>
  <c r="AL129" i="17"/>
  <c r="AX129" i="17" s="1"/>
  <c r="AL131" i="17"/>
  <c r="AX131" i="17" s="1"/>
  <c r="AL140" i="17"/>
  <c r="AX140" i="17" s="1"/>
  <c r="AL147" i="17"/>
  <c r="AX147" i="17" s="1"/>
  <c r="AL151" i="17"/>
  <c r="AX151" i="17" s="1"/>
  <c r="AJ113" i="17"/>
  <c r="AV113" i="17" s="1"/>
  <c r="AI106" i="17"/>
  <c r="AU106" i="17" s="1"/>
  <c r="AL96" i="17"/>
  <c r="AX96" i="17" s="1"/>
  <c r="AJ60" i="17"/>
  <c r="AV60" i="17" s="1"/>
  <c r="AL51" i="17"/>
  <c r="AX51" i="17" s="1"/>
  <c r="AL49" i="17"/>
  <c r="AL165" i="17"/>
  <c r="AX165" i="17" s="1"/>
  <c r="AI113" i="17"/>
  <c r="AK96" i="17"/>
  <c r="AW96" i="17" s="1"/>
  <c r="AL89" i="17"/>
  <c r="AX89" i="17" s="1"/>
  <c r="AY89" i="17" s="1"/>
  <c r="AI60" i="17"/>
  <c r="AU60" i="17" s="1"/>
  <c r="AL58" i="17"/>
  <c r="AX58" i="17" s="1"/>
  <c r="AK51" i="17"/>
  <c r="AW51" i="17" s="1"/>
  <c r="AY51" i="17" s="1"/>
  <c r="AK49" i="17"/>
  <c r="AW49" i="17" s="1"/>
  <c r="AI15" i="17"/>
  <c r="AU15" i="17" s="1"/>
  <c r="AL124" i="17"/>
  <c r="AX124" i="17" s="1"/>
  <c r="AL123" i="17"/>
  <c r="AX123" i="17" s="1"/>
  <c r="AL122" i="17"/>
  <c r="AX122" i="17" s="1"/>
  <c r="AK116" i="17"/>
  <c r="AW116" i="17" s="1"/>
  <c r="AL112" i="17"/>
  <c r="AX112" i="17" s="1"/>
  <c r="AI104" i="17"/>
  <c r="AI103" i="17"/>
  <c r="AU103" i="17" s="1"/>
  <c r="AJ96" i="17"/>
  <c r="AV96" i="17" s="1"/>
  <c r="AK95" i="17"/>
  <c r="AW95" i="17" s="1"/>
  <c r="AI84" i="17"/>
  <c r="AL77" i="17"/>
  <c r="AJ41" i="17"/>
  <c r="AV41" i="17" s="1"/>
  <c r="AK40" i="17"/>
  <c r="AW40" i="17" s="1"/>
  <c r="AL39" i="17"/>
  <c r="AX39" i="17" s="1"/>
  <c r="AJ32" i="17"/>
  <c r="AV32" i="17" s="1"/>
  <c r="AJ21" i="17"/>
  <c r="AJ17" i="17"/>
  <c r="AV17" i="17" s="1"/>
  <c r="AI168" i="17"/>
  <c r="AU168" i="17" s="1"/>
  <c r="AL160" i="17"/>
  <c r="AX160" i="17" s="1"/>
  <c r="AY160" i="17" s="1"/>
  <c r="AL156" i="17"/>
  <c r="AX156" i="17" s="1"/>
  <c r="AL98" i="17"/>
  <c r="AX98" i="17" s="1"/>
  <c r="AJ78" i="17"/>
  <c r="AV78" i="17" s="1"/>
  <c r="AL50" i="17"/>
  <c r="AX50" i="17" s="1"/>
  <c r="AL169" i="17"/>
  <c r="AX169" i="17" s="1"/>
  <c r="AL158" i="17"/>
  <c r="AX158" i="17" s="1"/>
  <c r="AL125" i="17"/>
  <c r="AX125" i="17" s="1"/>
  <c r="AL95" i="17"/>
  <c r="AX95" i="17" s="1"/>
  <c r="AI85" i="17"/>
  <c r="AU85" i="17" s="1"/>
  <c r="AJ84" i="17"/>
  <c r="AV84" i="17" s="1"/>
  <c r="AL70" i="17"/>
  <c r="AX70" i="17" s="1"/>
  <c r="AI59" i="17"/>
  <c r="AU59" i="17" s="1"/>
  <c r="AK50" i="17"/>
  <c r="AW50" i="17" s="1"/>
  <c r="AL40" i="17"/>
  <c r="AX40" i="17" s="1"/>
  <c r="AL161" i="17"/>
  <c r="AX161" i="17" s="1"/>
  <c r="AY161" i="17" s="1"/>
  <c r="AL157" i="17"/>
  <c r="AX157" i="17" s="1"/>
  <c r="AY157" i="17" s="1"/>
  <c r="AJ125" i="17"/>
  <c r="AV125" i="17" s="1"/>
  <c r="AK124" i="17"/>
  <c r="AW124" i="17" s="1"/>
  <c r="AK123" i="17"/>
  <c r="AW123" i="17" s="1"/>
  <c r="AK122" i="17"/>
  <c r="AW122" i="17" s="1"/>
  <c r="AJ116" i="17"/>
  <c r="AV116" i="17" s="1"/>
  <c r="AL111" i="17"/>
  <c r="AX111" i="17" s="1"/>
  <c r="AL102" i="17"/>
  <c r="AX102" i="17" s="1"/>
  <c r="AL88" i="17"/>
  <c r="AX88" i="17" s="1"/>
  <c r="AK77" i="17"/>
  <c r="AW77" i="17" s="1"/>
  <c r="AL69" i="17"/>
  <c r="AX69" i="17" s="1"/>
  <c r="AI66" i="17"/>
  <c r="AL62" i="17"/>
  <c r="AX62" i="17" s="1"/>
  <c r="AL53" i="17"/>
  <c r="AX53" i="17" s="1"/>
  <c r="AJ40" i="17"/>
  <c r="AV40" i="17" s="1"/>
  <c r="AK39" i="17"/>
  <c r="AL35" i="17"/>
  <c r="AX35" i="17" s="1"/>
  <c r="AI17" i="17"/>
  <c r="AU17" i="17" s="1"/>
  <c r="AL86" i="17"/>
  <c r="AX86" i="17" s="1"/>
  <c r="AK69" i="17"/>
  <c r="AW69" i="17" s="1"/>
  <c r="AJ67" i="17"/>
  <c r="AV67" i="17" s="1"/>
  <c r="AK61" i="17"/>
  <c r="AW61" i="17" s="1"/>
  <c r="AJ49" i="17"/>
  <c r="AV49" i="17" s="1"/>
  <c r="AL48" i="17"/>
  <c r="AX48" i="17" s="1"/>
  <c r="AI39" i="17"/>
  <c r="AU39" i="17" s="1"/>
  <c r="AL134" i="17"/>
  <c r="AX134" i="17" s="1"/>
  <c r="AL148" i="17"/>
  <c r="AX148" i="17" s="1"/>
  <c r="AJ169" i="17"/>
  <c r="AV169" i="17" s="1"/>
  <c r="AI123" i="17"/>
  <c r="AU123" i="17" s="1"/>
  <c r="AJ122" i="17"/>
  <c r="AV122" i="17" s="1"/>
  <c r="AK120" i="17"/>
  <c r="AW120" i="17" s="1"/>
  <c r="AI115" i="17"/>
  <c r="AI112" i="17"/>
  <c r="AU112" i="17" s="1"/>
  <c r="AL104" i="17"/>
  <c r="AX104" i="17" s="1"/>
  <c r="AL97" i="17"/>
  <c r="AX97" i="17" s="1"/>
  <c r="AI95" i="17"/>
  <c r="AK94" i="17"/>
  <c r="AW94" i="17" s="1"/>
  <c r="AK86" i="17"/>
  <c r="AW86" i="17" s="1"/>
  <c r="AL80" i="17"/>
  <c r="AX80" i="17" s="1"/>
  <c r="AL76" i="17"/>
  <c r="AX76" i="17" s="1"/>
  <c r="AJ71" i="17"/>
  <c r="AV71" i="17" s="1"/>
  <c r="AY71" i="17" s="1"/>
  <c r="AI67" i="17"/>
  <c r="AU67" i="17" s="1"/>
  <c r="AL66" i="17"/>
  <c r="AX66" i="17" s="1"/>
  <c r="AJ61" i="17"/>
  <c r="AV61" i="17" s="1"/>
  <c r="AL52" i="17"/>
  <c r="AX52" i="17" s="1"/>
  <c r="AI50" i="17"/>
  <c r="AU50" i="17" s="1"/>
  <c r="AI49" i="17"/>
  <c r="AU49" i="17" s="1"/>
  <c r="AK48" i="17"/>
  <c r="AJ42" i="17"/>
  <c r="AV42" i="17" s="1"/>
  <c r="AJ35" i="17"/>
  <c r="AV35" i="17" s="1"/>
  <c r="AL34" i="17"/>
  <c r="AX34" i="17" s="1"/>
  <c r="AJ23" i="17"/>
  <c r="AV23" i="17" s="1"/>
  <c r="AJ16" i="17"/>
  <c r="AV16" i="17" s="1"/>
  <c r="AY16" i="17" s="1"/>
  <c r="AK14" i="17"/>
  <c r="AI129" i="17"/>
  <c r="AI131" i="17"/>
  <c r="AU131" i="17" s="1"/>
  <c r="AI133" i="17"/>
  <c r="AU133" i="17" s="1"/>
  <c r="AI138" i="17"/>
  <c r="AI140" i="17"/>
  <c r="AU140" i="17" s="1"/>
  <c r="AI142" i="17"/>
  <c r="AI147" i="17"/>
  <c r="AU147" i="17" s="1"/>
  <c r="AI149" i="17"/>
  <c r="AI151" i="17"/>
  <c r="AU151" i="17" s="1"/>
  <c r="AL94" i="17"/>
  <c r="AX94" i="17" s="1"/>
  <c r="AJ58" i="17"/>
  <c r="AV58" i="17" s="1"/>
  <c r="AY58" i="17" s="1"/>
  <c r="AJ50" i="17"/>
  <c r="AV50" i="17" s="1"/>
  <c r="AK23" i="17"/>
  <c r="AW23" i="17" s="1"/>
  <c r="AL22" i="17"/>
  <c r="AX22" i="17" s="1"/>
  <c r="AL14" i="17"/>
  <c r="AX14" i="17" s="1"/>
  <c r="AL132" i="17"/>
  <c r="AX132" i="17" s="1"/>
  <c r="AL141" i="17"/>
  <c r="AX141" i="17" s="1"/>
  <c r="AL152" i="17"/>
  <c r="AX152" i="17" s="1"/>
  <c r="AL170" i="17"/>
  <c r="AX170" i="17" s="1"/>
  <c r="AL168" i="17"/>
  <c r="AX168" i="17" s="1"/>
  <c r="AI122" i="17"/>
  <c r="AI114" i="17"/>
  <c r="AU114" i="17" s="1"/>
  <c r="AL113" i="17"/>
  <c r="AX113" i="17" s="1"/>
  <c r="AK97" i="17"/>
  <c r="AW97" i="17" s="1"/>
  <c r="AL93" i="17"/>
  <c r="AX93" i="17" s="1"/>
  <c r="AJ86" i="17"/>
  <c r="AL85" i="17"/>
  <c r="AX85" i="17" s="1"/>
  <c r="AL78" i="17"/>
  <c r="AX78" i="17" s="1"/>
  <c r="AY78" i="17" s="1"/>
  <c r="AK76" i="17"/>
  <c r="AW76" i="17" s="1"/>
  <c r="AI69" i="17"/>
  <c r="AU69" i="17" s="1"/>
  <c r="AL68" i="17"/>
  <c r="AX68" i="17" s="1"/>
  <c r="AL60" i="17"/>
  <c r="AX60" i="17" s="1"/>
  <c r="AL57" i="17"/>
  <c r="AX57" i="17" s="1"/>
  <c r="AL44" i="17"/>
  <c r="AI43" i="17"/>
  <c r="AU43" i="17" s="1"/>
  <c r="AI42" i="17"/>
  <c r="AU42" i="17" s="1"/>
  <c r="AI35" i="17"/>
  <c r="AU35" i="17" s="1"/>
  <c r="AL32" i="17"/>
  <c r="AI31" i="17"/>
  <c r="AU31" i="17" s="1"/>
  <c r="AJ26" i="17"/>
  <c r="AV26" i="17" s="1"/>
  <c r="AI23" i="17"/>
  <c r="AU23" i="17" s="1"/>
  <c r="AJ22" i="17"/>
  <c r="AV22" i="17" s="1"/>
  <c r="AL21" i="17"/>
  <c r="AX21" i="17" s="1"/>
  <c r="AL13" i="17"/>
  <c r="AX13" i="17" s="1"/>
  <c r="AJ129" i="17"/>
  <c r="AV129" i="17" s="1"/>
  <c r="AJ131" i="17"/>
  <c r="AV131" i="17" s="1"/>
  <c r="AJ133" i="17"/>
  <c r="AV133" i="17" s="1"/>
  <c r="AJ138" i="17"/>
  <c r="AV138" i="17" s="1"/>
  <c r="AJ140" i="17"/>
  <c r="AV140" i="17" s="1"/>
  <c r="AJ142" i="17"/>
  <c r="AV142" i="17" s="1"/>
  <c r="AJ147" i="17"/>
  <c r="AV147" i="17" s="1"/>
  <c r="AJ149" i="17"/>
  <c r="AV149" i="17" s="1"/>
  <c r="AJ151" i="17"/>
  <c r="AV151" i="17" s="1"/>
  <c r="AK102" i="17"/>
  <c r="AW102" i="17" s="1"/>
  <c r="AJ95" i="17"/>
  <c r="AV95" i="17" s="1"/>
  <c r="AJ87" i="17"/>
  <c r="AV87" i="17" s="1"/>
  <c r="AK42" i="17"/>
  <c r="AW42" i="17" s="1"/>
  <c r="AI33" i="17"/>
  <c r="AU33" i="17" s="1"/>
  <c r="AL26" i="17"/>
  <c r="AX26" i="17" s="1"/>
  <c r="AI24" i="17"/>
  <c r="AU24" i="17" s="1"/>
  <c r="AL130" i="17"/>
  <c r="AX130" i="17" s="1"/>
  <c r="AL139" i="17"/>
  <c r="AX139" i="17" s="1"/>
  <c r="AL143" i="17"/>
  <c r="AX143" i="17" s="1"/>
  <c r="AL150" i="17"/>
  <c r="AX150" i="17" s="1"/>
  <c r="AL116" i="17"/>
  <c r="AX116" i="17" s="1"/>
  <c r="AL107" i="17"/>
  <c r="AX107" i="17" s="1"/>
  <c r="AY107" i="17" s="1"/>
  <c r="AL106" i="17"/>
  <c r="AX106" i="17" s="1"/>
  <c r="AJ104" i="17"/>
  <c r="AV104" i="17" s="1"/>
  <c r="AL103" i="17"/>
  <c r="AX103" i="17" s="1"/>
  <c r="AI94" i="17"/>
  <c r="AU94" i="17" s="1"/>
  <c r="AI86" i="17"/>
  <c r="AU86" i="17" s="1"/>
  <c r="AK85" i="17"/>
  <c r="AW85" i="17" s="1"/>
  <c r="AJ76" i="17"/>
  <c r="AV76" i="17" s="1"/>
  <c r="AL75" i="17"/>
  <c r="AX75" i="17" s="1"/>
  <c r="AK68" i="17"/>
  <c r="AW68" i="17" s="1"/>
  <c r="AL59" i="17"/>
  <c r="AX59" i="17" s="1"/>
  <c r="AK57" i="17"/>
  <c r="AJ52" i="17"/>
  <c r="AM52" i="17" s="1"/>
  <c r="AK44" i="17"/>
  <c r="AW44" i="17" s="1"/>
  <c r="AL41" i="17"/>
  <c r="AX41" i="17" s="1"/>
  <c r="AJ34" i="17"/>
  <c r="AV34" i="17" s="1"/>
  <c r="AL30" i="17"/>
  <c r="AX30" i="17" s="1"/>
  <c r="AL25" i="17"/>
  <c r="AX25" i="17" s="1"/>
  <c r="AI22" i="17"/>
  <c r="AU22" i="17" s="1"/>
  <c r="AK21" i="17"/>
  <c r="AW21" i="17" s="1"/>
  <c r="AL17" i="17"/>
  <c r="AX17" i="17" s="1"/>
  <c r="AK13" i="17"/>
  <c r="AW13" i="17" s="1"/>
  <c r="AL12" i="17"/>
  <c r="AX12" i="17" s="1"/>
  <c r="AK129" i="17"/>
  <c r="AW129" i="17" s="1"/>
  <c r="AK131" i="17"/>
  <c r="AW131" i="17" s="1"/>
  <c r="AK133" i="17"/>
  <c r="AW133" i="17" s="1"/>
  <c r="AK138" i="17"/>
  <c r="AW138" i="17" s="1"/>
  <c r="AK140" i="17"/>
  <c r="AW140" i="17" s="1"/>
  <c r="AK142" i="17"/>
  <c r="AW142" i="17" s="1"/>
  <c r="AK147" i="17"/>
  <c r="AW147" i="17" s="1"/>
  <c r="AK149" i="17"/>
  <c r="AW149" i="17" s="1"/>
  <c r="AK151" i="17"/>
  <c r="AW151" i="17" s="1"/>
  <c r="AL169" i="18"/>
  <c r="AX169" i="18" s="1"/>
  <c r="AJ161" i="18"/>
  <c r="AV161" i="18" s="1"/>
  <c r="AJ156" i="18"/>
  <c r="AV156" i="18" s="1"/>
  <c r="AK61" i="18"/>
  <c r="AW61" i="18" s="1"/>
  <c r="AK53" i="18"/>
  <c r="AW53" i="18" s="1"/>
  <c r="AJ49" i="18"/>
  <c r="AV49" i="18" s="1"/>
  <c r="AK48" i="18"/>
  <c r="AW48" i="18" s="1"/>
  <c r="AI40" i="18"/>
  <c r="AU40" i="18" s="1"/>
  <c r="AK35" i="18"/>
  <c r="AW35" i="18" s="1"/>
  <c r="AJ15" i="18"/>
  <c r="AV15" i="18" s="1"/>
  <c r="AJ130" i="18"/>
  <c r="AV130" i="18" s="1"/>
  <c r="AJ132" i="18"/>
  <c r="AJ134" i="18"/>
  <c r="AV134" i="18" s="1"/>
  <c r="AJ139" i="18"/>
  <c r="AV139" i="18" s="1"/>
  <c r="AJ141" i="18"/>
  <c r="AV141" i="18" s="1"/>
  <c r="AJ143" i="18"/>
  <c r="AJ148" i="18"/>
  <c r="AV148" i="18" s="1"/>
  <c r="AJ150" i="18"/>
  <c r="AV150" i="18" s="1"/>
  <c r="AJ152" i="18"/>
  <c r="AV152" i="18" s="1"/>
  <c r="AL168" i="18"/>
  <c r="AX168" i="18" s="1"/>
  <c r="AL97" i="18"/>
  <c r="AX97" i="18" s="1"/>
  <c r="AI49" i="18"/>
  <c r="AK22" i="18"/>
  <c r="AI15" i="18"/>
  <c r="AU15" i="18" s="1"/>
  <c r="AJ12" i="18"/>
  <c r="AV12" i="18" s="1"/>
  <c r="AK130" i="18"/>
  <c r="AW130" i="18" s="1"/>
  <c r="AK132" i="18"/>
  <c r="AW132" i="18" s="1"/>
  <c r="AK134" i="18"/>
  <c r="AW134" i="18" s="1"/>
  <c r="AK139" i="18"/>
  <c r="AW139" i="18" s="1"/>
  <c r="AK141" i="18"/>
  <c r="AW141" i="18" s="1"/>
  <c r="AK143" i="18"/>
  <c r="AW143" i="18" s="1"/>
  <c r="AK148" i="18"/>
  <c r="AW148" i="18" s="1"/>
  <c r="AK150" i="18"/>
  <c r="AW150" i="18" s="1"/>
  <c r="AK152" i="18"/>
  <c r="AW152" i="18" s="1"/>
  <c r="AI67" i="18"/>
  <c r="AU67" i="18" s="1"/>
  <c r="AJ23" i="18"/>
  <c r="AV23" i="18" s="1"/>
  <c r="AJ22" i="18"/>
  <c r="AV22" i="18" s="1"/>
  <c r="AL21" i="18"/>
  <c r="AX21" i="18" s="1"/>
  <c r="AI12" i="18"/>
  <c r="AU12" i="18" s="1"/>
  <c r="AL130" i="18"/>
  <c r="AX130" i="18" s="1"/>
  <c r="AL132" i="18"/>
  <c r="AX132" i="18" s="1"/>
  <c r="AL134" i="18"/>
  <c r="AX134" i="18" s="1"/>
  <c r="AL139" i="18"/>
  <c r="AX139" i="18" s="1"/>
  <c r="AL141" i="18"/>
  <c r="AX141" i="18" s="1"/>
  <c r="AL143" i="18"/>
  <c r="AX143" i="18" s="1"/>
  <c r="AL148" i="18"/>
  <c r="AX148" i="18" s="1"/>
  <c r="AL150" i="18"/>
  <c r="AX150" i="18" s="1"/>
  <c r="AL152" i="18"/>
  <c r="AX152" i="18" s="1"/>
  <c r="AI169" i="18"/>
  <c r="AU169" i="18" s="1"/>
  <c r="AK104" i="18"/>
  <c r="AW104" i="18" s="1"/>
  <c r="AJ97" i="18"/>
  <c r="AV97" i="18" s="1"/>
  <c r="AY97" i="18" s="1"/>
  <c r="AK88" i="18"/>
  <c r="AW88" i="18" s="1"/>
  <c r="AK165" i="18"/>
  <c r="AW165" i="18" s="1"/>
  <c r="AL161" i="18"/>
  <c r="AX161" i="18" s="1"/>
  <c r="AL160" i="18"/>
  <c r="AX160" i="18" s="1"/>
  <c r="AI158" i="18"/>
  <c r="AU158" i="18" s="1"/>
  <c r="AJ157" i="18"/>
  <c r="AV157" i="18" s="1"/>
  <c r="AK94" i="18"/>
  <c r="AW94" i="18" s="1"/>
  <c r="AJ86" i="18"/>
  <c r="AL85" i="18"/>
  <c r="AX85" i="18" s="1"/>
  <c r="AJ77" i="18"/>
  <c r="AV77" i="18" s="1"/>
  <c r="AI70" i="18"/>
  <c r="AU70" i="18" s="1"/>
  <c r="AJ57" i="18"/>
  <c r="AV57" i="18" s="1"/>
  <c r="AL39" i="18"/>
  <c r="AJ25" i="18"/>
  <c r="AV25" i="18" s="1"/>
  <c r="AL14" i="18"/>
  <c r="AX14" i="18" s="1"/>
  <c r="AK161" i="18"/>
  <c r="AW161" i="18" s="1"/>
  <c r="AK160" i="18"/>
  <c r="AW160" i="18" s="1"/>
  <c r="AI157" i="18"/>
  <c r="AU157" i="18" s="1"/>
  <c r="AL102" i="18"/>
  <c r="AX102" i="18" s="1"/>
  <c r="AJ94" i="18"/>
  <c r="AK85" i="18"/>
  <c r="AW85" i="18" s="1"/>
  <c r="AL61" i="18"/>
  <c r="AX61" i="18" s="1"/>
  <c r="AL53" i="18"/>
  <c r="AX53" i="18" s="1"/>
  <c r="AL48" i="18"/>
  <c r="AL44" i="18"/>
  <c r="AX44" i="18" s="1"/>
  <c r="AK39" i="18"/>
  <c r="AW39" i="18" s="1"/>
  <c r="AL35" i="18"/>
  <c r="AX35" i="18" s="1"/>
  <c r="AJ16" i="18"/>
  <c r="AV16" i="18" s="1"/>
  <c r="AK15" i="18"/>
  <c r="AW15" i="18" s="1"/>
  <c r="AK14" i="18"/>
  <c r="AW14" i="18" s="1"/>
  <c r="AL13" i="18"/>
  <c r="AX13" i="18" s="1"/>
  <c r="AJ169" i="18"/>
  <c r="AV169" i="18" s="1"/>
  <c r="AJ159" i="18"/>
  <c r="AV159" i="18" s="1"/>
  <c r="AL88" i="18"/>
  <c r="AX88" i="18" s="1"/>
  <c r="AK42" i="18"/>
  <c r="AW42" i="18" s="1"/>
  <c r="AJ168" i="18"/>
  <c r="AV168" i="18" s="1"/>
  <c r="AJ80" i="18"/>
  <c r="AV80" i="18" s="1"/>
  <c r="AL51" i="18"/>
  <c r="AX51" i="18" s="1"/>
  <c r="AI43" i="18"/>
  <c r="AJ42" i="18"/>
  <c r="AI168" i="18"/>
  <c r="AU168" i="18" s="1"/>
  <c r="AJ166" i="18"/>
  <c r="AV166" i="18" s="1"/>
  <c r="AK158" i="18"/>
  <c r="AW158" i="18" s="1"/>
  <c r="AL157" i="18"/>
  <c r="AX157" i="18" s="1"/>
  <c r="AJ104" i="18"/>
  <c r="AV104" i="18" s="1"/>
  <c r="AL103" i="18"/>
  <c r="AX103" i="18" s="1"/>
  <c r="AJ95" i="18"/>
  <c r="AV95" i="18" s="1"/>
  <c r="AJ88" i="18"/>
  <c r="AV88" i="18" s="1"/>
  <c r="AL77" i="18"/>
  <c r="AX77" i="18" s="1"/>
  <c r="AL76" i="18"/>
  <c r="AX76" i="18" s="1"/>
  <c r="AJ59" i="18"/>
  <c r="AV59" i="18" s="1"/>
  <c r="AL58" i="18"/>
  <c r="AX58" i="18" s="1"/>
  <c r="AK51" i="18"/>
  <c r="AI42" i="18"/>
  <c r="AU42" i="18" s="1"/>
  <c r="AI33" i="18"/>
  <c r="AJ32" i="18"/>
  <c r="AV32" i="18" s="1"/>
  <c r="AL31" i="18"/>
  <c r="AX31" i="18" s="1"/>
  <c r="AL25" i="18"/>
  <c r="AX25" i="18" s="1"/>
  <c r="AJ170" i="18"/>
  <c r="AV170" i="18" s="1"/>
  <c r="AI165" i="18"/>
  <c r="AI161" i="18"/>
  <c r="AL80" i="18"/>
  <c r="AX80" i="18" s="1"/>
  <c r="AL71" i="18"/>
  <c r="AX71" i="18" s="1"/>
  <c r="AK168" i="18"/>
  <c r="AW168" i="18" s="1"/>
  <c r="AL167" i="18"/>
  <c r="AX167" i="18" s="1"/>
  <c r="AL104" i="18"/>
  <c r="AX104" i="18" s="1"/>
  <c r="AK97" i="18"/>
  <c r="AW97" i="18" s="1"/>
  <c r="AL96" i="18"/>
  <c r="AX96" i="18" s="1"/>
  <c r="AJ89" i="18"/>
  <c r="AK80" i="18"/>
  <c r="AW80" i="18" s="1"/>
  <c r="AY80" i="18" s="1"/>
  <c r="AL79" i="18"/>
  <c r="AX79" i="18" s="1"/>
  <c r="AK59" i="18"/>
  <c r="AW59" i="18" s="1"/>
  <c r="AI23" i="18"/>
  <c r="AU23" i="18" s="1"/>
  <c r="AI22" i="18"/>
  <c r="AU22" i="18" s="1"/>
  <c r="AI167" i="18"/>
  <c r="AU167" i="18" s="1"/>
  <c r="AK157" i="18"/>
  <c r="AW157" i="18" s="1"/>
  <c r="AL94" i="18"/>
  <c r="AX94" i="18" s="1"/>
  <c r="AK86" i="18"/>
  <c r="AW86" i="18" s="1"/>
  <c r="AK77" i="18"/>
  <c r="AW77" i="18" s="1"/>
  <c r="AK76" i="18"/>
  <c r="AW76" i="18" s="1"/>
  <c r="AL68" i="18"/>
  <c r="AX68" i="18" s="1"/>
  <c r="AJ51" i="18"/>
  <c r="AV51" i="18" s="1"/>
  <c r="AI32" i="18"/>
  <c r="AU32" i="18" s="1"/>
  <c r="AI103" i="18"/>
  <c r="AU103" i="18" s="1"/>
  <c r="AK98" i="18"/>
  <c r="AL95" i="18"/>
  <c r="AX95" i="18" s="1"/>
  <c r="AJ93" i="18"/>
  <c r="AV93" i="18" s="1"/>
  <c r="AL89" i="18"/>
  <c r="AX89" i="18" s="1"/>
  <c r="AJ87" i="18"/>
  <c r="AV87" i="18" s="1"/>
  <c r="AK84" i="18"/>
  <c r="AW84" i="18" s="1"/>
  <c r="AK78" i="18"/>
  <c r="AW78" i="18" s="1"/>
  <c r="AL70" i="18"/>
  <c r="AX70" i="18" s="1"/>
  <c r="AL67" i="18"/>
  <c r="AX67" i="18" s="1"/>
  <c r="AK62" i="18"/>
  <c r="AW62" i="18" s="1"/>
  <c r="AL57" i="18"/>
  <c r="AX57" i="18" s="1"/>
  <c r="AK52" i="18"/>
  <c r="AW52" i="18" s="1"/>
  <c r="AI50" i="18"/>
  <c r="AL43" i="18"/>
  <c r="AX43" i="18" s="1"/>
  <c r="AI41" i="18"/>
  <c r="AU41" i="18" s="1"/>
  <c r="AI34" i="18"/>
  <c r="AU34" i="18" s="1"/>
  <c r="AK33" i="18"/>
  <c r="AW33" i="18" s="1"/>
  <c r="AL32" i="18"/>
  <c r="AX32" i="18" s="1"/>
  <c r="AL30" i="18"/>
  <c r="AX30" i="18" s="1"/>
  <c r="AL16" i="18"/>
  <c r="AX16" i="18" s="1"/>
  <c r="AL12" i="18"/>
  <c r="AX12" i="18" s="1"/>
  <c r="AL129" i="18"/>
  <c r="AX129" i="18" s="1"/>
  <c r="AL131" i="18"/>
  <c r="AX131" i="18" s="1"/>
  <c r="AL133" i="18"/>
  <c r="AX133" i="18" s="1"/>
  <c r="AL138" i="18"/>
  <c r="AX138" i="18" s="1"/>
  <c r="AL142" i="18"/>
  <c r="AX142" i="18" s="1"/>
  <c r="AL147" i="18"/>
  <c r="AX147" i="18" s="1"/>
  <c r="AL149" i="18"/>
  <c r="AX149" i="18" s="1"/>
  <c r="AL151" i="18"/>
  <c r="AX151" i="18" s="1"/>
  <c r="AI170" i="18"/>
  <c r="AU170" i="18" s="1"/>
  <c r="AK169" i="18"/>
  <c r="AW169" i="18" s="1"/>
  <c r="AI166" i="18"/>
  <c r="AL165" i="18"/>
  <c r="AX165" i="18" s="1"/>
  <c r="AI159" i="18"/>
  <c r="AU159" i="18" s="1"/>
  <c r="AL158" i="18"/>
  <c r="AX158" i="18" s="1"/>
  <c r="AK95" i="18"/>
  <c r="AW95" i="18" s="1"/>
  <c r="AK89" i="18"/>
  <c r="AW89" i="18" s="1"/>
  <c r="AL86" i="18"/>
  <c r="AX86" i="18" s="1"/>
  <c r="AJ84" i="18"/>
  <c r="AV84" i="18" s="1"/>
  <c r="AJ78" i="18"/>
  <c r="AV78" i="18" s="1"/>
  <c r="AI75" i="18"/>
  <c r="AU75" i="18" s="1"/>
  <c r="AI69" i="18"/>
  <c r="AU69" i="18" s="1"/>
  <c r="AJ62" i="18"/>
  <c r="AV62" i="18" s="1"/>
  <c r="AL59" i="18"/>
  <c r="AX59" i="18" s="1"/>
  <c r="AK57" i="18"/>
  <c r="AW57" i="18" s="1"/>
  <c r="AJ52" i="18"/>
  <c r="AV52" i="18" s="1"/>
  <c r="AL49" i="18"/>
  <c r="AX49" i="18" s="1"/>
  <c r="AK43" i="18"/>
  <c r="AW43" i="18" s="1"/>
  <c r="AL42" i="18"/>
  <c r="AX42" i="18" s="1"/>
  <c r="AJ40" i="18"/>
  <c r="AV40" i="18" s="1"/>
  <c r="AK32" i="18"/>
  <c r="AW32" i="18" s="1"/>
  <c r="AK30" i="18"/>
  <c r="AW30" i="18" s="1"/>
  <c r="AL23" i="18"/>
  <c r="AX23" i="18" s="1"/>
  <c r="AL22" i="18"/>
  <c r="AX22" i="18" s="1"/>
  <c r="AK16" i="18"/>
  <c r="AW16" i="18" s="1"/>
  <c r="AL15" i="18"/>
  <c r="AX15" i="18" s="1"/>
  <c r="AI130" i="18"/>
  <c r="AI132" i="18"/>
  <c r="AU132" i="18" s="1"/>
  <c r="AI134" i="18"/>
  <c r="AU134" i="18" s="1"/>
  <c r="AI139" i="18"/>
  <c r="AI141" i="18"/>
  <c r="AM141" i="18" s="1"/>
  <c r="AI143" i="18"/>
  <c r="AU143" i="18" s="1"/>
  <c r="AI148" i="18"/>
  <c r="AU148" i="18" s="1"/>
  <c r="AI150" i="18"/>
  <c r="AI152" i="18"/>
  <c r="AL66" i="18"/>
  <c r="AX66" i="18" s="1"/>
  <c r="AY66" i="18" s="1"/>
  <c r="AJ61" i="18"/>
  <c r="AV61" i="18" s="1"/>
  <c r="AK58" i="18"/>
  <c r="AW58" i="18" s="1"/>
  <c r="AL50" i="18"/>
  <c r="AX50" i="18" s="1"/>
  <c r="AK44" i="18"/>
  <c r="AW44" i="18" s="1"/>
  <c r="AL34" i="18"/>
  <c r="AX34" i="18" s="1"/>
  <c r="AJ31" i="18"/>
  <c r="AV31" i="18" s="1"/>
  <c r="AI25" i="18"/>
  <c r="AL24" i="18"/>
  <c r="AX24" i="18" s="1"/>
  <c r="AJ21" i="18"/>
  <c r="AV21" i="18" s="1"/>
  <c r="AL17" i="18"/>
  <c r="AX17" i="18" s="1"/>
  <c r="AI133" i="18"/>
  <c r="AI140" i="18"/>
  <c r="AU140" i="18" s="1"/>
  <c r="AI147" i="18"/>
  <c r="AU147" i="18" s="1"/>
  <c r="AI151" i="18"/>
  <c r="AU151" i="18" s="1"/>
  <c r="AL170" i="18"/>
  <c r="AX170" i="18" s="1"/>
  <c r="AK167" i="18"/>
  <c r="AW167" i="18" s="1"/>
  <c r="AL166" i="18"/>
  <c r="AX166" i="18" s="1"/>
  <c r="AJ160" i="18"/>
  <c r="AV160" i="18" s="1"/>
  <c r="AL159" i="18"/>
  <c r="AX159" i="18" s="1"/>
  <c r="AL156" i="18"/>
  <c r="AX156" i="18" s="1"/>
  <c r="AI104" i="18"/>
  <c r="AU104" i="18" s="1"/>
  <c r="AI102" i="18"/>
  <c r="AK96" i="18"/>
  <c r="AW96" i="18" s="1"/>
  <c r="AL93" i="18"/>
  <c r="AX93" i="18" s="1"/>
  <c r="AL87" i="18"/>
  <c r="AX87" i="18" s="1"/>
  <c r="AJ85" i="18"/>
  <c r="AK79" i="18"/>
  <c r="AW79" i="18" s="1"/>
  <c r="AJ76" i="18"/>
  <c r="AV76" i="18" s="1"/>
  <c r="AL75" i="18"/>
  <c r="AX75" i="18" s="1"/>
  <c r="AI71" i="18"/>
  <c r="AU71" i="18" s="1"/>
  <c r="AL69" i="18"/>
  <c r="AI68" i="18"/>
  <c r="AU68" i="18" s="1"/>
  <c r="AK60" i="18"/>
  <c r="AW60" i="18" s="1"/>
  <c r="AJ58" i="18"/>
  <c r="AM58" i="18" s="1"/>
  <c r="AI48" i="18"/>
  <c r="AU48" i="18" s="1"/>
  <c r="AJ44" i="18"/>
  <c r="AV44" i="18" s="1"/>
  <c r="AK41" i="18"/>
  <c r="AW41" i="18" s="1"/>
  <c r="AI35" i="18"/>
  <c r="AU35" i="18" s="1"/>
  <c r="AK34" i="18"/>
  <c r="AW34" i="18" s="1"/>
  <c r="AL26" i="18"/>
  <c r="AX26" i="18" s="1"/>
  <c r="AI21" i="18"/>
  <c r="AU21" i="18" s="1"/>
  <c r="AK17" i="18"/>
  <c r="AM17" i="18" s="1"/>
  <c r="AJ13" i="18"/>
  <c r="AV13" i="18" s="1"/>
  <c r="AJ129" i="18"/>
  <c r="AV129" i="18" s="1"/>
  <c r="AJ131" i="18"/>
  <c r="AV131" i="18" s="1"/>
  <c r="AJ133" i="18"/>
  <c r="AV133" i="18" s="1"/>
  <c r="AJ138" i="18"/>
  <c r="AV138" i="18" s="1"/>
  <c r="AJ140" i="18"/>
  <c r="AV140" i="18" s="1"/>
  <c r="AJ142" i="18"/>
  <c r="AV142" i="18" s="1"/>
  <c r="AJ147" i="18"/>
  <c r="AV147" i="18" s="1"/>
  <c r="AJ149" i="18"/>
  <c r="AV149" i="18" s="1"/>
  <c r="AJ151" i="18"/>
  <c r="AV151" i="18" s="1"/>
  <c r="AL60" i="18"/>
  <c r="AX60" i="18" s="1"/>
  <c r="AJ53" i="18"/>
  <c r="AL41" i="18"/>
  <c r="AX41" i="18" s="1"/>
  <c r="AI14" i="18"/>
  <c r="AU14" i="18" s="1"/>
  <c r="AI129" i="18"/>
  <c r="AU129" i="18" s="1"/>
  <c r="AI131" i="18"/>
  <c r="AI138" i="18"/>
  <c r="AM138" i="18" s="1"/>
  <c r="AI142" i="18"/>
  <c r="AU142" i="18" s="1"/>
  <c r="AI149" i="18"/>
  <c r="AK170" i="18"/>
  <c r="AW170" i="18" s="1"/>
  <c r="AK166" i="18"/>
  <c r="AW166" i="18" s="1"/>
  <c r="AI160" i="18"/>
  <c r="AU160" i="18" s="1"/>
  <c r="AK159" i="18"/>
  <c r="AW159" i="18" s="1"/>
  <c r="AL125" i="18"/>
  <c r="AX125" i="18" s="1"/>
  <c r="AY125" i="18" s="1"/>
  <c r="AL124" i="18"/>
  <c r="AX124" i="18" s="1"/>
  <c r="AY124" i="18" s="1"/>
  <c r="AL123" i="18"/>
  <c r="AX123" i="18" s="1"/>
  <c r="AY123" i="18" s="1"/>
  <c r="AL122" i="18"/>
  <c r="AX122" i="18" s="1"/>
  <c r="AY122" i="18" s="1"/>
  <c r="AL121" i="18"/>
  <c r="AM121" i="18" s="1"/>
  <c r="AL120" i="18"/>
  <c r="AX120" i="18" s="1"/>
  <c r="AY120" i="18" s="1"/>
  <c r="AL116" i="18"/>
  <c r="AX116" i="18" s="1"/>
  <c r="AY116" i="18" s="1"/>
  <c r="AL115" i="18"/>
  <c r="AX115" i="18" s="1"/>
  <c r="AY115" i="18" s="1"/>
  <c r="AL114" i="18"/>
  <c r="AX114" i="18" s="1"/>
  <c r="AY114" i="18" s="1"/>
  <c r="AL113" i="18"/>
  <c r="AX113" i="18" s="1"/>
  <c r="AY113" i="18" s="1"/>
  <c r="AL112" i="18"/>
  <c r="AX112" i="18" s="1"/>
  <c r="AY112" i="18" s="1"/>
  <c r="AL111" i="18"/>
  <c r="AX111" i="18" s="1"/>
  <c r="AL107" i="18"/>
  <c r="AX107" i="18" s="1"/>
  <c r="AY107" i="18" s="1"/>
  <c r="AL106" i="18"/>
  <c r="AX106" i="18" s="1"/>
  <c r="AY106" i="18" s="1"/>
  <c r="AL105" i="18"/>
  <c r="AX105" i="18" s="1"/>
  <c r="AY105" i="18" s="1"/>
  <c r="AL98" i="18"/>
  <c r="AX98" i="18" s="1"/>
  <c r="AJ96" i="18"/>
  <c r="AM96" i="18" s="1"/>
  <c r="AK93" i="18"/>
  <c r="AW93" i="18" s="1"/>
  <c r="AK87" i="18"/>
  <c r="AW87" i="18" s="1"/>
  <c r="AL84" i="18"/>
  <c r="AX84" i="18" s="1"/>
  <c r="AJ79" i="18"/>
  <c r="AV79" i="18" s="1"/>
  <c r="AL78" i="18"/>
  <c r="AX78" i="18" s="1"/>
  <c r="AI76" i="18"/>
  <c r="AU76" i="18" s="1"/>
  <c r="AL62" i="18"/>
  <c r="AX62" i="18" s="1"/>
  <c r="AJ60" i="18"/>
  <c r="AL52" i="18"/>
  <c r="AX52" i="18" s="1"/>
  <c r="AJ50" i="18"/>
  <c r="AV50" i="18" s="1"/>
  <c r="AI44" i="18"/>
  <c r="AU44" i="18" s="1"/>
  <c r="AL40" i="18"/>
  <c r="AX40" i="18" s="1"/>
  <c r="AJ34" i="18"/>
  <c r="AV34" i="18" s="1"/>
  <c r="AL33" i="18"/>
  <c r="AX33" i="18" s="1"/>
  <c r="AK26" i="18"/>
  <c r="AM26" i="18" s="1"/>
  <c r="AJ24" i="18"/>
  <c r="AV24" i="18" s="1"/>
  <c r="AY24" i="18" s="1"/>
  <c r="AI13" i="18"/>
  <c r="AU13" i="18" s="1"/>
  <c r="AK129" i="18"/>
  <c r="AW129" i="18" s="1"/>
  <c r="AK131" i="18"/>
  <c r="AW131" i="18" s="1"/>
  <c r="AK133" i="18"/>
  <c r="AW133" i="18" s="1"/>
  <c r="AK138" i="18"/>
  <c r="AW138" i="18" s="1"/>
  <c r="AK140" i="18"/>
  <c r="AW140" i="18" s="1"/>
  <c r="AK142" i="18"/>
  <c r="AW142" i="18" s="1"/>
  <c r="AK147" i="18"/>
  <c r="AW147" i="18" s="1"/>
  <c r="AK149" i="18"/>
  <c r="AW149" i="18" s="1"/>
  <c r="AK151" i="18"/>
  <c r="AW151" i="18" s="1"/>
  <c r="AK125" i="19"/>
  <c r="AW125" i="19" s="1"/>
  <c r="AK121" i="19"/>
  <c r="AW121" i="19" s="1"/>
  <c r="AJ111" i="19"/>
  <c r="AV111" i="19" s="1"/>
  <c r="AI156" i="19"/>
  <c r="AU156" i="19" s="1"/>
  <c r="AJ107" i="19"/>
  <c r="AV107" i="19" s="1"/>
  <c r="AK103" i="19"/>
  <c r="AM103" i="19" s="1"/>
  <c r="AJ98" i="19"/>
  <c r="AV98" i="19" s="1"/>
  <c r="AI76" i="19"/>
  <c r="AL75" i="19"/>
  <c r="AX75" i="19" s="1"/>
  <c r="AL66" i="19"/>
  <c r="AX66" i="19" s="1"/>
  <c r="AJ60" i="19"/>
  <c r="AV60" i="19" s="1"/>
  <c r="AL53" i="19"/>
  <c r="AX53" i="19" s="1"/>
  <c r="AJ48" i="19"/>
  <c r="AV48" i="19" s="1"/>
  <c r="AL43" i="19"/>
  <c r="AX43" i="19" s="1"/>
  <c r="AY43" i="19" s="1"/>
  <c r="AI40" i="19"/>
  <c r="AU40" i="19" s="1"/>
  <c r="AK39" i="19"/>
  <c r="AW39" i="19" s="1"/>
  <c r="AJ26" i="19"/>
  <c r="AV26" i="19" s="1"/>
  <c r="AK25" i="19"/>
  <c r="AW25" i="19" s="1"/>
  <c r="AL24" i="19"/>
  <c r="AX24" i="19" s="1"/>
  <c r="AI17" i="19"/>
  <c r="AU17" i="19" s="1"/>
  <c r="AK15" i="19"/>
  <c r="AW15" i="19" s="1"/>
  <c r="AL14" i="19"/>
  <c r="AX14" i="19" s="1"/>
  <c r="AI130" i="19"/>
  <c r="AU130" i="19" s="1"/>
  <c r="AI132" i="19"/>
  <c r="AU132" i="19" s="1"/>
  <c r="AI134" i="19"/>
  <c r="AU134" i="19" s="1"/>
  <c r="AI139" i="19"/>
  <c r="AU139" i="19" s="1"/>
  <c r="AI141" i="19"/>
  <c r="AU141" i="19" s="1"/>
  <c r="AI143" i="19"/>
  <c r="AU143" i="19" s="1"/>
  <c r="AI148" i="19"/>
  <c r="AU148" i="19" s="1"/>
  <c r="AI150" i="19"/>
  <c r="AU150" i="19" s="1"/>
  <c r="AI152" i="19"/>
  <c r="AU152" i="19" s="1"/>
  <c r="AI170" i="19"/>
  <c r="AL169" i="19"/>
  <c r="AX169" i="19" s="1"/>
  <c r="AJ165" i="19"/>
  <c r="AJ159" i="19"/>
  <c r="AV159" i="19" s="1"/>
  <c r="AJ158" i="19"/>
  <c r="AV158" i="19" s="1"/>
  <c r="AL157" i="19"/>
  <c r="AX157" i="19" s="1"/>
  <c r="AK124" i="19"/>
  <c r="AK120" i="19"/>
  <c r="AW120" i="19" s="1"/>
  <c r="AL116" i="19"/>
  <c r="AX116" i="19" s="1"/>
  <c r="AL115" i="19"/>
  <c r="AX115" i="19" s="1"/>
  <c r="AI107" i="19"/>
  <c r="AU107" i="19" s="1"/>
  <c r="AJ97" i="19"/>
  <c r="AV97" i="19" s="1"/>
  <c r="AJ96" i="19"/>
  <c r="AV96" i="19" s="1"/>
  <c r="AL95" i="19"/>
  <c r="AX95" i="19" s="1"/>
  <c r="AL80" i="19"/>
  <c r="AX80" i="19" s="1"/>
  <c r="AK75" i="19"/>
  <c r="AW75" i="19" s="1"/>
  <c r="AY75" i="19" s="1"/>
  <c r="AL71" i="19"/>
  <c r="AX71" i="19" s="1"/>
  <c r="AL68" i="19"/>
  <c r="AX68" i="19" s="1"/>
  <c r="AK66" i="19"/>
  <c r="AW66" i="19" s="1"/>
  <c r="AI60" i="19"/>
  <c r="AU60" i="19" s="1"/>
  <c r="AI48" i="19"/>
  <c r="AJ39" i="19"/>
  <c r="AV39" i="19" s="1"/>
  <c r="AX35" i="19"/>
  <c r="AL35" i="19"/>
  <c r="AJ34" i="19"/>
  <c r="AV34" i="19" s="1"/>
  <c r="AL33" i="19"/>
  <c r="AX33" i="19" s="1"/>
  <c r="AL32" i="19"/>
  <c r="AX32" i="19" s="1"/>
  <c r="AI26" i="19"/>
  <c r="AM26" i="19" s="1"/>
  <c r="AJ25" i="19"/>
  <c r="AV25" i="19" s="1"/>
  <c r="AK24" i="19"/>
  <c r="AW24" i="19" s="1"/>
  <c r="AI16" i="19"/>
  <c r="AU16" i="19" s="1"/>
  <c r="AJ15" i="19"/>
  <c r="AV15" i="19" s="1"/>
  <c r="AK14" i="19"/>
  <c r="AW14" i="19" s="1"/>
  <c r="AL13" i="19"/>
  <c r="AX13" i="19" s="1"/>
  <c r="AJ130" i="19"/>
  <c r="AV130" i="19" s="1"/>
  <c r="AJ132" i="19"/>
  <c r="AV132" i="19" s="1"/>
  <c r="AJ134" i="19"/>
  <c r="AV134" i="19" s="1"/>
  <c r="AJ139" i="19"/>
  <c r="AV139" i="19" s="1"/>
  <c r="AJ141" i="19"/>
  <c r="AV141" i="19" s="1"/>
  <c r="AJ143" i="19"/>
  <c r="AJ148" i="19"/>
  <c r="AV148" i="19" s="1"/>
  <c r="AJ150" i="19"/>
  <c r="AV150" i="19" s="1"/>
  <c r="AJ152" i="19"/>
  <c r="AV152" i="19" s="1"/>
  <c r="AK170" i="19"/>
  <c r="AW170" i="19" s="1"/>
  <c r="AK167" i="19"/>
  <c r="AW167" i="19" s="1"/>
  <c r="AK130" i="19"/>
  <c r="AW130" i="19" s="1"/>
  <c r="AK139" i="19"/>
  <c r="AW139" i="19" s="1"/>
  <c r="AK143" i="19"/>
  <c r="AW143" i="19" s="1"/>
  <c r="AK150" i="19"/>
  <c r="AW150" i="19" s="1"/>
  <c r="AL168" i="19"/>
  <c r="AX168" i="19" s="1"/>
  <c r="AK161" i="19"/>
  <c r="AW161" i="19" s="1"/>
  <c r="AJ157" i="19"/>
  <c r="AV157" i="19" s="1"/>
  <c r="AK123" i="19"/>
  <c r="AW123" i="19" s="1"/>
  <c r="AJ116" i="19"/>
  <c r="AV116" i="19" s="1"/>
  <c r="AJ115" i="19"/>
  <c r="AV115" i="19" s="1"/>
  <c r="AL114" i="19"/>
  <c r="AX114" i="19" s="1"/>
  <c r="AI106" i="19"/>
  <c r="AU106" i="19" s="1"/>
  <c r="AL102" i="19"/>
  <c r="AX102" i="19" s="1"/>
  <c r="AJ95" i="19"/>
  <c r="AV95" i="19" s="1"/>
  <c r="AL93" i="19"/>
  <c r="AM93" i="19" s="1"/>
  <c r="AK87" i="19"/>
  <c r="AW87" i="19" s="1"/>
  <c r="AL86" i="19"/>
  <c r="AX86" i="19" s="1"/>
  <c r="AL85" i="19"/>
  <c r="AX85" i="19" s="1"/>
  <c r="AK79" i="19"/>
  <c r="AW79" i="19" s="1"/>
  <c r="AL78" i="19"/>
  <c r="AX78" i="19" s="1"/>
  <c r="AL77" i="19"/>
  <c r="AX77" i="19" s="1"/>
  <c r="AJ71" i="19"/>
  <c r="AV71" i="19" s="1"/>
  <c r="AI66" i="19"/>
  <c r="AU66" i="19" s="1"/>
  <c r="AL62" i="19"/>
  <c r="AX62" i="19" s="1"/>
  <c r="AL58" i="19"/>
  <c r="AX58" i="19" s="1"/>
  <c r="AI53" i="19"/>
  <c r="AU53" i="19" s="1"/>
  <c r="AL50" i="19"/>
  <c r="AX50" i="19" s="1"/>
  <c r="AJ35" i="19"/>
  <c r="AV35" i="19" s="1"/>
  <c r="AJ33" i="19"/>
  <c r="AV33" i="19" s="1"/>
  <c r="AJ32" i="19"/>
  <c r="AV32" i="19" s="1"/>
  <c r="AI24" i="19"/>
  <c r="AU24" i="19" s="1"/>
  <c r="AK23" i="19"/>
  <c r="AW23" i="19" s="1"/>
  <c r="AK22" i="19"/>
  <c r="AW22" i="19" s="1"/>
  <c r="AI14" i="19"/>
  <c r="AU14" i="19" s="1"/>
  <c r="AJ13" i="19"/>
  <c r="AV13" i="19" s="1"/>
  <c r="AL130" i="19"/>
  <c r="AX130" i="19" s="1"/>
  <c r="AL132" i="19"/>
  <c r="AX132" i="19" s="1"/>
  <c r="AL134" i="19"/>
  <c r="AX134" i="19" s="1"/>
  <c r="AL139" i="19"/>
  <c r="AX139" i="19" s="1"/>
  <c r="AL141" i="19"/>
  <c r="AX141" i="19" s="1"/>
  <c r="AL143" i="19"/>
  <c r="AX143" i="19" s="1"/>
  <c r="AL148" i="19"/>
  <c r="AX148" i="19" s="1"/>
  <c r="AL150" i="19"/>
  <c r="AX150" i="19" s="1"/>
  <c r="AL152" i="19"/>
  <c r="AX152" i="19" s="1"/>
  <c r="AL167" i="19"/>
  <c r="AX167" i="19" s="1"/>
  <c r="AK160" i="19"/>
  <c r="AW160" i="19" s="1"/>
  <c r="AJ122" i="19"/>
  <c r="AV122" i="19" s="1"/>
  <c r="AJ113" i="19"/>
  <c r="AV113" i="19" s="1"/>
  <c r="AK111" i="19"/>
  <c r="AW111" i="19" s="1"/>
  <c r="AI78" i="19"/>
  <c r="AU78" i="19" s="1"/>
  <c r="AL165" i="19"/>
  <c r="AX165" i="19" s="1"/>
  <c r="AJ160" i="19"/>
  <c r="AV160" i="19" s="1"/>
  <c r="AL159" i="19"/>
  <c r="AX159" i="19" s="1"/>
  <c r="AL158" i="19"/>
  <c r="AX158" i="19" s="1"/>
  <c r="AJ112" i="19"/>
  <c r="AV112" i="19" s="1"/>
  <c r="AK107" i="19"/>
  <c r="AW107" i="19" s="1"/>
  <c r="AJ104" i="19"/>
  <c r="AV104" i="19" s="1"/>
  <c r="AL103" i="19"/>
  <c r="AX103" i="19" s="1"/>
  <c r="AK98" i="19"/>
  <c r="AW98" i="19" s="1"/>
  <c r="AL97" i="19"/>
  <c r="AX97" i="19" s="1"/>
  <c r="AL96" i="19"/>
  <c r="AX96" i="19" s="1"/>
  <c r="AL88" i="19"/>
  <c r="AX88" i="19" s="1"/>
  <c r="AJ84" i="19"/>
  <c r="AV84" i="19" s="1"/>
  <c r="AJ76" i="19"/>
  <c r="AV76" i="19" s="1"/>
  <c r="AI70" i="19"/>
  <c r="AK67" i="19"/>
  <c r="AW67" i="19" s="1"/>
  <c r="AK61" i="19"/>
  <c r="AW61" i="19" s="1"/>
  <c r="AK60" i="19"/>
  <c r="AW60" i="19" s="1"/>
  <c r="AI57" i="19"/>
  <c r="AL52" i="19"/>
  <c r="AX52" i="19" s="1"/>
  <c r="AY52" i="19" s="1"/>
  <c r="AL51" i="19"/>
  <c r="AX51" i="19" s="1"/>
  <c r="AY51" i="19" s="1"/>
  <c r="AI49" i="19"/>
  <c r="AU49" i="19" s="1"/>
  <c r="AL42" i="19"/>
  <c r="AX42" i="19" s="1"/>
  <c r="AY42" i="19" s="1"/>
  <c r="AJ40" i="19"/>
  <c r="AV40" i="19" s="1"/>
  <c r="AL39" i="19"/>
  <c r="AX39" i="19" s="1"/>
  <c r="AL34" i="19"/>
  <c r="AX34" i="19" s="1"/>
  <c r="AI31" i="19"/>
  <c r="AU31" i="19" s="1"/>
  <c r="AL25" i="19"/>
  <c r="AX25" i="19" s="1"/>
  <c r="AI21" i="19"/>
  <c r="AU21" i="19" s="1"/>
  <c r="AK16" i="19"/>
  <c r="AW16" i="19" s="1"/>
  <c r="AL15" i="19"/>
  <c r="AX15" i="19" s="1"/>
  <c r="AI12" i="19"/>
  <c r="AU12" i="19" s="1"/>
  <c r="AL129" i="19"/>
  <c r="AX129" i="19" s="1"/>
  <c r="AL131" i="19"/>
  <c r="AX131" i="19" s="1"/>
  <c r="AL133" i="19"/>
  <c r="AX133" i="19" s="1"/>
  <c r="AL138" i="19"/>
  <c r="AX138" i="19" s="1"/>
  <c r="AL140" i="19"/>
  <c r="AL142" i="19"/>
  <c r="AX142" i="19" s="1"/>
  <c r="AL147" i="19"/>
  <c r="AX147" i="19" s="1"/>
  <c r="AL149" i="19"/>
  <c r="AX149" i="19" s="1"/>
  <c r="AL151" i="19"/>
  <c r="AJ170" i="19"/>
  <c r="AV170" i="19" s="1"/>
  <c r="AJ167" i="19"/>
  <c r="AM167" i="19" s="1"/>
  <c r="AK158" i="19"/>
  <c r="AW158" i="19" s="1"/>
  <c r="AL124" i="19"/>
  <c r="AX124" i="19" s="1"/>
  <c r="AL120" i="19"/>
  <c r="AX120" i="19" s="1"/>
  <c r="AI111" i="19"/>
  <c r="AU111" i="19" s="1"/>
  <c r="AL106" i="19"/>
  <c r="AX106" i="19" s="1"/>
  <c r="AI104" i="19"/>
  <c r="AU104" i="19" s="1"/>
  <c r="AK97" i="19"/>
  <c r="AW97" i="19" s="1"/>
  <c r="AI94" i="19"/>
  <c r="AU94" i="19" s="1"/>
  <c r="AK169" i="19"/>
  <c r="AW169" i="19" s="1"/>
  <c r="AY169" i="19" s="1"/>
  <c r="AL161" i="19"/>
  <c r="AX161" i="19" s="1"/>
  <c r="AI159" i="19"/>
  <c r="AU159" i="19" s="1"/>
  <c r="AK116" i="19"/>
  <c r="AW116" i="19" s="1"/>
  <c r="AJ106" i="19"/>
  <c r="AV106" i="19" s="1"/>
  <c r="AI97" i="19"/>
  <c r="AI96" i="19"/>
  <c r="AU96" i="19" s="1"/>
  <c r="AL79" i="19"/>
  <c r="AX79" i="19" s="1"/>
  <c r="AK71" i="19"/>
  <c r="AW71" i="19" s="1"/>
  <c r="AL69" i="19"/>
  <c r="AX69" i="19" s="1"/>
  <c r="AY69" i="19" s="1"/>
  <c r="AJ66" i="19"/>
  <c r="AL59" i="19"/>
  <c r="AX59" i="19" s="1"/>
  <c r="AK33" i="19"/>
  <c r="AW33" i="19" s="1"/>
  <c r="AK32" i="19"/>
  <c r="AW32" i="19" s="1"/>
  <c r="AL30" i="19"/>
  <c r="AX30" i="19" s="1"/>
  <c r="AI25" i="19"/>
  <c r="AJ24" i="19"/>
  <c r="AV24" i="19" s="1"/>
  <c r="AI15" i="19"/>
  <c r="AU15" i="19" s="1"/>
  <c r="AK13" i="19"/>
  <c r="AW13" i="19" s="1"/>
  <c r="AK132" i="19"/>
  <c r="AW132" i="19" s="1"/>
  <c r="AK134" i="19"/>
  <c r="AW134" i="19" s="1"/>
  <c r="AK141" i="19"/>
  <c r="AW141" i="19" s="1"/>
  <c r="AK148" i="19"/>
  <c r="AW148" i="19" s="1"/>
  <c r="AK152" i="19"/>
  <c r="AW152" i="19" s="1"/>
  <c r="AK168" i="19"/>
  <c r="AW168" i="19" s="1"/>
  <c r="AJ166" i="19"/>
  <c r="AV166" i="19" s="1"/>
  <c r="AJ161" i="19"/>
  <c r="AV161" i="19" s="1"/>
  <c r="AI157" i="19"/>
  <c r="AU157" i="19" s="1"/>
  <c r="AJ123" i="19"/>
  <c r="AV123" i="19" s="1"/>
  <c r="AL122" i="19"/>
  <c r="AX122" i="19" s="1"/>
  <c r="AI116" i="19"/>
  <c r="AU116" i="19" s="1"/>
  <c r="AI115" i="19"/>
  <c r="AL113" i="19"/>
  <c r="AX113" i="19" s="1"/>
  <c r="AK102" i="19"/>
  <c r="AW102" i="19" s="1"/>
  <c r="AI95" i="19"/>
  <c r="AU95" i="19" s="1"/>
  <c r="AJ87" i="19"/>
  <c r="AK86" i="19"/>
  <c r="AW86" i="19" s="1"/>
  <c r="AK85" i="19"/>
  <c r="AW85" i="19" s="1"/>
  <c r="AI80" i="19"/>
  <c r="AU80" i="19" s="1"/>
  <c r="AJ79" i="19"/>
  <c r="AV79" i="19" s="1"/>
  <c r="AK78" i="19"/>
  <c r="AW78" i="19" s="1"/>
  <c r="AK77" i="19"/>
  <c r="AW77" i="19" s="1"/>
  <c r="AI71" i="19"/>
  <c r="AU71" i="19" s="1"/>
  <c r="AL70" i="19"/>
  <c r="AX70" i="19" s="1"/>
  <c r="AK62" i="19"/>
  <c r="AW62" i="19" s="1"/>
  <c r="AJ59" i="19"/>
  <c r="AV59" i="19" s="1"/>
  <c r="AK58" i="19"/>
  <c r="AW58" i="19" s="1"/>
  <c r="AL57" i="19"/>
  <c r="AX57" i="19" s="1"/>
  <c r="AK50" i="19"/>
  <c r="AW50" i="19" s="1"/>
  <c r="AL49" i="19"/>
  <c r="AX49" i="19" s="1"/>
  <c r="AL41" i="19"/>
  <c r="AX41" i="19" s="1"/>
  <c r="AI35" i="19"/>
  <c r="AM35" i="19" s="1"/>
  <c r="AI32" i="19"/>
  <c r="AU32" i="19" s="1"/>
  <c r="AL31" i="19"/>
  <c r="AX31" i="19" s="1"/>
  <c r="AJ30" i="19"/>
  <c r="AV30" i="19" s="1"/>
  <c r="AJ23" i="19"/>
  <c r="AV23" i="19" s="1"/>
  <c r="AJ22" i="19"/>
  <c r="AV22" i="19" s="1"/>
  <c r="AL21" i="19"/>
  <c r="AX21" i="19" s="1"/>
  <c r="AI13" i="19"/>
  <c r="AU13" i="19" s="1"/>
  <c r="AL12" i="19"/>
  <c r="AX12" i="19" s="1"/>
  <c r="AI129" i="19"/>
  <c r="AU129" i="19" s="1"/>
  <c r="AI131" i="19"/>
  <c r="AU131" i="19" s="1"/>
  <c r="AI133" i="19"/>
  <c r="AU133" i="19" s="1"/>
  <c r="AI138" i="19"/>
  <c r="AI140" i="19"/>
  <c r="AU140" i="19" s="1"/>
  <c r="AI142" i="19"/>
  <c r="AU142" i="19" s="1"/>
  <c r="AI147" i="19"/>
  <c r="AU147" i="19" s="1"/>
  <c r="AI149" i="19"/>
  <c r="AI151" i="19"/>
  <c r="AU151" i="19" s="1"/>
  <c r="AJ125" i="19"/>
  <c r="AV125" i="19" s="1"/>
  <c r="AJ121" i="19"/>
  <c r="AV121" i="19" s="1"/>
  <c r="AI112" i="19"/>
  <c r="AK96" i="19"/>
  <c r="AW96" i="19" s="1"/>
  <c r="AK88" i="19"/>
  <c r="AI84" i="19"/>
  <c r="AU84" i="19" s="1"/>
  <c r="AJ61" i="19"/>
  <c r="AV61" i="19" s="1"/>
  <c r="AL166" i="19"/>
  <c r="AX166" i="19" s="1"/>
  <c r="AI158" i="19"/>
  <c r="AU158" i="19" s="1"/>
  <c r="AJ124" i="19"/>
  <c r="AV124" i="19" s="1"/>
  <c r="AL123" i="19"/>
  <c r="AX123" i="19" s="1"/>
  <c r="AJ120" i="19"/>
  <c r="AV120" i="19" s="1"/>
  <c r="AK115" i="19"/>
  <c r="AW115" i="19" s="1"/>
  <c r="AL89" i="19"/>
  <c r="AX89" i="19" s="1"/>
  <c r="AY89" i="19" s="1"/>
  <c r="AL87" i="19"/>
  <c r="AX87" i="19" s="1"/>
  <c r="AL44" i="19"/>
  <c r="AX44" i="19" s="1"/>
  <c r="AL23" i="19"/>
  <c r="AX23" i="19" s="1"/>
  <c r="AL22" i="19"/>
  <c r="AX22" i="19" s="1"/>
  <c r="AJ14" i="19"/>
  <c r="AV14" i="19" s="1"/>
  <c r="AI161" i="19"/>
  <c r="AU161" i="19" s="1"/>
  <c r="AL160" i="19"/>
  <c r="AL156" i="19"/>
  <c r="AX156" i="19" s="1"/>
  <c r="AK122" i="19"/>
  <c r="AW122" i="19" s="1"/>
  <c r="AJ114" i="19"/>
  <c r="AV114" i="19" s="1"/>
  <c r="AK113" i="19"/>
  <c r="AW113" i="19" s="1"/>
  <c r="AL112" i="19"/>
  <c r="AX112" i="19" s="1"/>
  <c r="AL111" i="19"/>
  <c r="AX111" i="19" s="1"/>
  <c r="AL105" i="19"/>
  <c r="AX105" i="19" s="1"/>
  <c r="AY105" i="19" s="1"/>
  <c r="AL104" i="19"/>
  <c r="AX104" i="19" s="1"/>
  <c r="AY104" i="19" s="1"/>
  <c r="AL94" i="19"/>
  <c r="AX94" i="19" s="1"/>
  <c r="AJ86" i="19"/>
  <c r="AV86" i="19" s="1"/>
  <c r="AJ85" i="19"/>
  <c r="AV85" i="19" s="1"/>
  <c r="AL84" i="19"/>
  <c r="AX84" i="19" s="1"/>
  <c r="AJ78" i="19"/>
  <c r="AV78" i="19" s="1"/>
  <c r="AJ77" i="19"/>
  <c r="AV77" i="19" s="1"/>
  <c r="AL76" i="19"/>
  <c r="AX76" i="19" s="1"/>
  <c r="AJ58" i="19"/>
  <c r="AV58" i="19" s="1"/>
  <c r="AJ50" i="19"/>
  <c r="AV50" i="19" s="1"/>
  <c r="AK49" i="19"/>
  <c r="AW49" i="19" s="1"/>
  <c r="AI44" i="19"/>
  <c r="AU44" i="19" s="1"/>
  <c r="AK41" i="19"/>
  <c r="AL40" i="19"/>
  <c r="AX40" i="19" s="1"/>
  <c r="AI23" i="19"/>
  <c r="AI22" i="19"/>
  <c r="AU22" i="19" s="1"/>
  <c r="AK21" i="19"/>
  <c r="AW21" i="19" s="1"/>
  <c r="AL17" i="19"/>
  <c r="AX17" i="19" s="1"/>
  <c r="AK12" i="19"/>
  <c r="AJ129" i="19"/>
  <c r="AV129" i="19" s="1"/>
  <c r="AJ131" i="19"/>
  <c r="AJ133" i="19"/>
  <c r="AV133" i="19" s="1"/>
  <c r="AJ138" i="19"/>
  <c r="AV138" i="19" s="1"/>
  <c r="AJ140" i="19"/>
  <c r="AV140" i="19" s="1"/>
  <c r="AJ142" i="19"/>
  <c r="AV142" i="19" s="1"/>
  <c r="AJ147" i="19"/>
  <c r="AV147" i="19" s="1"/>
  <c r="AJ149" i="19"/>
  <c r="AV149" i="19" s="1"/>
  <c r="AJ151" i="19"/>
  <c r="AV151" i="19" s="1"/>
  <c r="AL170" i="19"/>
  <c r="AX170" i="19" s="1"/>
  <c r="AI168" i="19"/>
  <c r="AU168" i="19" s="1"/>
  <c r="AL125" i="19"/>
  <c r="AX125" i="19" s="1"/>
  <c r="AL121" i="19"/>
  <c r="AX121" i="19" s="1"/>
  <c r="AI114" i="19"/>
  <c r="AU114" i="19" s="1"/>
  <c r="AK112" i="19"/>
  <c r="AW112" i="19" s="1"/>
  <c r="AL107" i="19"/>
  <c r="AX107" i="19" s="1"/>
  <c r="AK104" i="19"/>
  <c r="AW104" i="19" s="1"/>
  <c r="AL98" i="19"/>
  <c r="AX98" i="19" s="1"/>
  <c r="AI86" i="19"/>
  <c r="AU86" i="19" s="1"/>
  <c r="AI85" i="19"/>
  <c r="AU85" i="19" s="1"/>
  <c r="AI77" i="19"/>
  <c r="AU77" i="19" s="1"/>
  <c r="AL67" i="19"/>
  <c r="AM67" i="19" s="1"/>
  <c r="AL61" i="19"/>
  <c r="AX61" i="19" s="1"/>
  <c r="AL60" i="19"/>
  <c r="AX60" i="19" s="1"/>
  <c r="AI58" i="19"/>
  <c r="AU58" i="19" s="1"/>
  <c r="AJ57" i="19"/>
  <c r="AV57" i="19" s="1"/>
  <c r="AI50" i="19"/>
  <c r="AU50" i="19" s="1"/>
  <c r="AJ49" i="19"/>
  <c r="AV49" i="19" s="1"/>
  <c r="AL48" i="19"/>
  <c r="AX48" i="19" s="1"/>
  <c r="AK40" i="19"/>
  <c r="AW40" i="19" s="1"/>
  <c r="AJ31" i="19"/>
  <c r="AV31" i="19" s="1"/>
  <c r="AL26" i="19"/>
  <c r="AX26" i="19" s="1"/>
  <c r="AJ21" i="19"/>
  <c r="AV21" i="19" s="1"/>
  <c r="AK17" i="19"/>
  <c r="AW17" i="19" s="1"/>
  <c r="AL16" i="19"/>
  <c r="AX16" i="19" s="1"/>
  <c r="AK129" i="19"/>
  <c r="AW129" i="19" s="1"/>
  <c r="AK131" i="19"/>
  <c r="AW131" i="19" s="1"/>
  <c r="AK133" i="19"/>
  <c r="AW133" i="19" s="1"/>
  <c r="AK138" i="19"/>
  <c r="AW138" i="19" s="1"/>
  <c r="AK140" i="19"/>
  <c r="AW140" i="19" s="1"/>
  <c r="AK142" i="19"/>
  <c r="AW142" i="19" s="1"/>
  <c r="AK147" i="19"/>
  <c r="AW147" i="19" s="1"/>
  <c r="AK149" i="19"/>
  <c r="AW149" i="19" s="1"/>
  <c r="AK151" i="19"/>
  <c r="AW151" i="19" s="1"/>
  <c r="AK12" i="32"/>
  <c r="AW12" i="32" s="1"/>
  <c r="AK13" i="32"/>
  <c r="AW13" i="32" s="1"/>
  <c r="AK14" i="32"/>
  <c r="AW14" i="32" s="1"/>
  <c r="AK15" i="32"/>
  <c r="AW15" i="32" s="1"/>
  <c r="AK16" i="32"/>
  <c r="AW16" i="32" s="1"/>
  <c r="AK17" i="32"/>
  <c r="AW17" i="32" s="1"/>
  <c r="AK21" i="32"/>
  <c r="AW21" i="32" s="1"/>
  <c r="AK22" i="32"/>
  <c r="AW22" i="32" s="1"/>
  <c r="AK23" i="32"/>
  <c r="AW23" i="32" s="1"/>
  <c r="AK24" i="32"/>
  <c r="AW24" i="32" s="1"/>
  <c r="AK25" i="32"/>
  <c r="AW25" i="32" s="1"/>
  <c r="AK26" i="32"/>
  <c r="AW26" i="32" s="1"/>
  <c r="AK30" i="32"/>
  <c r="AW30" i="32" s="1"/>
  <c r="AK31" i="32"/>
  <c r="AW31" i="32" s="1"/>
  <c r="AK32" i="32"/>
  <c r="AW32" i="32" s="1"/>
  <c r="AK33" i="32"/>
  <c r="AW33" i="32" s="1"/>
  <c r="AK34" i="32"/>
  <c r="AW34" i="32" s="1"/>
  <c r="AK35" i="32"/>
  <c r="AW35" i="32" s="1"/>
  <c r="AK39" i="32"/>
  <c r="AW39" i="32" s="1"/>
  <c r="AK40" i="32"/>
  <c r="AW40" i="32" s="1"/>
  <c r="AK41" i="32"/>
  <c r="AW41" i="32" s="1"/>
  <c r="AK42" i="32"/>
  <c r="AW42" i="32" s="1"/>
  <c r="AK43" i="32"/>
  <c r="AW43" i="32" s="1"/>
  <c r="AK44" i="32"/>
  <c r="AW44" i="32" s="1"/>
  <c r="AK48" i="32"/>
  <c r="AW48" i="32" s="1"/>
  <c r="AK49" i="32"/>
  <c r="AW49" i="32" s="1"/>
  <c r="AK50" i="32"/>
  <c r="AW50" i="32" s="1"/>
  <c r="AK51" i="32"/>
  <c r="AW51" i="32" s="1"/>
  <c r="AK52" i="32"/>
  <c r="AW52" i="32" s="1"/>
  <c r="AK53" i="32"/>
  <c r="AW53" i="32" s="1"/>
  <c r="AK57" i="32"/>
  <c r="AW57" i="32" s="1"/>
  <c r="AK58" i="32"/>
  <c r="AW58" i="32" s="1"/>
  <c r="AK59" i="32"/>
  <c r="AW59" i="32" s="1"/>
  <c r="AK60" i="32"/>
  <c r="AW60" i="32" s="1"/>
  <c r="AK61" i="32"/>
  <c r="AW61" i="32" s="1"/>
  <c r="AK62" i="32"/>
  <c r="AW62" i="32" s="1"/>
  <c r="AK66" i="32"/>
  <c r="AW66" i="32" s="1"/>
  <c r="AK67" i="32"/>
  <c r="AW67" i="32" s="1"/>
  <c r="AK68" i="32"/>
  <c r="AW68" i="32" s="1"/>
  <c r="AK69" i="32"/>
  <c r="AW69" i="32" s="1"/>
  <c r="AK70" i="32"/>
  <c r="AW70" i="32" s="1"/>
  <c r="AK71" i="32"/>
  <c r="AW71" i="32" s="1"/>
  <c r="AK75" i="32"/>
  <c r="AW75" i="32" s="1"/>
  <c r="AK76" i="32"/>
  <c r="AW76" i="32" s="1"/>
  <c r="AK77" i="32"/>
  <c r="AW77" i="32" s="1"/>
  <c r="AK78" i="32"/>
  <c r="AW78" i="32" s="1"/>
  <c r="AK79" i="32"/>
  <c r="AW79" i="32" s="1"/>
  <c r="AK80" i="32"/>
  <c r="AW80" i="32" s="1"/>
  <c r="AK84" i="32"/>
  <c r="AW84" i="32" s="1"/>
  <c r="AK85" i="32"/>
  <c r="AK86" i="32"/>
  <c r="AW86" i="32" s="1"/>
  <c r="AK87" i="32"/>
  <c r="AW87" i="32" s="1"/>
  <c r="AK88" i="32"/>
  <c r="AW88" i="32" s="1"/>
  <c r="AK89" i="32"/>
  <c r="AW89" i="32" s="1"/>
  <c r="AK93" i="32"/>
  <c r="AW93" i="32" s="1"/>
  <c r="AK94" i="32"/>
  <c r="AW94" i="32" s="1"/>
  <c r="AK96" i="32"/>
  <c r="AW96" i="32" s="1"/>
  <c r="AK97" i="32"/>
  <c r="AW97" i="32" s="1"/>
  <c r="AK98" i="32"/>
  <c r="AW98" i="32" s="1"/>
  <c r="AK103" i="32"/>
  <c r="AW103" i="32" s="1"/>
  <c r="AK104" i="32"/>
  <c r="AW104" i="32" s="1"/>
  <c r="AK105" i="32"/>
  <c r="AW105" i="32" s="1"/>
  <c r="AK107" i="32"/>
  <c r="AW107" i="32" s="1"/>
  <c r="AK111" i="32"/>
  <c r="AW111" i="32" s="1"/>
  <c r="AK112" i="32"/>
  <c r="AW112" i="32" s="1"/>
  <c r="AK129" i="32"/>
  <c r="AW129" i="32" s="1"/>
  <c r="AK130" i="32"/>
  <c r="AW130" i="32" s="1"/>
  <c r="AK131" i="32"/>
  <c r="AW131" i="32" s="1"/>
  <c r="AK132" i="32"/>
  <c r="AW132" i="32" s="1"/>
  <c r="AK133" i="32"/>
  <c r="AW133" i="32" s="1"/>
  <c r="AK134" i="32"/>
  <c r="AW134" i="32" s="1"/>
  <c r="AK138" i="32"/>
  <c r="AW138" i="32" s="1"/>
  <c r="AK139" i="32"/>
  <c r="AW139" i="32" s="1"/>
  <c r="AK140" i="32"/>
  <c r="AW140" i="32" s="1"/>
  <c r="AK141" i="32"/>
  <c r="AW141" i="32" s="1"/>
  <c r="AK142" i="32"/>
  <c r="AW142" i="32" s="1"/>
  <c r="AK143" i="32"/>
  <c r="AW143" i="32" s="1"/>
  <c r="AK147" i="32"/>
  <c r="AK148" i="32"/>
  <c r="AW148" i="32" s="1"/>
  <c r="AK149" i="32"/>
  <c r="AW149" i="32" s="1"/>
  <c r="AK150" i="32"/>
  <c r="AW150" i="32" s="1"/>
  <c r="AK151" i="32"/>
  <c r="AW151" i="32" s="1"/>
  <c r="AK152" i="32"/>
  <c r="AW152" i="32" s="1"/>
  <c r="AL12" i="32"/>
  <c r="AX12" i="32" s="1"/>
  <c r="AL13" i="32"/>
  <c r="AX13" i="32" s="1"/>
  <c r="AL14" i="32"/>
  <c r="AX14" i="32" s="1"/>
  <c r="AL15" i="32"/>
  <c r="AX15" i="32" s="1"/>
  <c r="AL16" i="32"/>
  <c r="AX16" i="32" s="1"/>
  <c r="AL17" i="32"/>
  <c r="AX17" i="32" s="1"/>
  <c r="AL21" i="32"/>
  <c r="AX21" i="32" s="1"/>
  <c r="AL22" i="32"/>
  <c r="AX22" i="32" s="1"/>
  <c r="AL23" i="32"/>
  <c r="AX23" i="32" s="1"/>
  <c r="AL24" i="32"/>
  <c r="AX24" i="32" s="1"/>
  <c r="AL25" i="32"/>
  <c r="AX25" i="32" s="1"/>
  <c r="AL26" i="32"/>
  <c r="AX26" i="32" s="1"/>
  <c r="AL30" i="32"/>
  <c r="AX30" i="32" s="1"/>
  <c r="AL31" i="32"/>
  <c r="AX31" i="32" s="1"/>
  <c r="AL32" i="32"/>
  <c r="AX32" i="32" s="1"/>
  <c r="AL33" i="32"/>
  <c r="AX33" i="32" s="1"/>
  <c r="AL34" i="32"/>
  <c r="AX34" i="32" s="1"/>
  <c r="AL35" i="32"/>
  <c r="AX35" i="32" s="1"/>
  <c r="AL39" i="32"/>
  <c r="AX39" i="32" s="1"/>
  <c r="AL40" i="32"/>
  <c r="AX40" i="32" s="1"/>
  <c r="AL41" i="32"/>
  <c r="AX41" i="32" s="1"/>
  <c r="AL42" i="32"/>
  <c r="AX42" i="32" s="1"/>
  <c r="AL43" i="32"/>
  <c r="AX43" i="32" s="1"/>
  <c r="AL44" i="32"/>
  <c r="AX44" i="32" s="1"/>
  <c r="AL48" i="32"/>
  <c r="AX48" i="32" s="1"/>
  <c r="AL49" i="32"/>
  <c r="AX49" i="32" s="1"/>
  <c r="AL50" i="32"/>
  <c r="AX50" i="32" s="1"/>
  <c r="AL51" i="32"/>
  <c r="AM51" i="32" s="1"/>
  <c r="AL52" i="32"/>
  <c r="AX52" i="32" s="1"/>
  <c r="AL53" i="32"/>
  <c r="AX53" i="32" s="1"/>
  <c r="AX57" i="32"/>
  <c r="AL57" i="32"/>
  <c r="AL58" i="32"/>
  <c r="AX58" i="32" s="1"/>
  <c r="AL59" i="32"/>
  <c r="AX59" i="32" s="1"/>
  <c r="AL60" i="32"/>
  <c r="AX60" i="32" s="1"/>
  <c r="AL61" i="32"/>
  <c r="AX61" i="32" s="1"/>
  <c r="AL62" i="32"/>
  <c r="AX62" i="32" s="1"/>
  <c r="AL66" i="32"/>
  <c r="AX66" i="32" s="1"/>
  <c r="AL67" i="32"/>
  <c r="AX67" i="32" s="1"/>
  <c r="AL68" i="32"/>
  <c r="AX68" i="32" s="1"/>
  <c r="AL69" i="32"/>
  <c r="AX69" i="32" s="1"/>
  <c r="AL70" i="32"/>
  <c r="AX70" i="32" s="1"/>
  <c r="AL71" i="32"/>
  <c r="AX71" i="32" s="1"/>
  <c r="AL75" i="32"/>
  <c r="AX75" i="32" s="1"/>
  <c r="AL76" i="32"/>
  <c r="AX76" i="32" s="1"/>
  <c r="AL77" i="32"/>
  <c r="AX77" i="32" s="1"/>
  <c r="AL78" i="32"/>
  <c r="AX78" i="32" s="1"/>
  <c r="AL79" i="32"/>
  <c r="AX79" i="32" s="1"/>
  <c r="AL80" i="32"/>
  <c r="AX80" i="32" s="1"/>
  <c r="AL84" i="32"/>
  <c r="AX84" i="32" s="1"/>
  <c r="AL85" i="32"/>
  <c r="AX85" i="32" s="1"/>
  <c r="AL86" i="32"/>
  <c r="AX86" i="32" s="1"/>
  <c r="AL87" i="32"/>
  <c r="AX87" i="32" s="1"/>
  <c r="AL88" i="32"/>
  <c r="AX88" i="32" s="1"/>
  <c r="AL89" i="32"/>
  <c r="AX89" i="32" s="1"/>
  <c r="AL93" i="32"/>
  <c r="AX93" i="32" s="1"/>
  <c r="AL94" i="32"/>
  <c r="AX94" i="32" s="1"/>
  <c r="AL95" i="32"/>
  <c r="AX95" i="32" s="1"/>
  <c r="AL96" i="32"/>
  <c r="AX96" i="32" s="1"/>
  <c r="AL97" i="32"/>
  <c r="AX97" i="32" s="1"/>
  <c r="AX98" i="32"/>
  <c r="AL98" i="32"/>
  <c r="AL102" i="32"/>
  <c r="AX102" i="32" s="1"/>
  <c r="AL103" i="32"/>
  <c r="AX103" i="32" s="1"/>
  <c r="AL104" i="32"/>
  <c r="AX104" i="32" s="1"/>
  <c r="AL105" i="32"/>
  <c r="AX105" i="32" s="1"/>
  <c r="AL106" i="32"/>
  <c r="AX106" i="32" s="1"/>
  <c r="AL107" i="32"/>
  <c r="AX107" i="32" s="1"/>
  <c r="AL111" i="32"/>
  <c r="AX111" i="32" s="1"/>
  <c r="AL112" i="32"/>
  <c r="AX112" i="32" s="1"/>
  <c r="AL113" i="32"/>
  <c r="AX113" i="32" s="1"/>
  <c r="AL114" i="32"/>
  <c r="AX114" i="32" s="1"/>
  <c r="AL115" i="32"/>
  <c r="AX115" i="32" s="1"/>
  <c r="AL116" i="32"/>
  <c r="AX116" i="32" s="1"/>
  <c r="AL120" i="32"/>
  <c r="AX120" i="32" s="1"/>
  <c r="AL121" i="32"/>
  <c r="AX121" i="32" s="1"/>
  <c r="AL122" i="32"/>
  <c r="AX122" i="32" s="1"/>
  <c r="AL123" i="32"/>
  <c r="AX123" i="32" s="1"/>
  <c r="AL124" i="32"/>
  <c r="AX124" i="32" s="1"/>
  <c r="AL125" i="32"/>
  <c r="AX125" i="32" s="1"/>
  <c r="AL129" i="32"/>
  <c r="AX129" i="32" s="1"/>
  <c r="AL130" i="32"/>
  <c r="AX130" i="32" s="1"/>
  <c r="AL131" i="32"/>
  <c r="AX131" i="32" s="1"/>
  <c r="AL132" i="32"/>
  <c r="AX132" i="32" s="1"/>
  <c r="AL133" i="32"/>
  <c r="AX133" i="32" s="1"/>
  <c r="AL134" i="32"/>
  <c r="AX134" i="32" s="1"/>
  <c r="AL138" i="32"/>
  <c r="AX138" i="32" s="1"/>
  <c r="AL139" i="32"/>
  <c r="AX139" i="32" s="1"/>
  <c r="AL140" i="32"/>
  <c r="AX140" i="32" s="1"/>
  <c r="AL141" i="32"/>
  <c r="AX141" i="32" s="1"/>
  <c r="AL142" i="32"/>
  <c r="AX142" i="32" s="1"/>
  <c r="AL143" i="32"/>
  <c r="AX143" i="32" s="1"/>
  <c r="AL147" i="32"/>
  <c r="AX147" i="32" s="1"/>
  <c r="AL148" i="32"/>
  <c r="AX148" i="32" s="1"/>
  <c r="AL149" i="32"/>
  <c r="AX149" i="32" s="1"/>
  <c r="AL150" i="32"/>
  <c r="AX150" i="32" s="1"/>
  <c r="AL151" i="32"/>
  <c r="AX151" i="32" s="1"/>
  <c r="AL152" i="32"/>
  <c r="AX152" i="32" s="1"/>
  <c r="AL156" i="32"/>
  <c r="AX156" i="32" s="1"/>
  <c r="AL157" i="32"/>
  <c r="AX157" i="32" s="1"/>
  <c r="AL158" i="32"/>
  <c r="AX158" i="32" s="1"/>
  <c r="AL159" i="32"/>
  <c r="AL160" i="32"/>
  <c r="AX160" i="32" s="1"/>
  <c r="AL161" i="32"/>
  <c r="AX161" i="32" s="1"/>
  <c r="AL165" i="32"/>
  <c r="AX165" i="32" s="1"/>
  <c r="AL166" i="32"/>
  <c r="AX166" i="32" s="1"/>
  <c r="AL167" i="32"/>
  <c r="AX167" i="32" s="1"/>
  <c r="AL168" i="32"/>
  <c r="AX168" i="32" s="1"/>
  <c r="AL169" i="32"/>
  <c r="AX169" i="32" s="1"/>
  <c r="AL170" i="32"/>
  <c r="AX170" i="32" s="1"/>
  <c r="AI12" i="32"/>
  <c r="AU12" i="32" s="1"/>
  <c r="AI13" i="32"/>
  <c r="AU13" i="32" s="1"/>
  <c r="AI14" i="32"/>
  <c r="AU14" i="32" s="1"/>
  <c r="AI15" i="32"/>
  <c r="AU15" i="32" s="1"/>
  <c r="AI16" i="32"/>
  <c r="AU16" i="32" s="1"/>
  <c r="AI17" i="32"/>
  <c r="AU17" i="32" s="1"/>
  <c r="AI21" i="32"/>
  <c r="AU21" i="32" s="1"/>
  <c r="AI22" i="32"/>
  <c r="AI23" i="32"/>
  <c r="AU23" i="32" s="1"/>
  <c r="AI24" i="32"/>
  <c r="AU24" i="32" s="1"/>
  <c r="AI25" i="32"/>
  <c r="AI26" i="32"/>
  <c r="AU26" i="32" s="1"/>
  <c r="AI30" i="32"/>
  <c r="AU30" i="32" s="1"/>
  <c r="AI31" i="32"/>
  <c r="AU31" i="32" s="1"/>
  <c r="AI32" i="32"/>
  <c r="AI33" i="32"/>
  <c r="AU33" i="32" s="1"/>
  <c r="AI34" i="32"/>
  <c r="AU34" i="32" s="1"/>
  <c r="AI35" i="32"/>
  <c r="AU35" i="32" s="1"/>
  <c r="AI39" i="32"/>
  <c r="AU39" i="32" s="1"/>
  <c r="AI40" i="32"/>
  <c r="AU40" i="32" s="1"/>
  <c r="AI41" i="32"/>
  <c r="AU41" i="32" s="1"/>
  <c r="AI42" i="32"/>
  <c r="AU42" i="32" s="1"/>
  <c r="AI43" i="32"/>
  <c r="AI44" i="32"/>
  <c r="AU44" i="32" s="1"/>
  <c r="AI48" i="32"/>
  <c r="AU48" i="32" s="1"/>
  <c r="AI49" i="32"/>
  <c r="AU49" i="32" s="1"/>
  <c r="AI50" i="32"/>
  <c r="AI51" i="32"/>
  <c r="AU51" i="32" s="1"/>
  <c r="AI52" i="32"/>
  <c r="AU52" i="32" s="1"/>
  <c r="AI53" i="32"/>
  <c r="AU53" i="32" s="1"/>
  <c r="AI57" i="32"/>
  <c r="AI58" i="32"/>
  <c r="AU58" i="32" s="1"/>
  <c r="AI59" i="32"/>
  <c r="AU59" i="32" s="1"/>
  <c r="AI60" i="32"/>
  <c r="AU60" i="32" s="1"/>
  <c r="AI61" i="32"/>
  <c r="AI62" i="32"/>
  <c r="AU62" i="32" s="1"/>
  <c r="AI66" i="32"/>
  <c r="AU66" i="32" s="1"/>
  <c r="AI67" i="32"/>
  <c r="AU67" i="32" s="1"/>
  <c r="AI68" i="32"/>
  <c r="AU68" i="32" s="1"/>
  <c r="AI69" i="32"/>
  <c r="AI70" i="32"/>
  <c r="AU70" i="32" s="1"/>
  <c r="AI71" i="32"/>
  <c r="AU71" i="32" s="1"/>
  <c r="AI75" i="32"/>
  <c r="AI76" i="32"/>
  <c r="AI77" i="32"/>
  <c r="AU77" i="32" s="1"/>
  <c r="AI78" i="32"/>
  <c r="AU78" i="32" s="1"/>
  <c r="AI79" i="32"/>
  <c r="AI84" i="32"/>
  <c r="AI85" i="32"/>
  <c r="AU85" i="32" s="1"/>
  <c r="AI86" i="32"/>
  <c r="AU86" i="32" s="1"/>
  <c r="AI87" i="32"/>
  <c r="AU87" i="32" s="1"/>
  <c r="AI88" i="32"/>
  <c r="AU88" i="32" s="1"/>
  <c r="AI89" i="32"/>
  <c r="AU89" i="32" s="1"/>
  <c r="AI94" i="32"/>
  <c r="AU94" i="32" s="1"/>
  <c r="AI95" i="32"/>
  <c r="AI102" i="32"/>
  <c r="AU102" i="32" s="1"/>
  <c r="AI106" i="32"/>
  <c r="AI112" i="32"/>
  <c r="AU112" i="32" s="1"/>
  <c r="AI113" i="32"/>
  <c r="AU113" i="32" s="1"/>
  <c r="AI114" i="32"/>
  <c r="AU114" i="32" s="1"/>
  <c r="AI115" i="32"/>
  <c r="AU115" i="32" s="1"/>
  <c r="AI116" i="32"/>
  <c r="AU116" i="32" s="1"/>
  <c r="AI120" i="32"/>
  <c r="AU120" i="32" s="1"/>
  <c r="AI121" i="32"/>
  <c r="AU121" i="32" s="1"/>
  <c r="AI122" i="32"/>
  <c r="AU122" i="32" s="1"/>
  <c r="AI123" i="32"/>
  <c r="AU123" i="32" s="1"/>
  <c r="AI124" i="32"/>
  <c r="AU124" i="32" s="1"/>
  <c r="AI125" i="32"/>
  <c r="AU125" i="32" s="1"/>
  <c r="AI156" i="32"/>
  <c r="AU156" i="32" s="1"/>
  <c r="AI157" i="32"/>
  <c r="AU157" i="32" s="1"/>
  <c r="AI158" i="32"/>
  <c r="AI159" i="32"/>
  <c r="AU159" i="32" s="1"/>
  <c r="AI160" i="32"/>
  <c r="AU160" i="32" s="1"/>
  <c r="AI161" i="32"/>
  <c r="AU161" i="32" s="1"/>
  <c r="AI165" i="32"/>
  <c r="AU165" i="32" s="1"/>
  <c r="AI166" i="32"/>
  <c r="AU166" i="32" s="1"/>
  <c r="AI167" i="32"/>
  <c r="AU167" i="32" s="1"/>
  <c r="AI168" i="32"/>
  <c r="AU168" i="32" s="1"/>
  <c r="AI169" i="32"/>
  <c r="AU169" i="32" s="1"/>
  <c r="AI170" i="32"/>
  <c r="AU170" i="32" s="1"/>
  <c r="AJ80" i="32"/>
  <c r="AV80" i="32" s="1"/>
  <c r="AJ93" i="32"/>
  <c r="AV93" i="32" s="1"/>
  <c r="AJ94" i="32"/>
  <c r="AV94" i="32" s="1"/>
  <c r="AJ95" i="32"/>
  <c r="AV95" i="32" s="1"/>
  <c r="AJ96" i="32"/>
  <c r="AV96" i="32" s="1"/>
  <c r="AJ97" i="32"/>
  <c r="AV97" i="32" s="1"/>
  <c r="AJ98" i="32"/>
  <c r="AM98" i="32" s="1"/>
  <c r="AJ102" i="32"/>
  <c r="AJ103" i="32"/>
  <c r="AV103" i="32" s="1"/>
  <c r="AJ104" i="32"/>
  <c r="AV104" i="32" s="1"/>
  <c r="AJ105" i="32"/>
  <c r="AV105" i="32" s="1"/>
  <c r="AJ106" i="32"/>
  <c r="AV106" i="32" s="1"/>
  <c r="AJ107" i="32"/>
  <c r="AV107" i="32" s="1"/>
  <c r="AJ111" i="32"/>
  <c r="AV111" i="32" s="1"/>
  <c r="AJ113" i="32"/>
  <c r="AV113" i="32" s="1"/>
  <c r="AJ114" i="32"/>
  <c r="AJ115" i="32"/>
  <c r="AV115" i="32" s="1"/>
  <c r="AJ116" i="32"/>
  <c r="AV116" i="32" s="1"/>
  <c r="AJ120" i="32"/>
  <c r="AV120" i="32" s="1"/>
  <c r="AJ121" i="32"/>
  <c r="AV121" i="32" s="1"/>
  <c r="AJ122" i="32"/>
  <c r="AV122" i="32" s="1"/>
  <c r="AJ123" i="32"/>
  <c r="AV123" i="32" s="1"/>
  <c r="AJ124" i="32"/>
  <c r="AV124" i="32" s="1"/>
  <c r="AJ125" i="32"/>
  <c r="AV125" i="32" s="1"/>
  <c r="AJ129" i="32"/>
  <c r="AV129" i="32" s="1"/>
  <c r="AJ130" i="32"/>
  <c r="AV130" i="32" s="1"/>
  <c r="AJ131" i="32"/>
  <c r="AJ132" i="32"/>
  <c r="AV132" i="32" s="1"/>
  <c r="AJ133" i="32"/>
  <c r="AV133" i="32" s="1"/>
  <c r="AJ134" i="32"/>
  <c r="AV134" i="32" s="1"/>
  <c r="AJ138" i="32"/>
  <c r="AJ139" i="32"/>
  <c r="AV139" i="32" s="1"/>
  <c r="AJ140" i="32"/>
  <c r="AV140" i="32" s="1"/>
  <c r="AJ141" i="32"/>
  <c r="AV141" i="32" s="1"/>
  <c r="AJ142" i="32"/>
  <c r="AV142" i="32" s="1"/>
  <c r="AJ143" i="32"/>
  <c r="AV143" i="32" s="1"/>
  <c r="AJ147" i="32"/>
  <c r="AV147" i="32" s="1"/>
  <c r="AJ148" i="32"/>
  <c r="AV148" i="32" s="1"/>
  <c r="AJ149" i="32"/>
  <c r="AV149" i="32" s="1"/>
  <c r="AJ150" i="32"/>
  <c r="AV150" i="32" s="1"/>
  <c r="AJ151" i="32"/>
  <c r="AV151" i="32" s="1"/>
  <c r="AJ152" i="32"/>
  <c r="AV152" i="32" s="1"/>
  <c r="AJ156" i="32"/>
  <c r="AV156" i="32" s="1"/>
  <c r="AJ157" i="32"/>
  <c r="AV157" i="32" s="1"/>
  <c r="AJ158" i="32"/>
  <c r="AV158" i="32" s="1"/>
  <c r="AJ159" i="32"/>
  <c r="AV159" i="32" s="1"/>
  <c r="AJ160" i="32"/>
  <c r="AV160" i="32" s="1"/>
  <c r="AJ161" i="32"/>
  <c r="AV161" i="32" s="1"/>
  <c r="AJ165" i="32"/>
  <c r="AV165" i="32" s="1"/>
  <c r="AJ166" i="32"/>
  <c r="AV166" i="32" s="1"/>
  <c r="AJ167" i="32"/>
  <c r="AV167" i="32" s="1"/>
  <c r="AJ168" i="32"/>
  <c r="AV168" i="32" s="1"/>
  <c r="AJ169" i="32"/>
  <c r="AV169" i="32" s="1"/>
  <c r="AJ170" i="32"/>
  <c r="AV170" i="32" s="1"/>
  <c r="AI30" i="30"/>
  <c r="AU30" i="30" s="1"/>
  <c r="AI31" i="30"/>
  <c r="AI32" i="30"/>
  <c r="AU32" i="30" s="1"/>
  <c r="AI33" i="30"/>
  <c r="AU33" i="30" s="1"/>
  <c r="AI34" i="30"/>
  <c r="AI35" i="30"/>
  <c r="AU35" i="30" s="1"/>
  <c r="AU48" i="30"/>
  <c r="AI48" i="30"/>
  <c r="AI49" i="30"/>
  <c r="AI50" i="30"/>
  <c r="AU50" i="30" s="1"/>
  <c r="AI51" i="30"/>
  <c r="AU51" i="30" s="1"/>
  <c r="AI52" i="30"/>
  <c r="AU52" i="30" s="1"/>
  <c r="AI53" i="30"/>
  <c r="AI62" i="30"/>
  <c r="AU62" i="30" s="1"/>
  <c r="AI66" i="30"/>
  <c r="AI67" i="30"/>
  <c r="AU67" i="30" s="1"/>
  <c r="AI68" i="30"/>
  <c r="AU68" i="30" s="1"/>
  <c r="AI69" i="30"/>
  <c r="AU69" i="30" s="1"/>
  <c r="AI70" i="30"/>
  <c r="AU70" i="30" s="1"/>
  <c r="AI71" i="30"/>
  <c r="AU71" i="30" s="1"/>
  <c r="AI75" i="30"/>
  <c r="AU75" i="30" s="1"/>
  <c r="AI76" i="30"/>
  <c r="AU76" i="30" s="1"/>
  <c r="AI77" i="30"/>
  <c r="AU77" i="30" s="1"/>
  <c r="AI78" i="30"/>
  <c r="AU78" i="30" s="1"/>
  <c r="AI79" i="30"/>
  <c r="AI80" i="30"/>
  <c r="AI84" i="30"/>
  <c r="AU84" i="30" s="1"/>
  <c r="AI85" i="30"/>
  <c r="AU85" i="30" s="1"/>
  <c r="AI86" i="30"/>
  <c r="AU86" i="30" s="1"/>
  <c r="AI87" i="30"/>
  <c r="AI88" i="30"/>
  <c r="AU88" i="30" s="1"/>
  <c r="AI89" i="30"/>
  <c r="AI93" i="30"/>
  <c r="AU93" i="30" s="1"/>
  <c r="AI94" i="30"/>
  <c r="AU94" i="30" s="1"/>
  <c r="AI95" i="30"/>
  <c r="AI96" i="30"/>
  <c r="AU96" i="30" s="1"/>
  <c r="AI97" i="30"/>
  <c r="AU97" i="30" s="1"/>
  <c r="AI98" i="30"/>
  <c r="AU98" i="30" s="1"/>
  <c r="AI102" i="30"/>
  <c r="AU102" i="30" s="1"/>
  <c r="AI103" i="30"/>
  <c r="AU103" i="30" s="1"/>
  <c r="AI104" i="30"/>
  <c r="AU104" i="30" s="1"/>
  <c r="AI105" i="30"/>
  <c r="AU105" i="30" s="1"/>
  <c r="AI106" i="30"/>
  <c r="AI107" i="30"/>
  <c r="AU107" i="30" s="1"/>
  <c r="AI111" i="30"/>
  <c r="AU111" i="30" s="1"/>
  <c r="AI112" i="30"/>
  <c r="AI113" i="30"/>
  <c r="AU113" i="30" s="1"/>
  <c r="AI114" i="30"/>
  <c r="AU114" i="30" s="1"/>
  <c r="AI115" i="30"/>
  <c r="AI116" i="30"/>
  <c r="AU116" i="30" s="1"/>
  <c r="AI120" i="30"/>
  <c r="AU120" i="30" s="1"/>
  <c r="AI121" i="30"/>
  <c r="AI122" i="30"/>
  <c r="AI123" i="30"/>
  <c r="AU123" i="30" s="1"/>
  <c r="AI124" i="30"/>
  <c r="AU124" i="30" s="1"/>
  <c r="AI125" i="30"/>
  <c r="AU125" i="30" s="1"/>
  <c r="AI129" i="30"/>
  <c r="AU129" i="30" s="1"/>
  <c r="AI130" i="30"/>
  <c r="AI131" i="30"/>
  <c r="AU131" i="30" s="1"/>
  <c r="AI132" i="30"/>
  <c r="AU132" i="30" s="1"/>
  <c r="AI133" i="30"/>
  <c r="AU133" i="30" s="1"/>
  <c r="AI134" i="30"/>
  <c r="AI138" i="30"/>
  <c r="AI139" i="30"/>
  <c r="AU139" i="30" s="1"/>
  <c r="AI140" i="30"/>
  <c r="AI141" i="30"/>
  <c r="AI142" i="30"/>
  <c r="AI143" i="30"/>
  <c r="AU143" i="30" s="1"/>
  <c r="AI147" i="30"/>
  <c r="AU147" i="30" s="1"/>
  <c r="AI148" i="30"/>
  <c r="AI149" i="30"/>
  <c r="AU149" i="30" s="1"/>
  <c r="AI150" i="30"/>
  <c r="AU150" i="30" s="1"/>
  <c r="AI151" i="30"/>
  <c r="AU151" i="30" s="1"/>
  <c r="AI152" i="30"/>
  <c r="AI156" i="30"/>
  <c r="AU156" i="30" s="1"/>
  <c r="AI157" i="30"/>
  <c r="AU157" i="30" s="1"/>
  <c r="AI158" i="30"/>
  <c r="AU158" i="30" s="1"/>
  <c r="AI159" i="30"/>
  <c r="AI160" i="30"/>
  <c r="AU160" i="30" s="1"/>
  <c r="AI161" i="30"/>
  <c r="AU161" i="30" s="1"/>
  <c r="AI165" i="30"/>
  <c r="AI166" i="30"/>
  <c r="AI167" i="30"/>
  <c r="AU167" i="30" s="1"/>
  <c r="AI168" i="30"/>
  <c r="AU168" i="30" s="1"/>
  <c r="AI169" i="30"/>
  <c r="AU169" i="30" s="1"/>
  <c r="AI170" i="30"/>
  <c r="AJ14" i="30"/>
  <c r="AV14" i="30" s="1"/>
  <c r="AL33" i="30"/>
  <c r="AX33" i="30" s="1"/>
  <c r="AJ12" i="30"/>
  <c r="AJ13" i="30"/>
  <c r="AJ15" i="30"/>
  <c r="AJ16" i="30"/>
  <c r="AV16" i="30" s="1"/>
  <c r="AJ17" i="30"/>
  <c r="AV17" i="30" s="1"/>
  <c r="AJ21" i="30"/>
  <c r="AJ22" i="30"/>
  <c r="AV22" i="30" s="1"/>
  <c r="AJ23" i="30"/>
  <c r="AJ24" i="30"/>
  <c r="AV24" i="30" s="1"/>
  <c r="AJ25" i="30"/>
  <c r="AV25" i="30" s="1"/>
  <c r="AJ26" i="30"/>
  <c r="AV26" i="30" s="1"/>
  <c r="AJ31" i="30"/>
  <c r="AV31" i="30" s="1"/>
  <c r="AJ32" i="30"/>
  <c r="AV32" i="30" s="1"/>
  <c r="AJ33" i="30"/>
  <c r="AV33" i="30" s="1"/>
  <c r="AJ35" i="30"/>
  <c r="AV35" i="30" s="1"/>
  <c r="AJ39" i="30"/>
  <c r="AV39" i="30" s="1"/>
  <c r="AJ40" i="30"/>
  <c r="AV40" i="30" s="1"/>
  <c r="AJ41" i="30"/>
  <c r="AV41" i="30" s="1"/>
  <c r="AJ42" i="30"/>
  <c r="AJ43" i="30"/>
  <c r="AV43" i="30" s="1"/>
  <c r="AJ44" i="30"/>
  <c r="AV44" i="30" s="1"/>
  <c r="AJ48" i="30"/>
  <c r="AV48" i="30" s="1"/>
  <c r="AJ49" i="30"/>
  <c r="AV49" i="30" s="1"/>
  <c r="AJ52" i="30"/>
  <c r="AV52" i="30" s="1"/>
  <c r="AJ53" i="30"/>
  <c r="AV53" i="30" s="1"/>
  <c r="AJ57" i="30"/>
  <c r="AV57" i="30" s="1"/>
  <c r="AJ58" i="30"/>
  <c r="AV58" i="30" s="1"/>
  <c r="AJ59" i="30"/>
  <c r="AJ60" i="30"/>
  <c r="AV60" i="30" s="1"/>
  <c r="AJ61" i="30"/>
  <c r="AV61" i="30" s="1"/>
  <c r="AJ62" i="30"/>
  <c r="AV62" i="30" s="1"/>
  <c r="AJ67" i="30"/>
  <c r="AV67" i="30" s="1"/>
  <c r="AJ68" i="30"/>
  <c r="AV68" i="30" s="1"/>
  <c r="AJ69" i="30"/>
  <c r="AV69" i="30" s="1"/>
  <c r="AJ71" i="30"/>
  <c r="AV71" i="30" s="1"/>
  <c r="AJ75" i="30"/>
  <c r="AV75" i="30" s="1"/>
  <c r="AJ76" i="30"/>
  <c r="AV76" i="30" s="1"/>
  <c r="AJ77" i="30"/>
  <c r="AV77" i="30" s="1"/>
  <c r="AJ78" i="30"/>
  <c r="AJ79" i="30"/>
  <c r="AV79" i="30" s="1"/>
  <c r="AJ80" i="30"/>
  <c r="AV80" i="30" s="1"/>
  <c r="AJ84" i="30"/>
  <c r="AV84" i="30" s="1"/>
  <c r="AJ85" i="30"/>
  <c r="AV85" i="30" s="1"/>
  <c r="AJ88" i="30"/>
  <c r="AV88" i="30" s="1"/>
  <c r="AJ89" i="30"/>
  <c r="AV89" i="30" s="1"/>
  <c r="AJ93" i="30"/>
  <c r="AV93" i="30" s="1"/>
  <c r="AJ94" i="30"/>
  <c r="AV94" i="30" s="1"/>
  <c r="AJ95" i="30"/>
  <c r="AV95" i="30" s="1"/>
  <c r="AJ97" i="30"/>
  <c r="AV97" i="30" s="1"/>
  <c r="AJ98" i="30"/>
  <c r="AV98" i="30" s="1"/>
  <c r="AJ102" i="30"/>
  <c r="AV102" i="30" s="1"/>
  <c r="AJ104" i="30"/>
  <c r="AV104" i="30" s="1"/>
  <c r="AJ105" i="30"/>
  <c r="AJ106" i="30"/>
  <c r="AV106" i="30" s="1"/>
  <c r="AJ111" i="30"/>
  <c r="AV111" i="30" s="1"/>
  <c r="AJ112" i="30"/>
  <c r="AV112" i="30" s="1"/>
  <c r="AJ113" i="30"/>
  <c r="AV113" i="30" s="1"/>
  <c r="AJ115" i="30"/>
  <c r="AV115" i="30" s="1"/>
  <c r="AJ116" i="30"/>
  <c r="AV116" i="30" s="1"/>
  <c r="AJ120" i="30"/>
  <c r="AV120" i="30" s="1"/>
  <c r="AJ122" i="30"/>
  <c r="AV122" i="30" s="1"/>
  <c r="AJ123" i="30"/>
  <c r="AV123" i="30" s="1"/>
  <c r="AJ124" i="30"/>
  <c r="AV124" i="30" s="1"/>
  <c r="AJ156" i="30"/>
  <c r="AV156" i="30" s="1"/>
  <c r="AJ157" i="30"/>
  <c r="AV157" i="30" s="1"/>
  <c r="AJ158" i="30"/>
  <c r="AV158" i="30" s="1"/>
  <c r="AJ160" i="30"/>
  <c r="AV160" i="30" s="1"/>
  <c r="AJ161" i="30"/>
  <c r="AV161" i="30" s="1"/>
  <c r="AJ165" i="30"/>
  <c r="AV165" i="30" s="1"/>
  <c r="AJ167" i="30"/>
  <c r="AV167" i="30" s="1"/>
  <c r="AJ168" i="30"/>
  <c r="AV168" i="30" s="1"/>
  <c r="AJ169" i="30"/>
  <c r="AV169" i="30" s="1"/>
  <c r="AK12" i="30"/>
  <c r="AW12" i="30" s="1"/>
  <c r="AK13" i="30"/>
  <c r="AW13" i="30" s="1"/>
  <c r="AK14" i="30"/>
  <c r="AW14" i="30" s="1"/>
  <c r="AK15" i="30"/>
  <c r="AW15" i="30" s="1"/>
  <c r="AK16" i="30"/>
  <c r="AW16" i="30" s="1"/>
  <c r="AK17" i="30"/>
  <c r="AW17" i="30" s="1"/>
  <c r="AK21" i="30"/>
  <c r="AW21" i="30" s="1"/>
  <c r="AK22" i="30"/>
  <c r="AW22" i="30" s="1"/>
  <c r="AK23" i="30"/>
  <c r="AW23" i="30" s="1"/>
  <c r="AK24" i="30"/>
  <c r="AW24" i="30" s="1"/>
  <c r="AK25" i="30"/>
  <c r="AW25" i="30" s="1"/>
  <c r="AK26" i="30"/>
  <c r="AW26" i="30" s="1"/>
  <c r="AK30" i="30"/>
  <c r="AW30" i="30" s="1"/>
  <c r="AK31" i="30"/>
  <c r="AW31" i="30" s="1"/>
  <c r="AK32" i="30"/>
  <c r="AK33" i="30"/>
  <c r="AW33" i="30" s="1"/>
  <c r="AK34" i="30"/>
  <c r="AW34" i="30" s="1"/>
  <c r="AK35" i="30"/>
  <c r="AW35" i="30" s="1"/>
  <c r="AK39" i="30"/>
  <c r="AW39" i="30" s="1"/>
  <c r="AK40" i="30"/>
  <c r="AK41" i="30"/>
  <c r="AW41" i="30" s="1"/>
  <c r="AK42" i="30"/>
  <c r="AW42" i="30" s="1"/>
  <c r="AK43" i="30"/>
  <c r="AW43" i="30" s="1"/>
  <c r="AK44" i="30"/>
  <c r="AW44" i="30" s="1"/>
  <c r="AK48" i="30"/>
  <c r="AK49" i="30"/>
  <c r="AW49" i="30" s="1"/>
  <c r="AK50" i="30"/>
  <c r="AW50" i="30" s="1"/>
  <c r="AK51" i="30"/>
  <c r="AK52" i="30"/>
  <c r="AW52" i="30" s="1"/>
  <c r="AK53" i="30"/>
  <c r="AW53" i="30" s="1"/>
  <c r="AK57" i="30"/>
  <c r="AW57" i="30" s="1"/>
  <c r="AK58" i="30"/>
  <c r="AW58" i="30" s="1"/>
  <c r="AK59" i="30"/>
  <c r="AW59" i="30" s="1"/>
  <c r="AK60" i="30"/>
  <c r="AW60" i="30" s="1"/>
  <c r="AK61" i="30"/>
  <c r="AW61" i="30" s="1"/>
  <c r="AK62" i="30"/>
  <c r="AW62" i="30" s="1"/>
  <c r="AK66" i="30"/>
  <c r="AW66" i="30" s="1"/>
  <c r="AK67" i="30"/>
  <c r="AK68" i="30"/>
  <c r="AW68" i="30" s="1"/>
  <c r="AK69" i="30"/>
  <c r="AW69" i="30" s="1"/>
  <c r="AK70" i="30"/>
  <c r="AW70" i="30" s="1"/>
  <c r="AK71" i="30"/>
  <c r="AW71" i="30" s="1"/>
  <c r="AK75" i="30"/>
  <c r="AW75" i="30" s="1"/>
  <c r="AK76" i="30"/>
  <c r="AW76" i="30" s="1"/>
  <c r="AK77" i="30"/>
  <c r="AW77" i="30" s="1"/>
  <c r="AK78" i="30"/>
  <c r="AW78" i="30" s="1"/>
  <c r="AK79" i="30"/>
  <c r="AW79" i="30" s="1"/>
  <c r="AK80" i="30"/>
  <c r="AW80" i="30" s="1"/>
  <c r="AK84" i="30"/>
  <c r="AW84" i="30" s="1"/>
  <c r="AK85" i="30"/>
  <c r="AW85" i="30" s="1"/>
  <c r="AK86" i="30"/>
  <c r="AW86" i="30" s="1"/>
  <c r="AK87" i="30"/>
  <c r="AW87" i="30" s="1"/>
  <c r="AK88" i="30"/>
  <c r="AW88" i="30" s="1"/>
  <c r="AK89" i="30"/>
  <c r="AW89" i="30" s="1"/>
  <c r="AK93" i="30"/>
  <c r="AW93" i="30" s="1"/>
  <c r="AK94" i="30"/>
  <c r="AW94" i="30" s="1"/>
  <c r="AK95" i="30"/>
  <c r="AW95" i="30" s="1"/>
  <c r="AK96" i="30"/>
  <c r="AK97" i="30"/>
  <c r="AW97" i="30" s="1"/>
  <c r="AK98" i="30"/>
  <c r="AW98" i="30" s="1"/>
  <c r="AK102" i="30"/>
  <c r="AW102" i="30" s="1"/>
  <c r="AK103" i="30"/>
  <c r="AW103" i="30" s="1"/>
  <c r="AK104" i="30"/>
  <c r="AK105" i="30"/>
  <c r="AW105" i="30" s="1"/>
  <c r="AK106" i="30"/>
  <c r="AW106" i="30" s="1"/>
  <c r="AK107" i="30"/>
  <c r="AK111" i="30"/>
  <c r="AW111" i="30" s="1"/>
  <c r="AK112" i="30"/>
  <c r="AW112" i="30" s="1"/>
  <c r="AK113" i="30"/>
  <c r="AW113" i="30" s="1"/>
  <c r="AK114" i="30"/>
  <c r="AW114" i="30" s="1"/>
  <c r="AK115" i="30"/>
  <c r="AW115" i="30" s="1"/>
  <c r="AK116" i="30"/>
  <c r="AW116" i="30" s="1"/>
  <c r="AK120" i="30"/>
  <c r="AW120" i="30" s="1"/>
  <c r="AK121" i="30"/>
  <c r="AW121" i="30" s="1"/>
  <c r="AK122" i="30"/>
  <c r="AW122" i="30" s="1"/>
  <c r="AK123" i="30"/>
  <c r="AW123" i="30" s="1"/>
  <c r="AK124" i="30"/>
  <c r="AW124" i="30" s="1"/>
  <c r="AK125" i="30"/>
  <c r="AW125" i="30" s="1"/>
  <c r="AK129" i="30"/>
  <c r="AW129" i="30" s="1"/>
  <c r="AK130" i="30"/>
  <c r="AW130" i="30" s="1"/>
  <c r="AK131" i="30"/>
  <c r="AW131" i="30" s="1"/>
  <c r="AK132" i="30"/>
  <c r="AK133" i="30"/>
  <c r="AW133" i="30" s="1"/>
  <c r="AK134" i="30"/>
  <c r="AW134" i="30" s="1"/>
  <c r="AK138" i="30"/>
  <c r="AW138" i="30" s="1"/>
  <c r="AK139" i="30"/>
  <c r="AW139" i="30" s="1"/>
  <c r="AK140" i="30"/>
  <c r="AW140" i="30" s="1"/>
  <c r="AK141" i="30"/>
  <c r="AW141" i="30" s="1"/>
  <c r="AK142" i="30"/>
  <c r="AW142" i="30" s="1"/>
  <c r="AK143" i="30"/>
  <c r="AK147" i="30"/>
  <c r="AW147" i="30" s="1"/>
  <c r="AK148" i="30"/>
  <c r="AW148" i="30" s="1"/>
  <c r="AK149" i="30"/>
  <c r="AW149" i="30" s="1"/>
  <c r="AK150" i="30"/>
  <c r="AK151" i="30"/>
  <c r="AW151" i="30" s="1"/>
  <c r="AK152" i="30"/>
  <c r="AW152" i="30" s="1"/>
  <c r="AK156" i="30"/>
  <c r="AW156" i="30" s="1"/>
  <c r="AK157" i="30"/>
  <c r="AW157" i="30" s="1"/>
  <c r="AK158" i="30"/>
  <c r="AW158" i="30" s="1"/>
  <c r="AK159" i="30"/>
  <c r="AW159" i="30" s="1"/>
  <c r="AK160" i="30"/>
  <c r="AW160" i="30" s="1"/>
  <c r="AK161" i="30"/>
  <c r="AW161" i="30" s="1"/>
  <c r="AK165" i="30"/>
  <c r="AW165" i="30" s="1"/>
  <c r="AK166" i="30"/>
  <c r="AW166" i="30" s="1"/>
  <c r="AK167" i="30"/>
  <c r="AW167" i="30" s="1"/>
  <c r="AK168" i="30"/>
  <c r="AW168" i="30" s="1"/>
  <c r="AK169" i="30"/>
  <c r="AW169" i="30" s="1"/>
  <c r="AK170" i="30"/>
  <c r="AW170" i="30" s="1"/>
  <c r="AL12" i="30"/>
  <c r="AX12" i="30" s="1"/>
  <c r="AL13" i="30"/>
  <c r="AX13" i="30" s="1"/>
  <c r="AL14" i="30"/>
  <c r="AX14" i="30" s="1"/>
  <c r="AL15" i="30"/>
  <c r="AX15" i="30" s="1"/>
  <c r="AL16" i="30"/>
  <c r="AX16" i="30" s="1"/>
  <c r="AL17" i="30"/>
  <c r="AX17" i="30" s="1"/>
  <c r="AL21" i="30"/>
  <c r="AX21" i="30" s="1"/>
  <c r="AL22" i="30"/>
  <c r="AX22" i="30" s="1"/>
  <c r="AL23" i="30"/>
  <c r="AX23" i="30" s="1"/>
  <c r="AL24" i="30"/>
  <c r="AX24" i="30" s="1"/>
  <c r="AL25" i="30"/>
  <c r="AX25" i="30" s="1"/>
  <c r="AL26" i="30"/>
  <c r="AX26" i="30" s="1"/>
  <c r="AL30" i="30"/>
  <c r="AL32" i="30"/>
  <c r="AX32" i="30" s="1"/>
  <c r="AL34" i="30"/>
  <c r="AX34" i="30" s="1"/>
  <c r="AL39" i="30"/>
  <c r="AX39" i="30" s="1"/>
  <c r="AL40" i="30"/>
  <c r="AX40" i="30" s="1"/>
  <c r="AL41" i="30"/>
  <c r="AX41" i="30" s="1"/>
  <c r="AL42" i="30"/>
  <c r="AX42" i="30" s="1"/>
  <c r="AL43" i="30"/>
  <c r="AL44" i="30"/>
  <c r="AX44" i="30" s="1"/>
  <c r="AL48" i="30"/>
  <c r="AX48" i="30" s="1"/>
  <c r="AL49" i="30"/>
  <c r="AX49" i="30" s="1"/>
  <c r="AL50" i="30"/>
  <c r="AX50" i="30" s="1"/>
  <c r="AL51" i="30"/>
  <c r="AX51" i="30" s="1"/>
  <c r="AL52" i="30"/>
  <c r="AX52" i="30" s="1"/>
  <c r="AL53" i="30"/>
  <c r="AX53" i="30" s="1"/>
  <c r="AL57" i="30"/>
  <c r="AX57" i="30" s="1"/>
  <c r="AL58" i="30"/>
  <c r="AX58" i="30" s="1"/>
  <c r="AL59" i="30"/>
  <c r="AX59" i="30" s="1"/>
  <c r="AL60" i="30"/>
  <c r="AX60" i="30" s="1"/>
  <c r="AL61" i="30"/>
  <c r="AL62" i="30"/>
  <c r="AX62" i="30" s="1"/>
  <c r="AL66" i="30"/>
  <c r="AX66" i="30" s="1"/>
  <c r="AL68" i="30"/>
  <c r="AX68" i="30" s="1"/>
  <c r="AL69" i="30"/>
  <c r="AX69" i="30" s="1"/>
  <c r="AL70" i="30"/>
  <c r="AX70" i="30" s="1"/>
  <c r="AL75" i="30"/>
  <c r="AX75" i="30" s="1"/>
  <c r="AL76" i="30"/>
  <c r="AX76" i="30" s="1"/>
  <c r="AL77" i="30"/>
  <c r="AL78" i="30"/>
  <c r="AX78" i="30" s="1"/>
  <c r="AL79" i="30"/>
  <c r="AX79" i="30" s="1"/>
  <c r="AL80" i="30"/>
  <c r="AX80" i="30" s="1"/>
  <c r="AL84" i="30"/>
  <c r="AX84" i="30" s="1"/>
  <c r="AL85" i="30"/>
  <c r="AX85" i="30" s="1"/>
  <c r="AL86" i="30"/>
  <c r="AX86" i="30" s="1"/>
  <c r="AL87" i="30"/>
  <c r="AX87" i="30" s="1"/>
  <c r="AL88" i="30"/>
  <c r="AX88" i="30" s="1"/>
  <c r="AL89" i="30"/>
  <c r="AX89" i="30" s="1"/>
  <c r="AL93" i="30"/>
  <c r="AX93" i="30" s="1"/>
  <c r="AL94" i="30"/>
  <c r="AX94" i="30" s="1"/>
  <c r="AL95" i="30"/>
  <c r="AX95" i="30" s="1"/>
  <c r="AL96" i="30"/>
  <c r="AX96" i="30" s="1"/>
  <c r="AL97" i="30"/>
  <c r="AX97" i="30" s="1"/>
  <c r="AL98" i="30"/>
  <c r="AL102" i="30"/>
  <c r="AX102" i="30" s="1"/>
  <c r="AL103" i="30"/>
  <c r="AX103" i="30" s="1"/>
  <c r="AL104" i="30"/>
  <c r="AX104" i="30" s="1"/>
  <c r="AL105" i="30"/>
  <c r="AX105" i="30" s="1"/>
  <c r="AL106" i="30"/>
  <c r="AX106" i="30" s="1"/>
  <c r="AL107" i="30"/>
  <c r="AX107" i="30" s="1"/>
  <c r="AL111" i="30"/>
  <c r="AX111" i="30" s="1"/>
  <c r="AL112" i="30"/>
  <c r="AX112" i="30" s="1"/>
  <c r="AL113" i="30"/>
  <c r="AX113" i="30" s="1"/>
  <c r="AL114" i="30"/>
  <c r="AX114" i="30" s="1"/>
  <c r="AL115" i="30"/>
  <c r="AX115" i="30" s="1"/>
  <c r="AL116" i="30"/>
  <c r="AX116" i="30" s="1"/>
  <c r="AL120" i="30"/>
  <c r="AX120" i="30" s="1"/>
  <c r="AL121" i="30"/>
  <c r="AX121" i="30" s="1"/>
  <c r="AL122" i="30"/>
  <c r="AX122" i="30" s="1"/>
  <c r="AL123" i="30"/>
  <c r="AX123" i="30" s="1"/>
  <c r="AL124" i="30"/>
  <c r="AX124" i="30" s="1"/>
  <c r="AL125" i="30"/>
  <c r="AX125" i="30" s="1"/>
  <c r="AL129" i="30"/>
  <c r="AX129" i="30" s="1"/>
  <c r="AL130" i="30"/>
  <c r="AX130" i="30" s="1"/>
  <c r="AL131" i="30"/>
  <c r="AX131" i="30" s="1"/>
  <c r="AL132" i="30"/>
  <c r="AX132" i="30" s="1"/>
  <c r="AL133" i="30"/>
  <c r="AX133" i="30" s="1"/>
  <c r="AL134" i="30"/>
  <c r="AX134" i="30" s="1"/>
  <c r="AL138" i="30"/>
  <c r="AX138" i="30" s="1"/>
  <c r="AL139" i="30"/>
  <c r="AX139" i="30" s="1"/>
  <c r="AL140" i="30"/>
  <c r="AX140" i="30" s="1"/>
  <c r="AL141" i="30"/>
  <c r="AX141" i="30" s="1"/>
  <c r="AL142" i="30"/>
  <c r="AX142" i="30" s="1"/>
  <c r="AL143" i="30"/>
  <c r="AX143" i="30" s="1"/>
  <c r="AL147" i="30"/>
  <c r="AX147" i="30" s="1"/>
  <c r="AL148" i="30"/>
  <c r="AX148" i="30" s="1"/>
  <c r="AL149" i="30"/>
  <c r="AX149" i="30" s="1"/>
  <c r="AL150" i="30"/>
  <c r="AX150" i="30" s="1"/>
  <c r="AL151" i="30"/>
  <c r="AX151" i="30" s="1"/>
  <c r="AL152" i="30"/>
  <c r="AX152" i="30" s="1"/>
  <c r="AL156" i="30"/>
  <c r="AX156" i="30" s="1"/>
  <c r="AL157" i="30"/>
  <c r="AX157" i="30" s="1"/>
  <c r="AL158" i="30"/>
  <c r="AX158" i="30" s="1"/>
  <c r="AL159" i="30"/>
  <c r="AX159" i="30" s="1"/>
  <c r="AL160" i="30"/>
  <c r="AX160" i="30" s="1"/>
  <c r="AL161" i="30"/>
  <c r="AX161" i="30" s="1"/>
  <c r="AL165" i="30"/>
  <c r="AX165" i="30" s="1"/>
  <c r="AL166" i="30"/>
  <c r="AX166" i="30" s="1"/>
  <c r="AL167" i="30"/>
  <c r="AX167" i="30" s="1"/>
  <c r="AL168" i="30"/>
  <c r="AX168" i="30" s="1"/>
  <c r="AL169" i="30"/>
  <c r="AX169" i="30" s="1"/>
  <c r="AL170" i="30"/>
  <c r="AX170" i="30" s="1"/>
  <c r="AI30" i="29"/>
  <c r="AU30" i="29" s="1"/>
  <c r="AI31" i="29"/>
  <c r="AI32" i="29"/>
  <c r="AI33" i="29"/>
  <c r="AU33" i="29" s="1"/>
  <c r="AI34" i="29"/>
  <c r="AI35" i="29"/>
  <c r="AU35" i="29" s="1"/>
  <c r="AI48" i="29"/>
  <c r="AU48" i="29" s="1"/>
  <c r="AI49" i="29"/>
  <c r="AI50" i="29"/>
  <c r="AU50" i="29" s="1"/>
  <c r="AI51" i="29"/>
  <c r="AI52" i="29"/>
  <c r="AI53" i="29"/>
  <c r="AU53" i="29" s="1"/>
  <c r="AI66" i="29"/>
  <c r="AU66" i="29" s="1"/>
  <c r="AI67" i="29"/>
  <c r="AU67" i="29" s="1"/>
  <c r="AI68" i="29"/>
  <c r="AU68" i="29" s="1"/>
  <c r="AI69" i="29"/>
  <c r="AU69" i="29" s="1"/>
  <c r="AI70" i="29"/>
  <c r="AU70" i="29" s="1"/>
  <c r="AI71" i="29"/>
  <c r="AU71" i="29" s="1"/>
  <c r="AI84" i="29"/>
  <c r="AI85" i="29"/>
  <c r="AU85" i="29" s="1"/>
  <c r="AI86" i="29"/>
  <c r="AI87" i="29"/>
  <c r="AU87" i="29" s="1"/>
  <c r="AI88" i="29"/>
  <c r="AU88" i="29" s="1"/>
  <c r="AI89" i="29"/>
  <c r="AI94" i="29"/>
  <c r="AU94" i="29" s="1"/>
  <c r="AI95" i="29"/>
  <c r="AU95" i="29" s="1"/>
  <c r="AI96" i="29"/>
  <c r="AI97" i="29"/>
  <c r="AU97" i="29" s="1"/>
  <c r="AI98" i="29"/>
  <c r="AU98" i="29" s="1"/>
  <c r="AI102" i="29"/>
  <c r="AU102" i="29" s="1"/>
  <c r="AI103" i="29"/>
  <c r="AU103" i="29" s="1"/>
  <c r="AI104" i="29"/>
  <c r="AI105" i="29"/>
  <c r="AU105" i="29" s="1"/>
  <c r="AI106" i="29"/>
  <c r="AI107" i="29"/>
  <c r="AU107" i="29" s="1"/>
  <c r="AI111" i="29"/>
  <c r="AU111" i="29" s="1"/>
  <c r="AI112" i="29"/>
  <c r="AI113" i="29"/>
  <c r="AU113" i="29" s="1"/>
  <c r="AI114" i="29"/>
  <c r="AU114" i="29" s="1"/>
  <c r="AI115" i="29"/>
  <c r="AI116" i="29"/>
  <c r="AU116" i="29" s="1"/>
  <c r="AI120" i="29"/>
  <c r="AU120" i="29" s="1"/>
  <c r="AI121" i="29"/>
  <c r="AU121" i="29" s="1"/>
  <c r="AI122" i="29"/>
  <c r="AU122" i="29" s="1"/>
  <c r="AI123" i="29"/>
  <c r="AU123" i="29" s="1"/>
  <c r="AI124" i="29"/>
  <c r="AU124" i="29" s="1"/>
  <c r="AI125" i="29"/>
  <c r="AU125" i="29" s="1"/>
  <c r="AI129" i="29"/>
  <c r="AU129" i="29" s="1"/>
  <c r="AI130" i="29"/>
  <c r="AU130" i="29" s="1"/>
  <c r="AI131" i="29"/>
  <c r="AU131" i="29" s="1"/>
  <c r="AI132" i="29"/>
  <c r="AI133" i="29"/>
  <c r="AU133" i="29" s="1"/>
  <c r="AI134" i="29"/>
  <c r="AI138" i="29"/>
  <c r="AU138" i="29" s="1"/>
  <c r="AI139" i="29"/>
  <c r="AU139" i="29" s="1"/>
  <c r="AI140" i="29"/>
  <c r="AU140" i="29" s="1"/>
  <c r="AI141" i="29"/>
  <c r="AU141" i="29" s="1"/>
  <c r="AI142" i="29"/>
  <c r="AU142" i="29" s="1"/>
  <c r="AI143" i="29"/>
  <c r="AI148" i="29"/>
  <c r="AU148" i="29" s="1"/>
  <c r="AI149" i="29"/>
  <c r="AU149" i="29" s="1"/>
  <c r="AI150" i="29"/>
  <c r="AU150" i="29" s="1"/>
  <c r="AI151" i="29"/>
  <c r="AU151" i="29" s="1"/>
  <c r="AI152" i="29"/>
  <c r="AI156" i="29"/>
  <c r="AU156" i="29" s="1"/>
  <c r="AI157" i="29"/>
  <c r="AU157" i="29" s="1"/>
  <c r="AI158" i="29"/>
  <c r="AU158" i="29" s="1"/>
  <c r="AI159" i="29"/>
  <c r="AI160" i="29"/>
  <c r="AU160" i="29" s="1"/>
  <c r="AI161" i="29"/>
  <c r="AU161" i="29" s="1"/>
  <c r="AI165" i="29"/>
  <c r="AU165" i="29" s="1"/>
  <c r="AI166" i="29"/>
  <c r="AU166" i="29" s="1"/>
  <c r="AI167" i="29"/>
  <c r="AU167" i="29" s="1"/>
  <c r="AI168" i="29"/>
  <c r="AU168" i="29" s="1"/>
  <c r="AI169" i="29"/>
  <c r="AU169" i="29" s="1"/>
  <c r="AI170" i="29"/>
  <c r="AU170" i="29" s="1"/>
  <c r="AJ13" i="29"/>
  <c r="AV13" i="29" s="1"/>
  <c r="AJ14" i="29"/>
  <c r="AJ15" i="29"/>
  <c r="AV15" i="29" s="1"/>
  <c r="AJ17" i="29"/>
  <c r="AV17" i="29" s="1"/>
  <c r="AJ22" i="29"/>
  <c r="AV22" i="29" s="1"/>
  <c r="AJ25" i="29"/>
  <c r="AV25" i="29" s="1"/>
  <c r="AJ31" i="29"/>
  <c r="AV31" i="29" s="1"/>
  <c r="AJ34" i="29"/>
  <c r="AV34" i="29" s="1"/>
  <c r="AJ35" i="29"/>
  <c r="AV35" i="29" s="1"/>
  <c r="AJ40" i="29"/>
  <c r="AV40" i="29" s="1"/>
  <c r="AJ43" i="29"/>
  <c r="AV43" i="29" s="1"/>
  <c r="AJ49" i="29"/>
  <c r="AV49" i="29" s="1"/>
  <c r="AJ52" i="29"/>
  <c r="AV52" i="29" s="1"/>
  <c r="AJ57" i="29"/>
  <c r="AV57" i="29" s="1"/>
  <c r="AJ59" i="29"/>
  <c r="AV59" i="29" s="1"/>
  <c r="AJ61" i="29"/>
  <c r="AV61" i="29" s="1"/>
  <c r="AJ66" i="29"/>
  <c r="AV66" i="29" s="1"/>
  <c r="AJ67" i="29"/>
  <c r="AJ70" i="29"/>
  <c r="AV70" i="29" s="1"/>
  <c r="AJ75" i="29"/>
  <c r="AJ77" i="29"/>
  <c r="AJ78" i="29"/>
  <c r="AV78" i="29" s="1"/>
  <c r="AJ80" i="29"/>
  <c r="AV80" i="29" s="1"/>
  <c r="AJ85" i="29"/>
  <c r="AV85" i="29" s="1"/>
  <c r="AJ87" i="29"/>
  <c r="AJ89" i="29"/>
  <c r="AV89" i="29" s="1"/>
  <c r="AJ95" i="29"/>
  <c r="AV95" i="29" s="1"/>
  <c r="AJ97" i="29"/>
  <c r="AV97" i="29" s="1"/>
  <c r="AJ102" i="29"/>
  <c r="AV102" i="29" s="1"/>
  <c r="AJ104" i="29"/>
  <c r="AV104" i="29" s="1"/>
  <c r="AJ105" i="29"/>
  <c r="AV105" i="29" s="1"/>
  <c r="AJ107" i="29"/>
  <c r="AV107" i="29" s="1"/>
  <c r="AJ112" i="29"/>
  <c r="AV112" i="29" s="1"/>
  <c r="AJ114" i="29"/>
  <c r="AV114" i="29" s="1"/>
  <c r="AJ116" i="29"/>
  <c r="AV116" i="29" s="1"/>
  <c r="AJ122" i="29"/>
  <c r="AV122" i="29" s="1"/>
  <c r="AJ124" i="29"/>
  <c r="AV124" i="29" s="1"/>
  <c r="AJ129" i="29"/>
  <c r="AV129" i="29" s="1"/>
  <c r="AJ131" i="29"/>
  <c r="AV131" i="29" s="1"/>
  <c r="AJ132" i="29"/>
  <c r="AV132" i="29" s="1"/>
  <c r="AJ134" i="29"/>
  <c r="AV134" i="29" s="1"/>
  <c r="AJ140" i="29"/>
  <c r="AV140" i="29" s="1"/>
  <c r="AJ141" i="29"/>
  <c r="AJ143" i="29"/>
  <c r="AV143" i="29" s="1"/>
  <c r="AJ149" i="29"/>
  <c r="AV149" i="29" s="1"/>
  <c r="AJ150" i="29"/>
  <c r="AV150" i="29" s="1"/>
  <c r="AJ152" i="29"/>
  <c r="AV152" i="29" s="1"/>
  <c r="AJ157" i="29"/>
  <c r="AV157" i="29" s="1"/>
  <c r="AJ159" i="29"/>
  <c r="AV159" i="29" s="1"/>
  <c r="AJ161" i="29"/>
  <c r="AV161" i="29" s="1"/>
  <c r="AJ167" i="29"/>
  <c r="AV167" i="29" s="1"/>
  <c r="AJ170" i="29"/>
  <c r="AV170" i="29" s="1"/>
  <c r="AK12" i="29"/>
  <c r="AW12" i="29" s="1"/>
  <c r="AK13" i="29"/>
  <c r="AW13" i="29" s="1"/>
  <c r="AK14" i="29"/>
  <c r="AW14" i="29" s="1"/>
  <c r="AK15" i="29"/>
  <c r="AW15" i="29" s="1"/>
  <c r="AK16" i="29"/>
  <c r="AW16" i="29" s="1"/>
  <c r="AK17" i="29"/>
  <c r="AW17" i="29" s="1"/>
  <c r="AK21" i="29"/>
  <c r="AW21" i="29" s="1"/>
  <c r="AK22" i="29"/>
  <c r="AW22" i="29" s="1"/>
  <c r="AK23" i="29"/>
  <c r="AW23" i="29" s="1"/>
  <c r="AK24" i="29"/>
  <c r="AW24" i="29" s="1"/>
  <c r="AK25" i="29"/>
  <c r="AW25" i="29" s="1"/>
  <c r="AK26" i="29"/>
  <c r="AW26" i="29" s="1"/>
  <c r="AK30" i="29"/>
  <c r="AW30" i="29" s="1"/>
  <c r="AK31" i="29"/>
  <c r="AW31" i="29" s="1"/>
  <c r="AK32" i="29"/>
  <c r="AW32" i="29" s="1"/>
  <c r="AK33" i="29"/>
  <c r="AW33" i="29" s="1"/>
  <c r="AK34" i="29"/>
  <c r="AW34" i="29" s="1"/>
  <c r="AK35" i="29"/>
  <c r="AW35" i="29" s="1"/>
  <c r="AK39" i="29"/>
  <c r="AW39" i="29" s="1"/>
  <c r="AK40" i="29"/>
  <c r="AW40" i="29" s="1"/>
  <c r="AK41" i="29"/>
  <c r="AW41" i="29" s="1"/>
  <c r="AK42" i="29"/>
  <c r="AW42" i="29" s="1"/>
  <c r="AK43" i="29"/>
  <c r="AW43" i="29" s="1"/>
  <c r="AK44" i="29"/>
  <c r="AW44" i="29" s="1"/>
  <c r="AK48" i="29"/>
  <c r="AW48" i="29" s="1"/>
  <c r="AK49" i="29"/>
  <c r="AW49" i="29" s="1"/>
  <c r="AK50" i="29"/>
  <c r="AW50" i="29" s="1"/>
  <c r="AK51" i="29"/>
  <c r="AW51" i="29" s="1"/>
  <c r="AK52" i="29"/>
  <c r="AW52" i="29" s="1"/>
  <c r="AK53" i="29"/>
  <c r="AK57" i="29"/>
  <c r="AW57" i="29" s="1"/>
  <c r="AK58" i="29"/>
  <c r="AW58" i="29" s="1"/>
  <c r="AK59" i="29"/>
  <c r="AW59" i="29" s="1"/>
  <c r="AK60" i="29"/>
  <c r="AW60" i="29" s="1"/>
  <c r="AK61" i="29"/>
  <c r="AW61" i="29" s="1"/>
  <c r="AK62" i="29"/>
  <c r="AW62" i="29" s="1"/>
  <c r="AK66" i="29"/>
  <c r="AW66" i="29" s="1"/>
  <c r="AK67" i="29"/>
  <c r="AW67" i="29" s="1"/>
  <c r="AK68" i="29"/>
  <c r="AW68" i="29" s="1"/>
  <c r="AK69" i="29"/>
  <c r="AK70" i="29"/>
  <c r="AW70" i="29" s="1"/>
  <c r="AK71" i="29"/>
  <c r="AW71" i="29" s="1"/>
  <c r="AK75" i="29"/>
  <c r="AW75" i="29" s="1"/>
  <c r="AK76" i="29"/>
  <c r="AW76" i="29" s="1"/>
  <c r="AK77" i="29"/>
  <c r="AW77" i="29" s="1"/>
  <c r="AK78" i="29"/>
  <c r="AW78" i="29" s="1"/>
  <c r="AK79" i="29"/>
  <c r="AW79" i="29" s="1"/>
  <c r="AK80" i="29"/>
  <c r="AW80" i="29" s="1"/>
  <c r="AK84" i="29"/>
  <c r="AW84" i="29" s="1"/>
  <c r="AK85" i="29"/>
  <c r="AW85" i="29" s="1"/>
  <c r="AK86" i="29"/>
  <c r="AW86" i="29" s="1"/>
  <c r="AK87" i="29"/>
  <c r="AW87" i="29" s="1"/>
  <c r="AK88" i="29"/>
  <c r="AW88" i="29" s="1"/>
  <c r="AK89" i="29"/>
  <c r="AW89" i="29" s="1"/>
  <c r="AK93" i="29"/>
  <c r="AW93" i="29" s="1"/>
  <c r="AK94" i="29"/>
  <c r="AW94" i="29" s="1"/>
  <c r="AK95" i="29"/>
  <c r="AW95" i="29" s="1"/>
  <c r="AK96" i="29"/>
  <c r="AW96" i="29" s="1"/>
  <c r="AK97" i="29"/>
  <c r="AW97" i="29" s="1"/>
  <c r="AK98" i="29"/>
  <c r="AW98" i="29" s="1"/>
  <c r="AK102" i="29"/>
  <c r="AW102" i="29" s="1"/>
  <c r="AK103" i="29"/>
  <c r="AW103" i="29" s="1"/>
  <c r="AK104" i="29"/>
  <c r="AW104" i="29" s="1"/>
  <c r="AK105" i="29"/>
  <c r="AW105" i="29" s="1"/>
  <c r="AK106" i="29"/>
  <c r="AW106" i="29" s="1"/>
  <c r="AK107" i="29"/>
  <c r="AW107" i="29" s="1"/>
  <c r="AK111" i="29"/>
  <c r="AW111" i="29" s="1"/>
  <c r="AK112" i="29"/>
  <c r="AW112" i="29" s="1"/>
  <c r="AK113" i="29"/>
  <c r="AW113" i="29" s="1"/>
  <c r="AK114" i="29"/>
  <c r="AW114" i="29" s="1"/>
  <c r="AK115" i="29"/>
  <c r="AW115" i="29" s="1"/>
  <c r="AK116" i="29"/>
  <c r="AW116" i="29" s="1"/>
  <c r="AK120" i="29"/>
  <c r="AW120" i="29" s="1"/>
  <c r="AK121" i="29"/>
  <c r="AW121" i="29" s="1"/>
  <c r="AK122" i="29"/>
  <c r="AW122" i="29" s="1"/>
  <c r="AK123" i="29"/>
  <c r="AW123" i="29" s="1"/>
  <c r="AK124" i="29"/>
  <c r="AW124" i="29" s="1"/>
  <c r="AK125" i="29"/>
  <c r="AW125" i="29" s="1"/>
  <c r="AK129" i="29"/>
  <c r="AW129" i="29" s="1"/>
  <c r="AK130" i="29"/>
  <c r="AW130" i="29" s="1"/>
  <c r="AK131" i="29"/>
  <c r="AW131" i="29" s="1"/>
  <c r="AK132" i="29"/>
  <c r="AW132" i="29" s="1"/>
  <c r="AK133" i="29"/>
  <c r="AW133" i="29" s="1"/>
  <c r="AK134" i="29"/>
  <c r="AW134" i="29" s="1"/>
  <c r="AK138" i="29"/>
  <c r="AW138" i="29" s="1"/>
  <c r="AK139" i="29"/>
  <c r="AW139" i="29" s="1"/>
  <c r="AK140" i="29"/>
  <c r="AW140" i="29" s="1"/>
  <c r="AK141" i="29"/>
  <c r="AW141" i="29" s="1"/>
  <c r="AK142" i="29"/>
  <c r="AW142" i="29" s="1"/>
  <c r="AK143" i="29"/>
  <c r="AW143" i="29" s="1"/>
  <c r="AK147" i="29"/>
  <c r="AW147" i="29" s="1"/>
  <c r="AK148" i="29"/>
  <c r="AW148" i="29" s="1"/>
  <c r="AK149" i="29"/>
  <c r="AW149" i="29" s="1"/>
  <c r="AK150" i="29"/>
  <c r="AK151" i="29"/>
  <c r="AW151" i="29" s="1"/>
  <c r="AK152" i="29"/>
  <c r="AW152" i="29" s="1"/>
  <c r="AK156" i="29"/>
  <c r="AW156" i="29" s="1"/>
  <c r="AK157" i="29"/>
  <c r="AW157" i="29" s="1"/>
  <c r="AK158" i="29"/>
  <c r="AW158" i="29" s="1"/>
  <c r="AK159" i="29"/>
  <c r="AW159" i="29" s="1"/>
  <c r="AK160" i="29"/>
  <c r="AW160" i="29" s="1"/>
  <c r="AK161" i="29"/>
  <c r="AW161" i="29" s="1"/>
  <c r="AK165" i="29"/>
  <c r="AW165" i="29" s="1"/>
  <c r="AK166" i="29"/>
  <c r="AW166" i="29" s="1"/>
  <c r="AK167" i="29"/>
  <c r="AW167" i="29" s="1"/>
  <c r="AK168" i="29"/>
  <c r="AW168" i="29" s="1"/>
  <c r="AK169" i="29"/>
  <c r="AW169" i="29" s="1"/>
  <c r="AK170" i="29"/>
  <c r="AW170" i="29" s="1"/>
  <c r="AJ12" i="29"/>
  <c r="AJ16" i="29"/>
  <c r="AV16" i="29" s="1"/>
  <c r="AJ21" i="29"/>
  <c r="AV21" i="29" s="1"/>
  <c r="AJ23" i="29"/>
  <c r="AV23" i="29" s="1"/>
  <c r="AJ24" i="29"/>
  <c r="AJ26" i="29"/>
  <c r="AV26" i="29" s="1"/>
  <c r="AJ30" i="29"/>
  <c r="AV30" i="29" s="1"/>
  <c r="AJ32" i="29"/>
  <c r="AV32" i="29" s="1"/>
  <c r="AJ33" i="29"/>
  <c r="AV33" i="29" s="1"/>
  <c r="AJ39" i="29"/>
  <c r="AJ41" i="29"/>
  <c r="AV41" i="29" s="1"/>
  <c r="AJ42" i="29"/>
  <c r="AJ44" i="29"/>
  <c r="AV44" i="29" s="1"/>
  <c r="AJ48" i="29"/>
  <c r="AV48" i="29" s="1"/>
  <c r="AJ50" i="29"/>
  <c r="AV50" i="29" s="1"/>
  <c r="AJ51" i="29"/>
  <c r="AV51" i="29" s="1"/>
  <c r="AJ53" i="29"/>
  <c r="AV53" i="29" s="1"/>
  <c r="AJ58" i="29"/>
  <c r="AV58" i="29" s="1"/>
  <c r="AJ60" i="29"/>
  <c r="AV60" i="29" s="1"/>
  <c r="AJ62" i="29"/>
  <c r="AV62" i="29" s="1"/>
  <c r="AJ68" i="29"/>
  <c r="AV68" i="29" s="1"/>
  <c r="AJ69" i="29"/>
  <c r="AV69" i="29" s="1"/>
  <c r="AJ71" i="29"/>
  <c r="AV71" i="29" s="1"/>
  <c r="AJ76" i="29"/>
  <c r="AV76" i="29" s="1"/>
  <c r="AJ79" i="29"/>
  <c r="AV79" i="29" s="1"/>
  <c r="AJ84" i="29"/>
  <c r="AV84" i="29" s="1"/>
  <c r="AJ86" i="29"/>
  <c r="AV86" i="29" s="1"/>
  <c r="AJ88" i="29"/>
  <c r="AJ93" i="29"/>
  <c r="AJ94" i="29"/>
  <c r="AV94" i="29" s="1"/>
  <c r="AJ96" i="29"/>
  <c r="AV96" i="29" s="1"/>
  <c r="AJ98" i="29"/>
  <c r="AV98" i="29" s="1"/>
  <c r="AJ103" i="29"/>
  <c r="AV103" i="29" s="1"/>
  <c r="AJ106" i="29"/>
  <c r="AV106" i="29" s="1"/>
  <c r="AJ111" i="29"/>
  <c r="AV111" i="29" s="1"/>
  <c r="AJ113" i="29"/>
  <c r="AV113" i="29" s="1"/>
  <c r="AJ115" i="29"/>
  <c r="AV115" i="29" s="1"/>
  <c r="AJ120" i="29"/>
  <c r="AV120" i="29" s="1"/>
  <c r="AJ121" i="29"/>
  <c r="AV121" i="29" s="1"/>
  <c r="AJ123" i="29"/>
  <c r="AV123" i="29" s="1"/>
  <c r="AJ125" i="29"/>
  <c r="AV125" i="29" s="1"/>
  <c r="AJ130" i="29"/>
  <c r="AJ133" i="29"/>
  <c r="AV133" i="29" s="1"/>
  <c r="AJ138" i="29"/>
  <c r="AV138" i="29" s="1"/>
  <c r="AJ139" i="29"/>
  <c r="AV139" i="29" s="1"/>
  <c r="AJ142" i="29"/>
  <c r="AV142" i="29" s="1"/>
  <c r="AJ147" i="29"/>
  <c r="AV147" i="29" s="1"/>
  <c r="AJ148" i="29"/>
  <c r="AJ151" i="29"/>
  <c r="AV151" i="29" s="1"/>
  <c r="AJ156" i="29"/>
  <c r="AV156" i="29" s="1"/>
  <c r="AJ158" i="29"/>
  <c r="AV158" i="29" s="1"/>
  <c r="AJ160" i="29"/>
  <c r="AV160" i="29" s="1"/>
  <c r="AJ165" i="29"/>
  <c r="AV165" i="29" s="1"/>
  <c r="AJ166" i="29"/>
  <c r="AV166" i="29" s="1"/>
  <c r="AJ168" i="29"/>
  <c r="AJ169" i="29"/>
  <c r="AV169" i="29" s="1"/>
  <c r="AL12" i="29"/>
  <c r="AX12" i="29" s="1"/>
  <c r="AL13" i="29"/>
  <c r="AX13" i="29" s="1"/>
  <c r="AL14" i="29"/>
  <c r="AX14" i="29" s="1"/>
  <c r="AL15" i="29"/>
  <c r="AX15" i="29" s="1"/>
  <c r="AL16" i="29"/>
  <c r="AX16" i="29" s="1"/>
  <c r="AL17" i="29"/>
  <c r="AX17" i="29" s="1"/>
  <c r="AL21" i="29"/>
  <c r="AX21" i="29" s="1"/>
  <c r="AL22" i="29"/>
  <c r="AX22" i="29" s="1"/>
  <c r="AL23" i="29"/>
  <c r="AX23" i="29" s="1"/>
  <c r="AL24" i="29"/>
  <c r="AX24" i="29" s="1"/>
  <c r="AL25" i="29"/>
  <c r="AX25" i="29" s="1"/>
  <c r="AL26" i="29"/>
  <c r="AX26" i="29" s="1"/>
  <c r="AL30" i="29"/>
  <c r="AX30" i="29" s="1"/>
  <c r="AL31" i="29"/>
  <c r="AX31" i="29" s="1"/>
  <c r="AL32" i="29"/>
  <c r="AX32" i="29" s="1"/>
  <c r="AL33" i="29"/>
  <c r="AX33" i="29" s="1"/>
  <c r="AL34" i="29"/>
  <c r="AX34" i="29" s="1"/>
  <c r="AL35" i="29"/>
  <c r="AX35" i="29" s="1"/>
  <c r="AL39" i="29"/>
  <c r="AX39" i="29" s="1"/>
  <c r="AL40" i="29"/>
  <c r="AX40" i="29" s="1"/>
  <c r="AL41" i="29"/>
  <c r="AX41" i="29" s="1"/>
  <c r="AL42" i="29"/>
  <c r="AX42" i="29" s="1"/>
  <c r="AL43" i="29"/>
  <c r="AX43" i="29" s="1"/>
  <c r="AL44" i="29"/>
  <c r="AX44" i="29" s="1"/>
  <c r="AL48" i="29"/>
  <c r="AX48" i="29" s="1"/>
  <c r="AL49" i="29"/>
  <c r="AX49" i="29" s="1"/>
  <c r="AL50" i="29"/>
  <c r="AX50" i="29" s="1"/>
  <c r="AL51" i="29"/>
  <c r="AX51" i="29" s="1"/>
  <c r="AL52" i="29"/>
  <c r="AX52" i="29" s="1"/>
  <c r="AL53" i="29"/>
  <c r="AX53" i="29" s="1"/>
  <c r="AL57" i="29"/>
  <c r="AL58" i="29"/>
  <c r="AX58" i="29" s="1"/>
  <c r="AL59" i="29"/>
  <c r="AX59" i="29" s="1"/>
  <c r="AL60" i="29"/>
  <c r="AX60" i="29" s="1"/>
  <c r="AL61" i="29"/>
  <c r="AX61" i="29" s="1"/>
  <c r="AL62" i="29"/>
  <c r="AX62" i="29" s="1"/>
  <c r="AL66" i="29"/>
  <c r="AX66" i="29" s="1"/>
  <c r="AL67" i="29"/>
  <c r="AX67" i="29" s="1"/>
  <c r="AL68" i="29"/>
  <c r="AX68" i="29" s="1"/>
  <c r="AL69" i="29"/>
  <c r="AX69" i="29" s="1"/>
  <c r="AL70" i="29"/>
  <c r="AX70" i="29" s="1"/>
  <c r="AL71" i="29"/>
  <c r="AX71" i="29" s="1"/>
  <c r="AL75" i="29"/>
  <c r="AX75" i="29" s="1"/>
  <c r="AL76" i="29"/>
  <c r="AX76" i="29" s="1"/>
  <c r="AL77" i="29"/>
  <c r="AX77" i="29" s="1"/>
  <c r="AL78" i="29"/>
  <c r="AX78" i="29" s="1"/>
  <c r="AL79" i="29"/>
  <c r="AX79" i="29" s="1"/>
  <c r="AL80" i="29"/>
  <c r="AX80" i="29" s="1"/>
  <c r="AL84" i="29"/>
  <c r="AX84" i="29" s="1"/>
  <c r="AL85" i="29"/>
  <c r="AX85" i="29" s="1"/>
  <c r="AL86" i="29"/>
  <c r="AX86" i="29" s="1"/>
  <c r="AL87" i="29"/>
  <c r="AX87" i="29" s="1"/>
  <c r="AL88" i="29"/>
  <c r="AX88" i="29" s="1"/>
  <c r="AL89" i="29"/>
  <c r="AX89" i="29" s="1"/>
  <c r="AL93" i="29"/>
  <c r="AX93" i="29" s="1"/>
  <c r="AL94" i="29"/>
  <c r="AX94" i="29" s="1"/>
  <c r="AL95" i="29"/>
  <c r="AX95" i="29" s="1"/>
  <c r="AL96" i="29"/>
  <c r="AX96" i="29" s="1"/>
  <c r="AL97" i="29"/>
  <c r="AX97" i="29" s="1"/>
  <c r="AL98" i="29"/>
  <c r="AX98" i="29" s="1"/>
  <c r="AL102" i="29"/>
  <c r="AX102" i="29" s="1"/>
  <c r="AL103" i="29"/>
  <c r="AX103" i="29" s="1"/>
  <c r="AL104" i="29"/>
  <c r="AX104" i="29" s="1"/>
  <c r="AL105" i="29"/>
  <c r="AX105" i="29" s="1"/>
  <c r="AL106" i="29"/>
  <c r="AX106" i="29" s="1"/>
  <c r="AL107" i="29"/>
  <c r="AX107" i="29" s="1"/>
  <c r="AL111" i="29"/>
  <c r="AX111" i="29" s="1"/>
  <c r="AL112" i="29"/>
  <c r="AX112" i="29" s="1"/>
  <c r="AL113" i="29"/>
  <c r="AX113" i="29" s="1"/>
  <c r="AL114" i="29"/>
  <c r="AX114" i="29" s="1"/>
  <c r="AL115" i="29"/>
  <c r="AX115" i="29" s="1"/>
  <c r="AL116" i="29"/>
  <c r="AX116" i="29" s="1"/>
  <c r="AL120" i="29"/>
  <c r="AX120" i="29" s="1"/>
  <c r="AL121" i="29"/>
  <c r="AX121" i="29" s="1"/>
  <c r="AL122" i="29"/>
  <c r="AX122" i="29" s="1"/>
  <c r="AL123" i="29"/>
  <c r="AX123" i="29" s="1"/>
  <c r="AL124" i="29"/>
  <c r="AX124" i="29" s="1"/>
  <c r="AL125" i="29"/>
  <c r="AX125" i="29" s="1"/>
  <c r="AL129" i="29"/>
  <c r="AX129" i="29" s="1"/>
  <c r="AL130" i="29"/>
  <c r="AX130" i="29" s="1"/>
  <c r="AL131" i="29"/>
  <c r="AX131" i="29" s="1"/>
  <c r="AL132" i="29"/>
  <c r="AX132" i="29" s="1"/>
  <c r="AL133" i="29"/>
  <c r="AX133" i="29" s="1"/>
  <c r="AL134" i="29"/>
  <c r="AX134" i="29" s="1"/>
  <c r="AL138" i="29"/>
  <c r="AL139" i="29"/>
  <c r="AX139" i="29" s="1"/>
  <c r="AL140" i="29"/>
  <c r="AX140" i="29" s="1"/>
  <c r="AL141" i="29"/>
  <c r="AX141" i="29" s="1"/>
  <c r="AL142" i="29"/>
  <c r="AX142" i="29" s="1"/>
  <c r="AL143" i="29"/>
  <c r="AX143" i="29" s="1"/>
  <c r="AL147" i="29"/>
  <c r="AX147" i="29" s="1"/>
  <c r="AL148" i="29"/>
  <c r="AX148" i="29" s="1"/>
  <c r="AL149" i="29"/>
  <c r="AX149" i="29" s="1"/>
  <c r="AL150" i="29"/>
  <c r="AX150" i="29" s="1"/>
  <c r="AL151" i="29"/>
  <c r="AX151" i="29" s="1"/>
  <c r="AL152" i="29"/>
  <c r="AX152" i="29" s="1"/>
  <c r="AL156" i="29"/>
  <c r="AX156" i="29" s="1"/>
  <c r="AL157" i="29"/>
  <c r="AX157" i="29" s="1"/>
  <c r="AL158" i="29"/>
  <c r="AX158" i="29" s="1"/>
  <c r="AL159" i="29"/>
  <c r="AX159" i="29" s="1"/>
  <c r="AL160" i="29"/>
  <c r="AX160" i="29" s="1"/>
  <c r="AL161" i="29"/>
  <c r="AX161" i="29" s="1"/>
  <c r="AL165" i="29"/>
  <c r="AX165" i="29" s="1"/>
  <c r="AL166" i="29"/>
  <c r="AX166" i="29" s="1"/>
  <c r="AL167" i="29"/>
  <c r="AX167" i="29" s="1"/>
  <c r="AL168" i="29"/>
  <c r="AX168" i="29" s="1"/>
  <c r="AL169" i="29"/>
  <c r="AX169" i="29" s="1"/>
  <c r="AL170" i="29"/>
  <c r="AX170" i="29" s="1"/>
  <c r="Q169" i="13"/>
  <c r="R169" i="13" s="1"/>
  <c r="Q165" i="13"/>
  <c r="R165" i="13" s="1"/>
  <c r="T158" i="13"/>
  <c r="U158" i="13" s="1"/>
  <c r="Q152" i="13"/>
  <c r="R152" i="13" s="1"/>
  <c r="Q148" i="13"/>
  <c r="R148" i="13" s="1"/>
  <c r="T141" i="13"/>
  <c r="U141" i="13" s="1"/>
  <c r="Q131" i="13"/>
  <c r="R131" i="13" s="1"/>
  <c r="T124" i="13"/>
  <c r="U124" i="13" s="1"/>
  <c r="T120" i="13"/>
  <c r="U120" i="13" s="1"/>
  <c r="Q114" i="13"/>
  <c r="R114" i="13" s="1"/>
  <c r="T107" i="13"/>
  <c r="U107" i="13" s="1"/>
  <c r="T103" i="13"/>
  <c r="U103" i="13" s="1"/>
  <c r="Q97" i="13"/>
  <c r="R97" i="13" s="1"/>
  <c r="Q93" i="13"/>
  <c r="R93" i="13" s="1"/>
  <c r="T86" i="13"/>
  <c r="U86" i="13" s="1"/>
  <c r="Q80" i="13"/>
  <c r="R80" i="13" s="1"/>
  <c r="Q76" i="13"/>
  <c r="R76" i="13" s="1"/>
  <c r="T69" i="13"/>
  <c r="U69" i="13" s="1"/>
  <c r="Q59" i="13"/>
  <c r="R59" i="13" s="1"/>
  <c r="T52" i="13"/>
  <c r="U52" i="13" s="1"/>
  <c r="T48" i="13"/>
  <c r="U48" i="13" s="1"/>
  <c r="Q42" i="13"/>
  <c r="R42" i="13" s="1"/>
  <c r="T35" i="13"/>
  <c r="U35" i="13" s="1"/>
  <c r="T31" i="13"/>
  <c r="U31" i="13" s="1"/>
  <c r="Q25" i="13"/>
  <c r="R25" i="13" s="1"/>
  <c r="Q21" i="13"/>
  <c r="R21" i="13" s="1"/>
  <c r="X131" i="1"/>
  <c r="Y131" i="1" s="1"/>
  <c r="X115" i="1"/>
  <c r="Y115" i="1" s="1"/>
  <c r="X67" i="1"/>
  <c r="Y67" i="1" s="1"/>
  <c r="X51" i="1"/>
  <c r="Y51" i="1" s="1"/>
  <c r="AC24" i="1"/>
  <c r="AD24" i="1" s="1"/>
  <c r="Q168" i="13"/>
  <c r="R168" i="13" s="1"/>
  <c r="T161" i="13"/>
  <c r="U161" i="13" s="1"/>
  <c r="T157" i="13"/>
  <c r="U157" i="13" s="1"/>
  <c r="Q151" i="13"/>
  <c r="R151" i="13" s="1"/>
  <c r="Q147" i="13"/>
  <c r="R147" i="13" s="1"/>
  <c r="T140" i="13"/>
  <c r="U140" i="13" s="1"/>
  <c r="Q134" i="13"/>
  <c r="R134" i="13" s="1"/>
  <c r="Q130" i="13"/>
  <c r="R130" i="13" s="1"/>
  <c r="T123" i="13"/>
  <c r="U123" i="13" s="1"/>
  <c r="Q113" i="13"/>
  <c r="R113" i="13" s="1"/>
  <c r="T106" i="13"/>
  <c r="U106" i="13" s="1"/>
  <c r="T102" i="13"/>
  <c r="U102" i="13" s="1"/>
  <c r="Q96" i="13"/>
  <c r="R96" i="13" s="1"/>
  <c r="T89" i="13"/>
  <c r="U89" i="13" s="1"/>
  <c r="T85" i="13"/>
  <c r="U85" i="13" s="1"/>
  <c r="Q79" i="13"/>
  <c r="R79" i="13" s="1"/>
  <c r="Q75" i="13"/>
  <c r="R75" i="13" s="1"/>
  <c r="T68" i="13"/>
  <c r="U68" i="13" s="1"/>
  <c r="Q62" i="13"/>
  <c r="R62" i="13" s="1"/>
  <c r="Q58" i="13"/>
  <c r="R58" i="13" s="1"/>
  <c r="T51" i="13"/>
  <c r="U51" i="13" s="1"/>
  <c r="Q41" i="13"/>
  <c r="R41" i="13" s="1"/>
  <c r="T34" i="13"/>
  <c r="U34" i="13" s="1"/>
  <c r="T30" i="13"/>
  <c r="U30" i="13" s="1"/>
  <c r="Q24" i="13"/>
  <c r="R24" i="13" s="1"/>
  <c r="T17" i="13"/>
  <c r="U17" i="13" s="1"/>
  <c r="X61" i="1"/>
  <c r="Y61" i="1" s="1"/>
  <c r="AC26" i="1"/>
  <c r="AD26" i="1" s="1"/>
  <c r="Q167" i="13"/>
  <c r="R167" i="13" s="1"/>
  <c r="T160" i="13"/>
  <c r="U160" i="13" s="1"/>
  <c r="T156" i="13"/>
  <c r="U156" i="13" s="1"/>
  <c r="Q150" i="13"/>
  <c r="R150" i="13" s="1"/>
  <c r="T143" i="13"/>
  <c r="U143" i="13" s="1"/>
  <c r="T139" i="13"/>
  <c r="U139" i="13" s="1"/>
  <c r="Q133" i="13"/>
  <c r="R133" i="13" s="1"/>
  <c r="Q129" i="13"/>
  <c r="R129" i="13" s="1"/>
  <c r="T122" i="13"/>
  <c r="U122" i="13" s="1"/>
  <c r="Q116" i="13"/>
  <c r="R116" i="13" s="1"/>
  <c r="Q112" i="13"/>
  <c r="R112" i="13" s="1"/>
  <c r="T105" i="13"/>
  <c r="U105" i="13" s="1"/>
  <c r="Q95" i="13"/>
  <c r="R95" i="13" s="1"/>
  <c r="T88" i="13"/>
  <c r="U88" i="13" s="1"/>
  <c r="T84" i="13"/>
  <c r="U84" i="13" s="1"/>
  <c r="Q78" i="13"/>
  <c r="R78" i="13" s="1"/>
  <c r="T71" i="13"/>
  <c r="U71" i="13" s="1"/>
  <c r="T67" i="13"/>
  <c r="U67" i="13" s="1"/>
  <c r="Q61" i="13"/>
  <c r="R61" i="13" s="1"/>
  <c r="Q57" i="13"/>
  <c r="R57" i="13" s="1"/>
  <c r="T50" i="13"/>
  <c r="U50" i="13" s="1"/>
  <c r="Q44" i="13"/>
  <c r="R44" i="13" s="1"/>
  <c r="Q40" i="13"/>
  <c r="R40" i="13" s="1"/>
  <c r="T33" i="13"/>
  <c r="U33" i="13" s="1"/>
  <c r="Q23" i="13"/>
  <c r="R23" i="13" s="1"/>
  <c r="T16" i="13"/>
  <c r="U16" i="13" s="1"/>
  <c r="X111" i="1"/>
  <c r="Y111" i="1" s="1"/>
  <c r="AO21" i="30"/>
  <c r="AS21" i="30" s="1"/>
  <c r="AD21" i="30"/>
  <c r="AO12" i="18"/>
  <c r="AS12" i="18" s="1"/>
  <c r="AD12" i="18"/>
  <c r="AW133" i="1"/>
  <c r="T12" i="13"/>
  <c r="U12" i="13" s="1"/>
  <c r="X69" i="1"/>
  <c r="Y69" i="1" s="1"/>
  <c r="AC166" i="1"/>
  <c r="AD166" i="1" s="1"/>
  <c r="K35" i="8"/>
  <c r="AS131" i="25"/>
  <c r="AD123" i="25"/>
  <c r="AW69" i="1"/>
  <c r="AJ48" i="1"/>
  <c r="AP69" i="1"/>
  <c r="AN86" i="1"/>
  <c r="AG48" i="1"/>
  <c r="AV49" i="1"/>
  <c r="AX69" i="1"/>
  <c r="AM93" i="24"/>
  <c r="M35" i="8"/>
  <c r="M34" i="8"/>
  <c r="AS140" i="24"/>
  <c r="AD169" i="29"/>
  <c r="AS111" i="25"/>
  <c r="AS152" i="25"/>
  <c r="AS165" i="25"/>
  <c r="AS166" i="25"/>
  <c r="AS167" i="25"/>
  <c r="AS168" i="25"/>
  <c r="AS169" i="25"/>
  <c r="AS170" i="25"/>
  <c r="AO169" i="29"/>
  <c r="AS169" i="29" s="1"/>
  <c r="AD103" i="25"/>
  <c r="AO48" i="1"/>
  <c r="AN48" i="1"/>
  <c r="AS69" i="1"/>
  <c r="AY97" i="25"/>
  <c r="AY111" i="25"/>
  <c r="AY113" i="25"/>
  <c r="AY115" i="25"/>
  <c r="AY129" i="25"/>
  <c r="AY131" i="25"/>
  <c r="AY133" i="25"/>
  <c r="AS147" i="25"/>
  <c r="AS148" i="25"/>
  <c r="AS149" i="25"/>
  <c r="AS150" i="25"/>
  <c r="AS151" i="25"/>
  <c r="AD94" i="29"/>
  <c r="AD95" i="29"/>
  <c r="AD96" i="29"/>
  <c r="AD129" i="29"/>
  <c r="AD130" i="29"/>
  <c r="AD131" i="29"/>
  <c r="AD132" i="29"/>
  <c r="AD133" i="29"/>
  <c r="AD134" i="29"/>
  <c r="AD138" i="29"/>
  <c r="AD139" i="29"/>
  <c r="AD140" i="29"/>
  <c r="AD141" i="29"/>
  <c r="AD142" i="29"/>
  <c r="AD143" i="29"/>
  <c r="AD147" i="29"/>
  <c r="AD148" i="29"/>
  <c r="AD149" i="29"/>
  <c r="AD150" i="29"/>
  <c r="AD151" i="29"/>
  <c r="AD152" i="29"/>
  <c r="AD156" i="29"/>
  <c r="AD157" i="29"/>
  <c r="AD158" i="29"/>
  <c r="AD159" i="29"/>
  <c r="AD160" i="29"/>
  <c r="AD161" i="29"/>
  <c r="AD165" i="29"/>
  <c r="AD166" i="29"/>
  <c r="AD167" i="29"/>
  <c r="AD168" i="29"/>
  <c r="AD170" i="29"/>
  <c r="AD107" i="25"/>
  <c r="AY106" i="25"/>
  <c r="W129" i="1"/>
  <c r="AG129" i="1" s="1"/>
  <c r="AD168" i="24"/>
  <c r="AS147" i="24"/>
  <c r="AD122" i="24"/>
  <c r="AD132" i="24"/>
  <c r="AD133" i="24"/>
  <c r="AS148" i="24"/>
  <c r="AS150" i="24"/>
  <c r="AD156" i="24"/>
  <c r="AD157" i="24"/>
  <c r="AD158" i="24"/>
  <c r="AD159" i="24"/>
  <c r="AD160" i="24"/>
  <c r="AD161" i="24"/>
  <c r="AY142" i="24"/>
  <c r="AY102" i="25"/>
  <c r="AY104" i="25"/>
  <c r="AD120" i="25"/>
  <c r="AY120" i="25"/>
  <c r="AS122" i="25"/>
  <c r="AY122" i="25"/>
  <c r="AY124" i="25"/>
  <c r="AT133" i="1"/>
  <c r="AS133" i="1"/>
  <c r="AH94" i="1"/>
  <c r="AN94" i="1"/>
  <c r="AH70" i="1"/>
  <c r="AN70" i="1"/>
  <c r="AR69" i="1"/>
  <c r="AV69" i="1"/>
  <c r="AQ69" i="1"/>
  <c r="AU69" i="1"/>
  <c r="AY69" i="1"/>
  <c r="AW49" i="1"/>
  <c r="AP49" i="1"/>
  <c r="AT49" i="1"/>
  <c r="AX49" i="1"/>
  <c r="AY49" i="1"/>
  <c r="AQ49" i="1"/>
  <c r="AH48" i="1"/>
  <c r="AL48" i="1"/>
  <c r="AK48" i="1"/>
  <c r="AX26" i="2"/>
  <c r="AX34" i="2" s="1"/>
  <c r="AX42" i="2" s="1"/>
  <c r="AV26" i="2"/>
  <c r="AV34" i="2" s="1"/>
  <c r="AP87" i="24"/>
  <c r="AS87" i="24" s="1"/>
  <c r="AD87" i="24"/>
  <c r="AV105" i="24"/>
  <c r="AY105" i="24" s="1"/>
  <c r="AM105" i="24"/>
  <c r="AO113" i="24"/>
  <c r="AS113" i="24" s="1"/>
  <c r="AD113" i="24"/>
  <c r="AM156" i="24"/>
  <c r="AU156" i="24"/>
  <c r="AY156" i="24" s="1"/>
  <c r="AM157" i="24"/>
  <c r="AU157" i="24"/>
  <c r="AY157" i="24" s="1"/>
  <c r="AM158" i="24"/>
  <c r="AU158" i="24"/>
  <c r="AY158" i="24" s="1"/>
  <c r="AM159" i="24"/>
  <c r="AU159" i="24"/>
  <c r="AY159" i="24" s="1"/>
  <c r="AM160" i="24"/>
  <c r="AU160" i="24"/>
  <c r="AY160" i="24" s="1"/>
  <c r="AM161" i="24"/>
  <c r="AU161" i="24"/>
  <c r="AY161" i="24" s="1"/>
  <c r="AP166" i="24"/>
  <c r="AS166" i="24" s="1"/>
  <c r="AD166" i="24"/>
  <c r="AP170" i="24"/>
  <c r="AS170" i="24" s="1"/>
  <c r="AD170" i="24"/>
  <c r="AV134" i="14"/>
  <c r="AV141" i="16"/>
  <c r="AV131" i="24"/>
  <c r="AY131" i="24" s="1"/>
  <c r="AM131" i="24"/>
  <c r="AO105" i="25"/>
  <c r="AS105" i="25" s="1"/>
  <c r="AD105" i="25"/>
  <c r="AO121" i="25"/>
  <c r="AS121" i="25" s="1"/>
  <c r="AD121" i="25"/>
  <c r="AO125" i="25"/>
  <c r="AS125" i="25" s="1"/>
  <c r="AD125" i="25"/>
  <c r="AD116" i="29"/>
  <c r="AD115" i="29"/>
  <c r="AD114" i="29"/>
  <c r="AD113" i="29"/>
  <c r="AD112" i="29"/>
  <c r="AD111" i="29"/>
  <c r="AD98" i="29"/>
  <c r="AD97" i="29"/>
  <c r="AD125" i="29"/>
  <c r="AD124" i="29"/>
  <c r="AD123" i="29"/>
  <c r="AD122" i="29"/>
  <c r="AD121" i="29"/>
  <c r="AD120" i="29"/>
  <c r="AD107" i="29"/>
  <c r="AD106" i="29"/>
  <c r="AD105" i="29"/>
  <c r="AD104" i="29"/>
  <c r="AD103" i="29"/>
  <c r="AD102" i="29"/>
  <c r="AD89" i="29"/>
  <c r="AD88" i="29"/>
  <c r="AD87" i="29"/>
  <c r="AD86" i="29"/>
  <c r="AD85" i="29"/>
  <c r="AD84" i="29"/>
  <c r="AD71" i="29"/>
  <c r="AD70" i="29"/>
  <c r="AD69" i="29"/>
  <c r="AD68" i="29"/>
  <c r="AD67" i="29"/>
  <c r="AD66" i="29"/>
  <c r="AD53" i="29"/>
  <c r="AD52" i="29"/>
  <c r="AD51" i="29"/>
  <c r="AD50" i="29"/>
  <c r="AD49" i="29"/>
  <c r="AD48" i="29"/>
  <c r="AD35" i="29"/>
  <c r="AD34" i="29"/>
  <c r="AD33" i="29"/>
  <c r="AD32" i="29"/>
  <c r="AD31" i="29"/>
  <c r="AD30" i="29"/>
  <c r="AO96" i="29"/>
  <c r="AS96" i="29" s="1"/>
  <c r="AO95" i="29"/>
  <c r="AS95" i="29" s="1"/>
  <c r="AO94" i="29"/>
  <c r="AS94" i="29" s="1"/>
  <c r="AY95" i="25"/>
  <c r="AY93" i="25"/>
  <c r="AY79" i="25"/>
  <c r="AY77" i="25"/>
  <c r="AY75" i="25"/>
  <c r="AY61" i="25"/>
  <c r="AY59" i="25"/>
  <c r="AY57" i="25"/>
  <c r="AY43" i="25"/>
  <c r="AS129" i="25"/>
  <c r="AS97" i="25"/>
  <c r="AS93" i="25"/>
  <c r="AS77" i="25"/>
  <c r="AS61" i="25"/>
  <c r="AS57" i="25"/>
  <c r="AS41" i="25"/>
  <c r="AS39" i="25"/>
  <c r="AS25" i="25"/>
  <c r="AS23" i="25"/>
  <c r="AS21" i="25"/>
  <c r="AS142" i="24"/>
  <c r="AS138" i="24"/>
  <c r="X52" i="1"/>
  <c r="Y52" i="1" s="1"/>
  <c r="AS121" i="24"/>
  <c r="AY123" i="24"/>
  <c r="AD138" i="24"/>
  <c r="AD139" i="24"/>
  <c r="AD140" i="24"/>
  <c r="AD141" i="24"/>
  <c r="AD142" i="24"/>
  <c r="AD143" i="24"/>
  <c r="AR35" i="1"/>
  <c r="AU35" i="1"/>
  <c r="AV147" i="14"/>
  <c r="AB152" i="1"/>
  <c r="AW152" i="1" s="1"/>
  <c r="AC152" i="1"/>
  <c r="AD152" i="1" s="1"/>
  <c r="X113" i="1"/>
  <c r="Y113" i="1" s="1"/>
  <c r="W113" i="1"/>
  <c r="AG113" i="1" s="1"/>
  <c r="W77" i="1"/>
  <c r="AM77" i="1" s="1"/>
  <c r="X77" i="1"/>
  <c r="Y77" i="1" s="1"/>
  <c r="X59" i="1"/>
  <c r="Y59" i="1" s="1"/>
  <c r="W59" i="1"/>
  <c r="AM59" i="1" s="1"/>
  <c r="AC34" i="1"/>
  <c r="AD34" i="1" s="1"/>
  <c r="AB34" i="1"/>
  <c r="AS34" i="1" s="1"/>
  <c r="AU87" i="24"/>
  <c r="AY87" i="24" s="1"/>
  <c r="AM87" i="24"/>
  <c r="AO89" i="24"/>
  <c r="AS89" i="24" s="1"/>
  <c r="AD89" i="24"/>
  <c r="AU102" i="24"/>
  <c r="AY102" i="24" s="1"/>
  <c r="AM102" i="24"/>
  <c r="AU104" i="24"/>
  <c r="AY104" i="24" s="1"/>
  <c r="AM104" i="24"/>
  <c r="AU106" i="24"/>
  <c r="AY106" i="24" s="1"/>
  <c r="AM106" i="24"/>
  <c r="AP111" i="24"/>
  <c r="AS111" i="24" s="1"/>
  <c r="AD111" i="24"/>
  <c r="AU125" i="24"/>
  <c r="AY125" i="24" s="1"/>
  <c r="AM125" i="24"/>
  <c r="AP130" i="24"/>
  <c r="AD130" i="24"/>
  <c r="AP131" i="24"/>
  <c r="AS131" i="24" s="1"/>
  <c r="AD131" i="24"/>
  <c r="AP134" i="24"/>
  <c r="AS134" i="24" s="1"/>
  <c r="AD134" i="24"/>
  <c r="AN68" i="1"/>
  <c r="AM68" i="1"/>
  <c r="AH84" i="1"/>
  <c r="AF84" i="1"/>
  <c r="AH88" i="1"/>
  <c r="AN88" i="1"/>
  <c r="AH96" i="1"/>
  <c r="AN96" i="1"/>
  <c r="AV133" i="16"/>
  <c r="AP165" i="24"/>
  <c r="AS165" i="24" s="1"/>
  <c r="AD165" i="24"/>
  <c r="AP167" i="24"/>
  <c r="AS167" i="24" s="1"/>
  <c r="AD167" i="24"/>
  <c r="AP169" i="24"/>
  <c r="AS169" i="24" s="1"/>
  <c r="AD169" i="24"/>
  <c r="AV130" i="14"/>
  <c r="AV147" i="15"/>
  <c r="AV152" i="16"/>
  <c r="AV133" i="24"/>
  <c r="AM133" i="24"/>
  <c r="AV139" i="24"/>
  <c r="AY139" i="24" s="1"/>
  <c r="AM139" i="24"/>
  <c r="AS130" i="24"/>
  <c r="AB30" i="1"/>
  <c r="AQ30" i="1" s="1"/>
  <c r="X93" i="1"/>
  <c r="Y93" i="1" s="1"/>
  <c r="AQ134" i="1"/>
  <c r="AX134" i="1"/>
  <c r="AC148" i="1"/>
  <c r="AD148" i="1" s="1"/>
  <c r="AO143" i="24"/>
  <c r="AS143" i="24" s="1"/>
  <c r="AO141" i="24"/>
  <c r="AS141" i="24" s="1"/>
  <c r="AO139" i="24"/>
  <c r="AS139" i="24" s="1"/>
  <c r="AM124" i="24"/>
  <c r="AM107" i="24"/>
  <c r="AM103" i="24"/>
  <c r="AM88" i="24"/>
  <c r="AY170" i="25"/>
  <c r="AY169" i="25"/>
  <c r="AY168" i="25"/>
  <c r="AY167" i="25"/>
  <c r="AY166" i="25"/>
  <c r="AY165" i="25"/>
  <c r="AY152" i="25"/>
  <c r="AY151" i="25"/>
  <c r="AY150" i="25"/>
  <c r="AY149" i="25"/>
  <c r="AY148" i="25"/>
  <c r="AY147" i="25"/>
  <c r="AY134" i="25"/>
  <c r="AY132" i="25"/>
  <c r="AY130" i="25"/>
  <c r="AY116" i="25"/>
  <c r="AY114" i="25"/>
  <c r="AY112" i="25"/>
  <c r="AY98" i="25"/>
  <c r="AY96" i="25"/>
  <c r="AY94" i="25"/>
  <c r="AY80" i="25"/>
  <c r="AY78" i="25"/>
  <c r="AY76" i="25"/>
  <c r="AY62" i="25"/>
  <c r="AY60" i="25"/>
  <c r="AY58" i="25"/>
  <c r="AY44" i="25"/>
  <c r="AY41" i="25"/>
  <c r="AS115" i="25"/>
  <c r="AS133" i="25"/>
  <c r="AS113" i="25"/>
  <c r="AS95" i="25"/>
  <c r="AS79" i="25"/>
  <c r="AS75" i="25"/>
  <c r="AS59" i="25"/>
  <c r="AS43" i="25"/>
  <c r="AS40" i="25"/>
  <c r="AS26" i="25"/>
  <c r="AS24" i="25"/>
  <c r="AS22" i="25"/>
  <c r="AS133" i="24"/>
  <c r="AS132" i="24"/>
  <c r="AY129" i="24"/>
  <c r="AY116" i="24"/>
  <c r="AY115" i="24"/>
  <c r="AY98" i="24"/>
  <c r="AY97" i="24"/>
  <c r="AS96" i="24"/>
  <c r="AS94" i="24"/>
  <c r="AS79" i="24"/>
  <c r="AS77" i="24"/>
  <c r="AM52" i="1"/>
  <c r="AQ23" i="1"/>
  <c r="AS86" i="24"/>
  <c r="AS88" i="24"/>
  <c r="AS102" i="24"/>
  <c r="AS103" i="24"/>
  <c r="AY103" i="24"/>
  <c r="AS104" i="24"/>
  <c r="AS105" i="24"/>
  <c r="AS106" i="24"/>
  <c r="AS107" i="24"/>
  <c r="AY107" i="24"/>
  <c r="AS120" i="24"/>
  <c r="AY120" i="24"/>
  <c r="AD121" i="24"/>
  <c r="AY121" i="24"/>
  <c r="AS122" i="24"/>
  <c r="AY122" i="24"/>
  <c r="AD123" i="24"/>
  <c r="AS124" i="24"/>
  <c r="AS125" i="24"/>
  <c r="AS149" i="24"/>
  <c r="AY165" i="24"/>
  <c r="AY166" i="24"/>
  <c r="AY167" i="24"/>
  <c r="AS168" i="24"/>
  <c r="AY168" i="24"/>
  <c r="AY169" i="24"/>
  <c r="AY170" i="24"/>
  <c r="AY130" i="24"/>
  <c r="AY133" i="24"/>
  <c r="AY134" i="24"/>
  <c r="AD21" i="25"/>
  <c r="AM21" i="25"/>
  <c r="AD22" i="25"/>
  <c r="AM22" i="25"/>
  <c r="AD23" i="25"/>
  <c r="AM23" i="25"/>
  <c r="AD24" i="25"/>
  <c r="AM24" i="25"/>
  <c r="AD25" i="25"/>
  <c r="AM25" i="25"/>
  <c r="AD26" i="25"/>
  <c r="AM26" i="25"/>
  <c r="AD39" i="25"/>
  <c r="AM39" i="25"/>
  <c r="AD40" i="25"/>
  <c r="AM40" i="25"/>
  <c r="AD41" i="25"/>
  <c r="AM41" i="25"/>
  <c r="AD42" i="25"/>
  <c r="AM42" i="25"/>
  <c r="AD43" i="25"/>
  <c r="AM43" i="25"/>
  <c r="AD44" i="25"/>
  <c r="AM44" i="25"/>
  <c r="AD57" i="25"/>
  <c r="AM57" i="25"/>
  <c r="AD58" i="25"/>
  <c r="AM58" i="25"/>
  <c r="AD59" i="25"/>
  <c r="AM59" i="25"/>
  <c r="AD60" i="25"/>
  <c r="AM60" i="25"/>
  <c r="AD61" i="25"/>
  <c r="AM61" i="25"/>
  <c r="AD62" i="25"/>
  <c r="AM62" i="25"/>
  <c r="AD75" i="25"/>
  <c r="AM75" i="25"/>
  <c r="AD76" i="25"/>
  <c r="AM76" i="25"/>
  <c r="AD77" i="25"/>
  <c r="AM77" i="25"/>
  <c r="AD78" i="25"/>
  <c r="AM78" i="25"/>
  <c r="AD79" i="25"/>
  <c r="AM79" i="25"/>
  <c r="AD80" i="25"/>
  <c r="AM80" i="25"/>
  <c r="AD93" i="25"/>
  <c r="AM93" i="25"/>
  <c r="AD94" i="25"/>
  <c r="AM94" i="25"/>
  <c r="AD95" i="25"/>
  <c r="AM95" i="25"/>
  <c r="AD96" i="25"/>
  <c r="AM96" i="25"/>
  <c r="AD97" i="25"/>
  <c r="AM97" i="25"/>
  <c r="AD98" i="25"/>
  <c r="AM98" i="25"/>
  <c r="AD111" i="25"/>
  <c r="AM111" i="25"/>
  <c r="AD112" i="25"/>
  <c r="AM112" i="25"/>
  <c r="AD113" i="25"/>
  <c r="AM113" i="25"/>
  <c r="AD114" i="25"/>
  <c r="AM114" i="25"/>
  <c r="AD115" i="25"/>
  <c r="AM115" i="25"/>
  <c r="AD116" i="25"/>
  <c r="AM116" i="25"/>
  <c r="AD129" i="25"/>
  <c r="AM129" i="25"/>
  <c r="AD130" i="25"/>
  <c r="AM130" i="25"/>
  <c r="AD131" i="25"/>
  <c r="AM131" i="25"/>
  <c r="AD132" i="25"/>
  <c r="AM132" i="25"/>
  <c r="AD133" i="25"/>
  <c r="AM133" i="25"/>
  <c r="AD134" i="25"/>
  <c r="AM134" i="25"/>
  <c r="AD147" i="25"/>
  <c r="AM147" i="25"/>
  <c r="AD148" i="25"/>
  <c r="AM148" i="25"/>
  <c r="AD149" i="25"/>
  <c r="AM149" i="25"/>
  <c r="AD150" i="25"/>
  <c r="AM150" i="25"/>
  <c r="AD151" i="25"/>
  <c r="AM151" i="25"/>
  <c r="AD152" i="25"/>
  <c r="AM152" i="25"/>
  <c r="AD165" i="25"/>
  <c r="AM165" i="25"/>
  <c r="AD166" i="25"/>
  <c r="AM166" i="25"/>
  <c r="AD167" i="25"/>
  <c r="AM167" i="25"/>
  <c r="AD168" i="25"/>
  <c r="AM168" i="25"/>
  <c r="AD169" i="25"/>
  <c r="AM169" i="25"/>
  <c r="AD170" i="25"/>
  <c r="AM170" i="25"/>
  <c r="AW13" i="1"/>
  <c r="AD40" i="30"/>
  <c r="AS170" i="1"/>
  <c r="AY170" i="1"/>
  <c r="AR50" i="1"/>
  <c r="AV50" i="1"/>
  <c r="AS50" i="1"/>
  <c r="AQ50" i="1"/>
  <c r="AY50" i="1"/>
  <c r="AP50" i="1"/>
  <c r="AX50" i="1"/>
  <c r="AU50" i="1"/>
  <c r="AT50" i="1"/>
  <c r="AW50" i="1"/>
  <c r="AU149" i="15"/>
  <c r="AQ43" i="1"/>
  <c r="AW43" i="1"/>
  <c r="AT43" i="1"/>
  <c r="AG124" i="1"/>
  <c r="AF124" i="1"/>
  <c r="AS21" i="1"/>
  <c r="AY21" i="1"/>
  <c r="AS23" i="1"/>
  <c r="AU23" i="1"/>
  <c r="AR23" i="1"/>
  <c r="AS39" i="1"/>
  <c r="AU39" i="1"/>
  <c r="AR39" i="1"/>
  <c r="AG120" i="1"/>
  <c r="AI120" i="1"/>
  <c r="AN120" i="1"/>
  <c r="U66" i="13"/>
  <c r="AD18" i="13"/>
  <c r="AE18" i="13" s="1"/>
  <c r="AB168" i="1"/>
  <c r="AR168" i="1" s="1"/>
  <c r="AC168" i="1"/>
  <c r="AD168" i="1" s="1"/>
  <c r="AQ150" i="1"/>
  <c r="AS150" i="1"/>
  <c r="AX150" i="1"/>
  <c r="AQ148" i="1"/>
  <c r="AW148" i="1"/>
  <c r="AT134" i="1"/>
  <c r="AS134" i="1"/>
  <c r="AW134" i="1"/>
  <c r="AQ132" i="1"/>
  <c r="AS132" i="1"/>
  <c r="AP132" i="1"/>
  <c r="AX132" i="1"/>
  <c r="AH93" i="1"/>
  <c r="AF93" i="1"/>
  <c r="AM93" i="1"/>
  <c r="AH79" i="1"/>
  <c r="AJ79" i="1"/>
  <c r="AH75" i="1"/>
  <c r="AI75" i="1"/>
  <c r="AH69" i="1"/>
  <c r="AF69" i="1"/>
  <c r="AM69" i="1"/>
  <c r="AB68" i="1"/>
  <c r="AV68" i="1" s="1"/>
  <c r="AC68" i="1"/>
  <c r="AD68" i="1" s="1"/>
  <c r="AC161" i="1"/>
  <c r="AD161" i="1" s="1"/>
  <c r="AC43" i="1"/>
  <c r="AD43" i="1" s="1"/>
  <c r="AC41" i="1"/>
  <c r="AD41" i="1" s="1"/>
  <c r="AC39" i="1"/>
  <c r="AD39" i="1" s="1"/>
  <c r="AC35" i="1"/>
  <c r="AD35" i="1" s="1"/>
  <c r="X48" i="1"/>
  <c r="Y48" i="1" s="1"/>
  <c r="AC25" i="1"/>
  <c r="AD25" i="1" s="1"/>
  <c r="AC23" i="1"/>
  <c r="AD23" i="1" s="1"/>
  <c r="AC21" i="1"/>
  <c r="AD21" i="1" s="1"/>
  <c r="AC13" i="1"/>
  <c r="AD13" i="1" s="1"/>
  <c r="O26" i="2"/>
  <c r="O34" i="2" s="1"/>
  <c r="O42" i="2" s="1"/>
  <c r="Q26" i="2"/>
  <c r="Q34" i="2" s="1"/>
  <c r="Q42" i="2" s="1"/>
  <c r="S26" i="2"/>
  <c r="S34" i="2" s="1"/>
  <c r="S42" i="2" s="1"/>
  <c r="AP76" i="24"/>
  <c r="AS76" i="24" s="1"/>
  <c r="AD76" i="24"/>
  <c r="AV111" i="24"/>
  <c r="AY111" i="24" s="1"/>
  <c r="AM111" i="24"/>
  <c r="AV112" i="24"/>
  <c r="AY112" i="24" s="1"/>
  <c r="AM112" i="24"/>
  <c r="AV113" i="24"/>
  <c r="AY113" i="24" s="1"/>
  <c r="AM113" i="24"/>
  <c r="AV114" i="24"/>
  <c r="AY114" i="24" s="1"/>
  <c r="AM114" i="24"/>
  <c r="AP151" i="24"/>
  <c r="AS151" i="24" s="1"/>
  <c r="AD151" i="24"/>
  <c r="AU129" i="14"/>
  <c r="AU131" i="14"/>
  <c r="AU133" i="14"/>
  <c r="AU138" i="14"/>
  <c r="AU142" i="14"/>
  <c r="AU148" i="14"/>
  <c r="AU150" i="14"/>
  <c r="AM150" i="14"/>
  <c r="AU152" i="14"/>
  <c r="AU142" i="15"/>
  <c r="AU138" i="16"/>
  <c r="AU140" i="16"/>
  <c r="AU143" i="16"/>
  <c r="AU150" i="16"/>
  <c r="AU138" i="24"/>
  <c r="AY138" i="24" s="1"/>
  <c r="AM138" i="24"/>
  <c r="AU141" i="24"/>
  <c r="AY141" i="24" s="1"/>
  <c r="AM141" i="24"/>
  <c r="AU143" i="24"/>
  <c r="AY143" i="24" s="1"/>
  <c r="AM143" i="24"/>
  <c r="AP12" i="25"/>
  <c r="AS12" i="25" s="1"/>
  <c r="AD12" i="25"/>
  <c r="AV12" i="25"/>
  <c r="AY12" i="25" s="1"/>
  <c r="AM12" i="25"/>
  <c r="AP13" i="25"/>
  <c r="AS13" i="25" s="1"/>
  <c r="AD13" i="25"/>
  <c r="AV13" i="25"/>
  <c r="AY13" i="25" s="1"/>
  <c r="AM13" i="25"/>
  <c r="AP14" i="25"/>
  <c r="AS14" i="25" s="1"/>
  <c r="AD14" i="25"/>
  <c r="AV14" i="25"/>
  <c r="AY14" i="25" s="1"/>
  <c r="AM14" i="25"/>
  <c r="AP15" i="25"/>
  <c r="AS15" i="25" s="1"/>
  <c r="AD15" i="25"/>
  <c r="AV15" i="25"/>
  <c r="AY15" i="25" s="1"/>
  <c r="AM15" i="25"/>
  <c r="AP16" i="25"/>
  <c r="AS16" i="25" s="1"/>
  <c r="AD16" i="25"/>
  <c r="AV16" i="25"/>
  <c r="AY16" i="25" s="1"/>
  <c r="AM16" i="25"/>
  <c r="AP17" i="25"/>
  <c r="AS17" i="25" s="1"/>
  <c r="AD17" i="25"/>
  <c r="AV17" i="25"/>
  <c r="AY17" i="25" s="1"/>
  <c r="AM17" i="25"/>
  <c r="AP30" i="25"/>
  <c r="AS30" i="25" s="1"/>
  <c r="AD30" i="25"/>
  <c r="AV30" i="25"/>
  <c r="AY30" i="25" s="1"/>
  <c r="AM30" i="25"/>
  <c r="AP31" i="25"/>
  <c r="AS31" i="25" s="1"/>
  <c r="AD31" i="25"/>
  <c r="AV31" i="25"/>
  <c r="AY31" i="25" s="1"/>
  <c r="AM31" i="25"/>
  <c r="AP32" i="25"/>
  <c r="AS32" i="25" s="1"/>
  <c r="AD32" i="25"/>
  <c r="AV32" i="25"/>
  <c r="AY32" i="25" s="1"/>
  <c r="AM32" i="25"/>
  <c r="AP33" i="25"/>
  <c r="AS33" i="25" s="1"/>
  <c r="AD33" i="25"/>
  <c r="AV33" i="25"/>
  <c r="AY33" i="25" s="1"/>
  <c r="AM33" i="25"/>
  <c r="AP34" i="25"/>
  <c r="AS34" i="25" s="1"/>
  <c r="AD34" i="25"/>
  <c r="AV34" i="25"/>
  <c r="AY34" i="25" s="1"/>
  <c r="AM34" i="25"/>
  <c r="AP35" i="25"/>
  <c r="AS35" i="25" s="1"/>
  <c r="AD35" i="25"/>
  <c r="AV35" i="25"/>
  <c r="AY35" i="25" s="1"/>
  <c r="AM35" i="25"/>
  <c r="AV48" i="25"/>
  <c r="AY48" i="25" s="1"/>
  <c r="AM48" i="25"/>
  <c r="AV49" i="25"/>
  <c r="AY49" i="25" s="1"/>
  <c r="AM49" i="25"/>
  <c r="AV50" i="25"/>
  <c r="AY50" i="25" s="1"/>
  <c r="AM50" i="25"/>
  <c r="AV51" i="25"/>
  <c r="AY51" i="25" s="1"/>
  <c r="AM51" i="25"/>
  <c r="AV52" i="25"/>
  <c r="AY52" i="25" s="1"/>
  <c r="AM52" i="25"/>
  <c r="AV53" i="25"/>
  <c r="AY53" i="25" s="1"/>
  <c r="AM53" i="25"/>
  <c r="AV66" i="25"/>
  <c r="AY66" i="25" s="1"/>
  <c r="AM66" i="25"/>
  <c r="AV67" i="25"/>
  <c r="AY67" i="25" s="1"/>
  <c r="AM67" i="25"/>
  <c r="AV68" i="25"/>
  <c r="AY68" i="25" s="1"/>
  <c r="AM68" i="25"/>
  <c r="AV69" i="25"/>
  <c r="AY69" i="25" s="1"/>
  <c r="AM69" i="25"/>
  <c r="AV70" i="25"/>
  <c r="AY70" i="25" s="1"/>
  <c r="AM70" i="25"/>
  <c r="AV71" i="25"/>
  <c r="AY71" i="25" s="1"/>
  <c r="AM71" i="25"/>
  <c r="AV84" i="25"/>
  <c r="AY84" i="25" s="1"/>
  <c r="AM84" i="25"/>
  <c r="AV85" i="25"/>
  <c r="AY85" i="25" s="1"/>
  <c r="AM85" i="25"/>
  <c r="AV86" i="25"/>
  <c r="AY86" i="25" s="1"/>
  <c r="AM86" i="25"/>
  <c r="AV87" i="25"/>
  <c r="AY87" i="25" s="1"/>
  <c r="AM87" i="25"/>
  <c r="AV88" i="25"/>
  <c r="AY88" i="25" s="1"/>
  <c r="AM88" i="25"/>
  <c r="AV89" i="25"/>
  <c r="AY89" i="25" s="1"/>
  <c r="AM89" i="25"/>
  <c r="AP102" i="25"/>
  <c r="AS102" i="25" s="1"/>
  <c r="AD102" i="25"/>
  <c r="AV103" i="25"/>
  <c r="AY103" i="25" s="1"/>
  <c r="AM103" i="25"/>
  <c r="AV105" i="25"/>
  <c r="AY105" i="25" s="1"/>
  <c r="AM105" i="25"/>
  <c r="AP106" i="25"/>
  <c r="AS106" i="25" s="1"/>
  <c r="AD106" i="25"/>
  <c r="AV107" i="25"/>
  <c r="AY107" i="25" s="1"/>
  <c r="AM107" i="25"/>
  <c r="AV121" i="25"/>
  <c r="AY121" i="25" s="1"/>
  <c r="AM121" i="25"/>
  <c r="AV123" i="25"/>
  <c r="AY123" i="25" s="1"/>
  <c r="AM123" i="25"/>
  <c r="AV125" i="25"/>
  <c r="AY125" i="25" s="1"/>
  <c r="AM125" i="25"/>
  <c r="AP138" i="25"/>
  <c r="AS138" i="25" s="1"/>
  <c r="AD138" i="25"/>
  <c r="AV138" i="25"/>
  <c r="AY138" i="25" s="1"/>
  <c r="AM138" i="25"/>
  <c r="AP139" i="25"/>
  <c r="AS139" i="25" s="1"/>
  <c r="AD139" i="25"/>
  <c r="AV139" i="25"/>
  <c r="AY139" i="25" s="1"/>
  <c r="AM139" i="25"/>
  <c r="AP140" i="25"/>
  <c r="AS140" i="25" s="1"/>
  <c r="AD140" i="25"/>
  <c r="AV140" i="25"/>
  <c r="AY140" i="25" s="1"/>
  <c r="AM140" i="25"/>
  <c r="AP141" i="25"/>
  <c r="AS141" i="25" s="1"/>
  <c r="AD141" i="25"/>
  <c r="AV141" i="25"/>
  <c r="AM141" i="25"/>
  <c r="AP142" i="25"/>
  <c r="AS142" i="25" s="1"/>
  <c r="AD142" i="25"/>
  <c r="AV142" i="25"/>
  <c r="AY142" i="25" s="1"/>
  <c r="AM142" i="25"/>
  <c r="AP143" i="25"/>
  <c r="AS143" i="25" s="1"/>
  <c r="AD143" i="25"/>
  <c r="AV143" i="25"/>
  <c r="AY143" i="25" s="1"/>
  <c r="AM143" i="25"/>
  <c r="AP156" i="25"/>
  <c r="AS156" i="25" s="1"/>
  <c r="AD156" i="25"/>
  <c r="AV156" i="25"/>
  <c r="AY156" i="25" s="1"/>
  <c r="AM156" i="25"/>
  <c r="AP157" i="25"/>
  <c r="AS157" i="25" s="1"/>
  <c r="AD157" i="25"/>
  <c r="AV157" i="25"/>
  <c r="AY157" i="25" s="1"/>
  <c r="AM157" i="25"/>
  <c r="AP158" i="25"/>
  <c r="AS158" i="25" s="1"/>
  <c r="AD158" i="25"/>
  <c r="AV158" i="25"/>
  <c r="AY158" i="25" s="1"/>
  <c r="AM158" i="25"/>
  <c r="AP159" i="25"/>
  <c r="AS159" i="25" s="1"/>
  <c r="AD159" i="25"/>
  <c r="AV159" i="25"/>
  <c r="AY159" i="25" s="1"/>
  <c r="AM159" i="25"/>
  <c r="AP160" i="25"/>
  <c r="AS160" i="25" s="1"/>
  <c r="AD160" i="25"/>
  <c r="AV160" i="25"/>
  <c r="AY160" i="25" s="1"/>
  <c r="AM160" i="25"/>
  <c r="AP161" i="25"/>
  <c r="AS161" i="25" s="1"/>
  <c r="AD161" i="25"/>
  <c r="AV161" i="25"/>
  <c r="AY161" i="25" s="1"/>
  <c r="AM161" i="25"/>
  <c r="AS35" i="1"/>
  <c r="AQ35" i="1"/>
  <c r="AY35" i="1"/>
  <c r="AV35" i="1"/>
  <c r="AQ41" i="1"/>
  <c r="AS41" i="1"/>
  <c r="AX41" i="1"/>
  <c r="AG68" i="1"/>
  <c r="AI68" i="1"/>
  <c r="AF68" i="1"/>
  <c r="AL68" i="1"/>
  <c r="AU13" i="16"/>
  <c r="AS170" i="29"/>
  <c r="AS168" i="29"/>
  <c r="AS167" i="29"/>
  <c r="AS166" i="29"/>
  <c r="AS165" i="29"/>
  <c r="AS152" i="29"/>
  <c r="AS151" i="29"/>
  <c r="AS150" i="29"/>
  <c r="AS149" i="29"/>
  <c r="AS148" i="29"/>
  <c r="AS147" i="29"/>
  <c r="AS161" i="29"/>
  <c r="AS160" i="29"/>
  <c r="AS159" i="29"/>
  <c r="AS158" i="29"/>
  <c r="AS157" i="29"/>
  <c r="AS156" i="29"/>
  <c r="AS143" i="29"/>
  <c r="AS142" i="29"/>
  <c r="AS141" i="29"/>
  <c r="AS140" i="29"/>
  <c r="AS139" i="29"/>
  <c r="AS138" i="29"/>
  <c r="AS134" i="29"/>
  <c r="AS133" i="29"/>
  <c r="AS132" i="29"/>
  <c r="AS131" i="29"/>
  <c r="AS130" i="29"/>
  <c r="AS129" i="29"/>
  <c r="AS116" i="29"/>
  <c r="AS115" i="29"/>
  <c r="AS114" i="29"/>
  <c r="AS113" i="29"/>
  <c r="AS112" i="29"/>
  <c r="AS111" i="29"/>
  <c r="AS98" i="29"/>
  <c r="AS97" i="29"/>
  <c r="AS125" i="29"/>
  <c r="AS124" i="29"/>
  <c r="AS123" i="29"/>
  <c r="AS122" i="29"/>
  <c r="AS121" i="29"/>
  <c r="AS120" i="29"/>
  <c r="AS107" i="29"/>
  <c r="AS106" i="29"/>
  <c r="AS105" i="29"/>
  <c r="AS104" i="29"/>
  <c r="AS103" i="29"/>
  <c r="AS102" i="29"/>
  <c r="AS89" i="29"/>
  <c r="AS88" i="29"/>
  <c r="AS87" i="29"/>
  <c r="AS86" i="29"/>
  <c r="AS85" i="29"/>
  <c r="AS84" i="29"/>
  <c r="AS71" i="29"/>
  <c r="AS70" i="29"/>
  <c r="AS69" i="29"/>
  <c r="AS68" i="29"/>
  <c r="AS67" i="29"/>
  <c r="AS66" i="29"/>
  <c r="AS53" i="29"/>
  <c r="AS52" i="29"/>
  <c r="AS51" i="29"/>
  <c r="AS50" i="29"/>
  <c r="AS49" i="29"/>
  <c r="AS48" i="29"/>
  <c r="AS35" i="29"/>
  <c r="AS34" i="29"/>
  <c r="AS33" i="29"/>
  <c r="AS32" i="29"/>
  <c r="AS31" i="29"/>
  <c r="AS30" i="29"/>
  <c r="AS123" i="25"/>
  <c r="AS107" i="25"/>
  <c r="AS103" i="25"/>
  <c r="AM124" i="25"/>
  <c r="AM122" i="25"/>
  <c r="AM120" i="25"/>
  <c r="AM106" i="25"/>
  <c r="AM104" i="25"/>
  <c r="AM102" i="25"/>
  <c r="AU42" i="25"/>
  <c r="AY42" i="25" s="1"/>
  <c r="AY141" i="25"/>
  <c r="AO134" i="25"/>
  <c r="AS134" i="25" s="1"/>
  <c r="AO130" i="25"/>
  <c r="AS130" i="25" s="1"/>
  <c r="AO114" i="25"/>
  <c r="AS114" i="25" s="1"/>
  <c r="AO98" i="25"/>
  <c r="AS98" i="25" s="1"/>
  <c r="AD89" i="25"/>
  <c r="AD88" i="25"/>
  <c r="AD87" i="25"/>
  <c r="AD86" i="25"/>
  <c r="AD85" i="25"/>
  <c r="AD84" i="25"/>
  <c r="AD71" i="25"/>
  <c r="AD70" i="25"/>
  <c r="AD69" i="25"/>
  <c r="AD68" i="25"/>
  <c r="AD67" i="25"/>
  <c r="AD66" i="25"/>
  <c r="AD53" i="25"/>
  <c r="AD52" i="25"/>
  <c r="AD51" i="25"/>
  <c r="AD50" i="25"/>
  <c r="AD49" i="25"/>
  <c r="AD48" i="25"/>
  <c r="AO132" i="25"/>
  <c r="AS132" i="25" s="1"/>
  <c r="AO116" i="25"/>
  <c r="AS116" i="25" s="1"/>
  <c r="AO112" i="25"/>
  <c r="AS112" i="25" s="1"/>
  <c r="AO96" i="25"/>
  <c r="AS96" i="25" s="1"/>
  <c r="AO94" i="25"/>
  <c r="AS94" i="25" s="1"/>
  <c r="AO80" i="25"/>
  <c r="AS80" i="25" s="1"/>
  <c r="AO78" i="25"/>
  <c r="AS78" i="25" s="1"/>
  <c r="AO76" i="25"/>
  <c r="AS76" i="25" s="1"/>
  <c r="AO62" i="25"/>
  <c r="AS62" i="25" s="1"/>
  <c r="AO60" i="25"/>
  <c r="AS60" i="25" s="1"/>
  <c r="AO58" i="25"/>
  <c r="AS58" i="25" s="1"/>
  <c r="AO44" i="25"/>
  <c r="AS44" i="25" s="1"/>
  <c r="AO42" i="25"/>
  <c r="AS42" i="25" s="1"/>
  <c r="AU40" i="25"/>
  <c r="AY40" i="25" s="1"/>
  <c r="AU39" i="25"/>
  <c r="AY39" i="25" s="1"/>
  <c r="AU26" i="25"/>
  <c r="AY26" i="25" s="1"/>
  <c r="AU25" i="25"/>
  <c r="AY25" i="25" s="1"/>
  <c r="AU24" i="25"/>
  <c r="AY24" i="25" s="1"/>
  <c r="AU23" i="25"/>
  <c r="AY23" i="25" s="1"/>
  <c r="AU22" i="25"/>
  <c r="AY22" i="25" s="1"/>
  <c r="AU21" i="25"/>
  <c r="AY21" i="25" s="1"/>
  <c r="AD104" i="25"/>
  <c r="AM142" i="24"/>
  <c r="AP150" i="1"/>
  <c r="AL133" i="1"/>
  <c r="AI79" i="1"/>
  <c r="AN69" i="1"/>
  <c r="AN124" i="1"/>
  <c r="AF120" i="1"/>
  <c r="AX43" i="1"/>
  <c r="AS43" i="1"/>
  <c r="AV39" i="1"/>
  <c r="AQ39" i="1"/>
  <c r="AY34" i="1"/>
  <c r="AR25" i="1"/>
  <c r="AY23" i="1"/>
  <c r="AB22" i="1"/>
  <c r="AP22" i="1" s="1"/>
  <c r="AB24" i="1"/>
  <c r="AW24" i="1" s="1"/>
  <c r="AB26" i="1"/>
  <c r="AX26" i="1" s="1"/>
  <c r="W57" i="1"/>
  <c r="AH57" i="1" s="1"/>
  <c r="W61" i="1"/>
  <c r="AH61" i="1" s="1"/>
  <c r="X75" i="1"/>
  <c r="Y75" i="1" s="1"/>
  <c r="X79" i="1"/>
  <c r="Y79" i="1" s="1"/>
  <c r="W111" i="1"/>
  <c r="AL111" i="1" s="1"/>
  <c r="W115" i="1"/>
  <c r="AO115" i="1" s="1"/>
  <c r="W131" i="1"/>
  <c r="AL131" i="1" s="1"/>
  <c r="AU134" i="1"/>
  <c r="AC133" i="1"/>
  <c r="AD133" i="1" s="1"/>
  <c r="AC134" i="1"/>
  <c r="AD134" i="1" s="1"/>
  <c r="AT132" i="1"/>
  <c r="AC150" i="1"/>
  <c r="AD150" i="1" s="1"/>
  <c r="AC157" i="1"/>
  <c r="AD157" i="1" s="1"/>
  <c r="AM170" i="24"/>
  <c r="AM169" i="24"/>
  <c r="AM168" i="24"/>
  <c r="AM167" i="24"/>
  <c r="AM166" i="24"/>
  <c r="AM165" i="24"/>
  <c r="AM134" i="24"/>
  <c r="AM132" i="24"/>
  <c r="AM130" i="24"/>
  <c r="AD114" i="24"/>
  <c r="AD112" i="24"/>
  <c r="AD88" i="24"/>
  <c r="AD86" i="24"/>
  <c r="AD125" i="24"/>
  <c r="AD124" i="24"/>
  <c r="AO123" i="24"/>
  <c r="AS123" i="24" s="1"/>
  <c r="AD120" i="24"/>
  <c r="AD107" i="24"/>
  <c r="AD106" i="24"/>
  <c r="AD105" i="24"/>
  <c r="AD104" i="24"/>
  <c r="AD103" i="24"/>
  <c r="AD102" i="24"/>
  <c r="AM89" i="24"/>
  <c r="AM75" i="24"/>
  <c r="AY62" i="24"/>
  <c r="AY61" i="24"/>
  <c r="AY60" i="24"/>
  <c r="AY59" i="24"/>
  <c r="AY58" i="24"/>
  <c r="AY57" i="24"/>
  <c r="AY44" i="24"/>
  <c r="AY43" i="24"/>
  <c r="AY42" i="24"/>
  <c r="AY41" i="24"/>
  <c r="AY40" i="24"/>
  <c r="AY39" i="24"/>
  <c r="AY26" i="24"/>
  <c r="AY25" i="24"/>
  <c r="AY24" i="24"/>
  <c r="AY23" i="24"/>
  <c r="AY22" i="24"/>
  <c r="AY21" i="24"/>
  <c r="AY94" i="24"/>
  <c r="AM86" i="24"/>
  <c r="T26" i="2"/>
  <c r="T34" i="2" s="1"/>
  <c r="T42" i="2" s="1"/>
  <c r="P26" i="2"/>
  <c r="P34" i="2" s="1"/>
  <c r="P42" i="2" s="1"/>
  <c r="AS124" i="25"/>
  <c r="AS120" i="25"/>
  <c r="AS104" i="25"/>
  <c r="AS89" i="25"/>
  <c r="AS88" i="25"/>
  <c r="AS87" i="25"/>
  <c r="AS86" i="25"/>
  <c r="AS85" i="25"/>
  <c r="AS84" i="25"/>
  <c r="AS71" i="25"/>
  <c r="AS70" i="25"/>
  <c r="AS69" i="25"/>
  <c r="AS68" i="25"/>
  <c r="AS67" i="25"/>
  <c r="AS66" i="25"/>
  <c r="AS53" i="25"/>
  <c r="AS52" i="25"/>
  <c r="AS51" i="25"/>
  <c r="AS50" i="25"/>
  <c r="AS49" i="25"/>
  <c r="AS48" i="25"/>
  <c r="AS161" i="24"/>
  <c r="AS160" i="24"/>
  <c r="AS159" i="24"/>
  <c r="AS158" i="24"/>
  <c r="AS157" i="24"/>
  <c r="AS156" i="24"/>
  <c r="AS129" i="24"/>
  <c r="AS116" i="24"/>
  <c r="AS98" i="24"/>
  <c r="AS97" i="24"/>
  <c r="AS95" i="24"/>
  <c r="AS93" i="24"/>
  <c r="AS80" i="24"/>
  <c r="AS78" i="24"/>
  <c r="AS62" i="24"/>
  <c r="AS61" i="24"/>
  <c r="AS60" i="24"/>
  <c r="AS59" i="24"/>
  <c r="AS58" i="24"/>
  <c r="AS57" i="24"/>
  <c r="AS44" i="24"/>
  <c r="AS43" i="24"/>
  <c r="AS42" i="24"/>
  <c r="AS41" i="24"/>
  <c r="AS40" i="24"/>
  <c r="AS39" i="24"/>
  <c r="AS26" i="24"/>
  <c r="AS25" i="24"/>
  <c r="AS24" i="24"/>
  <c r="AS23" i="24"/>
  <c r="AS22" i="24"/>
  <c r="AS21" i="24"/>
  <c r="T170" i="13"/>
  <c r="U170" i="13" s="1"/>
  <c r="T169" i="13"/>
  <c r="U169" i="13" s="1"/>
  <c r="T168" i="13"/>
  <c r="U168" i="13" s="1"/>
  <c r="T167" i="13"/>
  <c r="U167" i="13" s="1"/>
  <c r="T166" i="13"/>
  <c r="U166" i="13" s="1"/>
  <c r="T165" i="13"/>
  <c r="U165" i="13" s="1"/>
  <c r="Q161" i="13"/>
  <c r="R161" i="13" s="1"/>
  <c r="Q160" i="13"/>
  <c r="R160" i="13" s="1"/>
  <c r="Q159" i="13"/>
  <c r="R159" i="13" s="1"/>
  <c r="Q158" i="13"/>
  <c r="R158" i="13" s="1"/>
  <c r="Q157" i="13"/>
  <c r="R157" i="13" s="1"/>
  <c r="Q156" i="13"/>
  <c r="R156" i="13" s="1"/>
  <c r="T152" i="13"/>
  <c r="U152" i="13" s="1"/>
  <c r="T151" i="13"/>
  <c r="U151" i="13" s="1"/>
  <c r="T150" i="13"/>
  <c r="U150" i="13" s="1"/>
  <c r="T149" i="13"/>
  <c r="U149" i="13" s="1"/>
  <c r="T148" i="13"/>
  <c r="U148" i="13" s="1"/>
  <c r="T147" i="13"/>
  <c r="U147" i="13" s="1"/>
  <c r="Q143" i="13"/>
  <c r="R143" i="13" s="1"/>
  <c r="Q142" i="13"/>
  <c r="R142" i="13" s="1"/>
  <c r="Q141" i="13"/>
  <c r="R141" i="13" s="1"/>
  <c r="Q140" i="13"/>
  <c r="R140" i="13" s="1"/>
  <c r="Q139" i="13"/>
  <c r="R139" i="13" s="1"/>
  <c r="Q138" i="13"/>
  <c r="R138" i="13" s="1"/>
  <c r="T134" i="13"/>
  <c r="U134" i="13" s="1"/>
  <c r="T133" i="13"/>
  <c r="U133" i="13" s="1"/>
  <c r="T132" i="13"/>
  <c r="U132" i="13" s="1"/>
  <c r="T131" i="13"/>
  <c r="U131" i="13" s="1"/>
  <c r="T130" i="13"/>
  <c r="U130" i="13" s="1"/>
  <c r="T129" i="13"/>
  <c r="U129" i="13" s="1"/>
  <c r="Q125" i="13"/>
  <c r="R125" i="13" s="1"/>
  <c r="Q124" i="13"/>
  <c r="R124" i="13" s="1"/>
  <c r="Q123" i="13"/>
  <c r="R123" i="13" s="1"/>
  <c r="Q122" i="13"/>
  <c r="R122" i="13" s="1"/>
  <c r="Q121" i="13"/>
  <c r="R121" i="13" s="1"/>
  <c r="Q120" i="13"/>
  <c r="R120" i="13" s="1"/>
  <c r="T116" i="13"/>
  <c r="U116" i="13" s="1"/>
  <c r="T115" i="13"/>
  <c r="U115" i="13" s="1"/>
  <c r="T114" i="13"/>
  <c r="U114" i="13" s="1"/>
  <c r="T113" i="13"/>
  <c r="U113" i="13" s="1"/>
  <c r="T112" i="13"/>
  <c r="U112" i="13" s="1"/>
  <c r="T111" i="13"/>
  <c r="U111" i="13" s="1"/>
  <c r="Q107" i="13"/>
  <c r="R107" i="13" s="1"/>
  <c r="Q106" i="13"/>
  <c r="R106" i="13" s="1"/>
  <c r="Q105" i="13"/>
  <c r="R105" i="13" s="1"/>
  <c r="Q104" i="13"/>
  <c r="R104" i="13" s="1"/>
  <c r="Q103" i="13"/>
  <c r="R103" i="13" s="1"/>
  <c r="Q102" i="13"/>
  <c r="R102" i="13" s="1"/>
  <c r="T98" i="13"/>
  <c r="U98" i="13" s="1"/>
  <c r="T97" i="13"/>
  <c r="U97" i="13" s="1"/>
  <c r="T96" i="13"/>
  <c r="U96" i="13" s="1"/>
  <c r="T95" i="13"/>
  <c r="U95" i="13" s="1"/>
  <c r="T94" i="13"/>
  <c r="U94" i="13" s="1"/>
  <c r="T93" i="13"/>
  <c r="U93" i="13" s="1"/>
  <c r="Q89" i="13"/>
  <c r="R89" i="13" s="1"/>
  <c r="Q88" i="13"/>
  <c r="R88" i="13" s="1"/>
  <c r="Q87" i="13"/>
  <c r="R87" i="13" s="1"/>
  <c r="Q86" i="13"/>
  <c r="R86" i="13" s="1"/>
  <c r="Q85" i="13"/>
  <c r="R85" i="13" s="1"/>
  <c r="Q84" i="13"/>
  <c r="R84" i="13" s="1"/>
  <c r="T80" i="13"/>
  <c r="U80" i="13" s="1"/>
  <c r="T79" i="13"/>
  <c r="U79" i="13" s="1"/>
  <c r="T78" i="13"/>
  <c r="U78" i="13" s="1"/>
  <c r="T77" i="13"/>
  <c r="U77" i="13" s="1"/>
  <c r="T76" i="13"/>
  <c r="U76" i="13" s="1"/>
  <c r="T75" i="13"/>
  <c r="U75" i="13" s="1"/>
  <c r="Q71" i="13"/>
  <c r="R71" i="13" s="1"/>
  <c r="Q70" i="13"/>
  <c r="R70" i="13" s="1"/>
  <c r="Q69" i="13"/>
  <c r="R69" i="13" s="1"/>
  <c r="X140" i="1"/>
  <c r="Y140" i="1" s="1"/>
  <c r="X138" i="1"/>
  <c r="Y138" i="1" s="1"/>
  <c r="X134" i="1"/>
  <c r="Y134" i="1" s="1"/>
  <c r="X132" i="1"/>
  <c r="Y132" i="1" s="1"/>
  <c r="AS26" i="30"/>
  <c r="AD44" i="30"/>
  <c r="AM120" i="15"/>
  <c r="AM84" i="15"/>
  <c r="AV21" i="1"/>
  <c r="AQ21" i="1"/>
  <c r="AM115" i="14"/>
  <c r="AM42" i="14"/>
  <c r="AD21" i="24"/>
  <c r="AM21" i="24"/>
  <c r="AD22" i="24"/>
  <c r="AM22" i="24"/>
  <c r="AD23" i="24"/>
  <c r="AM23" i="24"/>
  <c r="AD24" i="24"/>
  <c r="AM24" i="24"/>
  <c r="AD25" i="24"/>
  <c r="AM25" i="24"/>
  <c r="AD26" i="24"/>
  <c r="AM26" i="24"/>
  <c r="AD39" i="24"/>
  <c r="AM39" i="24"/>
  <c r="AD40" i="24"/>
  <c r="AM40" i="24"/>
  <c r="AD41" i="24"/>
  <c r="AM41" i="24"/>
  <c r="AD42" i="24"/>
  <c r="AM42" i="24"/>
  <c r="AD43" i="24"/>
  <c r="AM43" i="24"/>
  <c r="AD44" i="24"/>
  <c r="AM44" i="24"/>
  <c r="AD57" i="24"/>
  <c r="AM57" i="24"/>
  <c r="AD58" i="24"/>
  <c r="AM58" i="24"/>
  <c r="AD59" i="24"/>
  <c r="AM59" i="24"/>
  <c r="AD60" i="24"/>
  <c r="AM60" i="24"/>
  <c r="AD61" i="24"/>
  <c r="AM61" i="24"/>
  <c r="AD62" i="24"/>
  <c r="AM62" i="24"/>
  <c r="AD75" i="24"/>
  <c r="AY77" i="24"/>
  <c r="AY78" i="24"/>
  <c r="AY79" i="24"/>
  <c r="AY80" i="24"/>
  <c r="AY96" i="24"/>
  <c r="AY140" i="24"/>
  <c r="AW26" i="2"/>
  <c r="AW34" i="2" s="1"/>
  <c r="AW42" i="2" s="1"/>
  <c r="AY26" i="2"/>
  <c r="AY34" i="2" s="1"/>
  <c r="AY42" i="2" s="1"/>
  <c r="BA26" i="2"/>
  <c r="BA34" i="2" s="1"/>
  <c r="BA42" i="2" s="1"/>
  <c r="AP12" i="24"/>
  <c r="AS12" i="24" s="1"/>
  <c r="AD12" i="24"/>
  <c r="AV12" i="24"/>
  <c r="AY12" i="24" s="1"/>
  <c r="AM12" i="24"/>
  <c r="AP13" i="24"/>
  <c r="AS13" i="24" s="1"/>
  <c r="AD13" i="24"/>
  <c r="AV13" i="24"/>
  <c r="AY13" i="24" s="1"/>
  <c r="AM13" i="24"/>
  <c r="AP14" i="24"/>
  <c r="AS14" i="24" s="1"/>
  <c r="AD14" i="24"/>
  <c r="AV14" i="24"/>
  <c r="AY14" i="24" s="1"/>
  <c r="AM14" i="24"/>
  <c r="AP15" i="24"/>
  <c r="AS15" i="24" s="1"/>
  <c r="AD15" i="24"/>
  <c r="AV15" i="24"/>
  <c r="AM15" i="24"/>
  <c r="AP16" i="24"/>
  <c r="AS16" i="24" s="1"/>
  <c r="AD16" i="24"/>
  <c r="AV16" i="24"/>
  <c r="AY16" i="24" s="1"/>
  <c r="AM16" i="24"/>
  <c r="AP17" i="24"/>
  <c r="AS17" i="24" s="1"/>
  <c r="AD17" i="24"/>
  <c r="AV17" i="24"/>
  <c r="AY17" i="24" s="1"/>
  <c r="AM17" i="24"/>
  <c r="AP30" i="24"/>
  <c r="AS30" i="24" s="1"/>
  <c r="AD30" i="24"/>
  <c r="AV30" i="24"/>
  <c r="AY30" i="24" s="1"/>
  <c r="AM30" i="24"/>
  <c r="AP31" i="24"/>
  <c r="AS31" i="24" s="1"/>
  <c r="AD31" i="24"/>
  <c r="AV31" i="24"/>
  <c r="AY31" i="24" s="1"/>
  <c r="AM31" i="24"/>
  <c r="AP32" i="24"/>
  <c r="AS32" i="24" s="1"/>
  <c r="AD32" i="24"/>
  <c r="AV32" i="24"/>
  <c r="AY32" i="24" s="1"/>
  <c r="AM32" i="24"/>
  <c r="AP33" i="24"/>
  <c r="AS33" i="24" s="1"/>
  <c r="AD33" i="24"/>
  <c r="AV33" i="24"/>
  <c r="AY33" i="24" s="1"/>
  <c r="AM33" i="24"/>
  <c r="AP34" i="24"/>
  <c r="AS34" i="24" s="1"/>
  <c r="AD34" i="24"/>
  <c r="AV34" i="24"/>
  <c r="AY34" i="24" s="1"/>
  <c r="AM34" i="24"/>
  <c r="AP35" i="24"/>
  <c r="AS35" i="24" s="1"/>
  <c r="AD35" i="24"/>
  <c r="AV35" i="24"/>
  <c r="AY35" i="24" s="1"/>
  <c r="AM35" i="24"/>
  <c r="AP48" i="24"/>
  <c r="AS48" i="24" s="1"/>
  <c r="AD48" i="24"/>
  <c r="AV48" i="24"/>
  <c r="AY48" i="24" s="1"/>
  <c r="AM48" i="24"/>
  <c r="AP49" i="24"/>
  <c r="AS49" i="24" s="1"/>
  <c r="AD49" i="24"/>
  <c r="AV49" i="24"/>
  <c r="AY49" i="24" s="1"/>
  <c r="AM49" i="24"/>
  <c r="AP50" i="24"/>
  <c r="AS50" i="24" s="1"/>
  <c r="AD50" i="24"/>
  <c r="AV50" i="24"/>
  <c r="AY50" i="24" s="1"/>
  <c r="AM50" i="24"/>
  <c r="AP51" i="24"/>
  <c r="AS51" i="24" s="1"/>
  <c r="AD51" i="24"/>
  <c r="AV51" i="24"/>
  <c r="AY51" i="24" s="1"/>
  <c r="AM51" i="24"/>
  <c r="AP52" i="24"/>
  <c r="AS52" i="24" s="1"/>
  <c r="AD52" i="24"/>
  <c r="AV52" i="24"/>
  <c r="AY52" i="24" s="1"/>
  <c r="AM52" i="24"/>
  <c r="AP53" i="24"/>
  <c r="AS53" i="24" s="1"/>
  <c r="AD53" i="24"/>
  <c r="AV53" i="24"/>
  <c r="AY53" i="24" s="1"/>
  <c r="AM53" i="24"/>
  <c r="AP66" i="24"/>
  <c r="AS66" i="24" s="1"/>
  <c r="AD66" i="24"/>
  <c r="AV66" i="24"/>
  <c r="AY66" i="24" s="1"/>
  <c r="AM66" i="24"/>
  <c r="AP67" i="24"/>
  <c r="AS67" i="24" s="1"/>
  <c r="AD67" i="24"/>
  <c r="AV67" i="24"/>
  <c r="AY67" i="24" s="1"/>
  <c r="AM67" i="24"/>
  <c r="AP68" i="24"/>
  <c r="AS68" i="24" s="1"/>
  <c r="AD68" i="24"/>
  <c r="AV68" i="24"/>
  <c r="AY68" i="24" s="1"/>
  <c r="AM68" i="24"/>
  <c r="AP69" i="24"/>
  <c r="AS69" i="24" s="1"/>
  <c r="AD69" i="24"/>
  <c r="AV69" i="24"/>
  <c r="AY69" i="24" s="1"/>
  <c r="AM69" i="24"/>
  <c r="AP70" i="24"/>
  <c r="AS70" i="24" s="1"/>
  <c r="AD70" i="24"/>
  <c r="AV70" i="24"/>
  <c r="AY70" i="24" s="1"/>
  <c r="AM70" i="24"/>
  <c r="AP71" i="24"/>
  <c r="AS71" i="24" s="1"/>
  <c r="AD71" i="24"/>
  <c r="AV71" i="24"/>
  <c r="AY71" i="24" s="1"/>
  <c r="AM71" i="24"/>
  <c r="AU76" i="24"/>
  <c r="AY76" i="24" s="1"/>
  <c r="AM76" i="24"/>
  <c r="AP84" i="24"/>
  <c r="AS84" i="24" s="1"/>
  <c r="AD84" i="24"/>
  <c r="AV84" i="24"/>
  <c r="AY84" i="24" s="1"/>
  <c r="AM84" i="24"/>
  <c r="AP85" i="24"/>
  <c r="AS85" i="24" s="1"/>
  <c r="AD85" i="24"/>
  <c r="AV85" i="24"/>
  <c r="AY85" i="24" s="1"/>
  <c r="AM85" i="24"/>
  <c r="AU95" i="24"/>
  <c r="AY95" i="24" s="1"/>
  <c r="AM95" i="24"/>
  <c r="AD58" i="30"/>
  <c r="AO58" i="30"/>
  <c r="AS58" i="30" s="1"/>
  <c r="AD77" i="30"/>
  <c r="AO77" i="30"/>
  <c r="AS77" i="30" s="1"/>
  <c r="AD142" i="16"/>
  <c r="AP142" i="16"/>
  <c r="AS142" i="16" s="1"/>
  <c r="AT150" i="1"/>
  <c r="AW150" i="1"/>
  <c r="AX148" i="1"/>
  <c r="AP148" i="1"/>
  <c r="AS148" i="1"/>
  <c r="AI133" i="1"/>
  <c r="AI93" i="1"/>
  <c r="AJ93" i="1"/>
  <c r="AM79" i="1"/>
  <c r="AN79" i="1"/>
  <c r="AF79" i="1"/>
  <c r="AM75" i="1"/>
  <c r="AN75" i="1"/>
  <c r="AF75" i="1"/>
  <c r="AI69" i="1"/>
  <c r="AJ69" i="1"/>
  <c r="AJ52" i="1"/>
  <c r="AF122" i="1"/>
  <c r="AF106" i="1"/>
  <c r="AM96" i="1"/>
  <c r="AF96" i="1"/>
  <c r="AM88" i="1"/>
  <c r="AF88" i="1"/>
  <c r="AM84" i="1"/>
  <c r="AY132" i="24"/>
  <c r="AY15" i="24"/>
  <c r="AY89" i="24"/>
  <c r="AY88" i="24"/>
  <c r="AY86" i="24"/>
  <c r="AS141" i="16"/>
  <c r="AD141" i="16"/>
  <c r="AD139" i="16"/>
  <c r="AD125" i="19"/>
  <c r="AD124" i="19"/>
  <c r="AD123" i="19"/>
  <c r="AD122" i="19"/>
  <c r="AD121" i="19"/>
  <c r="AD120" i="19"/>
  <c r="AD53" i="19"/>
  <c r="AD52" i="19"/>
  <c r="AD51" i="19"/>
  <c r="AD50" i="19"/>
  <c r="AD138" i="19"/>
  <c r="AS125" i="19"/>
  <c r="AS124" i="19"/>
  <c r="AS123" i="19"/>
  <c r="AS122" i="19"/>
  <c r="AS121" i="19"/>
  <c r="AS120" i="19"/>
  <c r="AS53" i="19"/>
  <c r="AS52" i="19"/>
  <c r="AS51" i="19"/>
  <c r="AS50" i="19"/>
  <c r="AS89" i="19"/>
  <c r="AS87" i="19"/>
  <c r="AS85" i="19"/>
  <c r="AS88" i="19"/>
  <c r="AS86" i="19"/>
  <c r="AS84" i="19"/>
  <c r="AS152" i="18"/>
  <c r="AD89" i="19"/>
  <c r="AD88" i="19"/>
  <c r="AD87" i="19"/>
  <c r="AD86" i="19"/>
  <c r="AD85" i="19"/>
  <c r="AD84" i="19"/>
  <c r="AS148" i="18"/>
  <c r="AV152" i="24"/>
  <c r="AY152" i="24" s="1"/>
  <c r="AM152" i="24"/>
  <c r="AP152" i="24"/>
  <c r="AS152" i="24" s="1"/>
  <c r="AD152" i="24"/>
  <c r="AY150" i="24"/>
  <c r="AY149" i="24"/>
  <c r="AY148" i="24"/>
  <c r="AY147" i="24"/>
  <c r="AS107" i="19"/>
  <c r="AS106" i="19"/>
  <c r="AS105" i="19"/>
  <c r="AS104" i="19"/>
  <c r="AS103" i="19"/>
  <c r="AS102" i="19"/>
  <c r="AD71" i="19"/>
  <c r="AD70" i="19"/>
  <c r="AD69" i="19"/>
  <c r="AD68" i="19"/>
  <c r="AD67" i="19"/>
  <c r="AD66" i="19"/>
  <c r="AS150" i="18"/>
  <c r="AD142" i="17"/>
  <c r="AY151" i="24"/>
  <c r="AD107" i="19"/>
  <c r="AD106" i="19"/>
  <c r="AD105" i="19"/>
  <c r="AD104" i="19"/>
  <c r="AD103" i="19"/>
  <c r="AD102" i="19"/>
  <c r="AP71" i="19"/>
  <c r="AS71" i="19" s="1"/>
  <c r="AP70" i="19"/>
  <c r="AS70" i="19" s="1"/>
  <c r="AP69" i="19"/>
  <c r="AS69" i="19" s="1"/>
  <c r="AP68" i="19"/>
  <c r="AS68" i="19" s="1"/>
  <c r="AP67" i="19"/>
  <c r="AS67" i="19" s="1"/>
  <c r="AP66" i="19"/>
  <c r="AS66" i="19" s="1"/>
  <c r="AP142" i="17"/>
  <c r="AS142" i="17" s="1"/>
  <c r="Q68" i="13"/>
  <c r="R68" i="13" s="1"/>
  <c r="Q67" i="13"/>
  <c r="R67" i="13" s="1"/>
  <c r="Q66" i="13"/>
  <c r="R66" i="13" s="1"/>
  <c r="T62" i="13"/>
  <c r="U62" i="13" s="1"/>
  <c r="T61" i="13"/>
  <c r="U61" i="13" s="1"/>
  <c r="T60" i="13"/>
  <c r="U60" i="13" s="1"/>
  <c r="T59" i="13"/>
  <c r="U59" i="13" s="1"/>
  <c r="T58" i="13"/>
  <c r="U58" i="13" s="1"/>
  <c r="T57" i="13"/>
  <c r="U57" i="13" s="1"/>
  <c r="Q53" i="13"/>
  <c r="R53" i="13" s="1"/>
  <c r="Q52" i="13"/>
  <c r="R52" i="13" s="1"/>
  <c r="Q51" i="13"/>
  <c r="R51" i="13" s="1"/>
  <c r="Q50" i="13"/>
  <c r="R50" i="13" s="1"/>
  <c r="Q49" i="13"/>
  <c r="R49" i="13" s="1"/>
  <c r="Q48" i="13"/>
  <c r="R48" i="13" s="1"/>
  <c r="T44" i="13"/>
  <c r="U44" i="13" s="1"/>
  <c r="T43" i="13"/>
  <c r="U43" i="13" s="1"/>
  <c r="T42" i="13"/>
  <c r="U42" i="13" s="1"/>
  <c r="T41" i="13"/>
  <c r="U41" i="13" s="1"/>
  <c r="T40" i="13"/>
  <c r="U40" i="13" s="1"/>
  <c r="T39" i="13"/>
  <c r="U39" i="13" s="1"/>
  <c r="Q35" i="13"/>
  <c r="R35" i="13" s="1"/>
  <c r="Q34" i="13"/>
  <c r="R34" i="13" s="1"/>
  <c r="Q33" i="13"/>
  <c r="R33" i="13" s="1"/>
  <c r="Q32" i="13"/>
  <c r="R32" i="13" s="1"/>
  <c r="Q31" i="13"/>
  <c r="R31" i="13" s="1"/>
  <c r="Q30" i="13"/>
  <c r="R30" i="13" s="1"/>
  <c r="T26" i="13"/>
  <c r="U26" i="13" s="1"/>
  <c r="T25" i="13"/>
  <c r="U25" i="13" s="1"/>
  <c r="T24" i="13"/>
  <c r="U24" i="13" s="1"/>
  <c r="T23" i="13"/>
  <c r="U23" i="13" s="1"/>
  <c r="T22" i="13"/>
  <c r="U22" i="13" s="1"/>
  <c r="T21" i="13"/>
  <c r="U21" i="13" s="1"/>
  <c r="Q17" i="13"/>
  <c r="R17" i="13" s="1"/>
  <c r="Q16" i="13"/>
  <c r="R16" i="13" s="1"/>
  <c r="Q15" i="13"/>
  <c r="R15" i="13" s="1"/>
  <c r="Q12" i="13"/>
  <c r="R12" i="13" s="1"/>
  <c r="AM129" i="24"/>
  <c r="AU131" i="16"/>
  <c r="AM102" i="19"/>
  <c r="AM69" i="19"/>
  <c r="AY68" i="19"/>
  <c r="H19" i="24"/>
  <c r="H37" i="24"/>
  <c r="H55" i="24"/>
  <c r="H127" i="24"/>
  <c r="H172" i="24"/>
  <c r="AG28" i="2"/>
  <c r="AD142" i="19"/>
  <c r="AS16" i="19"/>
  <c r="AS15" i="19"/>
  <c r="AS14" i="19"/>
  <c r="AS13" i="19"/>
  <c r="AS12" i="19"/>
  <c r="AS170" i="18"/>
  <c r="AS169" i="18"/>
  <c r="AS168" i="18"/>
  <c r="AS167" i="18"/>
  <c r="AS166" i="18"/>
  <c r="AS165" i="18"/>
  <c r="AY170" i="15"/>
  <c r="H172" i="25"/>
  <c r="AY75" i="24"/>
  <c r="AM77" i="24"/>
  <c r="AM78" i="24"/>
  <c r="AM79" i="24"/>
  <c r="AM80" i="24"/>
  <c r="AY93" i="24"/>
  <c r="AM94" i="24"/>
  <c r="AD95" i="24"/>
  <c r="AD96" i="24"/>
  <c r="AM96" i="24"/>
  <c r="AD97" i="24"/>
  <c r="AM97" i="24"/>
  <c r="AD98" i="24"/>
  <c r="AM98" i="24"/>
  <c r="AS112" i="24"/>
  <c r="AS114" i="24"/>
  <c r="AS115" i="24"/>
  <c r="AM115" i="24"/>
  <c r="AD116" i="24"/>
  <c r="AM116" i="24"/>
  <c r="H118" i="24"/>
  <c r="AD129" i="24"/>
  <c r="AM148" i="24"/>
  <c r="AD149" i="24"/>
  <c r="AM149" i="24"/>
  <c r="AD150" i="24"/>
  <c r="H154" i="24"/>
  <c r="AQ161" i="1"/>
  <c r="AW161" i="1"/>
  <c r="AT161" i="1"/>
  <c r="AS161" i="1"/>
  <c r="AP161" i="1"/>
  <c r="AX161" i="1"/>
  <c r="AD22" i="30"/>
  <c r="AO22" i="30"/>
  <c r="AS22" i="30" s="1"/>
  <c r="AD62" i="30"/>
  <c r="AO62" i="30"/>
  <c r="AS62" i="30" s="1"/>
  <c r="AD76" i="30"/>
  <c r="AO76" i="30"/>
  <c r="AS76" i="30" s="1"/>
  <c r="AD80" i="30"/>
  <c r="AO80" i="30"/>
  <c r="AS80" i="30" s="1"/>
  <c r="AD96" i="30"/>
  <c r="AO96" i="30"/>
  <c r="AS96" i="30" s="1"/>
  <c r="AO102" i="30"/>
  <c r="AS102" i="30" s="1"/>
  <c r="AD102" i="30"/>
  <c r="AO106" i="30"/>
  <c r="AS106" i="30" s="1"/>
  <c r="AD106" i="30"/>
  <c r="AP113" i="30"/>
  <c r="AS113" i="30" s="1"/>
  <c r="AD113" i="30"/>
  <c r="AD120" i="30"/>
  <c r="AO120" i="30"/>
  <c r="AS120" i="30" s="1"/>
  <c r="AD124" i="30"/>
  <c r="AO124" i="30"/>
  <c r="AS124" i="30" s="1"/>
  <c r="AD158" i="30"/>
  <c r="AO158" i="30"/>
  <c r="AS158" i="30" s="1"/>
  <c r="AP165" i="30"/>
  <c r="AS165" i="30" s="1"/>
  <c r="AD165" i="30"/>
  <c r="AP169" i="30"/>
  <c r="AS169" i="30" s="1"/>
  <c r="AD169" i="30"/>
  <c r="AO94" i="31"/>
  <c r="AS94" i="31" s="1"/>
  <c r="AD94" i="31"/>
  <c r="AO98" i="31"/>
  <c r="AS98" i="31" s="1"/>
  <c r="AD98" i="31"/>
  <c r="AP105" i="31"/>
  <c r="AS105" i="31" s="1"/>
  <c r="AD105" i="31"/>
  <c r="AV105" i="31"/>
  <c r="AM105" i="31"/>
  <c r="AD112" i="31"/>
  <c r="AO112" i="31"/>
  <c r="AS112" i="31" s="1"/>
  <c r="AM112" i="31"/>
  <c r="AU112" i="31"/>
  <c r="AY112" i="31" s="1"/>
  <c r="AP98" i="32"/>
  <c r="AS98" i="32" s="1"/>
  <c r="AD98" i="32"/>
  <c r="AU105" i="32"/>
  <c r="AP112" i="32"/>
  <c r="AS112" i="32" s="1"/>
  <c r="AD112" i="32"/>
  <c r="AV112" i="32"/>
  <c r="AD140" i="17"/>
  <c r="AP140" i="17"/>
  <c r="AS140" i="17" s="1"/>
  <c r="AD161" i="19"/>
  <c r="AD160" i="19"/>
  <c r="AD159" i="19"/>
  <c r="AD158" i="19"/>
  <c r="AD157" i="19"/>
  <c r="AD156" i="19"/>
  <c r="AS49" i="19"/>
  <c r="AS48" i="19"/>
  <c r="AS35" i="19"/>
  <c r="AS34" i="19"/>
  <c r="AS33" i="19"/>
  <c r="AS32" i="19"/>
  <c r="AS31" i="19"/>
  <c r="AS30" i="19"/>
  <c r="AD138" i="17"/>
  <c r="AD125" i="17"/>
  <c r="AD124" i="17"/>
  <c r="AD123" i="17"/>
  <c r="AD122" i="17"/>
  <c r="AD121" i="17"/>
  <c r="AD120" i="17"/>
  <c r="AD107" i="17"/>
  <c r="AD106" i="17"/>
  <c r="AD105" i="17"/>
  <c r="AD104" i="17"/>
  <c r="AD103" i="17"/>
  <c r="AD102" i="17"/>
  <c r="AD89" i="17"/>
  <c r="AD88" i="17"/>
  <c r="AD87" i="17"/>
  <c r="AD86" i="17"/>
  <c r="AD85" i="17"/>
  <c r="AD84" i="17"/>
  <c r="AD71" i="17"/>
  <c r="AD70" i="17"/>
  <c r="AD69" i="17"/>
  <c r="AD68" i="17"/>
  <c r="AD67" i="17"/>
  <c r="AD66" i="17"/>
  <c r="AD53" i="17"/>
  <c r="AD52" i="17"/>
  <c r="AD51" i="17"/>
  <c r="AD50" i="17"/>
  <c r="AD49" i="17"/>
  <c r="AD48" i="17"/>
  <c r="AD35" i="17"/>
  <c r="AD34" i="17"/>
  <c r="AD33" i="17"/>
  <c r="AD32" i="17"/>
  <c r="AD31" i="17"/>
  <c r="AD30" i="17"/>
  <c r="AD17" i="17"/>
  <c r="AD16" i="17"/>
  <c r="AD15" i="17"/>
  <c r="AD14" i="17"/>
  <c r="AD13" i="17"/>
  <c r="AD12" i="17"/>
  <c r="AD170" i="16"/>
  <c r="AD169" i="16"/>
  <c r="AD168" i="16"/>
  <c r="AD167" i="16"/>
  <c r="AD166" i="16"/>
  <c r="AD165" i="16"/>
  <c r="AM140" i="24"/>
  <c r="AV170" i="1"/>
  <c r="AQ170" i="1"/>
  <c r="AO93" i="1"/>
  <c r="AK93" i="1"/>
  <c r="AG93" i="1"/>
  <c r="AL93" i="1"/>
  <c r="AO79" i="1"/>
  <c r="AK79" i="1"/>
  <c r="AG79" i="1"/>
  <c r="AL79" i="1"/>
  <c r="AO75" i="1"/>
  <c r="AK75" i="1"/>
  <c r="AG75" i="1"/>
  <c r="AL75" i="1"/>
  <c r="AO69" i="1"/>
  <c r="AK69" i="1"/>
  <c r="AG69" i="1"/>
  <c r="AL69" i="1"/>
  <c r="AN52" i="1"/>
  <c r="AF52" i="1"/>
  <c r="AI52" i="1"/>
  <c r="AJ124" i="1"/>
  <c r="AM124" i="1"/>
  <c r="AJ120" i="1"/>
  <c r="AM120" i="1"/>
  <c r="AI96" i="1"/>
  <c r="AJ96" i="1"/>
  <c r="AI88" i="1"/>
  <c r="AJ88" i="1"/>
  <c r="AN84" i="1"/>
  <c r="AY133" i="1"/>
  <c r="AU133" i="1"/>
  <c r="AQ133" i="1"/>
  <c r="W134" i="1"/>
  <c r="AM134" i="1" s="1"/>
  <c r="W132" i="1"/>
  <c r="AI132" i="1" s="1"/>
  <c r="AM170" i="15"/>
  <c r="AM12" i="16"/>
  <c r="AC143" i="1"/>
  <c r="AD143" i="1" s="1"/>
  <c r="AC159" i="1"/>
  <c r="AD159" i="1" s="1"/>
  <c r="AM151" i="24"/>
  <c r="AM150" i="24"/>
  <c r="AD148" i="24"/>
  <c r="AM147" i="24"/>
  <c r="AD147" i="24"/>
  <c r="AD115" i="24"/>
  <c r="AD94" i="24"/>
  <c r="AD93" i="24"/>
  <c r="AY124" i="24"/>
  <c r="AM123" i="24"/>
  <c r="AM122" i="24"/>
  <c r="AM121" i="24"/>
  <c r="AM120" i="24"/>
  <c r="AD80" i="24"/>
  <c r="AD79" i="24"/>
  <c r="AD78" i="24"/>
  <c r="AD77" i="24"/>
  <c r="AS75" i="24"/>
  <c r="AP161" i="19"/>
  <c r="AS161" i="19" s="1"/>
  <c r="AP160" i="19"/>
  <c r="AS160" i="19" s="1"/>
  <c r="AP159" i="19"/>
  <c r="AS159" i="19" s="1"/>
  <c r="AP158" i="19"/>
  <c r="AS158" i="19" s="1"/>
  <c r="AP157" i="19"/>
  <c r="AS157" i="19" s="1"/>
  <c r="AP156" i="19"/>
  <c r="AS156" i="19" s="1"/>
  <c r="AD140" i="19"/>
  <c r="AD49" i="19"/>
  <c r="AD48" i="19"/>
  <c r="AD35" i="19"/>
  <c r="AD34" i="19"/>
  <c r="AD33" i="19"/>
  <c r="AD32" i="19"/>
  <c r="AD31" i="19"/>
  <c r="AD30" i="19"/>
  <c r="AS17" i="19"/>
  <c r="AS151" i="18"/>
  <c r="AS149" i="18"/>
  <c r="AS147" i="18"/>
  <c r="AS134" i="18"/>
  <c r="AS133" i="18"/>
  <c r="AS132" i="18"/>
  <c r="AS131" i="18"/>
  <c r="AS130" i="18"/>
  <c r="AS129" i="18"/>
  <c r="AS116" i="18"/>
  <c r="AS115" i="18"/>
  <c r="AS114" i="18"/>
  <c r="AS113" i="18"/>
  <c r="AS112" i="18"/>
  <c r="AS111" i="18"/>
  <c r="AS98" i="18"/>
  <c r="AS97" i="18"/>
  <c r="AS96" i="18"/>
  <c r="AS95" i="18"/>
  <c r="AS94" i="18"/>
  <c r="AS93" i="18"/>
  <c r="AS80" i="18"/>
  <c r="AS79" i="18"/>
  <c r="AS78" i="18"/>
  <c r="AS77" i="18"/>
  <c r="AS76" i="18"/>
  <c r="AS75" i="18"/>
  <c r="AS62" i="18"/>
  <c r="AS61" i="18"/>
  <c r="AS60" i="18"/>
  <c r="AS59" i="18"/>
  <c r="AS58" i="18"/>
  <c r="AS57" i="18"/>
  <c r="AS44" i="18"/>
  <c r="AS43" i="18"/>
  <c r="AS42" i="18"/>
  <c r="AS41" i="18"/>
  <c r="AS40" i="18"/>
  <c r="AS39" i="18"/>
  <c r="AS26" i="18"/>
  <c r="AS25" i="18"/>
  <c r="AS24" i="18"/>
  <c r="AS23" i="18"/>
  <c r="AS22" i="18"/>
  <c r="AS21" i="18"/>
  <c r="AS161" i="17"/>
  <c r="AS160" i="17"/>
  <c r="AS159" i="17"/>
  <c r="AS158" i="17"/>
  <c r="AS157" i="17"/>
  <c r="AS156" i="17"/>
  <c r="AP138" i="17"/>
  <c r="AS138" i="17" s="1"/>
  <c r="AP125" i="17"/>
  <c r="AS125" i="17" s="1"/>
  <c r="AP124" i="17"/>
  <c r="AS124" i="17" s="1"/>
  <c r="AP123" i="17"/>
  <c r="AS123" i="17" s="1"/>
  <c r="AP122" i="17"/>
  <c r="AS122" i="17" s="1"/>
  <c r="AP121" i="17"/>
  <c r="AS121" i="17" s="1"/>
  <c r="AP120" i="17"/>
  <c r="AS120" i="17" s="1"/>
  <c r="AP107" i="17"/>
  <c r="AS107" i="17" s="1"/>
  <c r="AP106" i="17"/>
  <c r="AS106" i="17" s="1"/>
  <c r="AP105" i="17"/>
  <c r="AS105" i="17" s="1"/>
  <c r="AP104" i="17"/>
  <c r="AS104" i="17" s="1"/>
  <c r="AP103" i="17"/>
  <c r="AS103" i="17" s="1"/>
  <c r="AP102" i="17"/>
  <c r="AS102" i="17" s="1"/>
  <c r="AP89" i="17"/>
  <c r="AS89" i="17" s="1"/>
  <c r="AP88" i="17"/>
  <c r="AS88" i="17" s="1"/>
  <c r="AP87" i="17"/>
  <c r="AS87" i="17" s="1"/>
  <c r="AP86" i="17"/>
  <c r="AS86" i="17" s="1"/>
  <c r="AP85" i="17"/>
  <c r="AS85" i="17" s="1"/>
  <c r="AP84" i="17"/>
  <c r="AS84" i="17" s="1"/>
  <c r="AP71" i="17"/>
  <c r="AS71" i="17" s="1"/>
  <c r="AP70" i="17"/>
  <c r="AS70" i="17" s="1"/>
  <c r="AP69" i="17"/>
  <c r="AS69" i="17" s="1"/>
  <c r="AP68" i="17"/>
  <c r="AS68" i="17" s="1"/>
  <c r="AP67" i="17"/>
  <c r="AS67" i="17" s="1"/>
  <c r="AP66" i="17"/>
  <c r="AS66" i="17" s="1"/>
  <c r="AP53" i="17"/>
  <c r="AS53" i="17" s="1"/>
  <c r="AP52" i="17"/>
  <c r="AS52" i="17" s="1"/>
  <c r="AP51" i="17"/>
  <c r="AS51" i="17" s="1"/>
  <c r="AP50" i="17"/>
  <c r="AS50" i="17" s="1"/>
  <c r="AP49" i="17"/>
  <c r="AS49" i="17" s="1"/>
  <c r="AP48" i="17"/>
  <c r="AS48" i="17" s="1"/>
  <c r="AP35" i="17"/>
  <c r="AS35" i="17" s="1"/>
  <c r="AP34" i="17"/>
  <c r="AS34" i="17" s="1"/>
  <c r="AP33" i="17"/>
  <c r="AS33" i="17" s="1"/>
  <c r="AP32" i="17"/>
  <c r="AS32" i="17" s="1"/>
  <c r="AP31" i="17"/>
  <c r="AS31" i="17" s="1"/>
  <c r="AP30" i="17"/>
  <c r="AS30" i="17" s="1"/>
  <c r="AP17" i="17"/>
  <c r="AS17" i="17" s="1"/>
  <c r="AP16" i="17"/>
  <c r="AS16" i="17" s="1"/>
  <c r="AP15" i="17"/>
  <c r="AS15" i="17" s="1"/>
  <c r="AP14" i="17"/>
  <c r="AS14" i="17" s="1"/>
  <c r="AP13" i="17"/>
  <c r="AS13" i="17" s="1"/>
  <c r="AP12" i="17"/>
  <c r="AS12" i="17" s="1"/>
  <c r="AP170" i="16"/>
  <c r="AS170" i="16" s="1"/>
  <c r="AP169" i="16"/>
  <c r="AS169" i="16" s="1"/>
  <c r="AP168" i="16"/>
  <c r="AS168" i="16" s="1"/>
  <c r="AP167" i="16"/>
  <c r="AS167" i="16" s="1"/>
  <c r="AP166" i="16"/>
  <c r="AS166" i="16" s="1"/>
  <c r="AP165" i="16"/>
  <c r="AS165" i="16" s="1"/>
  <c r="AM44" i="16"/>
  <c r="AM67" i="15"/>
  <c r="AM32" i="15"/>
  <c r="AM31" i="15"/>
  <c r="AM95" i="14"/>
  <c r="AM60" i="14"/>
  <c r="AM22" i="14"/>
  <c r="AM21" i="14"/>
  <c r="AU98" i="32"/>
  <c r="AA35" i="8"/>
  <c r="AA34" i="8"/>
  <c r="U34" i="8"/>
  <c r="U35" i="8"/>
  <c r="AM31" i="19"/>
  <c r="AD17" i="19"/>
  <c r="AD16" i="19"/>
  <c r="AD15" i="19"/>
  <c r="AD14" i="19"/>
  <c r="AD13" i="19"/>
  <c r="AD12" i="19"/>
  <c r="AD170" i="18"/>
  <c r="AD169" i="18"/>
  <c r="AD168" i="18"/>
  <c r="AD167" i="18"/>
  <c r="AD166" i="18"/>
  <c r="AD165" i="18"/>
  <c r="AD152" i="18"/>
  <c r="AD151" i="18"/>
  <c r="AD150" i="18"/>
  <c r="AD149" i="18"/>
  <c r="AD148" i="18"/>
  <c r="AD147" i="18"/>
  <c r="AD134" i="18"/>
  <c r="AD133" i="18"/>
  <c r="AD132" i="18"/>
  <c r="AD131" i="18"/>
  <c r="AD130" i="18"/>
  <c r="AD129" i="18"/>
  <c r="AD116" i="18"/>
  <c r="AD115" i="18"/>
  <c r="AD114" i="18"/>
  <c r="AD113" i="18"/>
  <c r="AD112" i="18"/>
  <c r="AD111" i="18"/>
  <c r="AD98" i="18"/>
  <c r="AD97" i="18"/>
  <c r="AD96" i="18"/>
  <c r="AD95" i="18"/>
  <c r="AD94" i="18"/>
  <c r="AD93" i="18"/>
  <c r="AD80" i="18"/>
  <c r="AD79" i="18"/>
  <c r="AD78" i="18"/>
  <c r="AD77" i="18"/>
  <c r="AD76" i="18"/>
  <c r="AD75" i="18"/>
  <c r="AD62" i="18"/>
  <c r="AD61" i="18"/>
  <c r="AD60" i="18"/>
  <c r="AD59" i="18"/>
  <c r="AD58" i="18"/>
  <c r="AD57" i="18"/>
  <c r="AD44" i="18"/>
  <c r="AD43" i="18"/>
  <c r="AD42" i="18"/>
  <c r="AD41" i="18"/>
  <c r="AD40" i="18"/>
  <c r="AD39" i="18"/>
  <c r="AD26" i="18"/>
  <c r="AD25" i="18"/>
  <c r="AD24" i="18"/>
  <c r="AD23" i="18"/>
  <c r="AD22" i="18"/>
  <c r="AD21" i="18"/>
  <c r="AD161" i="17"/>
  <c r="AD160" i="17"/>
  <c r="AD159" i="17"/>
  <c r="AD158" i="17"/>
  <c r="AD157" i="17"/>
  <c r="AD156" i="17"/>
  <c r="AM69" i="17"/>
  <c r="AY68" i="17"/>
  <c r="AM68" i="17"/>
  <c r="AY31" i="17"/>
  <c r="AS156" i="16"/>
  <c r="AM50" i="16"/>
  <c r="AD12" i="16"/>
  <c r="AS95" i="30"/>
  <c r="Q13" i="13"/>
  <c r="R13" i="13" s="1"/>
  <c r="AC170" i="1"/>
  <c r="AD170" i="1" s="1"/>
  <c r="X169" i="1"/>
  <c r="Y169" i="1" s="1"/>
  <c r="X167" i="1"/>
  <c r="Y167" i="1" s="1"/>
  <c r="X165" i="1"/>
  <c r="Y165" i="1" s="1"/>
  <c r="X133" i="1"/>
  <c r="Y133" i="1" s="1"/>
  <c r="X124" i="1"/>
  <c r="Y124" i="1" s="1"/>
  <c r="X122" i="1"/>
  <c r="Y122" i="1" s="1"/>
  <c r="X120" i="1"/>
  <c r="Y120" i="1" s="1"/>
  <c r="X106" i="1"/>
  <c r="Y106" i="1" s="1"/>
  <c r="X96" i="1"/>
  <c r="Y96" i="1" s="1"/>
  <c r="X94" i="1"/>
  <c r="Y94" i="1" s="1"/>
  <c r="AC93" i="1"/>
  <c r="AD93" i="1" s="1"/>
  <c r="X88" i="1"/>
  <c r="Y88" i="1" s="1"/>
  <c r="X86" i="1"/>
  <c r="Y86" i="1" s="1"/>
  <c r="X84" i="1"/>
  <c r="Y84" i="1" s="1"/>
  <c r="AC79" i="1"/>
  <c r="AD79" i="1" s="1"/>
  <c r="AC77" i="1"/>
  <c r="AD77" i="1" s="1"/>
  <c r="X70" i="1"/>
  <c r="Y70" i="1" s="1"/>
  <c r="X68" i="1"/>
  <c r="Y68" i="1" s="1"/>
  <c r="H28" i="24"/>
  <c r="H46" i="24"/>
  <c r="H64" i="24"/>
  <c r="H100" i="24"/>
  <c r="H136" i="24"/>
  <c r="H19" i="27"/>
  <c r="AS33" i="30"/>
  <c r="AS51" i="30"/>
  <c r="AS69" i="30"/>
  <c r="AS87" i="30"/>
  <c r="AS115" i="19"/>
  <c r="AS113" i="19"/>
  <c r="AS111" i="19"/>
  <c r="AS97" i="19"/>
  <c r="AS95" i="19"/>
  <c r="AS93" i="19"/>
  <c r="AS79" i="19"/>
  <c r="AS77" i="19"/>
  <c r="AS75" i="19"/>
  <c r="AS61" i="19"/>
  <c r="AS59" i="19"/>
  <c r="AS57" i="19"/>
  <c r="AS43" i="19"/>
  <c r="AS41" i="19"/>
  <c r="AS39" i="19"/>
  <c r="AS25" i="19"/>
  <c r="AS23" i="19"/>
  <c r="AS116" i="19"/>
  <c r="AS114" i="19"/>
  <c r="AS112" i="19"/>
  <c r="AS98" i="19"/>
  <c r="AS96" i="19"/>
  <c r="AS94" i="19"/>
  <c r="AS80" i="19"/>
  <c r="AS78" i="19"/>
  <c r="AS76" i="19"/>
  <c r="AS62" i="19"/>
  <c r="AS60" i="19"/>
  <c r="AS58" i="19"/>
  <c r="AS44" i="19"/>
  <c r="AS42" i="19"/>
  <c r="AS40" i="19"/>
  <c r="AS26" i="19"/>
  <c r="AS24" i="19"/>
  <c r="AD150" i="16"/>
  <c r="AP150" i="16"/>
  <c r="AS150" i="16" s="1"/>
  <c r="AV50" i="30"/>
  <c r="AV86" i="30"/>
  <c r="AD170" i="19"/>
  <c r="AD169" i="19"/>
  <c r="AD168" i="19"/>
  <c r="AD167" i="19"/>
  <c r="AD166" i="19"/>
  <c r="AD165" i="19"/>
  <c r="AM161" i="19"/>
  <c r="AY159" i="19"/>
  <c r="AD152" i="19"/>
  <c r="AD151" i="19"/>
  <c r="AD150" i="19"/>
  <c r="AD149" i="19"/>
  <c r="AD148" i="19"/>
  <c r="AD147" i="19"/>
  <c r="AD141" i="19"/>
  <c r="AS22" i="19"/>
  <c r="AS21" i="19"/>
  <c r="AS161" i="18"/>
  <c r="AS160" i="18"/>
  <c r="AS159" i="18"/>
  <c r="AS158" i="18"/>
  <c r="AS157" i="18"/>
  <c r="AS156" i="18"/>
  <c r="AS143" i="18"/>
  <c r="AS142" i="18"/>
  <c r="AS141" i="18"/>
  <c r="AS140" i="18"/>
  <c r="AS139" i="18"/>
  <c r="AS138" i="18"/>
  <c r="AS125" i="18"/>
  <c r="AS124" i="18"/>
  <c r="AS123" i="18"/>
  <c r="AS122" i="18"/>
  <c r="AS121" i="18"/>
  <c r="AS120" i="18"/>
  <c r="AS107" i="18"/>
  <c r="AS106" i="18"/>
  <c r="AS105" i="18"/>
  <c r="AS104" i="18"/>
  <c r="AS103" i="18"/>
  <c r="AS102" i="18"/>
  <c r="AS89" i="18"/>
  <c r="AS88" i="18"/>
  <c r="AS87" i="18"/>
  <c r="AS86" i="18"/>
  <c r="AS85" i="18"/>
  <c r="AS84" i="18"/>
  <c r="AS71" i="18"/>
  <c r="AS70" i="18"/>
  <c r="AS69" i="18"/>
  <c r="AS68" i="18"/>
  <c r="AS67" i="18"/>
  <c r="AS66" i="18"/>
  <c r="AS53" i="18"/>
  <c r="AS52" i="18"/>
  <c r="AS51" i="18"/>
  <c r="AS50" i="18"/>
  <c r="AS49" i="18"/>
  <c r="AS48" i="18"/>
  <c r="AS35" i="18"/>
  <c r="AS34" i="18"/>
  <c r="AS33" i="18"/>
  <c r="AS32" i="18"/>
  <c r="AS31" i="18"/>
  <c r="AS30" i="18"/>
  <c r="AS17" i="18"/>
  <c r="AS16" i="18"/>
  <c r="AS15" i="18"/>
  <c r="AS14" i="18"/>
  <c r="AS13" i="18"/>
  <c r="AS170" i="17"/>
  <c r="AS169" i="17"/>
  <c r="AS168" i="17"/>
  <c r="AS167" i="17"/>
  <c r="AS166" i="17"/>
  <c r="AS165" i="17"/>
  <c r="AD143" i="17"/>
  <c r="AD139" i="17"/>
  <c r="AD134" i="17"/>
  <c r="AD133" i="17"/>
  <c r="AD132" i="17"/>
  <c r="AD131" i="17"/>
  <c r="AD130" i="17"/>
  <c r="AD129" i="17"/>
  <c r="AD116" i="17"/>
  <c r="AD115" i="17"/>
  <c r="AD114" i="17"/>
  <c r="AD113" i="17"/>
  <c r="AD112" i="17"/>
  <c r="AD111" i="17"/>
  <c r="AD98" i="17"/>
  <c r="AD97" i="17"/>
  <c r="AD96" i="17"/>
  <c r="AD95" i="17"/>
  <c r="AD94" i="17"/>
  <c r="AD93" i="17"/>
  <c r="AD80" i="17"/>
  <c r="AD79" i="17"/>
  <c r="AD78" i="17"/>
  <c r="AD77" i="17"/>
  <c r="AD76" i="17"/>
  <c r="AD75" i="17"/>
  <c r="AD62" i="17"/>
  <c r="AD61" i="17"/>
  <c r="AD60" i="17"/>
  <c r="AD59" i="17"/>
  <c r="AD58" i="17"/>
  <c r="AD57" i="17"/>
  <c r="AD44" i="17"/>
  <c r="AD43" i="17"/>
  <c r="AD42" i="17"/>
  <c r="AD41" i="17"/>
  <c r="AD40" i="17"/>
  <c r="AD39" i="17"/>
  <c r="AD26" i="17"/>
  <c r="AD25" i="17"/>
  <c r="AD24" i="17"/>
  <c r="AD23" i="17"/>
  <c r="AD22" i="17"/>
  <c r="AD21" i="17"/>
  <c r="AD161" i="16"/>
  <c r="AD160" i="16"/>
  <c r="AD159" i="16"/>
  <c r="AD158" i="16"/>
  <c r="AS152" i="16"/>
  <c r="AD152" i="16"/>
  <c r="AS147" i="16"/>
  <c r="AD147" i="16"/>
  <c r="AD133" i="16"/>
  <c r="AD131" i="16"/>
  <c r="AM125" i="16"/>
  <c r="AS169" i="19"/>
  <c r="AS168" i="19"/>
  <c r="AS167" i="19"/>
  <c r="AS166" i="19"/>
  <c r="AS165" i="19"/>
  <c r="AD143" i="19"/>
  <c r="AD139" i="19"/>
  <c r="AD134" i="19"/>
  <c r="AD133" i="19"/>
  <c r="AD132" i="19"/>
  <c r="AD131" i="19"/>
  <c r="AD130" i="19"/>
  <c r="AD129" i="19"/>
  <c r="AD116" i="19"/>
  <c r="AD115" i="19"/>
  <c r="AD114" i="19"/>
  <c r="AD113" i="19"/>
  <c r="AD112" i="19"/>
  <c r="AD111" i="19"/>
  <c r="AD98" i="19"/>
  <c r="AD97" i="19"/>
  <c r="AD96" i="19"/>
  <c r="AD95" i="19"/>
  <c r="AD94" i="19"/>
  <c r="AD93" i="19"/>
  <c r="AD80" i="19"/>
  <c r="AD79" i="19"/>
  <c r="AD78" i="19"/>
  <c r="AD77" i="19"/>
  <c r="AD76" i="19"/>
  <c r="AD75" i="19"/>
  <c r="AD62" i="19"/>
  <c r="AD61" i="19"/>
  <c r="AD60" i="19"/>
  <c r="AD59" i="19"/>
  <c r="AD58" i="19"/>
  <c r="AD57" i="19"/>
  <c r="AD44" i="19"/>
  <c r="AD43" i="19"/>
  <c r="AD42" i="19"/>
  <c r="AD41" i="19"/>
  <c r="AD40" i="19"/>
  <c r="AD39" i="19"/>
  <c r="AD26" i="19"/>
  <c r="AD25" i="19"/>
  <c r="AD24" i="19"/>
  <c r="AD23" i="19"/>
  <c r="AD22" i="19"/>
  <c r="AD21" i="19"/>
  <c r="AD161" i="18"/>
  <c r="AD160" i="18"/>
  <c r="AD159" i="18"/>
  <c r="AD158" i="18"/>
  <c r="AD157" i="18"/>
  <c r="AD156" i="18"/>
  <c r="AD143" i="18"/>
  <c r="AD142" i="18"/>
  <c r="AD141" i="18"/>
  <c r="AD140" i="18"/>
  <c r="AD139" i="18"/>
  <c r="AD138" i="18"/>
  <c r="AD125" i="18"/>
  <c r="AD124" i="18"/>
  <c r="AD123" i="18"/>
  <c r="AD122" i="18"/>
  <c r="AD121" i="18"/>
  <c r="AD120" i="18"/>
  <c r="AY111" i="18"/>
  <c r="AD107" i="18"/>
  <c r="AD106" i="18"/>
  <c r="AD105" i="18"/>
  <c r="AD104" i="18"/>
  <c r="AD103" i="18"/>
  <c r="AD102" i="18"/>
  <c r="AD89" i="18"/>
  <c r="AD88" i="18"/>
  <c r="AD87" i="18"/>
  <c r="AD86" i="18"/>
  <c r="AD85" i="18"/>
  <c r="AD84" i="18"/>
  <c r="AY78" i="18"/>
  <c r="AD71" i="18"/>
  <c r="AD70" i="18"/>
  <c r="AD69" i="18"/>
  <c r="AD68" i="18"/>
  <c r="AD67" i="18"/>
  <c r="AD66" i="18"/>
  <c r="AD53" i="18"/>
  <c r="AD52" i="18"/>
  <c r="AD51" i="18"/>
  <c r="AD50" i="18"/>
  <c r="AD49" i="18"/>
  <c r="AD48" i="18"/>
  <c r="AD35" i="18"/>
  <c r="AD34" i="18"/>
  <c r="AD33" i="18"/>
  <c r="AD32" i="18"/>
  <c r="AD31" i="18"/>
  <c r="AD30" i="18"/>
  <c r="AD17" i="18"/>
  <c r="AD16" i="18"/>
  <c r="AD15" i="18"/>
  <c r="AD14" i="18"/>
  <c r="AD13" i="18"/>
  <c r="AD170" i="17"/>
  <c r="AD169" i="17"/>
  <c r="AD168" i="17"/>
  <c r="AD167" i="17"/>
  <c r="AD166" i="17"/>
  <c r="AD165" i="17"/>
  <c r="AY158" i="17"/>
  <c r="AM157" i="17"/>
  <c r="AY156" i="17"/>
  <c r="AD152" i="17"/>
  <c r="AD151" i="17"/>
  <c r="AD150" i="17"/>
  <c r="AD149" i="17"/>
  <c r="AD148" i="17"/>
  <c r="AD147" i="17"/>
  <c r="AP143" i="17"/>
  <c r="AS143" i="17" s="1"/>
  <c r="AD141" i="17"/>
  <c r="AP139" i="17"/>
  <c r="AS139" i="17" s="1"/>
  <c r="AP116" i="17"/>
  <c r="AS116" i="17" s="1"/>
  <c r="AP115" i="17"/>
  <c r="AS115" i="17" s="1"/>
  <c r="AP114" i="17"/>
  <c r="AS114" i="17" s="1"/>
  <c r="AP113" i="17"/>
  <c r="AS113" i="17" s="1"/>
  <c r="AP112" i="17"/>
  <c r="AS112" i="17" s="1"/>
  <c r="AP111" i="17"/>
  <c r="AS111" i="17" s="1"/>
  <c r="AP98" i="17"/>
  <c r="AS98" i="17" s="1"/>
  <c r="AP97" i="17"/>
  <c r="AS97" i="17" s="1"/>
  <c r="AP96" i="17"/>
  <c r="AS96" i="17" s="1"/>
  <c r="AP95" i="17"/>
  <c r="AS95" i="17" s="1"/>
  <c r="AP94" i="17"/>
  <c r="AS94" i="17" s="1"/>
  <c r="AP93" i="17"/>
  <c r="AS93" i="17" s="1"/>
  <c r="AP80" i="17"/>
  <c r="AS80" i="17" s="1"/>
  <c r="AP79" i="17"/>
  <c r="AS79" i="17" s="1"/>
  <c r="AP78" i="17"/>
  <c r="AS78" i="17" s="1"/>
  <c r="AP77" i="17"/>
  <c r="AS77" i="17" s="1"/>
  <c r="AP76" i="17"/>
  <c r="AS76" i="17" s="1"/>
  <c r="AP75" i="17"/>
  <c r="AS75" i="17" s="1"/>
  <c r="AP62" i="17"/>
  <c r="AS62" i="17" s="1"/>
  <c r="AP61" i="17"/>
  <c r="AS61" i="17" s="1"/>
  <c r="AP60" i="17"/>
  <c r="AS60" i="17" s="1"/>
  <c r="AP59" i="17"/>
  <c r="AS59" i="17" s="1"/>
  <c r="AP58" i="17"/>
  <c r="AS58" i="17" s="1"/>
  <c r="AP57" i="17"/>
  <c r="AS57" i="17" s="1"/>
  <c r="AP44" i="17"/>
  <c r="AS44" i="17" s="1"/>
  <c r="AP43" i="17"/>
  <c r="AS43" i="17" s="1"/>
  <c r="AP42" i="17"/>
  <c r="AS42" i="17" s="1"/>
  <c r="AP41" i="17"/>
  <c r="AS41" i="17" s="1"/>
  <c r="AP40" i="17"/>
  <c r="AS40" i="17" s="1"/>
  <c r="AP39" i="17"/>
  <c r="AS39" i="17" s="1"/>
  <c r="AP26" i="17"/>
  <c r="AS26" i="17" s="1"/>
  <c r="AP25" i="17"/>
  <c r="AS25" i="17" s="1"/>
  <c r="AP24" i="17"/>
  <c r="AS24" i="17" s="1"/>
  <c r="AP23" i="17"/>
  <c r="AS23" i="17" s="1"/>
  <c r="AP22" i="17"/>
  <c r="AS22" i="17" s="1"/>
  <c r="AP21" i="17"/>
  <c r="AS21" i="17" s="1"/>
  <c r="AP161" i="16"/>
  <c r="AS161" i="16" s="1"/>
  <c r="AP160" i="16"/>
  <c r="AS160" i="16" s="1"/>
  <c r="AP159" i="16"/>
  <c r="AS159" i="16" s="1"/>
  <c r="AP158" i="16"/>
  <c r="AS158" i="16" s="1"/>
  <c r="AS157" i="16"/>
  <c r="AS149" i="16"/>
  <c r="AD149" i="16"/>
  <c r="AD143" i="16"/>
  <c r="AP133" i="16"/>
  <c r="AS133" i="16" s="1"/>
  <c r="AP131" i="16"/>
  <c r="AS131" i="16" s="1"/>
  <c r="AV125" i="16"/>
  <c r="AY125" i="16" s="1"/>
  <c r="AV124" i="16"/>
  <c r="AV123" i="16"/>
  <c r="AV122" i="16"/>
  <c r="AV121" i="16"/>
  <c r="AV120" i="16"/>
  <c r="AV89" i="16"/>
  <c r="AV88" i="16"/>
  <c r="AV87" i="16"/>
  <c r="AV86" i="16"/>
  <c r="AV85" i="16"/>
  <c r="AV84" i="16"/>
  <c r="AD157" i="16"/>
  <c r="AD156" i="16"/>
  <c r="AD151" i="16"/>
  <c r="AD148" i="16"/>
  <c r="AD132" i="16"/>
  <c r="AD130" i="16"/>
  <c r="AM60" i="16"/>
  <c r="AM43" i="16"/>
  <c r="AV40" i="16"/>
  <c r="AD13" i="16"/>
  <c r="AD170" i="15"/>
  <c r="H73" i="24"/>
  <c r="H91" i="24"/>
  <c r="H145" i="24"/>
  <c r="H19" i="25"/>
  <c r="H37" i="25"/>
  <c r="H55" i="25"/>
  <c r="H73" i="25"/>
  <c r="H91" i="25"/>
  <c r="H109" i="25"/>
  <c r="H127" i="25"/>
  <c r="H145" i="25"/>
  <c r="H163" i="25"/>
  <c r="H19" i="26"/>
  <c r="AY21" i="26"/>
  <c r="AY22" i="26"/>
  <c r="AY23" i="26"/>
  <c r="AY24" i="26"/>
  <c r="AY25" i="26"/>
  <c r="AY26" i="26"/>
  <c r="H37" i="26"/>
  <c r="AY39" i="26"/>
  <c r="AY40" i="26"/>
  <c r="AY41" i="26"/>
  <c r="AY42" i="26"/>
  <c r="AY43" i="26"/>
  <c r="AY44" i="26"/>
  <c r="H55" i="26"/>
  <c r="AY57" i="26"/>
  <c r="AY58" i="26"/>
  <c r="AY59" i="26"/>
  <c r="AY60" i="26"/>
  <c r="AY61" i="26"/>
  <c r="AY62" i="26"/>
  <c r="H73" i="26"/>
  <c r="AY75" i="26"/>
  <c r="AY76" i="26"/>
  <c r="AY77" i="26"/>
  <c r="AY78" i="26"/>
  <c r="AY79" i="26"/>
  <c r="AY80" i="26"/>
  <c r="H91" i="26"/>
  <c r="AY93" i="26"/>
  <c r="AY94" i="26"/>
  <c r="AY95" i="26"/>
  <c r="AY96" i="26"/>
  <c r="AY97" i="26"/>
  <c r="AY98" i="26"/>
  <c r="H109" i="26"/>
  <c r="AY111" i="26"/>
  <c r="AY112" i="26"/>
  <c r="AY113" i="26"/>
  <c r="AY114" i="26"/>
  <c r="AY115" i="26"/>
  <c r="AY116" i="26"/>
  <c r="H127" i="26"/>
  <c r="AY129" i="26"/>
  <c r="AY130" i="26"/>
  <c r="AY131" i="26"/>
  <c r="AY132" i="26"/>
  <c r="AY133" i="26"/>
  <c r="AY134" i="26"/>
  <c r="H145" i="26"/>
  <c r="AY147" i="26"/>
  <c r="AY148" i="26"/>
  <c r="AY149" i="26"/>
  <c r="AY150" i="26"/>
  <c r="AY151" i="26"/>
  <c r="AY152" i="26"/>
  <c r="H163" i="26"/>
  <c r="AY165" i="26"/>
  <c r="AY166" i="26"/>
  <c r="AY167" i="26"/>
  <c r="AY168" i="26"/>
  <c r="AY169" i="26"/>
  <c r="AY170" i="26"/>
  <c r="H181" i="26"/>
  <c r="AY21" i="27"/>
  <c r="AY23" i="27"/>
  <c r="AY24" i="27"/>
  <c r="AY25" i="27"/>
  <c r="AY26" i="27"/>
  <c r="H37" i="27"/>
  <c r="AY39" i="27"/>
  <c r="AY40" i="27"/>
  <c r="AY41" i="27"/>
  <c r="AY42" i="27"/>
  <c r="AY43" i="27"/>
  <c r="AY44" i="27"/>
  <c r="H55" i="27"/>
  <c r="AY57" i="27"/>
  <c r="AY58" i="27"/>
  <c r="AY59" i="27"/>
  <c r="AY60" i="27"/>
  <c r="AY61" i="27"/>
  <c r="AY62" i="27"/>
  <c r="H73" i="27"/>
  <c r="AY75" i="27"/>
  <c r="AY76" i="27"/>
  <c r="AY77" i="27"/>
  <c r="AY78" i="27"/>
  <c r="AY79" i="27"/>
  <c r="AY80" i="27"/>
  <c r="H91" i="27"/>
  <c r="AY93" i="27"/>
  <c r="AY94" i="27"/>
  <c r="AY95" i="27"/>
  <c r="AY96" i="27"/>
  <c r="AY97" i="27"/>
  <c r="AY98" i="27"/>
  <c r="H109" i="27"/>
  <c r="AY111" i="27"/>
  <c r="AY112" i="27"/>
  <c r="AY113" i="27"/>
  <c r="AY114" i="27"/>
  <c r="AY115" i="27"/>
  <c r="AY116" i="27"/>
  <c r="H127" i="27"/>
  <c r="AY129" i="27"/>
  <c r="AY130" i="27"/>
  <c r="AY131" i="27"/>
  <c r="AY132" i="27"/>
  <c r="AY133" i="27"/>
  <c r="AY134" i="27"/>
  <c r="H145" i="27"/>
  <c r="AY147" i="27"/>
  <c r="AY148" i="27"/>
  <c r="AY149" i="27"/>
  <c r="AY150" i="27"/>
  <c r="AY151" i="27"/>
  <c r="AY152" i="27"/>
  <c r="H163" i="27"/>
  <c r="AY165" i="27"/>
  <c r="AY166" i="27"/>
  <c r="AY167" i="27"/>
  <c r="AY168" i="27"/>
  <c r="AY170" i="27"/>
  <c r="H181" i="27"/>
  <c r="AS35" i="30"/>
  <c r="AS53" i="30"/>
  <c r="AS89" i="30"/>
  <c r="AD95" i="30"/>
  <c r="AS139" i="16"/>
  <c r="AX33" i="16"/>
  <c r="AX31" i="16"/>
  <c r="AX17" i="16"/>
  <c r="AX15" i="16"/>
  <c r="AY15" i="16" s="1"/>
  <c r="AX168" i="15"/>
  <c r="AX166" i="15"/>
  <c r="AX116" i="15"/>
  <c r="AX114" i="15"/>
  <c r="AX112" i="15"/>
  <c r="AX98" i="15"/>
  <c r="AX96" i="15"/>
  <c r="AX94" i="15"/>
  <c r="AM80" i="15"/>
  <c r="AX80" i="15"/>
  <c r="AM78" i="15"/>
  <c r="AX78" i="15"/>
  <c r="AY78" i="15" s="1"/>
  <c r="AX76" i="15"/>
  <c r="AX62" i="15"/>
  <c r="AX60" i="15"/>
  <c r="AX58" i="15"/>
  <c r="AX44" i="15"/>
  <c r="AX42" i="15"/>
  <c r="AX40" i="15"/>
  <c r="AX26" i="15"/>
  <c r="AM24" i="15"/>
  <c r="AX24" i="15"/>
  <c r="AX22" i="15"/>
  <c r="AX161" i="14"/>
  <c r="AX159" i="14"/>
  <c r="AX157" i="14"/>
  <c r="AX125" i="14"/>
  <c r="AX123" i="14"/>
  <c r="AX121" i="14"/>
  <c r="AX107" i="14"/>
  <c r="AX105" i="14"/>
  <c r="AM103" i="14"/>
  <c r="AX103" i="14"/>
  <c r="AM89" i="14"/>
  <c r="AX89" i="14"/>
  <c r="AX87" i="14"/>
  <c r="AX85" i="14"/>
  <c r="AX71" i="14"/>
  <c r="AX69" i="14"/>
  <c r="AM67" i="14"/>
  <c r="AX67" i="14"/>
  <c r="AX53" i="14"/>
  <c r="AX51" i="14"/>
  <c r="AX49" i="14"/>
  <c r="AM35" i="14"/>
  <c r="AX35" i="14"/>
  <c r="AY35" i="14" s="1"/>
  <c r="AX33" i="14"/>
  <c r="AX31" i="14"/>
  <c r="AX17" i="14"/>
  <c r="AX15" i="14"/>
  <c r="AX13" i="14"/>
  <c r="AS170" i="19"/>
  <c r="AM112" i="16"/>
  <c r="AM98" i="16"/>
  <c r="AM95" i="16"/>
  <c r="AX34" i="16"/>
  <c r="AM32" i="16"/>
  <c r="AX32" i="16"/>
  <c r="AX30" i="16"/>
  <c r="AX16" i="16"/>
  <c r="AX14" i="16"/>
  <c r="AX167" i="15"/>
  <c r="AX165" i="15"/>
  <c r="AM115" i="15"/>
  <c r="AX115" i="15"/>
  <c r="AX113" i="15"/>
  <c r="AX111" i="15"/>
  <c r="AX97" i="15"/>
  <c r="AX95" i="15"/>
  <c r="AX93" i="15"/>
  <c r="AX79" i="15"/>
  <c r="AX77" i="15"/>
  <c r="AX75" i="15"/>
  <c r="AX61" i="15"/>
  <c r="AX59" i="15"/>
  <c r="AX57" i="15"/>
  <c r="AX43" i="15"/>
  <c r="AX41" i="15"/>
  <c r="AM39" i="15"/>
  <c r="AX39" i="15"/>
  <c r="AX25" i="15"/>
  <c r="AM23" i="15"/>
  <c r="AX23" i="15"/>
  <c r="AY23" i="15" s="1"/>
  <c r="AX21" i="15"/>
  <c r="AX160" i="14"/>
  <c r="AX158" i="14"/>
  <c r="AM156" i="14"/>
  <c r="AX156" i="14"/>
  <c r="AM124" i="14"/>
  <c r="AX124" i="14"/>
  <c r="AM122" i="14"/>
  <c r="AX122" i="14"/>
  <c r="AX120" i="14"/>
  <c r="AX106" i="14"/>
  <c r="AM104" i="14"/>
  <c r="AX104" i="14"/>
  <c r="AX102" i="14"/>
  <c r="AX88" i="14"/>
  <c r="AX86" i="14"/>
  <c r="AX84" i="14"/>
  <c r="AX70" i="14"/>
  <c r="AX68" i="14"/>
  <c r="AM66" i="14"/>
  <c r="AX66" i="14"/>
  <c r="AM52" i="14"/>
  <c r="AX52" i="14"/>
  <c r="AY52" i="14" s="1"/>
  <c r="AX50" i="14"/>
  <c r="AX48" i="14"/>
  <c r="AX34" i="14"/>
  <c r="AX32" i="14"/>
  <c r="AX30" i="14"/>
  <c r="AX16" i="14"/>
  <c r="AX14" i="14"/>
  <c r="AX12" i="14"/>
  <c r="AI84" i="1"/>
  <c r="AJ84" i="1"/>
  <c r="AP152" i="19"/>
  <c r="AS152" i="19" s="1"/>
  <c r="AP151" i="19"/>
  <c r="AS151" i="19" s="1"/>
  <c r="AP150" i="19"/>
  <c r="AS150" i="19" s="1"/>
  <c r="AP149" i="19"/>
  <c r="AS149" i="19" s="1"/>
  <c r="AP148" i="19"/>
  <c r="AS148" i="19" s="1"/>
  <c r="AP147" i="19"/>
  <c r="AS147" i="19" s="1"/>
  <c r="AP134" i="19"/>
  <c r="AS134" i="19" s="1"/>
  <c r="AP133" i="19"/>
  <c r="AS133" i="19" s="1"/>
  <c r="AP132" i="19"/>
  <c r="AS132" i="19" s="1"/>
  <c r="AP131" i="19"/>
  <c r="AS131" i="19" s="1"/>
  <c r="AP130" i="19"/>
  <c r="AS130" i="19" s="1"/>
  <c r="AP129" i="19"/>
  <c r="AS129" i="19" s="1"/>
  <c r="AP152" i="17"/>
  <c r="AS152" i="17" s="1"/>
  <c r="AP151" i="17"/>
  <c r="AS151" i="17" s="1"/>
  <c r="AP150" i="17"/>
  <c r="AS150" i="17" s="1"/>
  <c r="AP149" i="17"/>
  <c r="AS149" i="17" s="1"/>
  <c r="AP148" i="17"/>
  <c r="AS148" i="17" s="1"/>
  <c r="AP147" i="17"/>
  <c r="AS147" i="17" s="1"/>
  <c r="AP134" i="17"/>
  <c r="AS134" i="17" s="1"/>
  <c r="AP133" i="17"/>
  <c r="AS133" i="17" s="1"/>
  <c r="AP132" i="17"/>
  <c r="AS132" i="17" s="1"/>
  <c r="AP131" i="17"/>
  <c r="AS131" i="17" s="1"/>
  <c r="AP130" i="17"/>
  <c r="AS130" i="17" s="1"/>
  <c r="AP129" i="17"/>
  <c r="AS129" i="17" s="1"/>
  <c r="AP151" i="16"/>
  <c r="AS151" i="16" s="1"/>
  <c r="AP148" i="16"/>
  <c r="AS148" i="16" s="1"/>
  <c r="AP143" i="16"/>
  <c r="AS143" i="16" s="1"/>
  <c r="AV112" i="16"/>
  <c r="AV111" i="16"/>
  <c r="AV98" i="16"/>
  <c r="AV97" i="16"/>
  <c r="AV96" i="16"/>
  <c r="AV95" i="16"/>
  <c r="AY95" i="16" s="1"/>
  <c r="AV94" i="16"/>
  <c r="AV93" i="16"/>
  <c r="L34" i="8"/>
  <c r="AV35" i="16"/>
  <c r="AX26" i="16"/>
  <c r="AX25" i="16"/>
  <c r="AX24" i="16"/>
  <c r="AX23" i="16"/>
  <c r="AX22" i="16"/>
  <c r="AX21" i="16"/>
  <c r="AX161" i="15"/>
  <c r="AX160" i="15"/>
  <c r="AX159" i="15"/>
  <c r="AX158" i="15"/>
  <c r="AX157" i="15"/>
  <c r="AX156" i="15"/>
  <c r="AX125" i="15"/>
  <c r="AX124" i="15"/>
  <c r="AX123" i="15"/>
  <c r="AX122" i="15"/>
  <c r="AX121" i="15"/>
  <c r="AX120" i="15"/>
  <c r="AX107" i="15"/>
  <c r="AX106" i="15"/>
  <c r="AX105" i="15"/>
  <c r="AX104" i="15"/>
  <c r="AX103" i="15"/>
  <c r="AX102" i="15"/>
  <c r="AX89" i="15"/>
  <c r="AX88" i="15"/>
  <c r="AX87" i="15"/>
  <c r="AX86" i="15"/>
  <c r="AX85" i="15"/>
  <c r="AX84" i="15"/>
  <c r="AX71" i="15"/>
  <c r="AX70" i="15"/>
  <c r="AX69" i="15"/>
  <c r="AX68" i="15"/>
  <c r="AX67" i="15"/>
  <c r="AX66" i="15"/>
  <c r="AX53" i="15"/>
  <c r="AX52" i="15"/>
  <c r="AX51" i="15"/>
  <c r="AX50" i="15"/>
  <c r="AX49" i="15"/>
  <c r="AX48" i="15"/>
  <c r="AX35" i="15"/>
  <c r="AX34" i="15"/>
  <c r="AX33" i="15"/>
  <c r="AX32" i="15"/>
  <c r="AX31" i="15"/>
  <c r="AX30" i="15"/>
  <c r="AX17" i="15"/>
  <c r="AX16" i="15"/>
  <c r="AX15" i="15"/>
  <c r="AX14" i="15"/>
  <c r="AX13" i="15"/>
  <c r="AX12" i="15"/>
  <c r="AX170" i="14"/>
  <c r="AX169" i="14"/>
  <c r="AY169" i="14" s="1"/>
  <c r="AX168" i="14"/>
  <c r="AX167" i="14"/>
  <c r="AX166" i="14"/>
  <c r="AX165" i="14"/>
  <c r="AX116" i="14"/>
  <c r="AX115" i="14"/>
  <c r="AX114" i="14"/>
  <c r="AX113" i="14"/>
  <c r="AX112" i="14"/>
  <c r="AX111" i="14"/>
  <c r="AX98" i="14"/>
  <c r="AX97" i="14"/>
  <c r="AX96" i="14"/>
  <c r="AX95" i="14"/>
  <c r="AX94" i="14"/>
  <c r="AX93" i="14"/>
  <c r="AX80" i="14"/>
  <c r="AX79" i="14"/>
  <c r="AX78" i="14"/>
  <c r="AX77" i="14"/>
  <c r="AX76" i="14"/>
  <c r="AX75" i="14"/>
  <c r="AX62" i="14"/>
  <c r="AX61" i="14"/>
  <c r="AX60" i="14"/>
  <c r="AX59" i="14"/>
  <c r="AX58" i="14"/>
  <c r="AX57" i="14"/>
  <c r="AX44" i="14"/>
  <c r="AX43" i="14"/>
  <c r="AX42" i="14"/>
  <c r="AX41" i="14"/>
  <c r="AX40" i="14"/>
  <c r="AX39" i="14"/>
  <c r="AX26" i="14"/>
  <c r="AX25" i="14"/>
  <c r="AX24" i="14"/>
  <c r="AX23" i="14"/>
  <c r="AX22" i="14"/>
  <c r="AX21" i="14"/>
  <c r="H82" i="24"/>
  <c r="AP94" i="32"/>
  <c r="AS94" i="32" s="1"/>
  <c r="AD94" i="32"/>
  <c r="H109" i="24"/>
  <c r="H163" i="24"/>
  <c r="H181" i="24"/>
  <c r="H28" i="25"/>
  <c r="H46" i="25"/>
  <c r="H64" i="25"/>
  <c r="H82" i="25"/>
  <c r="H100" i="25"/>
  <c r="H118" i="25"/>
  <c r="H136" i="25"/>
  <c r="H154" i="25"/>
  <c r="H181" i="25"/>
  <c r="H28" i="26"/>
  <c r="H46" i="26"/>
  <c r="H64" i="26"/>
  <c r="H82" i="26"/>
  <c r="H100" i="26"/>
  <c r="H118" i="26"/>
  <c r="H136" i="26"/>
  <c r="H154" i="26"/>
  <c r="H172" i="26"/>
  <c r="H28" i="27"/>
  <c r="H46" i="27"/>
  <c r="H64" i="27"/>
  <c r="H82" i="27"/>
  <c r="H100" i="27"/>
  <c r="H118" i="27"/>
  <c r="H136" i="27"/>
  <c r="H154" i="27"/>
  <c r="H172" i="27"/>
  <c r="AS15" i="30"/>
  <c r="AD26" i="30"/>
  <c r="AP105" i="32"/>
  <c r="AS105" i="32" s="1"/>
  <c r="AD105" i="32"/>
  <c r="AD122" i="25"/>
  <c r="AD124" i="25"/>
  <c r="AY12" i="26"/>
  <c r="AY13" i="26"/>
  <c r="AY14" i="26"/>
  <c r="AY15" i="26"/>
  <c r="AY16" i="26"/>
  <c r="AY17" i="26"/>
  <c r="AY30" i="26"/>
  <c r="AY31" i="26"/>
  <c r="AY32" i="26"/>
  <c r="AY33" i="26"/>
  <c r="AY34" i="26"/>
  <c r="AY35" i="26"/>
  <c r="AY48" i="26"/>
  <c r="AY49" i="26"/>
  <c r="AY50" i="26"/>
  <c r="AY51" i="26"/>
  <c r="AY52" i="26"/>
  <c r="AY53" i="26"/>
  <c r="AY66" i="26"/>
  <c r="AY67" i="26"/>
  <c r="AY68" i="26"/>
  <c r="AY69" i="26"/>
  <c r="AY70" i="26"/>
  <c r="AY71" i="26"/>
  <c r="AY84" i="26"/>
  <c r="AY85" i="26"/>
  <c r="AY86" i="26"/>
  <c r="AY87" i="26"/>
  <c r="AY88" i="26"/>
  <c r="AY89" i="26"/>
  <c r="AY102" i="26"/>
  <c r="AY103" i="26"/>
  <c r="AY104" i="26"/>
  <c r="AY105" i="26"/>
  <c r="AY106" i="26"/>
  <c r="AY107" i="26"/>
  <c r="AY120" i="26"/>
  <c r="AY121" i="26"/>
  <c r="AY122" i="26"/>
  <c r="AY123" i="26"/>
  <c r="AY124" i="26"/>
  <c r="AY125" i="26"/>
  <c r="AY102" i="27"/>
  <c r="AY103" i="27"/>
  <c r="AY104" i="27"/>
  <c r="AY106" i="27"/>
  <c r="AY107" i="27"/>
  <c r="AY120" i="27"/>
  <c r="AY121" i="27"/>
  <c r="AY122" i="27"/>
  <c r="AY123" i="27"/>
  <c r="AY124" i="27"/>
  <c r="AY125" i="27"/>
  <c r="AS12" i="31"/>
  <c r="AS13" i="31"/>
  <c r="AS31" i="30"/>
  <c r="AS49" i="30"/>
  <c r="AS67" i="30"/>
  <c r="AS142" i="19"/>
  <c r="AS140" i="19"/>
  <c r="AS138" i="19"/>
  <c r="AS35" i="16"/>
  <c r="AS143" i="19"/>
  <c r="AS141" i="19"/>
  <c r="AS139" i="19"/>
  <c r="AS141" i="17"/>
  <c r="AS140" i="16"/>
  <c r="AY43" i="16"/>
  <c r="AS42" i="16"/>
  <c r="AS40" i="16"/>
  <c r="AC73" i="2"/>
  <c r="AF73" i="2"/>
  <c r="AD73" i="2"/>
  <c r="AC53" i="2"/>
  <c r="AF53" i="2"/>
  <c r="BJ53" i="2" s="1"/>
  <c r="AD53" i="2"/>
  <c r="AD152" i="15"/>
  <c r="AP152" i="15"/>
  <c r="AS152" i="15" s="1"/>
  <c r="AD150" i="15"/>
  <c r="AP150" i="15"/>
  <c r="AS150" i="15" s="1"/>
  <c r="AD148" i="15"/>
  <c r="AP148" i="15"/>
  <c r="AS148" i="15" s="1"/>
  <c r="AD143" i="15"/>
  <c r="AP143" i="15"/>
  <c r="AS143" i="15" s="1"/>
  <c r="AD141" i="15"/>
  <c r="AP141" i="15"/>
  <c r="AS141" i="15" s="1"/>
  <c r="AD139" i="15"/>
  <c r="AP139" i="15"/>
  <c r="AS139" i="15" s="1"/>
  <c r="AD134" i="15"/>
  <c r="AP134" i="15"/>
  <c r="AS134" i="15" s="1"/>
  <c r="AD132" i="15"/>
  <c r="AP132" i="15"/>
  <c r="AS132" i="15" s="1"/>
  <c r="AD130" i="15"/>
  <c r="AP130" i="15"/>
  <c r="AS130" i="15" s="1"/>
  <c r="AD152" i="14"/>
  <c r="AP152" i="14"/>
  <c r="AS152" i="14" s="1"/>
  <c r="AD150" i="14"/>
  <c r="AP150" i="14"/>
  <c r="AS150" i="14" s="1"/>
  <c r="AD148" i="14"/>
  <c r="AP148" i="14"/>
  <c r="AS148" i="14" s="1"/>
  <c r="AD143" i="14"/>
  <c r="AP143" i="14"/>
  <c r="AS143" i="14" s="1"/>
  <c r="AD141" i="14"/>
  <c r="AP141" i="14"/>
  <c r="AS141" i="14" s="1"/>
  <c r="AD139" i="14"/>
  <c r="AP139" i="14"/>
  <c r="AS139" i="14" s="1"/>
  <c r="AD134" i="14"/>
  <c r="AP134" i="14"/>
  <c r="AS134" i="14" s="1"/>
  <c r="AD132" i="14"/>
  <c r="AP132" i="14"/>
  <c r="AS132" i="14" s="1"/>
  <c r="AD130" i="14"/>
  <c r="AP130" i="14"/>
  <c r="AS130" i="14" s="1"/>
  <c r="AO21" i="26"/>
  <c r="AS21" i="26" s="1"/>
  <c r="AD21" i="26"/>
  <c r="AO22" i="26"/>
  <c r="AS22" i="26" s="1"/>
  <c r="AD22" i="26"/>
  <c r="AO23" i="26"/>
  <c r="AS23" i="26" s="1"/>
  <c r="AD23" i="26"/>
  <c r="AO24" i="26"/>
  <c r="AS24" i="26" s="1"/>
  <c r="AD24" i="26"/>
  <c r="AO25" i="26"/>
  <c r="AS25" i="26" s="1"/>
  <c r="AD25" i="26"/>
  <c r="AO26" i="26"/>
  <c r="AS26" i="26" s="1"/>
  <c r="AD26" i="26"/>
  <c r="AO39" i="26"/>
  <c r="AS39" i="26" s="1"/>
  <c r="AD39" i="26"/>
  <c r="AO40" i="26"/>
  <c r="AS40" i="26" s="1"/>
  <c r="AD40" i="26"/>
  <c r="AO41" i="26"/>
  <c r="AS41" i="26" s="1"/>
  <c r="AD41" i="26"/>
  <c r="AO42" i="26"/>
  <c r="AS42" i="26" s="1"/>
  <c r="AD42" i="26"/>
  <c r="AO43" i="26"/>
  <c r="AS43" i="26" s="1"/>
  <c r="AD43" i="26"/>
  <c r="AO44" i="26"/>
  <c r="AS44" i="26" s="1"/>
  <c r="AD44" i="26"/>
  <c r="AO57" i="26"/>
  <c r="AS57" i="26" s="1"/>
  <c r="AD57" i="26"/>
  <c r="AO58" i="26"/>
  <c r="AS58" i="26" s="1"/>
  <c r="AD58" i="26"/>
  <c r="AO59" i="26"/>
  <c r="AS59" i="26" s="1"/>
  <c r="AD59" i="26"/>
  <c r="AO60" i="26"/>
  <c r="AS60" i="26" s="1"/>
  <c r="AD60" i="26"/>
  <c r="AO61" i="26"/>
  <c r="AS61" i="26" s="1"/>
  <c r="AD61" i="26"/>
  <c r="AO62" i="26"/>
  <c r="AS62" i="26" s="1"/>
  <c r="AD62" i="26"/>
  <c r="AO75" i="26"/>
  <c r="AS75" i="26" s="1"/>
  <c r="AD75" i="26"/>
  <c r="AO76" i="26"/>
  <c r="AS76" i="26" s="1"/>
  <c r="AD76" i="26"/>
  <c r="AO77" i="26"/>
  <c r="AS77" i="26" s="1"/>
  <c r="AD77" i="26"/>
  <c r="AO78" i="26"/>
  <c r="AS78" i="26" s="1"/>
  <c r="AD78" i="26"/>
  <c r="AO79" i="26"/>
  <c r="AS79" i="26" s="1"/>
  <c r="AD79" i="26"/>
  <c r="AO80" i="26"/>
  <c r="AS80" i="26" s="1"/>
  <c r="AD80" i="26"/>
  <c r="AO93" i="26"/>
  <c r="AS93" i="26" s="1"/>
  <c r="AD93" i="26"/>
  <c r="AO94" i="26"/>
  <c r="AS94" i="26" s="1"/>
  <c r="AD94" i="26"/>
  <c r="AO95" i="26"/>
  <c r="AS95" i="26" s="1"/>
  <c r="AD95" i="26"/>
  <c r="AO96" i="26"/>
  <c r="AS96" i="26" s="1"/>
  <c r="AD96" i="26"/>
  <c r="AO97" i="26"/>
  <c r="AS97" i="26" s="1"/>
  <c r="AD97" i="26"/>
  <c r="AO98" i="26"/>
  <c r="AS98" i="26" s="1"/>
  <c r="AD98" i="26"/>
  <c r="AO111" i="26"/>
  <c r="AS111" i="26" s="1"/>
  <c r="AD111" i="26"/>
  <c r="AO112" i="26"/>
  <c r="AS112" i="26" s="1"/>
  <c r="AD112" i="26"/>
  <c r="AO113" i="26"/>
  <c r="AS113" i="26" s="1"/>
  <c r="AD113" i="26"/>
  <c r="AO114" i="26"/>
  <c r="AS114" i="26" s="1"/>
  <c r="AD114" i="26"/>
  <c r="AO115" i="26"/>
  <c r="AS115" i="26" s="1"/>
  <c r="AD115" i="26"/>
  <c r="AO116" i="26"/>
  <c r="AS116" i="26" s="1"/>
  <c r="AD116" i="26"/>
  <c r="AO129" i="26"/>
  <c r="AS129" i="26" s="1"/>
  <c r="AD129" i="26"/>
  <c r="AO130" i="26"/>
  <c r="AS130" i="26" s="1"/>
  <c r="AD130" i="26"/>
  <c r="AO131" i="26"/>
  <c r="AS131" i="26" s="1"/>
  <c r="AD131" i="26"/>
  <c r="AO132" i="26"/>
  <c r="AS132" i="26" s="1"/>
  <c r="AD132" i="26"/>
  <c r="AO133" i="26"/>
  <c r="AS133" i="26" s="1"/>
  <c r="AD133" i="26"/>
  <c r="AO134" i="26"/>
  <c r="AS134" i="26" s="1"/>
  <c r="AD134" i="26"/>
  <c r="AO147" i="26"/>
  <c r="AS147" i="26" s="1"/>
  <c r="AD147" i="26"/>
  <c r="AO148" i="26"/>
  <c r="AS148" i="26" s="1"/>
  <c r="AD148" i="26"/>
  <c r="AO149" i="26"/>
  <c r="AS149" i="26" s="1"/>
  <c r="AD149" i="26"/>
  <c r="AO150" i="26"/>
  <c r="AS150" i="26" s="1"/>
  <c r="AD150" i="26"/>
  <c r="AO151" i="26"/>
  <c r="AS151" i="26" s="1"/>
  <c r="AD151" i="26"/>
  <c r="AO152" i="26"/>
  <c r="AS152" i="26" s="1"/>
  <c r="AD152" i="26"/>
  <c r="AO165" i="26"/>
  <c r="AS165" i="26" s="1"/>
  <c r="AD165" i="26"/>
  <c r="AO166" i="26"/>
  <c r="AS166" i="26" s="1"/>
  <c r="AD166" i="26"/>
  <c r="AO167" i="26"/>
  <c r="AS167" i="26" s="1"/>
  <c r="AD167" i="26"/>
  <c r="AO168" i="26"/>
  <c r="AS168" i="26" s="1"/>
  <c r="AD168" i="26"/>
  <c r="AO169" i="26"/>
  <c r="AS169" i="26" s="1"/>
  <c r="AD169" i="26"/>
  <c r="AO170" i="26"/>
  <c r="AS170" i="26" s="1"/>
  <c r="AD170" i="26"/>
  <c r="AO12" i="27"/>
  <c r="AS12" i="27" s="1"/>
  <c r="AD12" i="27"/>
  <c r="AV12" i="27"/>
  <c r="AY12" i="27" s="1"/>
  <c r="AM12" i="27"/>
  <c r="AO13" i="27"/>
  <c r="AS13" i="27" s="1"/>
  <c r="AD13" i="27"/>
  <c r="AV13" i="27"/>
  <c r="AY13" i="27" s="1"/>
  <c r="AM13" i="27"/>
  <c r="AO14" i="27"/>
  <c r="AS14" i="27" s="1"/>
  <c r="AD14" i="27"/>
  <c r="AV14" i="27"/>
  <c r="AY14" i="27" s="1"/>
  <c r="AM14" i="27"/>
  <c r="AO15" i="27"/>
  <c r="AS15" i="27" s="1"/>
  <c r="AD15" i="27"/>
  <c r="AV15" i="27"/>
  <c r="AY15" i="27" s="1"/>
  <c r="AM15" i="27"/>
  <c r="AO16" i="27"/>
  <c r="AS16" i="27" s="1"/>
  <c r="AD16" i="27"/>
  <c r="AV16" i="27"/>
  <c r="AY16" i="27" s="1"/>
  <c r="AM16" i="27"/>
  <c r="AO17" i="27"/>
  <c r="AS17" i="27" s="1"/>
  <c r="AD17" i="27"/>
  <c r="AV17" i="27"/>
  <c r="AY17" i="27" s="1"/>
  <c r="AM17" i="27"/>
  <c r="AO21" i="27"/>
  <c r="AS21" i="27" s="1"/>
  <c r="AD21" i="27"/>
  <c r="AO22" i="27"/>
  <c r="AS22" i="27" s="1"/>
  <c r="AD22" i="27"/>
  <c r="AV22" i="27"/>
  <c r="AY22" i="27" s="1"/>
  <c r="AM22" i="27"/>
  <c r="AO23" i="27"/>
  <c r="AS23" i="27" s="1"/>
  <c r="AD23" i="27"/>
  <c r="AO24" i="27"/>
  <c r="AS24" i="27" s="1"/>
  <c r="AD24" i="27"/>
  <c r="AO25" i="27"/>
  <c r="AS25" i="27" s="1"/>
  <c r="AD25" i="27"/>
  <c r="AO26" i="27"/>
  <c r="AS26" i="27" s="1"/>
  <c r="AD26" i="27"/>
  <c r="AO39" i="27"/>
  <c r="AS39" i="27" s="1"/>
  <c r="AD39" i="27"/>
  <c r="AO40" i="27"/>
  <c r="AS40" i="27" s="1"/>
  <c r="AD40" i="27"/>
  <c r="AO41" i="27"/>
  <c r="AS41" i="27" s="1"/>
  <c r="AD41" i="27"/>
  <c r="AO42" i="27"/>
  <c r="AS42" i="27" s="1"/>
  <c r="AD42" i="27"/>
  <c r="AO43" i="27"/>
  <c r="AS43" i="27" s="1"/>
  <c r="AD43" i="27"/>
  <c r="AO44" i="27"/>
  <c r="AS44" i="27" s="1"/>
  <c r="AD44" i="27"/>
  <c r="AO57" i="27"/>
  <c r="AS57" i="27" s="1"/>
  <c r="AD57" i="27"/>
  <c r="AO58" i="27"/>
  <c r="AS58" i="27" s="1"/>
  <c r="AD58" i="27"/>
  <c r="AO59" i="27"/>
  <c r="AS59" i="27" s="1"/>
  <c r="AD59" i="27"/>
  <c r="AO60" i="27"/>
  <c r="AS60" i="27" s="1"/>
  <c r="AD60" i="27"/>
  <c r="AO61" i="27"/>
  <c r="AS61" i="27" s="1"/>
  <c r="AD61" i="27"/>
  <c r="AO62" i="27"/>
  <c r="AS62" i="27" s="1"/>
  <c r="AD62" i="27"/>
  <c r="AO75" i="27"/>
  <c r="AS75" i="27" s="1"/>
  <c r="AD75" i="27"/>
  <c r="AO76" i="27"/>
  <c r="AS76" i="27" s="1"/>
  <c r="AD76" i="27"/>
  <c r="AO77" i="27"/>
  <c r="AS77" i="27" s="1"/>
  <c r="AD77" i="27"/>
  <c r="AO78" i="27"/>
  <c r="AS78" i="27" s="1"/>
  <c r="AD78" i="27"/>
  <c r="AO79" i="27"/>
  <c r="AS79" i="27" s="1"/>
  <c r="AD79" i="27"/>
  <c r="AO80" i="27"/>
  <c r="AS80" i="27" s="1"/>
  <c r="AD80" i="27"/>
  <c r="AO93" i="27"/>
  <c r="AS93" i="27" s="1"/>
  <c r="AD93" i="27"/>
  <c r="AO94" i="27"/>
  <c r="AS94" i="27" s="1"/>
  <c r="AD94" i="27"/>
  <c r="AO95" i="27"/>
  <c r="AS95" i="27" s="1"/>
  <c r="AD95" i="27"/>
  <c r="AO96" i="27"/>
  <c r="AS96" i="27" s="1"/>
  <c r="AD96" i="27"/>
  <c r="AO97" i="27"/>
  <c r="AS97" i="27" s="1"/>
  <c r="AD97" i="27"/>
  <c r="AE57" i="2"/>
  <c r="AE54" i="2" s="1"/>
  <c r="AV161" i="1"/>
  <c r="AR161" i="1"/>
  <c r="AY161" i="1"/>
  <c r="AU161" i="1"/>
  <c r="AU152" i="1"/>
  <c r="AV150" i="1"/>
  <c r="AR150" i="1"/>
  <c r="AY150" i="1"/>
  <c r="AU150" i="1"/>
  <c r="AV148" i="1"/>
  <c r="AR148" i="1"/>
  <c r="AY148" i="1"/>
  <c r="AU148" i="1"/>
  <c r="AF133" i="1"/>
  <c r="AH68" i="1"/>
  <c r="AJ68" i="1"/>
  <c r="AO68" i="1"/>
  <c r="AK68" i="1"/>
  <c r="AL52" i="1"/>
  <c r="AH52" i="1"/>
  <c r="AO52" i="1"/>
  <c r="AK52" i="1"/>
  <c r="AN122" i="1"/>
  <c r="AI122" i="1"/>
  <c r="AN106" i="1"/>
  <c r="AI106" i="1"/>
  <c r="AM94" i="1"/>
  <c r="AF94" i="1"/>
  <c r="AM86" i="1"/>
  <c r="AF86" i="1"/>
  <c r="AM70" i="1"/>
  <c r="AF70" i="1"/>
  <c r="AX23" i="1"/>
  <c r="AT23" i="1"/>
  <c r="AP23" i="1"/>
  <c r="AW23" i="1"/>
  <c r="AR21" i="1"/>
  <c r="AU21" i="1"/>
  <c r="AT13" i="1"/>
  <c r="AE73" i="2"/>
  <c r="AE72" i="2"/>
  <c r="AE53" i="2"/>
  <c r="AM152" i="19"/>
  <c r="AM75" i="19"/>
  <c r="AM42" i="19"/>
  <c r="AM122" i="18"/>
  <c r="AM120" i="18"/>
  <c r="AM107" i="18"/>
  <c r="AY70" i="18"/>
  <c r="AM35" i="18"/>
  <c r="AM34" i="18"/>
  <c r="AY14" i="18"/>
  <c r="AY165" i="17"/>
  <c r="AM165" i="17"/>
  <c r="AM130" i="17"/>
  <c r="AY111" i="17"/>
  <c r="AM26" i="17"/>
  <c r="AD138" i="16"/>
  <c r="AS129" i="16"/>
  <c r="AD129" i="16"/>
  <c r="AS125" i="16"/>
  <c r="AD125" i="16"/>
  <c r="AS124" i="16"/>
  <c r="AD124" i="16"/>
  <c r="AS123" i="16"/>
  <c r="AD123" i="16"/>
  <c r="AS122" i="16"/>
  <c r="AD122" i="16"/>
  <c r="AS121" i="16"/>
  <c r="AD121" i="16"/>
  <c r="AS120" i="16"/>
  <c r="AD120" i="16"/>
  <c r="AS116" i="16"/>
  <c r="AD116" i="16"/>
  <c r="AS115" i="16"/>
  <c r="AD115" i="16"/>
  <c r="AS114" i="16"/>
  <c r="AD114" i="16"/>
  <c r="AS113" i="16"/>
  <c r="AD113" i="16"/>
  <c r="AS112" i="16"/>
  <c r="AD112" i="16"/>
  <c r="AS111" i="16"/>
  <c r="AD111" i="16"/>
  <c r="AS107" i="16"/>
  <c r="AD107" i="16"/>
  <c r="AS106" i="16"/>
  <c r="AD106" i="16"/>
  <c r="AS105" i="16"/>
  <c r="AD105" i="16"/>
  <c r="AS104" i="16"/>
  <c r="AD104" i="16"/>
  <c r="AS103" i="16"/>
  <c r="AD103" i="16"/>
  <c r="AS102" i="16"/>
  <c r="AD102" i="16"/>
  <c r="AS98" i="16"/>
  <c r="AD98" i="16"/>
  <c r="AS97" i="16"/>
  <c r="AD97" i="16"/>
  <c r="AS96" i="16"/>
  <c r="AD96" i="16"/>
  <c r="AS95" i="16"/>
  <c r="AD95" i="16"/>
  <c r="AS94" i="16"/>
  <c r="AD94" i="16"/>
  <c r="AS93" i="16"/>
  <c r="AD93" i="16"/>
  <c r="AS89" i="16"/>
  <c r="AD89" i="16"/>
  <c r="AS88" i="16"/>
  <c r="AD88" i="16"/>
  <c r="AS87" i="16"/>
  <c r="AD87" i="16"/>
  <c r="AS86" i="16"/>
  <c r="AD86" i="16"/>
  <c r="AS85" i="16"/>
  <c r="AD85" i="16"/>
  <c r="AS84" i="16"/>
  <c r="AD84" i="16"/>
  <c r="AS80" i="16"/>
  <c r="AD80" i="16"/>
  <c r="AS79" i="16"/>
  <c r="AD79" i="16"/>
  <c r="AS78" i="16"/>
  <c r="AD78" i="16"/>
  <c r="AS77" i="16"/>
  <c r="AD77" i="16"/>
  <c r="AS76" i="16"/>
  <c r="AD76" i="16"/>
  <c r="AS75" i="16"/>
  <c r="AD75" i="16"/>
  <c r="AS71" i="16"/>
  <c r="AD71" i="16"/>
  <c r="AS70" i="16"/>
  <c r="AD70" i="16"/>
  <c r="AS69" i="16"/>
  <c r="AD69" i="16"/>
  <c r="AS68" i="16"/>
  <c r="AD68" i="16"/>
  <c r="AS67" i="16"/>
  <c r="AD67" i="16"/>
  <c r="AS66" i="16"/>
  <c r="AD66" i="16"/>
  <c r="AS62" i="16"/>
  <c r="AD62" i="16"/>
  <c r="AS61" i="16"/>
  <c r="AD61" i="16"/>
  <c r="AS60" i="16"/>
  <c r="AD60" i="16"/>
  <c r="AS59" i="16"/>
  <c r="AD59" i="16"/>
  <c r="AS58" i="16"/>
  <c r="AD58" i="16"/>
  <c r="AS57" i="16"/>
  <c r="AD57" i="16"/>
  <c r="AS53" i="16"/>
  <c r="AD53" i="16"/>
  <c r="AS52" i="16"/>
  <c r="AD52" i="16"/>
  <c r="AS51" i="16"/>
  <c r="AD51" i="16"/>
  <c r="AS50" i="16"/>
  <c r="AD50" i="16"/>
  <c r="AS49" i="16"/>
  <c r="AD49" i="16"/>
  <c r="AS48" i="16"/>
  <c r="AD48" i="16"/>
  <c r="AD44" i="16"/>
  <c r="AD43" i="16"/>
  <c r="AD41" i="16"/>
  <c r="AD39" i="16"/>
  <c r="AS12" i="16"/>
  <c r="AC72" i="2"/>
  <c r="AF72" i="2"/>
  <c r="AD72" i="2"/>
  <c r="AD134" i="16"/>
  <c r="AP134" i="16"/>
  <c r="AS134" i="16" s="1"/>
  <c r="AD151" i="15"/>
  <c r="AP151" i="15"/>
  <c r="AS151" i="15" s="1"/>
  <c r="AD149" i="15"/>
  <c r="AP149" i="15"/>
  <c r="AS149" i="15" s="1"/>
  <c r="AD147" i="15"/>
  <c r="AP147" i="15"/>
  <c r="AS147" i="15" s="1"/>
  <c r="AD142" i="15"/>
  <c r="AP142" i="15"/>
  <c r="AS142" i="15" s="1"/>
  <c r="AD140" i="15"/>
  <c r="AP140" i="15"/>
  <c r="AS140" i="15" s="1"/>
  <c r="AD138" i="15"/>
  <c r="AP138" i="15"/>
  <c r="AS138" i="15" s="1"/>
  <c r="AD133" i="15"/>
  <c r="AP133" i="15"/>
  <c r="AS133" i="15" s="1"/>
  <c r="AD131" i="15"/>
  <c r="AP131" i="15"/>
  <c r="AS131" i="15" s="1"/>
  <c r="AD129" i="15"/>
  <c r="AP129" i="15"/>
  <c r="AS129" i="15" s="1"/>
  <c r="AD151" i="14"/>
  <c r="AP151" i="14"/>
  <c r="AS151" i="14" s="1"/>
  <c r="AD149" i="14"/>
  <c r="AP149" i="14"/>
  <c r="AS149" i="14" s="1"/>
  <c r="AD147" i="14"/>
  <c r="AP147" i="14"/>
  <c r="AS147" i="14" s="1"/>
  <c r="AD142" i="14"/>
  <c r="AP142" i="14"/>
  <c r="AS142" i="14" s="1"/>
  <c r="AD140" i="14"/>
  <c r="AP140" i="14"/>
  <c r="AS140" i="14" s="1"/>
  <c r="AD138" i="14"/>
  <c r="AP138" i="14"/>
  <c r="AS138" i="14" s="1"/>
  <c r="AD133" i="14"/>
  <c r="AP133" i="14"/>
  <c r="AS133" i="14" s="1"/>
  <c r="AD131" i="14"/>
  <c r="AP131" i="14"/>
  <c r="AS131" i="14" s="1"/>
  <c r="AD129" i="14"/>
  <c r="AP129" i="14"/>
  <c r="AS129" i="14" s="1"/>
  <c r="AO12" i="26"/>
  <c r="AS12" i="26" s="1"/>
  <c r="AD12" i="26"/>
  <c r="AO13" i="26"/>
  <c r="AS13" i="26" s="1"/>
  <c r="AD13" i="26"/>
  <c r="AO14" i="26"/>
  <c r="AS14" i="26" s="1"/>
  <c r="AD14" i="26"/>
  <c r="AO15" i="26"/>
  <c r="AS15" i="26" s="1"/>
  <c r="AD15" i="26"/>
  <c r="AO16" i="26"/>
  <c r="AS16" i="26" s="1"/>
  <c r="AD16" i="26"/>
  <c r="AO17" i="26"/>
  <c r="AS17" i="26" s="1"/>
  <c r="AD17" i="26"/>
  <c r="AO30" i="26"/>
  <c r="AS30" i="26" s="1"/>
  <c r="AD30" i="26"/>
  <c r="AO31" i="26"/>
  <c r="AS31" i="26" s="1"/>
  <c r="AD31" i="26"/>
  <c r="AO32" i="26"/>
  <c r="AS32" i="26" s="1"/>
  <c r="AD32" i="26"/>
  <c r="AO33" i="26"/>
  <c r="AS33" i="26" s="1"/>
  <c r="AD33" i="26"/>
  <c r="AO34" i="26"/>
  <c r="AS34" i="26" s="1"/>
  <c r="AD34" i="26"/>
  <c r="AO35" i="26"/>
  <c r="AS35" i="26" s="1"/>
  <c r="AD35" i="26"/>
  <c r="AO48" i="26"/>
  <c r="AS48" i="26" s="1"/>
  <c r="AD48" i="26"/>
  <c r="AO49" i="26"/>
  <c r="AS49" i="26" s="1"/>
  <c r="AD49" i="26"/>
  <c r="AO50" i="26"/>
  <c r="AS50" i="26" s="1"/>
  <c r="AD50" i="26"/>
  <c r="AO51" i="26"/>
  <c r="AS51" i="26" s="1"/>
  <c r="AD51" i="26"/>
  <c r="AO52" i="26"/>
  <c r="AS52" i="26" s="1"/>
  <c r="AD52" i="26"/>
  <c r="AO53" i="26"/>
  <c r="AS53" i="26" s="1"/>
  <c r="AD53" i="26"/>
  <c r="AO66" i="26"/>
  <c r="AS66" i="26" s="1"/>
  <c r="AD66" i="26"/>
  <c r="AO67" i="26"/>
  <c r="AS67" i="26" s="1"/>
  <c r="AD67" i="26"/>
  <c r="AO68" i="26"/>
  <c r="AS68" i="26" s="1"/>
  <c r="AD68" i="26"/>
  <c r="AO69" i="26"/>
  <c r="AS69" i="26" s="1"/>
  <c r="AD69" i="26"/>
  <c r="AO70" i="26"/>
  <c r="AS70" i="26" s="1"/>
  <c r="AD70" i="26"/>
  <c r="AO71" i="26"/>
  <c r="AS71" i="26" s="1"/>
  <c r="AD71" i="26"/>
  <c r="AO84" i="26"/>
  <c r="AS84" i="26" s="1"/>
  <c r="AD84" i="26"/>
  <c r="AO85" i="26"/>
  <c r="AS85" i="26" s="1"/>
  <c r="AD85" i="26"/>
  <c r="AO86" i="26"/>
  <c r="AS86" i="26" s="1"/>
  <c r="AD86" i="26"/>
  <c r="AO87" i="26"/>
  <c r="AS87" i="26" s="1"/>
  <c r="AD87" i="26"/>
  <c r="AO88" i="26"/>
  <c r="AS88" i="26" s="1"/>
  <c r="AD88" i="26"/>
  <c r="AO89" i="26"/>
  <c r="AS89" i="26" s="1"/>
  <c r="AD89" i="26"/>
  <c r="AO102" i="26"/>
  <c r="AS102" i="26" s="1"/>
  <c r="AD102" i="26"/>
  <c r="AO103" i="26"/>
  <c r="AS103" i="26" s="1"/>
  <c r="AD103" i="26"/>
  <c r="AO104" i="26"/>
  <c r="AS104" i="26" s="1"/>
  <c r="AD104" i="26"/>
  <c r="AO105" i="26"/>
  <c r="AS105" i="26" s="1"/>
  <c r="AD105" i="26"/>
  <c r="AO106" i="26"/>
  <c r="AS106" i="26" s="1"/>
  <c r="AD106" i="26"/>
  <c r="AO107" i="26"/>
  <c r="AS107" i="26" s="1"/>
  <c r="AD107" i="26"/>
  <c r="AO120" i="26"/>
  <c r="AS120" i="26" s="1"/>
  <c r="AD120" i="26"/>
  <c r="AO121" i="26"/>
  <c r="AS121" i="26" s="1"/>
  <c r="AD121" i="26"/>
  <c r="AO122" i="26"/>
  <c r="AS122" i="26" s="1"/>
  <c r="AD122" i="26"/>
  <c r="AO123" i="26"/>
  <c r="AS123" i="26" s="1"/>
  <c r="AD123" i="26"/>
  <c r="AO124" i="26"/>
  <c r="AS124" i="26" s="1"/>
  <c r="AD124" i="26"/>
  <c r="AO125" i="26"/>
  <c r="AS125" i="26" s="1"/>
  <c r="AD125" i="26"/>
  <c r="AO138" i="26"/>
  <c r="AS138" i="26" s="1"/>
  <c r="AD138" i="26"/>
  <c r="AV138" i="26"/>
  <c r="AY138" i="26" s="1"/>
  <c r="AM138" i="26"/>
  <c r="AO139" i="26"/>
  <c r="AS139" i="26" s="1"/>
  <c r="AD139" i="26"/>
  <c r="AV139" i="26"/>
  <c r="AY139" i="26" s="1"/>
  <c r="AM139" i="26"/>
  <c r="AO140" i="26"/>
  <c r="AS140" i="26" s="1"/>
  <c r="AD140" i="26"/>
  <c r="AV140" i="26"/>
  <c r="AY140" i="26" s="1"/>
  <c r="AM140" i="26"/>
  <c r="AO141" i="26"/>
  <c r="AS141" i="26" s="1"/>
  <c r="AD141" i="26"/>
  <c r="AV141" i="26"/>
  <c r="AY141" i="26" s="1"/>
  <c r="AM141" i="26"/>
  <c r="AO142" i="26"/>
  <c r="AS142" i="26" s="1"/>
  <c r="AD142" i="26"/>
  <c r="AV142" i="26"/>
  <c r="AY142" i="26" s="1"/>
  <c r="AM142" i="26"/>
  <c r="AO143" i="26"/>
  <c r="AS143" i="26" s="1"/>
  <c r="AD143" i="26"/>
  <c r="AV143" i="26"/>
  <c r="AY143" i="26" s="1"/>
  <c r="AM143" i="26"/>
  <c r="AO156" i="26"/>
  <c r="AS156" i="26" s="1"/>
  <c r="AD156" i="26"/>
  <c r="AV156" i="26"/>
  <c r="AY156" i="26" s="1"/>
  <c r="AM156" i="26"/>
  <c r="AO157" i="26"/>
  <c r="AS157" i="26" s="1"/>
  <c r="AD157" i="26"/>
  <c r="AV157" i="26"/>
  <c r="AY157" i="26" s="1"/>
  <c r="AM157" i="26"/>
  <c r="AO158" i="26"/>
  <c r="AS158" i="26" s="1"/>
  <c r="AD158" i="26"/>
  <c r="AV158" i="26"/>
  <c r="AY158" i="26" s="1"/>
  <c r="AM158" i="26"/>
  <c r="AO159" i="26"/>
  <c r="AS159" i="26" s="1"/>
  <c r="AD159" i="26"/>
  <c r="AV159" i="26"/>
  <c r="AY159" i="26" s="1"/>
  <c r="AM159" i="26"/>
  <c r="AO160" i="26"/>
  <c r="AS160" i="26" s="1"/>
  <c r="AD160" i="26"/>
  <c r="AV160" i="26"/>
  <c r="AY160" i="26" s="1"/>
  <c r="AM160" i="26"/>
  <c r="AO161" i="26"/>
  <c r="AS161" i="26" s="1"/>
  <c r="AD161" i="26"/>
  <c r="AV161" i="26"/>
  <c r="AY161" i="26" s="1"/>
  <c r="AM161" i="26"/>
  <c r="AO30" i="27"/>
  <c r="AS30" i="27" s="1"/>
  <c r="AD30" i="27"/>
  <c r="AV30" i="27"/>
  <c r="AY30" i="27" s="1"/>
  <c r="AM30" i="27"/>
  <c r="AO31" i="27"/>
  <c r="AS31" i="27" s="1"/>
  <c r="AD31" i="27"/>
  <c r="AV31" i="27"/>
  <c r="AY31" i="27" s="1"/>
  <c r="AM31" i="27"/>
  <c r="AO32" i="27"/>
  <c r="AS32" i="27" s="1"/>
  <c r="AD32" i="27"/>
  <c r="AV32" i="27"/>
  <c r="AY32" i="27" s="1"/>
  <c r="AM32" i="27"/>
  <c r="AO33" i="27"/>
  <c r="AS33" i="27" s="1"/>
  <c r="AD33" i="27"/>
  <c r="AV33" i="27"/>
  <c r="AY33" i="27" s="1"/>
  <c r="AM33" i="27"/>
  <c r="AO34" i="27"/>
  <c r="AS34" i="27" s="1"/>
  <c r="AD34" i="27"/>
  <c r="AV34" i="27"/>
  <c r="AY34" i="27" s="1"/>
  <c r="AM34" i="27"/>
  <c r="AO35" i="27"/>
  <c r="AS35" i="27" s="1"/>
  <c r="AD35" i="27"/>
  <c r="AV35" i="27"/>
  <c r="AY35" i="27" s="1"/>
  <c r="AM35" i="27"/>
  <c r="AO48" i="27"/>
  <c r="AS48" i="27" s="1"/>
  <c r="AD48" i="27"/>
  <c r="AV48" i="27"/>
  <c r="AY48" i="27" s="1"/>
  <c r="AM48" i="27"/>
  <c r="AO49" i="27"/>
  <c r="AS49" i="27" s="1"/>
  <c r="AD49" i="27"/>
  <c r="AV49" i="27"/>
  <c r="AY49" i="27" s="1"/>
  <c r="AM49" i="27"/>
  <c r="AO50" i="27"/>
  <c r="AS50" i="27" s="1"/>
  <c r="AD50" i="27"/>
  <c r="AV50" i="27"/>
  <c r="AY50" i="27" s="1"/>
  <c r="AM50" i="27"/>
  <c r="AO51" i="27"/>
  <c r="AS51" i="27" s="1"/>
  <c r="AD51" i="27"/>
  <c r="AV51" i="27"/>
  <c r="AY51" i="27" s="1"/>
  <c r="AM51" i="27"/>
  <c r="AO52" i="27"/>
  <c r="AS52" i="27" s="1"/>
  <c r="AD52" i="27"/>
  <c r="AV52" i="27"/>
  <c r="AY52" i="27" s="1"/>
  <c r="AM52" i="27"/>
  <c r="AO53" i="27"/>
  <c r="AS53" i="27" s="1"/>
  <c r="AD53" i="27"/>
  <c r="AV53" i="27"/>
  <c r="AY53" i="27" s="1"/>
  <c r="AM53" i="27"/>
  <c r="AO66" i="27"/>
  <c r="AS66" i="27" s="1"/>
  <c r="AD66" i="27"/>
  <c r="AV66" i="27"/>
  <c r="AY66" i="27" s="1"/>
  <c r="AM66" i="27"/>
  <c r="AO67" i="27"/>
  <c r="AS67" i="27" s="1"/>
  <c r="AD67" i="27"/>
  <c r="AV67" i="27"/>
  <c r="AY67" i="27" s="1"/>
  <c r="AM67" i="27"/>
  <c r="AO68" i="27"/>
  <c r="AS68" i="27" s="1"/>
  <c r="AD68" i="27"/>
  <c r="AV68" i="27"/>
  <c r="AY68" i="27" s="1"/>
  <c r="AM68" i="27"/>
  <c r="AO69" i="27"/>
  <c r="AS69" i="27" s="1"/>
  <c r="AD69" i="27"/>
  <c r="AV69" i="27"/>
  <c r="AY69" i="27" s="1"/>
  <c r="AM69" i="27"/>
  <c r="AO70" i="27"/>
  <c r="AS70" i="27" s="1"/>
  <c r="AD70" i="27"/>
  <c r="AV70" i="27"/>
  <c r="AY70" i="27" s="1"/>
  <c r="AM70" i="27"/>
  <c r="AO71" i="27"/>
  <c r="AS71" i="27" s="1"/>
  <c r="AD71" i="27"/>
  <c r="AV71" i="27"/>
  <c r="AY71" i="27" s="1"/>
  <c r="AM71" i="27"/>
  <c r="AO84" i="27"/>
  <c r="AS84" i="27" s="1"/>
  <c r="AD84" i="27"/>
  <c r="AV84" i="27"/>
  <c r="AY84" i="27" s="1"/>
  <c r="AM84" i="27"/>
  <c r="AO85" i="27"/>
  <c r="AS85" i="27" s="1"/>
  <c r="AD85" i="27"/>
  <c r="AV85" i="27"/>
  <c r="AY85" i="27" s="1"/>
  <c r="AM85" i="27"/>
  <c r="AO86" i="27"/>
  <c r="AS86" i="27" s="1"/>
  <c r="AD86" i="27"/>
  <c r="AV86" i="27"/>
  <c r="AY86" i="27" s="1"/>
  <c r="AM86" i="27"/>
  <c r="AO87" i="27"/>
  <c r="AS87" i="27" s="1"/>
  <c r="AD87" i="27"/>
  <c r="AV87" i="27"/>
  <c r="AY87" i="27" s="1"/>
  <c r="AM87" i="27"/>
  <c r="AO88" i="27"/>
  <c r="AS88" i="27" s="1"/>
  <c r="AD88" i="27"/>
  <c r="AV88" i="27"/>
  <c r="AY88" i="27" s="1"/>
  <c r="AM88" i="27"/>
  <c r="AO89" i="27"/>
  <c r="AS89" i="27" s="1"/>
  <c r="AD89" i="27"/>
  <c r="AV89" i="27"/>
  <c r="AY89" i="27" s="1"/>
  <c r="AM89" i="27"/>
  <c r="AD140" i="16"/>
  <c r="AS138" i="16"/>
  <c r="AS132" i="16"/>
  <c r="AS130" i="16"/>
  <c r="AS44" i="16"/>
  <c r="AS43" i="16"/>
  <c r="AD42" i="16"/>
  <c r="AS41" i="16"/>
  <c r="AD40" i="16"/>
  <c r="AS39" i="16"/>
  <c r="AD35" i="16"/>
  <c r="AS34" i="16"/>
  <c r="AD34" i="16"/>
  <c r="AS33" i="16"/>
  <c r="AD33" i="16"/>
  <c r="AS32" i="16"/>
  <c r="AD32" i="16"/>
  <c r="AS31" i="16"/>
  <c r="AD31" i="16"/>
  <c r="AS30" i="16"/>
  <c r="AD30" i="16"/>
  <c r="AS26" i="16"/>
  <c r="AD26" i="16"/>
  <c r="AS25" i="16"/>
  <c r="AD25" i="16"/>
  <c r="AS24" i="16"/>
  <c r="AD24" i="16"/>
  <c r="AS23" i="16"/>
  <c r="AD23" i="16"/>
  <c r="AS22" i="16"/>
  <c r="AD22" i="16"/>
  <c r="AS21" i="16"/>
  <c r="AD21" i="16"/>
  <c r="AS17" i="16"/>
  <c r="AD17" i="16"/>
  <c r="AS16" i="16"/>
  <c r="AD16" i="16"/>
  <c r="AS15" i="16"/>
  <c r="AD15" i="16"/>
  <c r="AS14" i="16"/>
  <c r="AD14" i="16"/>
  <c r="AS13" i="16"/>
  <c r="AS170" i="15"/>
  <c r="AS169" i="15"/>
  <c r="AD169" i="15"/>
  <c r="AS168" i="15"/>
  <c r="AD168" i="15"/>
  <c r="AS167" i="15"/>
  <c r="AD167" i="15"/>
  <c r="AS166" i="15"/>
  <c r="AD166" i="15"/>
  <c r="AS165" i="15"/>
  <c r="AD165" i="15"/>
  <c r="AS161" i="15"/>
  <c r="AD161" i="15"/>
  <c r="AS160" i="15"/>
  <c r="AD160" i="15"/>
  <c r="AS159" i="15"/>
  <c r="AD159" i="15"/>
  <c r="AS158" i="15"/>
  <c r="AD158" i="15"/>
  <c r="AS157" i="15"/>
  <c r="AD157" i="15"/>
  <c r="AS156" i="15"/>
  <c r="AD156" i="15"/>
  <c r="AS125" i="15"/>
  <c r="AD125" i="15"/>
  <c r="AS124" i="15"/>
  <c r="AD124" i="15"/>
  <c r="AS123" i="15"/>
  <c r="AD123" i="15"/>
  <c r="AS122" i="15"/>
  <c r="AD122" i="15"/>
  <c r="AS121" i="15"/>
  <c r="AD121" i="15"/>
  <c r="AS120" i="15"/>
  <c r="AD120" i="15"/>
  <c r="AS116" i="15"/>
  <c r="AD116" i="15"/>
  <c r="AS115" i="15"/>
  <c r="AD115" i="15"/>
  <c r="AS114" i="15"/>
  <c r="AD114" i="15"/>
  <c r="AS113" i="15"/>
  <c r="AD113" i="15"/>
  <c r="AS112" i="15"/>
  <c r="AD112" i="15"/>
  <c r="AS111" i="15"/>
  <c r="AD111" i="15"/>
  <c r="AS107" i="15"/>
  <c r="AD107" i="15"/>
  <c r="AS106" i="15"/>
  <c r="AD106" i="15"/>
  <c r="AS105" i="15"/>
  <c r="AD105" i="15"/>
  <c r="AS104" i="15"/>
  <c r="AD104" i="15"/>
  <c r="AS103" i="15"/>
  <c r="AD103" i="15"/>
  <c r="AS102" i="15"/>
  <c r="AD102" i="15"/>
  <c r="AS98" i="15"/>
  <c r="AD98" i="15"/>
  <c r="AS97" i="15"/>
  <c r="AD97" i="15"/>
  <c r="AS96" i="15"/>
  <c r="AD96" i="15"/>
  <c r="AS95" i="15"/>
  <c r="AD95" i="15"/>
  <c r="AS94" i="15"/>
  <c r="AD94" i="15"/>
  <c r="AS93" i="15"/>
  <c r="AD93" i="15"/>
  <c r="AS89" i="15"/>
  <c r="AD89" i="15"/>
  <c r="AS88" i="15"/>
  <c r="AD88" i="15"/>
  <c r="AS87" i="15"/>
  <c r="AD87" i="15"/>
  <c r="AS86" i="15"/>
  <c r="AD86" i="15"/>
  <c r="AS85" i="15"/>
  <c r="AD85" i="15"/>
  <c r="AS84" i="15"/>
  <c r="AD84" i="15"/>
  <c r="AS80" i="15"/>
  <c r="AD80" i="15"/>
  <c r="AS79" i="15"/>
  <c r="AD79" i="15"/>
  <c r="AS78" i="15"/>
  <c r="AD78" i="15"/>
  <c r="AS77" i="15"/>
  <c r="AD77" i="15"/>
  <c r="AS76" i="15"/>
  <c r="AD76" i="15"/>
  <c r="AS75" i="15"/>
  <c r="AD75" i="15"/>
  <c r="AS71" i="15"/>
  <c r="AD71" i="15"/>
  <c r="AS70" i="15"/>
  <c r="AD70" i="15"/>
  <c r="AS69" i="15"/>
  <c r="AD69" i="15"/>
  <c r="AS68" i="15"/>
  <c r="AD68" i="15"/>
  <c r="AS67" i="15"/>
  <c r="AD67" i="15"/>
  <c r="AS66" i="15"/>
  <c r="AD66" i="15"/>
  <c r="AS62" i="15"/>
  <c r="AD62" i="15"/>
  <c r="AS61" i="15"/>
  <c r="AD61" i="15"/>
  <c r="AS60" i="15"/>
  <c r="AD60" i="15"/>
  <c r="AS59" i="15"/>
  <c r="AD59" i="15"/>
  <c r="AS58" i="15"/>
  <c r="AD58" i="15"/>
  <c r="AS57" i="15"/>
  <c r="AD57" i="15"/>
  <c r="AS53" i="15"/>
  <c r="AD53" i="15"/>
  <c r="AS52" i="15"/>
  <c r="AD52" i="15"/>
  <c r="AS51" i="15"/>
  <c r="AD51" i="15"/>
  <c r="AS50" i="15"/>
  <c r="AD50" i="15"/>
  <c r="AS49" i="15"/>
  <c r="AD49" i="15"/>
  <c r="AS48" i="15"/>
  <c r="AD48" i="15"/>
  <c r="AS44" i="15"/>
  <c r="AD44" i="15"/>
  <c r="AS43" i="15"/>
  <c r="AD43" i="15"/>
  <c r="AS42" i="15"/>
  <c r="AD42" i="15"/>
  <c r="AS41" i="15"/>
  <c r="AD41" i="15"/>
  <c r="AS40" i="15"/>
  <c r="AD40" i="15"/>
  <c r="AS39" i="15"/>
  <c r="AD39" i="15"/>
  <c r="AS35" i="15"/>
  <c r="AD35" i="15"/>
  <c r="AS34" i="15"/>
  <c r="AD34" i="15"/>
  <c r="AS33" i="15"/>
  <c r="AD33" i="15"/>
  <c r="AS32" i="15"/>
  <c r="AD32" i="15"/>
  <c r="AS31" i="15"/>
  <c r="AD31" i="15"/>
  <c r="AS30" i="15"/>
  <c r="AD30" i="15"/>
  <c r="AS26" i="15"/>
  <c r="AD26" i="15"/>
  <c r="AS25" i="15"/>
  <c r="AD25" i="15"/>
  <c r="AS24" i="15"/>
  <c r="AD24" i="15"/>
  <c r="AS23" i="15"/>
  <c r="AD23" i="15"/>
  <c r="AS22" i="15"/>
  <c r="AD22" i="15"/>
  <c r="AS21" i="15"/>
  <c r="AD21" i="15"/>
  <c r="AS17" i="15"/>
  <c r="AD17" i="15"/>
  <c r="AS16" i="15"/>
  <c r="AD16" i="15"/>
  <c r="AS15" i="15"/>
  <c r="AD15" i="15"/>
  <c r="AS14" i="15"/>
  <c r="AD14" i="15"/>
  <c r="AS13" i="15"/>
  <c r="AD13" i="15"/>
  <c r="AS12" i="15"/>
  <c r="AD12" i="15"/>
  <c r="AS170" i="14"/>
  <c r="AD170" i="14"/>
  <c r="AS169" i="14"/>
  <c r="AD169" i="14"/>
  <c r="AS168" i="14"/>
  <c r="AD168" i="14"/>
  <c r="AS167" i="14"/>
  <c r="AD167" i="14"/>
  <c r="AS166" i="14"/>
  <c r="AD166" i="14"/>
  <c r="AS165" i="14"/>
  <c r="AD165" i="14"/>
  <c r="AS161" i="14"/>
  <c r="AD161" i="14"/>
  <c r="AS160" i="14"/>
  <c r="AD160" i="14"/>
  <c r="AS159" i="14"/>
  <c r="AD159" i="14"/>
  <c r="AS158" i="14"/>
  <c r="AD158" i="14"/>
  <c r="AS157" i="14"/>
  <c r="AD157" i="14"/>
  <c r="AS156" i="14"/>
  <c r="AD156" i="14"/>
  <c r="AS125" i="14"/>
  <c r="AD125" i="14"/>
  <c r="AS124" i="14"/>
  <c r="AD124" i="14"/>
  <c r="AS123" i="14"/>
  <c r="AD123" i="14"/>
  <c r="AS122" i="14"/>
  <c r="AD122" i="14"/>
  <c r="AS121" i="14"/>
  <c r="AD121" i="14"/>
  <c r="AS120" i="14"/>
  <c r="AD120" i="14"/>
  <c r="AS116" i="14"/>
  <c r="AD116" i="14"/>
  <c r="AS115" i="14"/>
  <c r="AD115" i="14"/>
  <c r="AS114" i="14"/>
  <c r="AD114" i="14"/>
  <c r="AS113" i="14"/>
  <c r="AD113" i="14"/>
  <c r="AS112" i="14"/>
  <c r="AD112" i="14"/>
  <c r="AS111" i="14"/>
  <c r="AD111" i="14"/>
  <c r="AS107" i="14"/>
  <c r="AD107" i="14"/>
  <c r="AS106" i="14"/>
  <c r="AD106" i="14"/>
  <c r="AS105" i="14"/>
  <c r="AD105" i="14"/>
  <c r="AS104" i="14"/>
  <c r="AD104" i="14"/>
  <c r="AS103" i="14"/>
  <c r="AD103" i="14"/>
  <c r="AS102" i="14"/>
  <c r="AD102" i="14"/>
  <c r="AS98" i="14"/>
  <c r="AD98" i="14"/>
  <c r="AS97" i="14"/>
  <c r="AD97" i="14"/>
  <c r="AS96" i="14"/>
  <c r="AD96" i="14"/>
  <c r="AS95" i="14"/>
  <c r="AD95" i="14"/>
  <c r="AS94" i="14"/>
  <c r="AD94" i="14"/>
  <c r="AS93" i="14"/>
  <c r="AD93" i="14"/>
  <c r="AS89" i="14"/>
  <c r="AD89" i="14"/>
  <c r="AS88" i="14"/>
  <c r="AD88" i="14"/>
  <c r="AS87" i="14"/>
  <c r="AD87" i="14"/>
  <c r="AS86" i="14"/>
  <c r="AD86" i="14"/>
  <c r="AS85" i="14"/>
  <c r="AD85" i="14"/>
  <c r="AS84" i="14"/>
  <c r="AD84" i="14"/>
  <c r="AS80" i="14"/>
  <c r="AD80" i="14"/>
  <c r="AS79" i="14"/>
  <c r="AD79" i="14"/>
  <c r="AS78" i="14"/>
  <c r="AD78" i="14"/>
  <c r="AS77" i="14"/>
  <c r="AD77" i="14"/>
  <c r="AS76" i="14"/>
  <c r="AD76" i="14"/>
  <c r="AS75" i="14"/>
  <c r="AD75" i="14"/>
  <c r="AS71" i="14"/>
  <c r="AD71" i="14"/>
  <c r="AS70" i="14"/>
  <c r="AD70" i="14"/>
  <c r="AS69" i="14"/>
  <c r="AD69" i="14"/>
  <c r="AS68" i="14"/>
  <c r="AD68" i="14"/>
  <c r="AS67" i="14"/>
  <c r="AD67" i="14"/>
  <c r="AS66" i="14"/>
  <c r="AD66" i="14"/>
  <c r="AS62" i="14"/>
  <c r="AD62" i="14"/>
  <c r="AS61" i="14"/>
  <c r="AD61" i="14"/>
  <c r="AS60" i="14"/>
  <c r="AD60" i="14"/>
  <c r="AS59" i="14"/>
  <c r="AD59" i="14"/>
  <c r="AS58" i="14"/>
  <c r="AD58" i="14"/>
  <c r="AS57" i="14"/>
  <c r="AD57" i="14"/>
  <c r="AS53" i="14"/>
  <c r="AD53" i="14"/>
  <c r="AS52" i="14"/>
  <c r="AD52" i="14"/>
  <c r="AS51" i="14"/>
  <c r="AD51" i="14"/>
  <c r="AS50" i="14"/>
  <c r="AD50" i="14"/>
  <c r="AS49" i="14"/>
  <c r="AD49" i="14"/>
  <c r="AS48" i="14"/>
  <c r="AD48" i="14"/>
  <c r="AS44" i="14"/>
  <c r="AD44" i="14"/>
  <c r="AS43" i="14"/>
  <c r="AD43" i="14"/>
  <c r="AS42" i="14"/>
  <c r="AD42" i="14"/>
  <c r="AS41" i="14"/>
  <c r="AD41" i="14"/>
  <c r="AS40" i="14"/>
  <c r="AD40" i="14"/>
  <c r="AS39" i="14"/>
  <c r="AD39" i="14"/>
  <c r="AS35" i="14"/>
  <c r="AD35" i="14"/>
  <c r="AS34" i="14"/>
  <c r="AD34" i="14"/>
  <c r="AS33" i="14"/>
  <c r="AD33" i="14"/>
  <c r="AS32" i="14"/>
  <c r="AD32" i="14"/>
  <c r="AS31" i="14"/>
  <c r="AD31" i="14"/>
  <c r="AS30" i="14"/>
  <c r="AD30" i="14"/>
  <c r="AS26" i="14"/>
  <c r="AD26" i="14"/>
  <c r="AS25" i="14"/>
  <c r="AD25" i="14"/>
  <c r="AS24" i="14"/>
  <c r="AD24" i="14"/>
  <c r="AS23" i="14"/>
  <c r="AD23" i="14"/>
  <c r="AS22" i="14"/>
  <c r="AD22" i="14"/>
  <c r="AS21" i="14"/>
  <c r="AD21" i="14"/>
  <c r="AS17" i="14"/>
  <c r="AD17" i="14"/>
  <c r="AS16" i="14"/>
  <c r="AD16" i="14"/>
  <c r="AS15" i="14"/>
  <c r="AD15" i="14"/>
  <c r="AS14" i="14"/>
  <c r="AD14" i="14"/>
  <c r="AS13" i="14"/>
  <c r="AD13" i="14"/>
  <c r="AS12" i="14"/>
  <c r="AD12" i="14"/>
  <c r="V34" i="8"/>
  <c r="CK53" i="4"/>
  <c r="AO98" i="27"/>
  <c r="AS98" i="27" s="1"/>
  <c r="AD98" i="27"/>
  <c r="AO111" i="27"/>
  <c r="AS111" i="27" s="1"/>
  <c r="AD111" i="27"/>
  <c r="AO112" i="27"/>
  <c r="AS112" i="27" s="1"/>
  <c r="AD112" i="27"/>
  <c r="AO113" i="27"/>
  <c r="AS113" i="27" s="1"/>
  <c r="AD113" i="27"/>
  <c r="AO114" i="27"/>
  <c r="AS114" i="27" s="1"/>
  <c r="AD114" i="27"/>
  <c r="AO115" i="27"/>
  <c r="AS115" i="27" s="1"/>
  <c r="AD115" i="27"/>
  <c r="AO116" i="27"/>
  <c r="AS116" i="27" s="1"/>
  <c r="AD116" i="27"/>
  <c r="AO129" i="27"/>
  <c r="AS129" i="27" s="1"/>
  <c r="AD129" i="27"/>
  <c r="AO130" i="27"/>
  <c r="AS130" i="27" s="1"/>
  <c r="AD130" i="27"/>
  <c r="AO131" i="27"/>
  <c r="AS131" i="27" s="1"/>
  <c r="AD131" i="27"/>
  <c r="AO132" i="27"/>
  <c r="AS132" i="27" s="1"/>
  <c r="AD132" i="27"/>
  <c r="AO133" i="27"/>
  <c r="AS133" i="27" s="1"/>
  <c r="AD133" i="27"/>
  <c r="AO134" i="27"/>
  <c r="AS134" i="27" s="1"/>
  <c r="AD134" i="27"/>
  <c r="AO147" i="27"/>
  <c r="AS147" i="27" s="1"/>
  <c r="AD147" i="27"/>
  <c r="AO148" i="27"/>
  <c r="AS148" i="27" s="1"/>
  <c r="AD148" i="27"/>
  <c r="AO149" i="27"/>
  <c r="AS149" i="27" s="1"/>
  <c r="AD149" i="27"/>
  <c r="AO150" i="27"/>
  <c r="AS150" i="27" s="1"/>
  <c r="AD150" i="27"/>
  <c r="AO151" i="27"/>
  <c r="AS151" i="27" s="1"/>
  <c r="AD151" i="27"/>
  <c r="AO152" i="27"/>
  <c r="AS152" i="27" s="1"/>
  <c r="AD152" i="27"/>
  <c r="AO165" i="27"/>
  <c r="AS165" i="27" s="1"/>
  <c r="AD165" i="27"/>
  <c r="AO166" i="27"/>
  <c r="AS166" i="27" s="1"/>
  <c r="AD166" i="27"/>
  <c r="AO167" i="27"/>
  <c r="AS167" i="27" s="1"/>
  <c r="AD167" i="27"/>
  <c r="AO168" i="27"/>
  <c r="AS168" i="27" s="1"/>
  <c r="AD168" i="27"/>
  <c r="AO169" i="27"/>
  <c r="AS169" i="27" s="1"/>
  <c r="AD169" i="27"/>
  <c r="AO170" i="27"/>
  <c r="AS170" i="27" s="1"/>
  <c r="AD170" i="27"/>
  <c r="AO17" i="30"/>
  <c r="AS17" i="30" s="1"/>
  <c r="AD17" i="30"/>
  <c r="AO25" i="30"/>
  <c r="AS25" i="30" s="1"/>
  <c r="AD25" i="30"/>
  <c r="AX31" i="30"/>
  <c r="AV34" i="30"/>
  <c r="AD43" i="30"/>
  <c r="AO43" i="30"/>
  <c r="AS43" i="30" s="1"/>
  <c r="AV51" i="30"/>
  <c r="AO61" i="30"/>
  <c r="AS61" i="30" s="1"/>
  <c r="AD61" i="30"/>
  <c r="AX67" i="30"/>
  <c r="AV70" i="30"/>
  <c r="AO79" i="30"/>
  <c r="AS79" i="30" s="1"/>
  <c r="AD79" i="30"/>
  <c r="AV87" i="30"/>
  <c r="AO93" i="30"/>
  <c r="AS93" i="30" s="1"/>
  <c r="AD93" i="30"/>
  <c r="AO94" i="30"/>
  <c r="AS94" i="30" s="1"/>
  <c r="AD94" i="30"/>
  <c r="AD97" i="30"/>
  <c r="AO97" i="30"/>
  <c r="AS97" i="30" s="1"/>
  <c r="AV103" i="30"/>
  <c r="AO105" i="30"/>
  <c r="AS105" i="30" s="1"/>
  <c r="AD105" i="30"/>
  <c r="AQ107" i="30"/>
  <c r="AS107" i="30" s="1"/>
  <c r="AD107" i="30"/>
  <c r="AD112" i="30"/>
  <c r="AO112" i="30"/>
  <c r="AS112" i="30" s="1"/>
  <c r="AQ114" i="30"/>
  <c r="AS114" i="30" s="1"/>
  <c r="AD114" i="30"/>
  <c r="AO115" i="30"/>
  <c r="AS115" i="30" s="1"/>
  <c r="AD115" i="30"/>
  <c r="AV121" i="30"/>
  <c r="AO123" i="30"/>
  <c r="AS123" i="30" s="1"/>
  <c r="AD123" i="30"/>
  <c r="AQ125" i="30"/>
  <c r="AS125" i="30" s="1"/>
  <c r="AD125" i="30"/>
  <c r="AO129" i="30"/>
  <c r="AS129" i="30" s="1"/>
  <c r="AD129" i="30"/>
  <c r="AV129" i="30"/>
  <c r="AO130" i="30"/>
  <c r="AS130" i="30" s="1"/>
  <c r="AD130" i="30"/>
  <c r="AV130" i="30"/>
  <c r="AO131" i="30"/>
  <c r="AS131" i="30" s="1"/>
  <c r="AD131" i="30"/>
  <c r="AV131" i="30"/>
  <c r="AO132" i="30"/>
  <c r="AS132" i="30" s="1"/>
  <c r="AD132" i="30"/>
  <c r="AV132" i="30"/>
  <c r="AO133" i="30"/>
  <c r="AS133" i="30" s="1"/>
  <c r="AD133" i="30"/>
  <c r="AV133" i="30"/>
  <c r="AO134" i="30"/>
  <c r="AS134" i="30" s="1"/>
  <c r="AD134" i="30"/>
  <c r="AV134" i="30"/>
  <c r="AO147" i="30"/>
  <c r="AS147" i="30" s="1"/>
  <c r="AD147" i="30"/>
  <c r="AV147" i="30"/>
  <c r="AO148" i="30"/>
  <c r="AS148" i="30" s="1"/>
  <c r="AD148" i="30"/>
  <c r="AV148" i="30"/>
  <c r="AO149" i="30"/>
  <c r="AS149" i="30" s="1"/>
  <c r="AD149" i="30"/>
  <c r="AV149" i="30"/>
  <c r="AO150" i="30"/>
  <c r="AS150" i="30" s="1"/>
  <c r="AD150" i="30"/>
  <c r="AV150" i="30"/>
  <c r="AO151" i="30"/>
  <c r="AS151" i="30" s="1"/>
  <c r="AD151" i="30"/>
  <c r="AV151" i="30"/>
  <c r="AO152" i="30"/>
  <c r="AS152" i="30" s="1"/>
  <c r="AD152" i="30"/>
  <c r="AV152" i="30"/>
  <c r="AO157" i="30"/>
  <c r="AS157" i="30" s="1"/>
  <c r="AD157" i="30"/>
  <c r="AQ159" i="30"/>
  <c r="AS159" i="30" s="1"/>
  <c r="AD159" i="30"/>
  <c r="AD160" i="30"/>
  <c r="AO160" i="30"/>
  <c r="AS160" i="30" s="1"/>
  <c r="AV166" i="30"/>
  <c r="AO168" i="30"/>
  <c r="AS168" i="30" s="1"/>
  <c r="AD168" i="30"/>
  <c r="AQ170" i="30"/>
  <c r="AS170" i="30" s="1"/>
  <c r="AD170" i="30"/>
  <c r="AV12" i="31"/>
  <c r="AV13" i="31"/>
  <c r="AV14" i="31"/>
  <c r="AV15" i="31"/>
  <c r="AV16" i="31"/>
  <c r="AV17" i="31"/>
  <c r="AV21" i="31"/>
  <c r="AV22" i="31"/>
  <c r="AV23" i="31"/>
  <c r="AM23" i="31"/>
  <c r="AV24" i="31"/>
  <c r="AV25" i="31"/>
  <c r="AV26" i="31"/>
  <c r="AV30" i="31"/>
  <c r="AM30" i="31"/>
  <c r="AV31" i="31"/>
  <c r="AV32" i="31"/>
  <c r="AV33" i="31"/>
  <c r="AV34" i="31"/>
  <c r="AM34" i="31"/>
  <c r="AV35" i="31"/>
  <c r="AV39" i="31"/>
  <c r="AV40" i="31"/>
  <c r="AV41" i="31"/>
  <c r="AV42" i="31"/>
  <c r="AV43" i="31"/>
  <c r="AV44" i="31"/>
  <c r="AV48" i="31"/>
  <c r="AM48" i="31"/>
  <c r="AV49" i="31"/>
  <c r="AV50" i="31"/>
  <c r="AV51" i="31"/>
  <c r="AV52" i="31"/>
  <c r="AM52" i="31"/>
  <c r="AV53" i="31"/>
  <c r="AV57" i="31"/>
  <c r="AV58" i="31"/>
  <c r="AV59" i="31"/>
  <c r="AY59" i="31" s="1"/>
  <c r="AM59" i="31"/>
  <c r="AV60" i="31"/>
  <c r="AV61" i="31"/>
  <c r="AV62" i="31"/>
  <c r="AV75" i="31"/>
  <c r="AV76" i="31"/>
  <c r="AV77" i="31"/>
  <c r="AM77" i="31"/>
  <c r="AV78" i="31"/>
  <c r="AM78" i="31"/>
  <c r="AV79" i="31"/>
  <c r="AY79" i="31" s="1"/>
  <c r="AM79" i="31"/>
  <c r="AV80" i="31"/>
  <c r="AV93" i="31"/>
  <c r="AW95" i="31"/>
  <c r="AU96" i="31"/>
  <c r="AY96" i="31" s="1"/>
  <c r="AM96" i="31"/>
  <c r="AR97" i="31"/>
  <c r="AS97" i="31" s="1"/>
  <c r="AD97" i="31"/>
  <c r="AP102" i="31"/>
  <c r="AS102" i="31" s="1"/>
  <c r="AD102" i="31"/>
  <c r="AP103" i="31"/>
  <c r="AS103" i="31" s="1"/>
  <c r="AD103" i="31"/>
  <c r="AM104" i="31"/>
  <c r="AU104" i="31"/>
  <c r="AY104" i="31" s="1"/>
  <c r="AW106" i="31"/>
  <c r="AM106" i="31"/>
  <c r="AU107" i="31"/>
  <c r="AY107" i="31" s="1"/>
  <c r="AM107" i="31"/>
  <c r="AM111" i="31"/>
  <c r="AU111" i="31"/>
  <c r="AY111" i="31" s="1"/>
  <c r="AM113" i="31"/>
  <c r="AU113" i="31"/>
  <c r="AY113" i="31" s="1"/>
  <c r="AU114" i="31"/>
  <c r="AY114" i="31" s="1"/>
  <c r="AM114" i="31"/>
  <c r="AM115" i="31"/>
  <c r="AU115" i="31"/>
  <c r="AY115" i="31" s="1"/>
  <c r="AU116" i="31"/>
  <c r="AY116" i="31" s="1"/>
  <c r="AM116" i="31"/>
  <c r="AR120" i="31"/>
  <c r="AS120" i="31" s="1"/>
  <c r="AD120" i="31"/>
  <c r="AR121" i="31"/>
  <c r="AS121" i="31" s="1"/>
  <c r="AD121" i="31"/>
  <c r="AR122" i="31"/>
  <c r="AS122" i="31" s="1"/>
  <c r="AD122" i="31"/>
  <c r="AR123" i="31"/>
  <c r="AS123" i="31" s="1"/>
  <c r="AD123" i="31"/>
  <c r="AR124" i="31"/>
  <c r="AS124" i="31" s="1"/>
  <c r="AD124" i="31"/>
  <c r="AR125" i="31"/>
  <c r="AS125" i="31" s="1"/>
  <c r="AD125" i="31"/>
  <c r="AO138" i="31"/>
  <c r="AS138" i="31" s="1"/>
  <c r="AD138" i="31"/>
  <c r="AV138" i="31"/>
  <c r="AO139" i="31"/>
  <c r="AS139" i="31" s="1"/>
  <c r="AD139" i="31"/>
  <c r="AV139" i="31"/>
  <c r="AM139" i="31"/>
  <c r="AO140" i="31"/>
  <c r="AS140" i="31" s="1"/>
  <c r="AD140" i="31"/>
  <c r="AV140" i="31"/>
  <c r="AM140" i="31"/>
  <c r="AO141" i="31"/>
  <c r="AS141" i="31" s="1"/>
  <c r="AD141" i="31"/>
  <c r="AV141" i="31"/>
  <c r="AO142" i="31"/>
  <c r="AS142" i="31" s="1"/>
  <c r="AD142" i="31"/>
  <c r="AV142" i="31"/>
  <c r="AO143" i="31"/>
  <c r="AS143" i="31" s="1"/>
  <c r="AD143" i="31"/>
  <c r="AV143" i="31"/>
  <c r="AR156" i="31"/>
  <c r="AS156" i="31" s="1"/>
  <c r="AD156" i="31"/>
  <c r="AR157" i="31"/>
  <c r="AS157" i="31" s="1"/>
  <c r="AD157" i="31"/>
  <c r="AR158" i="31"/>
  <c r="AS158" i="31" s="1"/>
  <c r="AD158" i="31"/>
  <c r="AR159" i="31"/>
  <c r="AS159" i="31" s="1"/>
  <c r="AD159" i="31"/>
  <c r="AR160" i="31"/>
  <c r="AS160" i="31" s="1"/>
  <c r="AD160" i="31"/>
  <c r="AR161" i="31"/>
  <c r="AS161" i="31" s="1"/>
  <c r="AD161" i="31"/>
  <c r="AM165" i="31"/>
  <c r="AU165" i="31"/>
  <c r="AY165" i="31" s="1"/>
  <c r="AU166" i="31"/>
  <c r="AY166" i="31" s="1"/>
  <c r="AM166" i="31"/>
  <c r="AM167" i="31"/>
  <c r="AU167" i="31"/>
  <c r="AY167" i="31" s="1"/>
  <c r="AU168" i="31"/>
  <c r="AY168" i="31" s="1"/>
  <c r="AM168" i="31"/>
  <c r="AM169" i="31"/>
  <c r="AU169" i="31"/>
  <c r="AY169" i="31" s="1"/>
  <c r="AU170" i="31"/>
  <c r="AY170" i="31" s="1"/>
  <c r="AM170" i="31"/>
  <c r="AR31" i="32"/>
  <c r="AS31" i="32" s="1"/>
  <c r="AD31" i="32"/>
  <c r="AR32" i="32"/>
  <c r="AS32" i="32" s="1"/>
  <c r="AD32" i="32"/>
  <c r="AR33" i="32"/>
  <c r="AS33" i="32" s="1"/>
  <c r="AD33" i="32"/>
  <c r="AR34" i="32"/>
  <c r="AS34" i="32" s="1"/>
  <c r="AD34" i="32"/>
  <c r="AR35" i="32"/>
  <c r="AS35" i="32" s="1"/>
  <c r="AD35" i="32"/>
  <c r="AR48" i="32"/>
  <c r="AS48" i="32" s="1"/>
  <c r="AD48" i="32"/>
  <c r="AR49" i="32"/>
  <c r="AS49" i="32" s="1"/>
  <c r="AD49" i="32"/>
  <c r="AR50" i="32"/>
  <c r="AS50" i="32" s="1"/>
  <c r="AD50" i="32"/>
  <c r="AR51" i="32"/>
  <c r="AS51" i="32" s="1"/>
  <c r="AD51" i="32"/>
  <c r="AR52" i="32"/>
  <c r="AS52" i="32" s="1"/>
  <c r="AD52" i="32"/>
  <c r="AR53" i="32"/>
  <c r="AS53" i="32" s="1"/>
  <c r="AD53" i="32"/>
  <c r="AR66" i="32"/>
  <c r="AS66" i="32" s="1"/>
  <c r="AD66" i="32"/>
  <c r="AR67" i="32"/>
  <c r="AS67" i="32" s="1"/>
  <c r="AD67" i="32"/>
  <c r="AR68" i="32"/>
  <c r="AS68" i="32" s="1"/>
  <c r="AD68" i="32"/>
  <c r="AR69" i="32"/>
  <c r="AS69" i="32" s="1"/>
  <c r="AD69" i="32"/>
  <c r="AR70" i="32"/>
  <c r="AS70" i="32" s="1"/>
  <c r="AD70" i="32"/>
  <c r="AR71" i="32"/>
  <c r="AS71" i="32" s="1"/>
  <c r="AD71" i="32"/>
  <c r="AU80" i="32"/>
  <c r="AR84" i="32"/>
  <c r="AS84" i="32" s="1"/>
  <c r="AD84" i="32"/>
  <c r="AR85" i="32"/>
  <c r="AS85" i="32" s="1"/>
  <c r="AD85" i="32"/>
  <c r="AR86" i="32"/>
  <c r="AS86" i="32" s="1"/>
  <c r="AD86" i="32"/>
  <c r="AR87" i="32"/>
  <c r="AS87" i="32" s="1"/>
  <c r="AD87" i="32"/>
  <c r="AR88" i="32"/>
  <c r="AS88" i="32" s="1"/>
  <c r="AD88" i="32"/>
  <c r="AR89" i="32"/>
  <c r="AS89" i="32" s="1"/>
  <c r="AD89" i="32"/>
  <c r="AU93" i="32"/>
  <c r="AW95" i="32"/>
  <c r="AU96" i="32"/>
  <c r="AR97" i="32"/>
  <c r="AS97" i="32" s="1"/>
  <c r="AD97" i="32"/>
  <c r="AP102" i="32"/>
  <c r="AS102" i="32" s="1"/>
  <c r="AD102" i="32"/>
  <c r="AP103" i="32"/>
  <c r="AS103" i="32" s="1"/>
  <c r="AD103" i="32"/>
  <c r="AM104" i="32"/>
  <c r="AU104" i="32"/>
  <c r="AW106" i="32"/>
  <c r="AU107" i="32"/>
  <c r="AU111" i="32"/>
  <c r="AW113" i="32"/>
  <c r="AW114" i="32"/>
  <c r="AW115" i="32"/>
  <c r="AW116" i="32"/>
  <c r="AW120" i="32"/>
  <c r="AW121" i="32"/>
  <c r="AW122" i="32"/>
  <c r="AW123" i="32"/>
  <c r="AW124" i="32"/>
  <c r="AW125" i="32"/>
  <c r="AP129" i="32"/>
  <c r="AS129" i="32" s="1"/>
  <c r="AD129" i="32"/>
  <c r="AU129" i="32"/>
  <c r="AP130" i="32"/>
  <c r="AS130" i="32" s="1"/>
  <c r="AD130" i="32"/>
  <c r="AU130" i="32"/>
  <c r="AP131" i="32"/>
  <c r="AS131" i="32" s="1"/>
  <c r="AD131" i="32"/>
  <c r="AU131" i="32"/>
  <c r="AP132" i="32"/>
  <c r="AS132" i="32" s="1"/>
  <c r="AD132" i="32"/>
  <c r="AU132" i="32"/>
  <c r="AP133" i="32"/>
  <c r="AS133" i="32" s="1"/>
  <c r="AD133" i="32"/>
  <c r="AU133" i="32"/>
  <c r="AM133" i="32"/>
  <c r="AP134" i="32"/>
  <c r="AS134" i="32" s="1"/>
  <c r="AD134" i="32"/>
  <c r="AU134" i="32"/>
  <c r="AP138" i="32"/>
  <c r="AS138" i="32" s="1"/>
  <c r="AD138" i="32"/>
  <c r="AU138" i="32"/>
  <c r="AP139" i="32"/>
  <c r="AS139" i="32" s="1"/>
  <c r="AD139" i="32"/>
  <c r="AU139" i="32"/>
  <c r="AP140" i="32"/>
  <c r="AS140" i="32" s="1"/>
  <c r="AD140" i="32"/>
  <c r="AU140" i="32"/>
  <c r="AP141" i="32"/>
  <c r="AS141" i="32" s="1"/>
  <c r="AD141" i="32"/>
  <c r="AU141" i="32"/>
  <c r="AP142" i="32"/>
  <c r="AS142" i="32" s="1"/>
  <c r="AD142" i="32"/>
  <c r="AU142" i="32"/>
  <c r="AP143" i="32"/>
  <c r="AS143" i="32" s="1"/>
  <c r="AD143" i="32"/>
  <c r="AU143" i="32"/>
  <c r="AP147" i="32"/>
  <c r="AS147" i="32" s="1"/>
  <c r="AD147" i="32"/>
  <c r="AU147" i="32"/>
  <c r="AP148" i="32"/>
  <c r="AS148" i="32" s="1"/>
  <c r="AD148" i="32"/>
  <c r="AU148" i="32"/>
  <c r="AP149" i="32"/>
  <c r="AS149" i="32" s="1"/>
  <c r="AD149" i="32"/>
  <c r="AU149" i="32"/>
  <c r="AP150" i="32"/>
  <c r="AS150" i="32" s="1"/>
  <c r="AD150" i="32"/>
  <c r="AU150" i="32"/>
  <c r="AP151" i="32"/>
  <c r="AS151" i="32" s="1"/>
  <c r="AD151" i="32"/>
  <c r="AU151" i="32"/>
  <c r="AP152" i="32"/>
  <c r="AS152" i="32" s="1"/>
  <c r="AD152" i="32"/>
  <c r="AU152" i="32"/>
  <c r="AW156" i="32"/>
  <c r="AW157" i="32"/>
  <c r="AW158" i="32"/>
  <c r="AW159" i="32"/>
  <c r="AW160" i="32"/>
  <c r="AW161" i="32"/>
  <c r="AW165" i="32"/>
  <c r="AW166" i="32"/>
  <c r="AW167" i="32"/>
  <c r="AW168" i="32"/>
  <c r="AW169" i="32"/>
  <c r="AW170" i="32"/>
  <c r="AY169" i="27"/>
  <c r="AD41" i="30"/>
  <c r="AS85" i="30"/>
  <c r="AO102" i="27"/>
  <c r="AS102" i="27" s="1"/>
  <c r="AD102" i="27"/>
  <c r="AO103" i="27"/>
  <c r="AS103" i="27" s="1"/>
  <c r="AD103" i="27"/>
  <c r="AO104" i="27"/>
  <c r="AS104" i="27" s="1"/>
  <c r="AD104" i="27"/>
  <c r="AO105" i="27"/>
  <c r="AS105" i="27" s="1"/>
  <c r="AD105" i="27"/>
  <c r="AO106" i="27"/>
  <c r="AS106" i="27" s="1"/>
  <c r="AD106" i="27"/>
  <c r="AO107" i="27"/>
  <c r="AS107" i="27" s="1"/>
  <c r="AD107" i="27"/>
  <c r="AO120" i="27"/>
  <c r="AS120" i="27" s="1"/>
  <c r="AD120" i="27"/>
  <c r="AO121" i="27"/>
  <c r="AS121" i="27" s="1"/>
  <c r="AD121" i="27"/>
  <c r="AO122" i="27"/>
  <c r="AS122" i="27" s="1"/>
  <c r="AD122" i="27"/>
  <c r="AO123" i="27"/>
  <c r="AS123" i="27" s="1"/>
  <c r="AD123" i="27"/>
  <c r="AO124" i="27"/>
  <c r="AS124" i="27" s="1"/>
  <c r="AD124" i="27"/>
  <c r="AO125" i="27"/>
  <c r="AS125" i="27" s="1"/>
  <c r="AD125" i="27"/>
  <c r="AO138" i="27"/>
  <c r="AS138" i="27" s="1"/>
  <c r="AD138" i="27"/>
  <c r="AV138" i="27"/>
  <c r="AY138" i="27" s="1"/>
  <c r="AM138" i="27"/>
  <c r="AO139" i="27"/>
  <c r="AS139" i="27" s="1"/>
  <c r="AD139" i="27"/>
  <c r="AV139" i="27"/>
  <c r="AY139" i="27" s="1"/>
  <c r="AM139" i="27"/>
  <c r="AO140" i="27"/>
  <c r="AS140" i="27" s="1"/>
  <c r="AD140" i="27"/>
  <c r="AV140" i="27"/>
  <c r="AY140" i="27" s="1"/>
  <c r="AM140" i="27"/>
  <c r="AO141" i="27"/>
  <c r="AS141" i="27" s="1"/>
  <c r="AD141" i="27"/>
  <c r="AV141" i="27"/>
  <c r="AY141" i="27" s="1"/>
  <c r="AM141" i="27"/>
  <c r="AO142" i="27"/>
  <c r="AS142" i="27" s="1"/>
  <c r="AD142" i="27"/>
  <c r="AV142" i="27"/>
  <c r="AY142" i="27" s="1"/>
  <c r="AM142" i="27"/>
  <c r="AO143" i="27"/>
  <c r="AS143" i="27" s="1"/>
  <c r="AD143" i="27"/>
  <c r="AV143" i="27"/>
  <c r="AY143" i="27" s="1"/>
  <c r="AM143" i="27"/>
  <c r="AO156" i="27"/>
  <c r="AS156" i="27" s="1"/>
  <c r="AD156" i="27"/>
  <c r="AV156" i="27"/>
  <c r="AY156" i="27" s="1"/>
  <c r="AM156" i="27"/>
  <c r="AO157" i="27"/>
  <c r="AS157" i="27" s="1"/>
  <c r="AD157" i="27"/>
  <c r="AV157" i="27"/>
  <c r="AY157" i="27" s="1"/>
  <c r="AM157" i="27"/>
  <c r="AO158" i="27"/>
  <c r="AS158" i="27" s="1"/>
  <c r="AD158" i="27"/>
  <c r="AV158" i="27"/>
  <c r="AY158" i="27" s="1"/>
  <c r="AM158" i="27"/>
  <c r="AO159" i="27"/>
  <c r="AS159" i="27" s="1"/>
  <c r="AD159" i="27"/>
  <c r="AV159" i="27"/>
  <c r="AY159" i="27" s="1"/>
  <c r="AM159" i="27"/>
  <c r="AO160" i="27"/>
  <c r="AS160" i="27" s="1"/>
  <c r="AD160" i="27"/>
  <c r="AV160" i="27"/>
  <c r="AY160" i="27" s="1"/>
  <c r="AM160" i="27"/>
  <c r="AO161" i="27"/>
  <c r="AS161" i="27" s="1"/>
  <c r="AD161" i="27"/>
  <c r="AV161" i="27"/>
  <c r="AY161" i="27" s="1"/>
  <c r="AM161" i="27"/>
  <c r="AO13" i="30"/>
  <c r="AS13" i="30" s="1"/>
  <c r="AD13" i="30"/>
  <c r="AQ23" i="30"/>
  <c r="AS23" i="30" s="1"/>
  <c r="AD23" i="30"/>
  <c r="AD24" i="30"/>
  <c r="AO24" i="30"/>
  <c r="AS24" i="30" s="1"/>
  <c r="AV30" i="30"/>
  <c r="AX35" i="30"/>
  <c r="AD39" i="30"/>
  <c r="AO39" i="30"/>
  <c r="AS39" i="30" s="1"/>
  <c r="AD42" i="30"/>
  <c r="AO42" i="30"/>
  <c r="AS42" i="30" s="1"/>
  <c r="AO57" i="30"/>
  <c r="AS57" i="30" s="1"/>
  <c r="AD57" i="30"/>
  <c r="AQ59" i="30"/>
  <c r="AS59" i="30" s="1"/>
  <c r="AD59" i="30"/>
  <c r="AD60" i="30"/>
  <c r="AO60" i="30"/>
  <c r="AS60" i="30" s="1"/>
  <c r="AV66" i="30"/>
  <c r="AX71" i="30"/>
  <c r="AO75" i="30"/>
  <c r="AS75" i="30" s="1"/>
  <c r="AD75" i="30"/>
  <c r="AO78" i="30"/>
  <c r="AS78" i="30" s="1"/>
  <c r="AD78" i="30"/>
  <c r="AV96" i="30"/>
  <c r="AD98" i="30"/>
  <c r="AO98" i="30"/>
  <c r="AS98" i="30" s="1"/>
  <c r="AQ103" i="30"/>
  <c r="AS103" i="30" s="1"/>
  <c r="AD103" i="30"/>
  <c r="AO104" i="30"/>
  <c r="AS104" i="30" s="1"/>
  <c r="AD104" i="30"/>
  <c r="AV107" i="30"/>
  <c r="AD111" i="30"/>
  <c r="AO111" i="30"/>
  <c r="AS111" i="30" s="1"/>
  <c r="AV114" i="30"/>
  <c r="AO116" i="30"/>
  <c r="AS116" i="30" s="1"/>
  <c r="AD116" i="30"/>
  <c r="AQ121" i="30"/>
  <c r="AS121" i="30" s="1"/>
  <c r="AD121" i="30"/>
  <c r="AO122" i="30"/>
  <c r="AS122" i="30" s="1"/>
  <c r="AD122" i="30"/>
  <c r="AV125" i="30"/>
  <c r="AO138" i="30"/>
  <c r="AS138" i="30" s="1"/>
  <c r="AD138" i="30"/>
  <c r="AV138" i="30"/>
  <c r="AO139" i="30"/>
  <c r="AS139" i="30" s="1"/>
  <c r="AD139" i="30"/>
  <c r="AV139" i="30"/>
  <c r="AO140" i="30"/>
  <c r="AS140" i="30" s="1"/>
  <c r="AD140" i="30"/>
  <c r="AV140" i="30"/>
  <c r="AO141" i="30"/>
  <c r="AS141" i="30" s="1"/>
  <c r="AD141" i="30"/>
  <c r="AV141" i="30"/>
  <c r="AO142" i="30"/>
  <c r="AS142" i="30" s="1"/>
  <c r="AD142" i="30"/>
  <c r="AV142" i="30"/>
  <c r="AO143" i="30"/>
  <c r="AS143" i="30" s="1"/>
  <c r="AD143" i="30"/>
  <c r="AV143" i="30"/>
  <c r="AO156" i="30"/>
  <c r="AS156" i="30" s="1"/>
  <c r="AD156" i="30"/>
  <c r="AV159" i="30"/>
  <c r="AD161" i="30"/>
  <c r="AO161" i="30"/>
  <c r="AS161" i="30" s="1"/>
  <c r="AQ166" i="30"/>
  <c r="AS166" i="30" s="1"/>
  <c r="AD166" i="30"/>
  <c r="AO167" i="30"/>
  <c r="AS167" i="30" s="1"/>
  <c r="AD167" i="30"/>
  <c r="AV170" i="30"/>
  <c r="AV66" i="31"/>
  <c r="AY66" i="31" s="1"/>
  <c r="AM66" i="31"/>
  <c r="AV67" i="31"/>
  <c r="AV68" i="31"/>
  <c r="AV69" i="31"/>
  <c r="AV70" i="31"/>
  <c r="AY70" i="31" s="1"/>
  <c r="AM70" i="31"/>
  <c r="AV71" i="31"/>
  <c r="AQ80" i="31"/>
  <c r="AS80" i="31" s="1"/>
  <c r="AD80" i="31"/>
  <c r="AV84" i="31"/>
  <c r="AM84" i="31"/>
  <c r="AV85" i="31"/>
  <c r="AV86" i="31"/>
  <c r="AV87" i="31"/>
  <c r="AV88" i="31"/>
  <c r="AM88" i="31"/>
  <c r="AV89" i="31"/>
  <c r="AM89" i="31"/>
  <c r="AQ93" i="31"/>
  <c r="AS93" i="31" s="1"/>
  <c r="AD93" i="31"/>
  <c r="AP95" i="31"/>
  <c r="AS95" i="31" s="1"/>
  <c r="AD95" i="31"/>
  <c r="AP96" i="31"/>
  <c r="AS96" i="31" s="1"/>
  <c r="AD96" i="31"/>
  <c r="AM97" i="31"/>
  <c r="AU97" i="31"/>
  <c r="AY97" i="31" s="1"/>
  <c r="AW102" i="31"/>
  <c r="AU103" i="31"/>
  <c r="AY103" i="31" s="1"/>
  <c r="AM103" i="31"/>
  <c r="AR104" i="31"/>
  <c r="AS104" i="31" s="1"/>
  <c r="AD104" i="31"/>
  <c r="AP106" i="31"/>
  <c r="AS106" i="31" s="1"/>
  <c r="AD106" i="31"/>
  <c r="AP107" i="31"/>
  <c r="AS107" i="31" s="1"/>
  <c r="AD107" i="31"/>
  <c r="AR111" i="31"/>
  <c r="AS111" i="31" s="1"/>
  <c r="AD111" i="31"/>
  <c r="AR113" i="31"/>
  <c r="AS113" i="31" s="1"/>
  <c r="AD113" i="31"/>
  <c r="AR114" i="31"/>
  <c r="AS114" i="31" s="1"/>
  <c r="AD114" i="31"/>
  <c r="AR115" i="31"/>
  <c r="AS115" i="31" s="1"/>
  <c r="AD115" i="31"/>
  <c r="AR116" i="31"/>
  <c r="AS116" i="31" s="1"/>
  <c r="AD116" i="31"/>
  <c r="AM120" i="31"/>
  <c r="AU120" i="31"/>
  <c r="AY120" i="31" s="1"/>
  <c r="AU121" i="31"/>
  <c r="AY121" i="31" s="1"/>
  <c r="AM121" i="31"/>
  <c r="AM122" i="31"/>
  <c r="AU122" i="31"/>
  <c r="AY122" i="31" s="1"/>
  <c r="AU123" i="31"/>
  <c r="AY123" i="31" s="1"/>
  <c r="AM123" i="31"/>
  <c r="AM124" i="31"/>
  <c r="AU124" i="31"/>
  <c r="AY124" i="31" s="1"/>
  <c r="AU125" i="31"/>
  <c r="AY125" i="31" s="1"/>
  <c r="AM125" i="31"/>
  <c r="AO129" i="31"/>
  <c r="AS129" i="31" s="1"/>
  <c r="AD129" i="31"/>
  <c r="AV129" i="31"/>
  <c r="AO130" i="31"/>
  <c r="AS130" i="31" s="1"/>
  <c r="AD130" i="31"/>
  <c r="AV130" i="31"/>
  <c r="AY130" i="31" s="1"/>
  <c r="AM130" i="31"/>
  <c r="AO131" i="31"/>
  <c r="AS131" i="31" s="1"/>
  <c r="AD131" i="31"/>
  <c r="AV131" i="31"/>
  <c r="AO132" i="31"/>
  <c r="AS132" i="31" s="1"/>
  <c r="AD132" i="31"/>
  <c r="AV132" i="31"/>
  <c r="AY132" i="31" s="1"/>
  <c r="AM132" i="31"/>
  <c r="AO133" i="31"/>
  <c r="AS133" i="31" s="1"/>
  <c r="AD133" i="31"/>
  <c r="AV133" i="31"/>
  <c r="AO134" i="31"/>
  <c r="AS134" i="31" s="1"/>
  <c r="AD134" i="31"/>
  <c r="AV134" i="31"/>
  <c r="AY134" i="31" s="1"/>
  <c r="AM134" i="31"/>
  <c r="AO147" i="31"/>
  <c r="AS147" i="31" s="1"/>
  <c r="AD147" i="31"/>
  <c r="AV147" i="31"/>
  <c r="AO148" i="31"/>
  <c r="AS148" i="31" s="1"/>
  <c r="AD148" i="31"/>
  <c r="AV148" i="31"/>
  <c r="AM148" i="31"/>
  <c r="AO149" i="31"/>
  <c r="AS149" i="31" s="1"/>
  <c r="AD149" i="31"/>
  <c r="AV149" i="31"/>
  <c r="AO150" i="31"/>
  <c r="AS150" i="31" s="1"/>
  <c r="AD150" i="31"/>
  <c r="AV150" i="31"/>
  <c r="AM150" i="31"/>
  <c r="AO151" i="31"/>
  <c r="AS151" i="31" s="1"/>
  <c r="AD151" i="31"/>
  <c r="AV151" i="31"/>
  <c r="AO152" i="31"/>
  <c r="AS152" i="31" s="1"/>
  <c r="AD152" i="31"/>
  <c r="AV152" i="31"/>
  <c r="AM152" i="31"/>
  <c r="AM156" i="31"/>
  <c r="AU156" i="31"/>
  <c r="AY156" i="31" s="1"/>
  <c r="AU157" i="31"/>
  <c r="AY157" i="31" s="1"/>
  <c r="AM157" i="31"/>
  <c r="AM158" i="31"/>
  <c r="AU158" i="31"/>
  <c r="AY158" i="31" s="1"/>
  <c r="AU159" i="31"/>
  <c r="AY159" i="31" s="1"/>
  <c r="AM159" i="31"/>
  <c r="AM160" i="31"/>
  <c r="AU160" i="31"/>
  <c r="AY160" i="31" s="1"/>
  <c r="AU161" i="31"/>
  <c r="AY161" i="31" s="1"/>
  <c r="AM161" i="31"/>
  <c r="AR165" i="31"/>
  <c r="AS165" i="31" s="1"/>
  <c r="AD165" i="31"/>
  <c r="AR166" i="31"/>
  <c r="AS166" i="31" s="1"/>
  <c r="AD166" i="31"/>
  <c r="AR167" i="31"/>
  <c r="AS167" i="31" s="1"/>
  <c r="AD167" i="31"/>
  <c r="AR168" i="31"/>
  <c r="AS168" i="31" s="1"/>
  <c r="AD168" i="31"/>
  <c r="AR169" i="31"/>
  <c r="AS169" i="31" s="1"/>
  <c r="AD169" i="31"/>
  <c r="AR170" i="31"/>
  <c r="AS170" i="31" s="1"/>
  <c r="AD170" i="31"/>
  <c r="AR23" i="32"/>
  <c r="AS23" i="32" s="1"/>
  <c r="AD23" i="32"/>
  <c r="AR24" i="32"/>
  <c r="AS24" i="32" s="1"/>
  <c r="AD24" i="32"/>
  <c r="AR25" i="32"/>
  <c r="AS25" i="32" s="1"/>
  <c r="AD25" i="32"/>
  <c r="AR26" i="32"/>
  <c r="AS26" i="32" s="1"/>
  <c r="AD26" i="32"/>
  <c r="AR39" i="32"/>
  <c r="AS39" i="32" s="1"/>
  <c r="AD39" i="32"/>
  <c r="AR40" i="32"/>
  <c r="AS40" i="32" s="1"/>
  <c r="AD40" i="32"/>
  <c r="AR41" i="32"/>
  <c r="AS41" i="32" s="1"/>
  <c r="AD41" i="32"/>
  <c r="AR42" i="32"/>
  <c r="AS42" i="32" s="1"/>
  <c r="AD42" i="32"/>
  <c r="AR43" i="32"/>
  <c r="AS43" i="32" s="1"/>
  <c r="AD43" i="32"/>
  <c r="AR44" i="32"/>
  <c r="AS44" i="32" s="1"/>
  <c r="AD44" i="32"/>
  <c r="AR57" i="32"/>
  <c r="AS57" i="32" s="1"/>
  <c r="AD57" i="32"/>
  <c r="AR58" i="32"/>
  <c r="AS58" i="32" s="1"/>
  <c r="AD58" i="32"/>
  <c r="AR59" i="32"/>
  <c r="AS59" i="32" s="1"/>
  <c r="AD59" i="32"/>
  <c r="AR60" i="32"/>
  <c r="AS60" i="32" s="1"/>
  <c r="AD60" i="32"/>
  <c r="AR61" i="32"/>
  <c r="AS61" i="32" s="1"/>
  <c r="AD61" i="32"/>
  <c r="AR62" i="32"/>
  <c r="AS62" i="32" s="1"/>
  <c r="AD62" i="32"/>
  <c r="AR75" i="32"/>
  <c r="AS75" i="32" s="1"/>
  <c r="AD75" i="32"/>
  <c r="AR76" i="32"/>
  <c r="AS76" i="32" s="1"/>
  <c r="AD76" i="32"/>
  <c r="AR77" i="32"/>
  <c r="AS77" i="32" s="1"/>
  <c r="AD77" i="32"/>
  <c r="AR78" i="32"/>
  <c r="AS78" i="32" s="1"/>
  <c r="AD78" i="32"/>
  <c r="AR79" i="32"/>
  <c r="AS79" i="32" s="1"/>
  <c r="AD79" i="32"/>
  <c r="AR80" i="32"/>
  <c r="AS80" i="32" s="1"/>
  <c r="AD80" i="32"/>
  <c r="AR93" i="32"/>
  <c r="AS93" i="32" s="1"/>
  <c r="AD93" i="32"/>
  <c r="AP95" i="32"/>
  <c r="AS95" i="32" s="1"/>
  <c r="AD95" i="32"/>
  <c r="AP96" i="32"/>
  <c r="AS96" i="32" s="1"/>
  <c r="AD96" i="32"/>
  <c r="AU97" i="32"/>
  <c r="AY97" i="32" s="1"/>
  <c r="AW102" i="32"/>
  <c r="AU103" i="32"/>
  <c r="AM103" i="32"/>
  <c r="AR104" i="32"/>
  <c r="AS104" i="32" s="1"/>
  <c r="AD104" i="32"/>
  <c r="AP106" i="32"/>
  <c r="AS106" i="32" s="1"/>
  <c r="AD106" i="32"/>
  <c r="AP107" i="32"/>
  <c r="AS107" i="32" s="1"/>
  <c r="AD107" i="32"/>
  <c r="AR111" i="32"/>
  <c r="AS111" i="32" s="1"/>
  <c r="AD111" i="32"/>
  <c r="AP113" i="32"/>
  <c r="AS113" i="32" s="1"/>
  <c r="AD113" i="32"/>
  <c r="AP114" i="32"/>
  <c r="AS114" i="32" s="1"/>
  <c r="AD114" i="32"/>
  <c r="AP115" i="32"/>
  <c r="AS115" i="32" s="1"/>
  <c r="AD115" i="32"/>
  <c r="AP116" i="32"/>
  <c r="AS116" i="32" s="1"/>
  <c r="AD116" i="32"/>
  <c r="AP120" i="32"/>
  <c r="AS120" i="32" s="1"/>
  <c r="AD120" i="32"/>
  <c r="AP121" i="32"/>
  <c r="AS121" i="32" s="1"/>
  <c r="AD121" i="32"/>
  <c r="AP122" i="32"/>
  <c r="AS122" i="32" s="1"/>
  <c r="AD122" i="32"/>
  <c r="AP123" i="32"/>
  <c r="AS123" i="32" s="1"/>
  <c r="AD123" i="32"/>
  <c r="AP124" i="32"/>
  <c r="AS124" i="32" s="1"/>
  <c r="AD124" i="32"/>
  <c r="AP125" i="32"/>
  <c r="AS125" i="32" s="1"/>
  <c r="AD125" i="32"/>
  <c r="AP156" i="32"/>
  <c r="AS156" i="32" s="1"/>
  <c r="AD156" i="32"/>
  <c r="AP157" i="32"/>
  <c r="AS157" i="32" s="1"/>
  <c r="AD157" i="32"/>
  <c r="AP158" i="32"/>
  <c r="AS158" i="32" s="1"/>
  <c r="AD158" i="32"/>
  <c r="AP159" i="32"/>
  <c r="AS159" i="32" s="1"/>
  <c r="AD159" i="32"/>
  <c r="AP160" i="32"/>
  <c r="AS160" i="32" s="1"/>
  <c r="AD160" i="32"/>
  <c r="AP161" i="32"/>
  <c r="AS161" i="32" s="1"/>
  <c r="AD161" i="32"/>
  <c r="AP165" i="32"/>
  <c r="AS165" i="32" s="1"/>
  <c r="AD165" i="32"/>
  <c r="AP166" i="32"/>
  <c r="AS166" i="32" s="1"/>
  <c r="AD166" i="32"/>
  <c r="AP167" i="32"/>
  <c r="AS167" i="32" s="1"/>
  <c r="AD167" i="32"/>
  <c r="AP168" i="32"/>
  <c r="AS168" i="32" s="1"/>
  <c r="AD168" i="32"/>
  <c r="AP169" i="32"/>
  <c r="AS169" i="32" s="1"/>
  <c r="AD169" i="32"/>
  <c r="AP170" i="32"/>
  <c r="AS170" i="32" s="1"/>
  <c r="AD170" i="32"/>
  <c r="AY105" i="27"/>
  <c r="AS71" i="30"/>
  <c r="AM170" i="26"/>
  <c r="AM169" i="26"/>
  <c r="AM168" i="26"/>
  <c r="AM167" i="26"/>
  <c r="AM166" i="26"/>
  <c r="AM165" i="26"/>
  <c r="AM152" i="26"/>
  <c r="AM151" i="26"/>
  <c r="AM150" i="26"/>
  <c r="AM149" i="26"/>
  <c r="AM148" i="26"/>
  <c r="AM147" i="26"/>
  <c r="AM134" i="26"/>
  <c r="AM133" i="26"/>
  <c r="AM132" i="26"/>
  <c r="AM131" i="26"/>
  <c r="AM130" i="26"/>
  <c r="AM129" i="26"/>
  <c r="AM116" i="26"/>
  <c r="AM115" i="26"/>
  <c r="AM114" i="26"/>
  <c r="AM113" i="26"/>
  <c r="AM112" i="26"/>
  <c r="AM111" i="26"/>
  <c r="AM98" i="26"/>
  <c r="AM97" i="26"/>
  <c r="AM125" i="26"/>
  <c r="AM124" i="26"/>
  <c r="AM123" i="26"/>
  <c r="AM122" i="26"/>
  <c r="AM121" i="26"/>
  <c r="AM120" i="26"/>
  <c r="AM107" i="26"/>
  <c r="AM106" i="26"/>
  <c r="AM105" i="26"/>
  <c r="AM104" i="26"/>
  <c r="AM103" i="26"/>
  <c r="AM102" i="26"/>
  <c r="AM96" i="26"/>
  <c r="AM95" i="26"/>
  <c r="AM94" i="26"/>
  <c r="AM93" i="26"/>
  <c r="AM80" i="26"/>
  <c r="AM79" i="26"/>
  <c r="AM78" i="26"/>
  <c r="AM77" i="26"/>
  <c r="AM76" i="26"/>
  <c r="AM75" i="26"/>
  <c r="AM62" i="26"/>
  <c r="AM61" i="26"/>
  <c r="AM60" i="26"/>
  <c r="AM59" i="26"/>
  <c r="AM58" i="26"/>
  <c r="AM57" i="26"/>
  <c r="AM44" i="26"/>
  <c r="AM43" i="26"/>
  <c r="AM42" i="26"/>
  <c r="AM41" i="26"/>
  <c r="AM40" i="26"/>
  <c r="AM39" i="26"/>
  <c r="AM26" i="26"/>
  <c r="AM25" i="26"/>
  <c r="AM24" i="26"/>
  <c r="AM23" i="26"/>
  <c r="AM89" i="26"/>
  <c r="AM88" i="26"/>
  <c r="AM87" i="26"/>
  <c r="AM86" i="26"/>
  <c r="AM85" i="26"/>
  <c r="AM84" i="26"/>
  <c r="AM71" i="26"/>
  <c r="AM70" i="26"/>
  <c r="AM69" i="26"/>
  <c r="AM68" i="26"/>
  <c r="AM67" i="26"/>
  <c r="AM66" i="26"/>
  <c r="AM53" i="26"/>
  <c r="AM52" i="26"/>
  <c r="AM51" i="26"/>
  <c r="AM50" i="26"/>
  <c r="AM49" i="26"/>
  <c r="AM48" i="26"/>
  <c r="AM35" i="26"/>
  <c r="AM34" i="26"/>
  <c r="AM33" i="26"/>
  <c r="AM32" i="26"/>
  <c r="AM31" i="26"/>
  <c r="AM30" i="26"/>
  <c r="AM22" i="26"/>
  <c r="AM21" i="26"/>
  <c r="AM17" i="26"/>
  <c r="AM16" i="26"/>
  <c r="AM15" i="26"/>
  <c r="AM14" i="26"/>
  <c r="AM13" i="26"/>
  <c r="AM12" i="26"/>
  <c r="AM170" i="27"/>
  <c r="AM169" i="27"/>
  <c r="AM168" i="27"/>
  <c r="AM167" i="27"/>
  <c r="AM166" i="27"/>
  <c r="AM165" i="27"/>
  <c r="AM152" i="27"/>
  <c r="AM151" i="27"/>
  <c r="AM150" i="27"/>
  <c r="AM149" i="27"/>
  <c r="AM148" i="27"/>
  <c r="AM147" i="27"/>
  <c r="AM134" i="27"/>
  <c r="AM133" i="27"/>
  <c r="AM132" i="27"/>
  <c r="AM131" i="27"/>
  <c r="AM130" i="27"/>
  <c r="AM129" i="27"/>
  <c r="AM116" i="27"/>
  <c r="AM115" i="27"/>
  <c r="AM114" i="27"/>
  <c r="AM113" i="27"/>
  <c r="AM112" i="27"/>
  <c r="AM111" i="27"/>
  <c r="AM98" i="27"/>
  <c r="AM97" i="27"/>
  <c r="AM125" i="27"/>
  <c r="AM124" i="27"/>
  <c r="AM123" i="27"/>
  <c r="AM122" i="27"/>
  <c r="AM121" i="27"/>
  <c r="AM120" i="27"/>
  <c r="AM107" i="27"/>
  <c r="AM106" i="27"/>
  <c r="AM105" i="27"/>
  <c r="AM104" i="27"/>
  <c r="AM103" i="27"/>
  <c r="AM102" i="27"/>
  <c r="AM96" i="27"/>
  <c r="AM95" i="27"/>
  <c r="AM94" i="27"/>
  <c r="AM93" i="27"/>
  <c r="AM80" i="27"/>
  <c r="AM79" i="27"/>
  <c r="AM78" i="27"/>
  <c r="AM77" i="27"/>
  <c r="AM76" i="27"/>
  <c r="AM75" i="27"/>
  <c r="AM62" i="27"/>
  <c r="AM61" i="27"/>
  <c r="AM60" i="27"/>
  <c r="AM59" i="27"/>
  <c r="AM58" i="27"/>
  <c r="AM57" i="27"/>
  <c r="AM44" i="27"/>
  <c r="AM43" i="27"/>
  <c r="AM42" i="27"/>
  <c r="AM41" i="27"/>
  <c r="AM40" i="27"/>
  <c r="AM39" i="27"/>
  <c r="AM26" i="27"/>
  <c r="AM25" i="27"/>
  <c r="AM24" i="27"/>
  <c r="AM23" i="27"/>
  <c r="AM21" i="27"/>
  <c r="AO44" i="30"/>
  <c r="AS44" i="30" s="1"/>
  <c r="AO40" i="30"/>
  <c r="AS40" i="30" s="1"/>
  <c r="AD15" i="30"/>
  <c r="AS32" i="30"/>
  <c r="AS68" i="30"/>
  <c r="AS86" i="30"/>
  <c r="AC57" i="2"/>
  <c r="AC54" i="2" s="1"/>
  <c r="AF57" i="2"/>
  <c r="AD57" i="2"/>
  <c r="AD54" i="2" s="1"/>
  <c r="L35" i="8"/>
  <c r="J35" i="8"/>
  <c r="AS30" i="30"/>
  <c r="AS34" i="30"/>
  <c r="AS48" i="30"/>
  <c r="AS52" i="30"/>
  <c r="AS66" i="30"/>
  <c r="AS70" i="30"/>
  <c r="BJ27" i="2"/>
  <c r="BJ28" i="2"/>
  <c r="AB62" i="1"/>
  <c r="AR62" i="1" s="1"/>
  <c r="AC62" i="1"/>
  <c r="AD62" i="1" s="1"/>
  <c r="W53" i="1"/>
  <c r="X53" i="1"/>
  <c r="Y53" i="1" s="1"/>
  <c r="AG13" i="1"/>
  <c r="AK13" i="1"/>
  <c r="AO13" i="1"/>
  <c r="AH13" i="1"/>
  <c r="AL13" i="1"/>
  <c r="AI13" i="1"/>
  <c r="AF13" i="1"/>
  <c r="AN13" i="1"/>
  <c r="AM13" i="1"/>
  <c r="AJ13" i="1"/>
  <c r="AB12" i="1"/>
  <c r="AT12" i="1" s="1"/>
  <c r="AC12" i="1"/>
  <c r="AD12" i="1" s="1"/>
  <c r="X62" i="1"/>
  <c r="Y62" i="1" s="1"/>
  <c r="W62" i="1"/>
  <c r="AL62" i="1" s="1"/>
  <c r="AS53" i="1"/>
  <c r="AW53" i="1"/>
  <c r="AP53" i="1"/>
  <c r="AT53" i="1"/>
  <c r="AX53" i="1"/>
  <c r="AQ53" i="1"/>
  <c r="AU53" i="1"/>
  <c r="AR53" i="1"/>
  <c r="AV53" i="1"/>
  <c r="AY53" i="1"/>
  <c r="W50" i="1"/>
  <c r="X50" i="1"/>
  <c r="Y50" i="1" s="1"/>
  <c r="AR170" i="1"/>
  <c r="AU170" i="1"/>
  <c r="AN133" i="1"/>
  <c r="AM133" i="1"/>
  <c r="AM129" i="1"/>
  <c r="AM115" i="1"/>
  <c r="AJ122" i="1"/>
  <c r="AM122" i="1"/>
  <c r="AJ106" i="1"/>
  <c r="AM106" i="1"/>
  <c r="AI94" i="1"/>
  <c r="AJ94" i="1"/>
  <c r="AI86" i="1"/>
  <c r="AJ86" i="1"/>
  <c r="AI70" i="1"/>
  <c r="AJ70" i="1"/>
  <c r="AV43" i="1"/>
  <c r="AR43" i="1"/>
  <c r="AY43" i="1"/>
  <c r="AU43" i="1"/>
  <c r="AT41" i="1"/>
  <c r="AW41" i="1"/>
  <c r="AX39" i="1"/>
  <c r="AT39" i="1"/>
  <c r="AP39" i="1"/>
  <c r="AW39" i="1"/>
  <c r="AX35" i="1"/>
  <c r="AT35" i="1"/>
  <c r="AP35" i="1"/>
  <c r="AW35" i="1"/>
  <c r="AP34" i="1"/>
  <c r="AS26" i="1"/>
  <c r="AU25" i="1"/>
  <c r="Y19" i="13"/>
  <c r="Z19" i="13" s="1"/>
  <c r="BD169" i="1"/>
  <c r="BD167" i="1"/>
  <c r="BD165" i="1"/>
  <c r="BD161" i="1"/>
  <c r="BD158" i="1"/>
  <c r="BD156" i="1"/>
  <c r="BD152" i="1"/>
  <c r="BD150" i="1"/>
  <c r="BD148" i="1"/>
  <c r="BD142" i="1"/>
  <c r="BD140" i="1"/>
  <c r="BD138" i="1"/>
  <c r="BD134" i="1"/>
  <c r="BD132" i="1"/>
  <c r="BD129" i="1"/>
  <c r="BD125" i="1"/>
  <c r="BD123" i="1"/>
  <c r="BD121" i="1"/>
  <c r="BD115" i="1"/>
  <c r="BD113" i="1"/>
  <c r="BD111" i="1"/>
  <c r="BD107" i="1"/>
  <c r="BD105" i="1"/>
  <c r="BD103" i="1"/>
  <c r="BD97" i="1"/>
  <c r="BD95" i="1"/>
  <c r="BD93" i="1"/>
  <c r="BD89" i="1"/>
  <c r="BD87" i="1"/>
  <c r="BD85" i="1"/>
  <c r="BD79" i="1"/>
  <c r="BD77" i="1"/>
  <c r="BD75" i="1"/>
  <c r="BD71" i="1"/>
  <c r="BD69" i="1"/>
  <c r="BD67" i="1"/>
  <c r="BD60" i="1"/>
  <c r="BD58" i="1"/>
  <c r="BD51" i="1"/>
  <c r="BD49" i="1"/>
  <c r="BD43" i="1"/>
  <c r="BD41" i="1"/>
  <c r="BD39" i="1"/>
  <c r="BD35" i="1"/>
  <c r="BD33" i="1"/>
  <c r="BD31" i="1"/>
  <c r="BD25" i="1"/>
  <c r="BD23" i="1"/>
  <c r="BD21" i="1"/>
  <c r="BD17" i="1"/>
  <c r="BD15" i="1"/>
  <c r="BD13" i="1"/>
  <c r="AP168" i="1"/>
  <c r="AU166" i="1"/>
  <c r="AY166" i="1"/>
  <c r="AV166" i="1"/>
  <c r="AS166" i="1"/>
  <c r="AW166" i="1"/>
  <c r="AP166" i="1"/>
  <c r="AT166" i="1"/>
  <c r="AX166" i="1"/>
  <c r="AQ166" i="1"/>
  <c r="AR166" i="1"/>
  <c r="AU159" i="1"/>
  <c r="AR159" i="1"/>
  <c r="AS159" i="1"/>
  <c r="AW159" i="1"/>
  <c r="AP159" i="1"/>
  <c r="AT159" i="1"/>
  <c r="AX159" i="1"/>
  <c r="AQ159" i="1"/>
  <c r="AY159" i="1"/>
  <c r="AV159" i="1"/>
  <c r="AQ157" i="1"/>
  <c r="AY157" i="1"/>
  <c r="AV157" i="1"/>
  <c r="AS157" i="1"/>
  <c r="AW157" i="1"/>
  <c r="AP157" i="1"/>
  <c r="AT157" i="1"/>
  <c r="AX157" i="1"/>
  <c r="AU157" i="1"/>
  <c r="AR157" i="1"/>
  <c r="AQ143" i="1"/>
  <c r="AY143" i="1"/>
  <c r="AV143" i="1"/>
  <c r="AS143" i="1"/>
  <c r="AW143" i="1"/>
  <c r="AP143" i="1"/>
  <c r="AT143" i="1"/>
  <c r="AX143" i="1"/>
  <c r="AU143" i="1"/>
  <c r="AR143" i="1"/>
  <c r="AX170" i="1"/>
  <c r="AT170" i="1"/>
  <c r="AP170" i="1"/>
  <c r="AW170" i="1"/>
  <c r="AH133" i="1"/>
  <c r="AJ133" i="1"/>
  <c r="AO133" i="1"/>
  <c r="AK133" i="1"/>
  <c r="AL124" i="1"/>
  <c r="AH124" i="1"/>
  <c r="AO124" i="1"/>
  <c r="AK124" i="1"/>
  <c r="AL122" i="1"/>
  <c r="AH122" i="1"/>
  <c r="AO122" i="1"/>
  <c r="AK122" i="1"/>
  <c r="AL120" i="1"/>
  <c r="AH120" i="1"/>
  <c r="AO120" i="1"/>
  <c r="AK120" i="1"/>
  <c r="AL106" i="1"/>
  <c r="AH106" i="1"/>
  <c r="AO106" i="1"/>
  <c r="AK106" i="1"/>
  <c r="AO96" i="1"/>
  <c r="AK96" i="1"/>
  <c r="AG96" i="1"/>
  <c r="AL96" i="1"/>
  <c r="AO94" i="1"/>
  <c r="AK94" i="1"/>
  <c r="AG94" i="1"/>
  <c r="AL94" i="1"/>
  <c r="AO88" i="1"/>
  <c r="AK88" i="1"/>
  <c r="AG88" i="1"/>
  <c r="AL88" i="1"/>
  <c r="AO86" i="1"/>
  <c r="AK86" i="1"/>
  <c r="AG86" i="1"/>
  <c r="AL86" i="1"/>
  <c r="AO84" i="1"/>
  <c r="AK84" i="1"/>
  <c r="AG84" i="1"/>
  <c r="AL84" i="1"/>
  <c r="AO70" i="1"/>
  <c r="AK70" i="1"/>
  <c r="AG70" i="1"/>
  <c r="AL70" i="1"/>
  <c r="AT26" i="1"/>
  <c r="AV25" i="1"/>
  <c r="AY25" i="1"/>
  <c r="AQ25" i="1"/>
  <c r="AV132" i="1"/>
  <c r="AR132" i="1"/>
  <c r="AY132" i="1"/>
  <c r="AU132" i="1"/>
  <c r="Y29" i="13"/>
  <c r="Z29" i="13" s="1"/>
  <c r="X160" i="1"/>
  <c r="Y160" i="1" s="1"/>
  <c r="AC88" i="1"/>
  <c r="AD88" i="1" s="1"/>
  <c r="AC86" i="1"/>
  <c r="AD86" i="1" s="1"/>
  <c r="AC84" i="1"/>
  <c r="AD84" i="1" s="1"/>
  <c r="X44" i="1"/>
  <c r="Y44" i="1" s="1"/>
  <c r="X42" i="1"/>
  <c r="Y42" i="1" s="1"/>
  <c r="AG170" i="1"/>
  <c r="AK170" i="1"/>
  <c r="AO170" i="1"/>
  <c r="AH170" i="1"/>
  <c r="AL170" i="1"/>
  <c r="AI170" i="1"/>
  <c r="AM170" i="1"/>
  <c r="AF170" i="1"/>
  <c r="AJ170" i="1"/>
  <c r="AN170" i="1"/>
  <c r="AG161" i="1"/>
  <c r="AK161" i="1"/>
  <c r="AO161" i="1"/>
  <c r="AH161" i="1"/>
  <c r="AL161" i="1"/>
  <c r="AI161" i="1"/>
  <c r="AM161" i="1"/>
  <c r="AF161" i="1"/>
  <c r="AJ161" i="1"/>
  <c r="AN161" i="1"/>
  <c r="AB160" i="1"/>
  <c r="AC160" i="1"/>
  <c r="AD160" i="1" s="1"/>
  <c r="AG152" i="1"/>
  <c r="AK152" i="1"/>
  <c r="AO152" i="1"/>
  <c r="AH152" i="1"/>
  <c r="AL152" i="1"/>
  <c r="AI152" i="1"/>
  <c r="AM152" i="1"/>
  <c r="AF152" i="1"/>
  <c r="AJ152" i="1"/>
  <c r="AN152" i="1"/>
  <c r="AB151" i="1"/>
  <c r="AC151" i="1"/>
  <c r="AD151" i="1" s="1"/>
  <c r="AQ130" i="1"/>
  <c r="AU130" i="1"/>
  <c r="AY130" i="1"/>
  <c r="AR130" i="1"/>
  <c r="AV130" i="1"/>
  <c r="AS130" i="1"/>
  <c r="AW130" i="1"/>
  <c r="AP130" i="1"/>
  <c r="AT130" i="1"/>
  <c r="AX130" i="1"/>
  <c r="AS114" i="1"/>
  <c r="AW114" i="1"/>
  <c r="AP114" i="1"/>
  <c r="AT114" i="1"/>
  <c r="AX114" i="1"/>
  <c r="AQ114" i="1"/>
  <c r="AU114" i="1"/>
  <c r="AY114" i="1"/>
  <c r="AR114" i="1"/>
  <c r="AV114" i="1"/>
  <c r="W95" i="1"/>
  <c r="X95" i="1"/>
  <c r="Y95" i="1" s="1"/>
  <c r="W80" i="1"/>
  <c r="X80" i="1"/>
  <c r="Y80" i="1" s="1"/>
  <c r="X78" i="1"/>
  <c r="Y78" i="1" s="1"/>
  <c r="W78" i="1"/>
  <c r="AC167" i="1"/>
  <c r="AD167" i="1" s="1"/>
  <c r="AB167" i="1"/>
  <c r="AI166" i="1"/>
  <c r="AM166" i="1"/>
  <c r="AF166" i="1"/>
  <c r="AJ166" i="1"/>
  <c r="AN166" i="1"/>
  <c r="AG166" i="1"/>
  <c r="AK166" i="1"/>
  <c r="AO166" i="1"/>
  <c r="AH166" i="1"/>
  <c r="AL166" i="1"/>
  <c r="AI148" i="1"/>
  <c r="AM148" i="1"/>
  <c r="AF148" i="1"/>
  <c r="AJ148" i="1"/>
  <c r="AN148" i="1"/>
  <c r="AG148" i="1"/>
  <c r="AK148" i="1"/>
  <c r="AO148" i="1"/>
  <c r="AH148" i="1"/>
  <c r="AL148" i="1"/>
  <c r="AC147" i="1"/>
  <c r="AD147" i="1" s="1"/>
  <c r="AB147" i="1"/>
  <c r="X130" i="1"/>
  <c r="W130" i="1"/>
  <c r="W114" i="1"/>
  <c r="X114" i="1"/>
  <c r="Y114" i="1" s="1"/>
  <c r="AP95" i="1"/>
  <c r="AT95" i="1"/>
  <c r="AX95" i="1"/>
  <c r="AS95" i="1"/>
  <c r="AW95" i="1"/>
  <c r="AR95" i="1"/>
  <c r="AV95" i="1"/>
  <c r="AQ95" i="1"/>
  <c r="AU95" i="1"/>
  <c r="AY95" i="1"/>
  <c r="AP80" i="1"/>
  <c r="AT80" i="1"/>
  <c r="AX80" i="1"/>
  <c r="AS80" i="1"/>
  <c r="AW80" i="1"/>
  <c r="AR80" i="1"/>
  <c r="AV80" i="1"/>
  <c r="AQ80" i="1"/>
  <c r="AU80" i="1"/>
  <c r="AY80" i="1"/>
  <c r="AR78" i="1"/>
  <c r="AV78" i="1"/>
  <c r="AQ78" i="1"/>
  <c r="AU78" i="1"/>
  <c r="AY78" i="1"/>
  <c r="AP78" i="1"/>
  <c r="AT78" i="1"/>
  <c r="AX78" i="1"/>
  <c r="AS78" i="1"/>
  <c r="AW78" i="1"/>
  <c r="AC48" i="1"/>
  <c r="AD48" i="1" s="1"/>
  <c r="AB48" i="1"/>
  <c r="AU48" i="1" s="1"/>
  <c r="AH31" i="1"/>
  <c r="AL31" i="1"/>
  <c r="AF31" i="1"/>
  <c r="AJ31" i="1"/>
  <c r="AN31" i="1"/>
  <c r="AC51" i="1"/>
  <c r="AD51" i="1" s="1"/>
  <c r="AC50" i="1"/>
  <c r="AD50" i="1" s="1"/>
  <c r="W44" i="1"/>
  <c r="T14" i="13"/>
  <c r="U14" i="13" s="1"/>
  <c r="Q14" i="13"/>
  <c r="R14" i="13" s="1"/>
  <c r="T13" i="13"/>
  <c r="AI150" i="1"/>
  <c r="AM150" i="1"/>
  <c r="AF150" i="1"/>
  <c r="AJ150" i="1"/>
  <c r="AN150" i="1"/>
  <c r="AG150" i="1"/>
  <c r="AK150" i="1"/>
  <c r="AO150" i="1"/>
  <c r="AH150" i="1"/>
  <c r="AL150" i="1"/>
  <c r="AC149" i="1"/>
  <c r="AB149" i="1"/>
  <c r="AS116" i="1"/>
  <c r="AW116" i="1"/>
  <c r="AP116" i="1"/>
  <c r="AT116" i="1"/>
  <c r="AX116" i="1"/>
  <c r="AQ116" i="1"/>
  <c r="AU116" i="1"/>
  <c r="AY116" i="1"/>
  <c r="AR116" i="1"/>
  <c r="AV116" i="1"/>
  <c r="X112" i="1"/>
  <c r="W112" i="1"/>
  <c r="AB105" i="1"/>
  <c r="AV105" i="1" s="1"/>
  <c r="AC105" i="1"/>
  <c r="AD105" i="1" s="1"/>
  <c r="AS103" i="1"/>
  <c r="AW103" i="1"/>
  <c r="AQ103" i="1"/>
  <c r="AU103" i="1"/>
  <c r="AY103" i="1"/>
  <c r="X98" i="1"/>
  <c r="Y98" i="1" s="1"/>
  <c r="W98" i="1"/>
  <c r="AB97" i="1"/>
  <c r="AP97" i="1" s="1"/>
  <c r="AC97" i="1"/>
  <c r="AD97" i="1" s="1"/>
  <c r="W71" i="1"/>
  <c r="X71" i="1"/>
  <c r="Y71" i="1" s="1"/>
  <c r="AB42" i="1"/>
  <c r="AC42" i="1"/>
  <c r="AD42" i="1" s="1"/>
  <c r="AG41" i="1"/>
  <c r="AK41" i="1"/>
  <c r="AO41" i="1"/>
  <c r="AH41" i="1"/>
  <c r="AL41" i="1"/>
  <c r="AI41" i="1"/>
  <c r="AM41" i="1"/>
  <c r="AF41" i="1"/>
  <c r="AJ41" i="1"/>
  <c r="AN41" i="1"/>
  <c r="AB40" i="1"/>
  <c r="AR40" i="1" s="1"/>
  <c r="AC40" i="1"/>
  <c r="AD40" i="1" s="1"/>
  <c r="AC32" i="1"/>
  <c r="AD32" i="1" s="1"/>
  <c r="AB32" i="1"/>
  <c r="W16" i="1"/>
  <c r="AG16" i="1" s="1"/>
  <c r="X16" i="1"/>
  <c r="Y16" i="1" s="1"/>
  <c r="AC15" i="1"/>
  <c r="AD15" i="1" s="1"/>
  <c r="AB15" i="1"/>
  <c r="AU15" i="1" s="1"/>
  <c r="W116" i="1"/>
  <c r="X116" i="1"/>
  <c r="Y116" i="1" s="1"/>
  <c r="AS112" i="1"/>
  <c r="AW112" i="1"/>
  <c r="AP112" i="1"/>
  <c r="AT112" i="1"/>
  <c r="AX112" i="1"/>
  <c r="AQ112" i="1"/>
  <c r="AU112" i="1"/>
  <c r="AY112" i="1"/>
  <c r="AR112" i="1"/>
  <c r="AV112" i="1"/>
  <c r="AB98" i="1"/>
  <c r="AP98" i="1" s="1"/>
  <c r="AC98" i="1"/>
  <c r="AD98" i="1" s="1"/>
  <c r="X97" i="1"/>
  <c r="W97" i="1"/>
  <c r="AP71" i="1"/>
  <c r="AT71" i="1"/>
  <c r="AX71" i="1"/>
  <c r="AS71" i="1"/>
  <c r="AW71" i="1"/>
  <c r="AR71" i="1"/>
  <c r="AV71" i="1"/>
  <c r="AQ71" i="1"/>
  <c r="AU71" i="1"/>
  <c r="AY71" i="1"/>
  <c r="AH49" i="1"/>
  <c r="AL49" i="1"/>
  <c r="AM49" i="1"/>
  <c r="AF49" i="1"/>
  <c r="AJ49" i="1"/>
  <c r="AN49" i="1"/>
  <c r="W32" i="1"/>
  <c r="AG32" i="1" s="1"/>
  <c r="X32" i="1"/>
  <c r="Y32" i="1" s="1"/>
  <c r="AC16" i="1"/>
  <c r="AD16" i="1" s="1"/>
  <c r="AB16" i="1"/>
  <c r="AV16" i="1" s="1"/>
  <c r="AF15" i="1"/>
  <c r="AJ15" i="1"/>
  <c r="AN15" i="1"/>
  <c r="AM15" i="1"/>
  <c r="AG15" i="1"/>
  <c r="AH15" i="1"/>
  <c r="AL15" i="1"/>
  <c r="AC14" i="1"/>
  <c r="AD14" i="1" s="1"/>
  <c r="AB14" i="1"/>
  <c r="AX14" i="1" s="1"/>
  <c r="AB86" i="1"/>
  <c r="W169" i="1"/>
  <c r="W165" i="1"/>
  <c r="W143" i="1"/>
  <c r="X143" i="1"/>
  <c r="Y143" i="1" s="1"/>
  <c r="AB142" i="1"/>
  <c r="AC142" i="1"/>
  <c r="AD142" i="1" s="1"/>
  <c r="AB140" i="1"/>
  <c r="AP140" i="1" s="1"/>
  <c r="AC140" i="1"/>
  <c r="AD140" i="1" s="1"/>
  <c r="AB125" i="1"/>
  <c r="AC125" i="1"/>
  <c r="AD125" i="1" s="1"/>
  <c r="AB123" i="1"/>
  <c r="AC123" i="1"/>
  <c r="AD123" i="1" s="1"/>
  <c r="AB121" i="1"/>
  <c r="AC121" i="1"/>
  <c r="AD121" i="1" s="1"/>
  <c r="X107" i="1"/>
  <c r="Y107" i="1" s="1"/>
  <c r="W107" i="1"/>
  <c r="AB89" i="1"/>
  <c r="AC89" i="1"/>
  <c r="AD89" i="1" s="1"/>
  <c r="W87" i="1"/>
  <c r="X87" i="1"/>
  <c r="Y87" i="1" s="1"/>
  <c r="AB85" i="1"/>
  <c r="AC85" i="1"/>
  <c r="X76" i="1"/>
  <c r="W76" i="1"/>
  <c r="AB60" i="1"/>
  <c r="AC60" i="1"/>
  <c r="AD60" i="1" s="1"/>
  <c r="AB58" i="1"/>
  <c r="AC58" i="1"/>
  <c r="AD58" i="1" s="1"/>
  <c r="AB44" i="1"/>
  <c r="AC44" i="1"/>
  <c r="AD44" i="1" s="1"/>
  <c r="W43" i="1"/>
  <c r="X43" i="1"/>
  <c r="Y43" i="1" s="1"/>
  <c r="W39" i="1"/>
  <c r="X39" i="1"/>
  <c r="Y39" i="1" s="1"/>
  <c r="W26" i="1"/>
  <c r="X26" i="1"/>
  <c r="Y26" i="1" s="1"/>
  <c r="W24" i="1"/>
  <c r="X24" i="1"/>
  <c r="Y24" i="1" s="1"/>
  <c r="W22" i="1"/>
  <c r="X22" i="1"/>
  <c r="Y22" i="1" s="1"/>
  <c r="V182" i="1"/>
  <c r="AA182" i="1"/>
  <c r="AB169" i="1"/>
  <c r="AC169" i="1"/>
  <c r="AD169" i="1" s="1"/>
  <c r="W168" i="1"/>
  <c r="X168" i="1"/>
  <c r="Y168" i="1" s="1"/>
  <c r="AB165" i="1"/>
  <c r="AC165" i="1"/>
  <c r="AG159" i="1"/>
  <c r="AK159" i="1"/>
  <c r="AO159" i="1"/>
  <c r="AH159" i="1"/>
  <c r="AL159" i="1"/>
  <c r="AI159" i="1"/>
  <c r="AM159" i="1"/>
  <c r="AF159" i="1"/>
  <c r="AJ159" i="1"/>
  <c r="AN159" i="1"/>
  <c r="AB158" i="1"/>
  <c r="AC158" i="1"/>
  <c r="AD158" i="1" s="1"/>
  <c r="W157" i="1"/>
  <c r="X157" i="1"/>
  <c r="Y157" i="1" s="1"/>
  <c r="AC156" i="1"/>
  <c r="AB156" i="1"/>
  <c r="AB138" i="1"/>
  <c r="AT138" i="1" s="1"/>
  <c r="AC138" i="1"/>
  <c r="AD138" i="1" s="1"/>
  <c r="X125" i="1"/>
  <c r="Y125" i="1" s="1"/>
  <c r="W125" i="1"/>
  <c r="X123" i="1"/>
  <c r="Y123" i="1" s="1"/>
  <c r="W123" i="1"/>
  <c r="X121" i="1"/>
  <c r="W121" i="1"/>
  <c r="AB107" i="1"/>
  <c r="AC107" i="1"/>
  <c r="AD107" i="1" s="1"/>
  <c r="X103" i="1"/>
  <c r="Y103" i="1" s="1"/>
  <c r="W103" i="1"/>
  <c r="AL103" i="1" s="1"/>
  <c r="W89" i="1"/>
  <c r="X89" i="1"/>
  <c r="Y89" i="1" s="1"/>
  <c r="AB87" i="1"/>
  <c r="AC87" i="1"/>
  <c r="AD87" i="1" s="1"/>
  <c r="X85" i="1"/>
  <c r="W85" i="1"/>
  <c r="AB76" i="1"/>
  <c r="AC76" i="1"/>
  <c r="AD76" i="1" s="1"/>
  <c r="AB66" i="1"/>
  <c r="AV66" i="1" s="1"/>
  <c r="AC66" i="1"/>
  <c r="AD66" i="1" s="1"/>
  <c r="X60" i="1"/>
  <c r="Y60" i="1" s="1"/>
  <c r="W60" i="1"/>
  <c r="X58" i="1"/>
  <c r="W58" i="1"/>
  <c r="W34" i="1"/>
  <c r="X34" i="1"/>
  <c r="Y34" i="1" s="1"/>
  <c r="AC33" i="1"/>
  <c r="AD33" i="1" s="1"/>
  <c r="AB33" i="1"/>
  <c r="AW33" i="1" s="1"/>
  <c r="AV41" i="1"/>
  <c r="AR41" i="1"/>
  <c r="AY41" i="1"/>
  <c r="AU41" i="1"/>
  <c r="AY40" i="1"/>
  <c r="AX25" i="1"/>
  <c r="AT25" i="1"/>
  <c r="AP25" i="1"/>
  <c r="AW25" i="1"/>
  <c r="AX21" i="1"/>
  <c r="AT21" i="1"/>
  <c r="AP21" i="1"/>
  <c r="AW21" i="1"/>
  <c r="AX13" i="1"/>
  <c r="AP13" i="1"/>
  <c r="AS13" i="1"/>
  <c r="W67" i="1"/>
  <c r="AL67" i="1" s="1"/>
  <c r="X31" i="1"/>
  <c r="Y31" i="1" s="1"/>
  <c r="X13" i="1"/>
  <c r="Y13" i="1" s="1"/>
  <c r="X170" i="1"/>
  <c r="Y170" i="1" s="1"/>
  <c r="W167" i="1"/>
  <c r="X166" i="1"/>
  <c r="X152" i="1"/>
  <c r="Y152" i="1" s="1"/>
  <c r="X150" i="1"/>
  <c r="Y150" i="1" s="1"/>
  <c r="X148" i="1"/>
  <c r="Y148" i="1" s="1"/>
  <c r="W140" i="1"/>
  <c r="AL140" i="1" s="1"/>
  <c r="W138" i="1"/>
  <c r="AL138" i="1" s="1"/>
  <c r="AC132" i="1"/>
  <c r="AD132" i="1" s="1"/>
  <c r="AC130" i="1"/>
  <c r="AD130" i="1" s="1"/>
  <c r="AC116" i="1"/>
  <c r="AD116" i="1" s="1"/>
  <c r="AC114" i="1"/>
  <c r="AD114" i="1" s="1"/>
  <c r="AC112" i="1"/>
  <c r="AD112" i="1" s="1"/>
  <c r="AC103" i="1"/>
  <c r="AD103" i="1" s="1"/>
  <c r="AC95" i="1"/>
  <c r="AD95" i="1" s="1"/>
  <c r="AB88" i="1"/>
  <c r="AB84" i="1"/>
  <c r="AC71" i="1"/>
  <c r="AD71" i="1" s="1"/>
  <c r="AC69" i="1"/>
  <c r="AD69" i="1" s="1"/>
  <c r="AC53" i="1"/>
  <c r="AD53" i="1" s="1"/>
  <c r="AB51" i="1"/>
  <c r="AX51" i="1" s="1"/>
  <c r="W51" i="1"/>
  <c r="AM51" i="1" s="1"/>
  <c r="W42" i="1"/>
  <c r="X41" i="1"/>
  <c r="Y41" i="1" s="1"/>
  <c r="AR26" i="1"/>
  <c r="AV22" i="1"/>
  <c r="AV13" i="1"/>
  <c r="AR13" i="1"/>
  <c r="AY13" i="1"/>
  <c r="AU13" i="1"/>
  <c r="W158" i="1"/>
  <c r="X158" i="1"/>
  <c r="Y158" i="1" s="1"/>
  <c r="W149" i="1"/>
  <c r="X149" i="1"/>
  <c r="Y149" i="1" s="1"/>
  <c r="X141" i="1"/>
  <c r="Y141" i="1" s="1"/>
  <c r="W141" i="1"/>
  <c r="X139" i="1"/>
  <c r="Y139" i="1" s="1"/>
  <c r="W139" i="1"/>
  <c r="AR134" i="1"/>
  <c r="AP134" i="1"/>
  <c r="AV134" i="1"/>
  <c r="AR133" i="1"/>
  <c r="AP133" i="1"/>
  <c r="AV133" i="1"/>
  <c r="AB129" i="1"/>
  <c r="AC129" i="1"/>
  <c r="AB124" i="1"/>
  <c r="AC124" i="1"/>
  <c r="AD124" i="1" s="1"/>
  <c r="AB120" i="1"/>
  <c r="AC120" i="1"/>
  <c r="AB115" i="1"/>
  <c r="AC115" i="1"/>
  <c r="AD115" i="1" s="1"/>
  <c r="AB111" i="1"/>
  <c r="AC111" i="1"/>
  <c r="AB106" i="1"/>
  <c r="AC106" i="1"/>
  <c r="AD106" i="1" s="1"/>
  <c r="X104" i="1"/>
  <c r="Y104" i="1" s="1"/>
  <c r="W104" i="1"/>
  <c r="X102" i="1"/>
  <c r="W102" i="1"/>
  <c r="AB94" i="1"/>
  <c r="AC94" i="1"/>
  <c r="X161" i="1"/>
  <c r="Y161" i="1" s="1"/>
  <c r="W160" i="1"/>
  <c r="X159" i="1"/>
  <c r="Y159" i="1" s="1"/>
  <c r="W156" i="1"/>
  <c r="X156" i="1"/>
  <c r="W151" i="1"/>
  <c r="X151" i="1"/>
  <c r="Y151" i="1" s="1"/>
  <c r="W147" i="1"/>
  <c r="X147" i="1"/>
  <c r="W142" i="1"/>
  <c r="X142" i="1"/>
  <c r="Y142" i="1" s="1"/>
  <c r="AB141" i="1"/>
  <c r="AC141" i="1"/>
  <c r="AD141" i="1" s="1"/>
  <c r="AB139" i="1"/>
  <c r="AC139" i="1"/>
  <c r="AB131" i="1"/>
  <c r="AC131" i="1"/>
  <c r="AD131" i="1" s="1"/>
  <c r="AB122" i="1"/>
  <c r="AC122" i="1"/>
  <c r="AD122" i="1" s="1"/>
  <c r="AB113" i="1"/>
  <c r="AC113" i="1"/>
  <c r="AD113" i="1" s="1"/>
  <c r="X105" i="1"/>
  <c r="Y105" i="1" s="1"/>
  <c r="W105" i="1"/>
  <c r="AB104" i="1"/>
  <c r="AC104" i="1"/>
  <c r="AD104" i="1" s="1"/>
  <c r="AP103" i="1"/>
  <c r="AT103" i="1"/>
  <c r="AX103" i="1"/>
  <c r="AR103" i="1"/>
  <c r="AV103" i="1"/>
  <c r="AB102" i="1"/>
  <c r="AC102" i="1"/>
  <c r="AB96" i="1"/>
  <c r="AC96" i="1"/>
  <c r="AD96" i="1" s="1"/>
  <c r="AC75" i="1"/>
  <c r="AB75" i="1"/>
  <c r="AC70" i="1"/>
  <c r="AD70" i="1" s="1"/>
  <c r="AB70" i="1"/>
  <c r="W66" i="1"/>
  <c r="X66" i="1"/>
  <c r="AC61" i="1"/>
  <c r="AD61" i="1" s="1"/>
  <c r="AB61" i="1"/>
  <c r="AC57" i="1"/>
  <c r="AB57" i="1"/>
  <c r="AC52" i="1"/>
  <c r="AD52" i="1" s="1"/>
  <c r="AB52" i="1"/>
  <c r="AB93" i="1"/>
  <c r="AC80" i="1"/>
  <c r="AD80" i="1" s="1"/>
  <c r="AB79" i="1"/>
  <c r="AC78" i="1"/>
  <c r="AD78" i="1" s="1"/>
  <c r="AB77" i="1"/>
  <c r="AC67" i="1"/>
  <c r="AB67" i="1"/>
  <c r="AC59" i="1"/>
  <c r="AD59" i="1" s="1"/>
  <c r="AB59" i="1"/>
  <c r="AI48" i="1"/>
  <c r="AM48" i="1"/>
  <c r="AG49" i="1"/>
  <c r="AK49" i="1"/>
  <c r="AO49" i="1"/>
  <c r="W40" i="1"/>
  <c r="X40" i="1"/>
  <c r="W33" i="1"/>
  <c r="X33" i="1"/>
  <c r="Y33" i="1" s="1"/>
  <c r="W23" i="1"/>
  <c r="X23" i="1"/>
  <c r="Y23" i="1" s="1"/>
  <c r="W17" i="1"/>
  <c r="X17" i="1"/>
  <c r="Y17" i="1" s="1"/>
  <c r="W12" i="1"/>
  <c r="X12" i="1"/>
  <c r="W35" i="1"/>
  <c r="X35" i="1"/>
  <c r="Y35" i="1" s="1"/>
  <c r="AC31" i="1"/>
  <c r="AB31" i="1"/>
  <c r="AG31" i="1"/>
  <c r="AK31" i="1"/>
  <c r="AO31" i="1"/>
  <c r="AI31" i="1"/>
  <c r="AM31" i="1"/>
  <c r="W30" i="1"/>
  <c r="X30" i="1"/>
  <c r="W25" i="1"/>
  <c r="X25" i="1"/>
  <c r="Y25" i="1" s="1"/>
  <c r="W21" i="1"/>
  <c r="X21" i="1"/>
  <c r="AC17" i="1"/>
  <c r="AB17" i="1"/>
  <c r="AI15" i="1"/>
  <c r="AO15" i="1"/>
  <c r="AK15" i="1"/>
  <c r="W14" i="1"/>
  <c r="X14" i="1"/>
  <c r="Y14" i="1" s="1"/>
  <c r="AS49" i="1"/>
  <c r="AI49" i="1"/>
  <c r="AC49" i="1"/>
  <c r="X49" i="1"/>
  <c r="X15" i="1"/>
  <c r="Y15" i="1" s="1"/>
  <c r="AG29" i="2"/>
  <c r="AG27" i="2"/>
  <c r="AG30" i="2"/>
  <c r="AG26" i="2"/>
  <c r="AA72" i="2"/>
  <c r="AA46" i="2"/>
  <c r="AA73" i="2"/>
  <c r="AA39" i="2"/>
  <c r="AA35" i="2"/>
  <c r="AA34" i="2"/>
  <c r="AA69" i="2"/>
  <c r="AA42" i="2"/>
  <c r="AA38" i="2"/>
  <c r="AG38" i="2" s="1"/>
  <c r="BH38" i="2"/>
  <c r="AV46" i="2"/>
  <c r="BH46" i="2" s="1"/>
  <c r="AH46" i="2"/>
  <c r="AH38" i="2"/>
  <c r="AJ38" i="2" s="1"/>
  <c r="AH69" i="2"/>
  <c r="AA57" i="2"/>
  <c r="AA53" i="2"/>
  <c r="AH53" i="2"/>
  <c r="AF10" i="4" s="1"/>
  <c r="CL79" i="4" s="1"/>
  <c r="CL80" i="4" s="1"/>
  <c r="BH39" i="2"/>
  <c r="AH39" i="2"/>
  <c r="AJ39" i="2" s="1"/>
  <c r="AH73" i="2"/>
  <c r="AH72" i="2"/>
  <c r="BF43" i="2"/>
  <c r="BF47" i="2" s="1"/>
  <c r="BF40" i="2"/>
  <c r="Y43" i="2"/>
  <c r="Y47" i="2" s="1"/>
  <c r="Y40" i="2"/>
  <c r="N31" i="8" s="1"/>
  <c r="P31" i="8" s="1"/>
  <c r="CH77" i="4"/>
  <c r="M121" i="4" s="1"/>
  <c r="H175" i="4"/>
  <c r="CL77" i="4"/>
  <c r="Q73" i="4"/>
  <c r="AF20" i="4"/>
  <c r="X147" i="4"/>
  <c r="Q72" i="4" s="1"/>
  <c r="AP12" i="29"/>
  <c r="AS12" i="29" s="1"/>
  <c r="AD12" i="29"/>
  <c r="AP13" i="29"/>
  <c r="AS13" i="29" s="1"/>
  <c r="AD13" i="29"/>
  <c r="AU13" i="29"/>
  <c r="AP14" i="29"/>
  <c r="AS14" i="29" s="1"/>
  <c r="AD14" i="29"/>
  <c r="AU14" i="29"/>
  <c r="AP15" i="29"/>
  <c r="AS15" i="29" s="1"/>
  <c r="AD15" i="29"/>
  <c r="AU15" i="29"/>
  <c r="AP16" i="29"/>
  <c r="AS16" i="29" s="1"/>
  <c r="AD16" i="29"/>
  <c r="AU16" i="29"/>
  <c r="AP17" i="29"/>
  <c r="AS17" i="29" s="1"/>
  <c r="AD17" i="29"/>
  <c r="AU17" i="29"/>
  <c r="AP21" i="29"/>
  <c r="AS21" i="29" s="1"/>
  <c r="AD21" i="29"/>
  <c r="AU21" i="29"/>
  <c r="AP22" i="29"/>
  <c r="AS22" i="29" s="1"/>
  <c r="AD22" i="29"/>
  <c r="AU22" i="29"/>
  <c r="AP23" i="29"/>
  <c r="AS23" i="29" s="1"/>
  <c r="AD23" i="29"/>
  <c r="AU23" i="29"/>
  <c r="AP24" i="29"/>
  <c r="AS24" i="29" s="1"/>
  <c r="AD24" i="29"/>
  <c r="AU24" i="29"/>
  <c r="AP25" i="29"/>
  <c r="AS25" i="29" s="1"/>
  <c r="AD25" i="29"/>
  <c r="AU25" i="29"/>
  <c r="AP26" i="29"/>
  <c r="AS26" i="29" s="1"/>
  <c r="AD26" i="29"/>
  <c r="AU26" i="29"/>
  <c r="AP39" i="29"/>
  <c r="AS39" i="29" s="1"/>
  <c r="AD39" i="29"/>
  <c r="AU39" i="29"/>
  <c r="AP40" i="29"/>
  <c r="AS40" i="29" s="1"/>
  <c r="AD40" i="29"/>
  <c r="AU40" i="29"/>
  <c r="AP41" i="29"/>
  <c r="AS41" i="29" s="1"/>
  <c r="AD41" i="29"/>
  <c r="AU41" i="29"/>
  <c r="AP42" i="29"/>
  <c r="AS42" i="29" s="1"/>
  <c r="AD42" i="29"/>
  <c r="AU42" i="29"/>
  <c r="AP43" i="29"/>
  <c r="AS43" i="29" s="1"/>
  <c r="AD43" i="29"/>
  <c r="AU43" i="29"/>
  <c r="AP44" i="29"/>
  <c r="AS44" i="29" s="1"/>
  <c r="AD44" i="29"/>
  <c r="AU44" i="29"/>
  <c r="AP57" i="29"/>
  <c r="AS57" i="29" s="1"/>
  <c r="AD57" i="29"/>
  <c r="AU57" i="29"/>
  <c r="AP58" i="29"/>
  <c r="AS58" i="29" s="1"/>
  <c r="AD58" i="29"/>
  <c r="AU58" i="29"/>
  <c r="AP59" i="29"/>
  <c r="AS59" i="29" s="1"/>
  <c r="AD59" i="29"/>
  <c r="AU59" i="29"/>
  <c r="AP60" i="29"/>
  <c r="AS60" i="29" s="1"/>
  <c r="AD60" i="29"/>
  <c r="AU60" i="29"/>
  <c r="AP61" i="29"/>
  <c r="AS61" i="29" s="1"/>
  <c r="AD61" i="29"/>
  <c r="AU61" i="29"/>
  <c r="AP62" i="29"/>
  <c r="AS62" i="29" s="1"/>
  <c r="AD62" i="29"/>
  <c r="AU62" i="29"/>
  <c r="AP75" i="29"/>
  <c r="AS75" i="29" s="1"/>
  <c r="AD75" i="29"/>
  <c r="AU75" i="29"/>
  <c r="AP76" i="29"/>
  <c r="AS76" i="29" s="1"/>
  <c r="AD76" i="29"/>
  <c r="AU76" i="29"/>
  <c r="AP77" i="29"/>
  <c r="AS77" i="29" s="1"/>
  <c r="AD77" i="29"/>
  <c r="AU77" i="29"/>
  <c r="AP78" i="29"/>
  <c r="AS78" i="29" s="1"/>
  <c r="AD78" i="29"/>
  <c r="AU78" i="29"/>
  <c r="AP79" i="29"/>
  <c r="AS79" i="29" s="1"/>
  <c r="AD79" i="29"/>
  <c r="AU79" i="29"/>
  <c r="AP80" i="29"/>
  <c r="AS80" i="29" s="1"/>
  <c r="AD80" i="29"/>
  <c r="AU80" i="29"/>
  <c r="AP93" i="29"/>
  <c r="AS93" i="29" s="1"/>
  <c r="AD93" i="29"/>
  <c r="AU93" i="29"/>
  <c r="AS50" i="30"/>
  <c r="AS84" i="30"/>
  <c r="AS88" i="30"/>
  <c r="AU12" i="30"/>
  <c r="AU14" i="30"/>
  <c r="AU16" i="30"/>
  <c r="AU21" i="30"/>
  <c r="AU23" i="30"/>
  <c r="AU25" i="30"/>
  <c r="AU39" i="30"/>
  <c r="AU41" i="30"/>
  <c r="AU43" i="30"/>
  <c r="AU57" i="30"/>
  <c r="AU59" i="30"/>
  <c r="AU61" i="30"/>
  <c r="AD89" i="30"/>
  <c r="AD88" i="30"/>
  <c r="AD87" i="30"/>
  <c r="AD86" i="30"/>
  <c r="AD85" i="30"/>
  <c r="AD84" i="30"/>
  <c r="AD71" i="30"/>
  <c r="AD70" i="30"/>
  <c r="AD69" i="30"/>
  <c r="AD68" i="30"/>
  <c r="AD67" i="30"/>
  <c r="AD66" i="30"/>
  <c r="AD53" i="30"/>
  <c r="AD52" i="30"/>
  <c r="AD51" i="30"/>
  <c r="AD50" i="30"/>
  <c r="AD49" i="30"/>
  <c r="AD48" i="30"/>
  <c r="AD35" i="30"/>
  <c r="AD34" i="30"/>
  <c r="AD33" i="30"/>
  <c r="AD32" i="30"/>
  <c r="AD31" i="30"/>
  <c r="AD30" i="30"/>
  <c r="AS41" i="30"/>
  <c r="AD16" i="30"/>
  <c r="AD14" i="30"/>
  <c r="AD12" i="30"/>
  <c r="AU13" i="30"/>
  <c r="AU15" i="30"/>
  <c r="AU17" i="30"/>
  <c r="AU22" i="30"/>
  <c r="AU24" i="30"/>
  <c r="AU26" i="30"/>
  <c r="AU40" i="30"/>
  <c r="AU42" i="30"/>
  <c r="AU44" i="30"/>
  <c r="AU58" i="30"/>
  <c r="AU60" i="30"/>
  <c r="AS16" i="30"/>
  <c r="AS14" i="30"/>
  <c r="AS12" i="30"/>
  <c r="AP14" i="31"/>
  <c r="AS14" i="31" s="1"/>
  <c r="AD14" i="31"/>
  <c r="AP15" i="31"/>
  <c r="AS15" i="31" s="1"/>
  <c r="AD15" i="31"/>
  <c r="AP16" i="31"/>
  <c r="AS16" i="31" s="1"/>
  <c r="AD16" i="31"/>
  <c r="AP17" i="31"/>
  <c r="AS17" i="31" s="1"/>
  <c r="AD17" i="31"/>
  <c r="AP21" i="31"/>
  <c r="AS21" i="31" s="1"/>
  <c r="AD21" i="31"/>
  <c r="AP22" i="31"/>
  <c r="AS22" i="31" s="1"/>
  <c r="AD22" i="31"/>
  <c r="AP23" i="31"/>
  <c r="AS23" i="31" s="1"/>
  <c r="AD23" i="31"/>
  <c r="AP24" i="31"/>
  <c r="AS24" i="31" s="1"/>
  <c r="AD24" i="31"/>
  <c r="AP25" i="31"/>
  <c r="AS25" i="31" s="1"/>
  <c r="AD25" i="31"/>
  <c r="AP26" i="31"/>
  <c r="AS26" i="31" s="1"/>
  <c r="AD26" i="31"/>
  <c r="AP30" i="31"/>
  <c r="AS30" i="31" s="1"/>
  <c r="AD30" i="31"/>
  <c r="AP31" i="31"/>
  <c r="AS31" i="31" s="1"/>
  <c r="AD31" i="31"/>
  <c r="AP32" i="31"/>
  <c r="AS32" i="31" s="1"/>
  <c r="AD32" i="31"/>
  <c r="AP33" i="31"/>
  <c r="AS33" i="31" s="1"/>
  <c r="AD33" i="31"/>
  <c r="AP34" i="31"/>
  <c r="AS34" i="31" s="1"/>
  <c r="AD34" i="31"/>
  <c r="AP35" i="31"/>
  <c r="AS35" i="31" s="1"/>
  <c r="AD35" i="31"/>
  <c r="AP39" i="31"/>
  <c r="AS39" i="31" s="1"/>
  <c r="AD39" i="31"/>
  <c r="AP40" i="31"/>
  <c r="AS40" i="31" s="1"/>
  <c r="AD40" i="31"/>
  <c r="AP41" i="31"/>
  <c r="AS41" i="31" s="1"/>
  <c r="AD41" i="31"/>
  <c r="AP42" i="31"/>
  <c r="AS42" i="31" s="1"/>
  <c r="AD42" i="31"/>
  <c r="AP43" i="31"/>
  <c r="AS43" i="31" s="1"/>
  <c r="AD43" i="31"/>
  <c r="AP44" i="31"/>
  <c r="AS44" i="31" s="1"/>
  <c r="AD44" i="31"/>
  <c r="AP48" i="31"/>
  <c r="AS48" i="31" s="1"/>
  <c r="AD48" i="31"/>
  <c r="AP49" i="31"/>
  <c r="AS49" i="31" s="1"/>
  <c r="AD49" i="31"/>
  <c r="AP50" i="31"/>
  <c r="AS50" i="31" s="1"/>
  <c r="AD50" i="31"/>
  <c r="AP51" i="31"/>
  <c r="AS51" i="31" s="1"/>
  <c r="AD51" i="31"/>
  <c r="AP52" i="31"/>
  <c r="AS52" i="31" s="1"/>
  <c r="AD52" i="31"/>
  <c r="AP53" i="31"/>
  <c r="AS53" i="31" s="1"/>
  <c r="AD53" i="31"/>
  <c r="AP57" i="31"/>
  <c r="AS57" i="31" s="1"/>
  <c r="AD57" i="31"/>
  <c r="AP58" i="31"/>
  <c r="AS58" i="31" s="1"/>
  <c r="AD58" i="31"/>
  <c r="AP59" i="31"/>
  <c r="AS59" i="31" s="1"/>
  <c r="AD59" i="31"/>
  <c r="AP60" i="31"/>
  <c r="AS60" i="31" s="1"/>
  <c r="AD60" i="31"/>
  <c r="AP61" i="31"/>
  <c r="AS61" i="31" s="1"/>
  <c r="AD61" i="31"/>
  <c r="AP62" i="31"/>
  <c r="AS62" i="31" s="1"/>
  <c r="AD62" i="31"/>
  <c r="AP66" i="31"/>
  <c r="AS66" i="31" s="1"/>
  <c r="AD66" i="31"/>
  <c r="AP67" i="31"/>
  <c r="AS67" i="31" s="1"/>
  <c r="AD67" i="31"/>
  <c r="AP68" i="31"/>
  <c r="AS68" i="31" s="1"/>
  <c r="AD68" i="31"/>
  <c r="AP69" i="31"/>
  <c r="AS69" i="31" s="1"/>
  <c r="AD69" i="31"/>
  <c r="AP70" i="31"/>
  <c r="AS70" i="31" s="1"/>
  <c r="AD70" i="31"/>
  <c r="AP71" i="31"/>
  <c r="AS71" i="31" s="1"/>
  <c r="AD71" i="31"/>
  <c r="AP75" i="31"/>
  <c r="AS75" i="31" s="1"/>
  <c r="AD75" i="31"/>
  <c r="AP76" i="31"/>
  <c r="AS76" i="31" s="1"/>
  <c r="AD76" i="31"/>
  <c r="AP77" i="31"/>
  <c r="AS77" i="31" s="1"/>
  <c r="AD77" i="31"/>
  <c r="AP78" i="31"/>
  <c r="AS78" i="31" s="1"/>
  <c r="AD78" i="31"/>
  <c r="AP79" i="31"/>
  <c r="AS79" i="31" s="1"/>
  <c r="AD79" i="31"/>
  <c r="AP84" i="31"/>
  <c r="AS84" i="31" s="1"/>
  <c r="AD84" i="31"/>
  <c r="AP85" i="31"/>
  <c r="AS85" i="31" s="1"/>
  <c r="AD85" i="31"/>
  <c r="AP86" i="31"/>
  <c r="AS86" i="31" s="1"/>
  <c r="AD86" i="31"/>
  <c r="AP87" i="31"/>
  <c r="AS87" i="31" s="1"/>
  <c r="AD87" i="31"/>
  <c r="AP88" i="31"/>
  <c r="AS88" i="31" s="1"/>
  <c r="AD88" i="31"/>
  <c r="AP89" i="31"/>
  <c r="AS89" i="31" s="1"/>
  <c r="AD89" i="31"/>
  <c r="AD13" i="31"/>
  <c r="AD12" i="31"/>
  <c r="AO12" i="32"/>
  <c r="AS12" i="32" s="1"/>
  <c r="AD12" i="32"/>
  <c r="AV12" i="32"/>
  <c r="AY12" i="32" s="1"/>
  <c r="AM12" i="32"/>
  <c r="AO13" i="32"/>
  <c r="AS13" i="32" s="1"/>
  <c r="AD13" i="32"/>
  <c r="AV13" i="32"/>
  <c r="AO14" i="32"/>
  <c r="AS14" i="32" s="1"/>
  <c r="AD14" i="32"/>
  <c r="AV14" i="32"/>
  <c r="AO15" i="32"/>
  <c r="AS15" i="32" s="1"/>
  <c r="AD15" i="32"/>
  <c r="AV15" i="32"/>
  <c r="AO16" i="32"/>
  <c r="AS16" i="32" s="1"/>
  <c r="AD16" i="32"/>
  <c r="AV16" i="32"/>
  <c r="AO17" i="32"/>
  <c r="AS17" i="32" s="1"/>
  <c r="AD17" i="32"/>
  <c r="AV17" i="32"/>
  <c r="AO21" i="32"/>
  <c r="AS21" i="32" s="1"/>
  <c r="AD21" i="32"/>
  <c r="AV21" i="32"/>
  <c r="AO22" i="32"/>
  <c r="AS22" i="32" s="1"/>
  <c r="AD22" i="32"/>
  <c r="AV22" i="32"/>
  <c r="AV23" i="32"/>
  <c r="AV24" i="32"/>
  <c r="AV25" i="32"/>
  <c r="AV26" i="32"/>
  <c r="AO30" i="32"/>
  <c r="AS30" i="32" s="1"/>
  <c r="AD30" i="32"/>
  <c r="AV30" i="32"/>
  <c r="AV31" i="32"/>
  <c r="AV32" i="32"/>
  <c r="AV33" i="32"/>
  <c r="AV34" i="32"/>
  <c r="AV35" i="32"/>
  <c r="AV39" i="32"/>
  <c r="AV40" i="32"/>
  <c r="AV41" i="32"/>
  <c r="AV42" i="32"/>
  <c r="AV43" i="32"/>
  <c r="AV44" i="32"/>
  <c r="AV48" i="32"/>
  <c r="AV49" i="32"/>
  <c r="AV50" i="32"/>
  <c r="AV51" i="32"/>
  <c r="AV52" i="32"/>
  <c r="AV53" i="32"/>
  <c r="AV57" i="32"/>
  <c r="AV58" i="32"/>
  <c r="AV59" i="32"/>
  <c r="AV60" i="32"/>
  <c r="AV61" i="32"/>
  <c r="AV62" i="32"/>
  <c r="AM62" i="32"/>
  <c r="AV66" i="32"/>
  <c r="AV67" i="32"/>
  <c r="AV68" i="32"/>
  <c r="AV69" i="32"/>
  <c r="AV70" i="32"/>
  <c r="AV71" i="32"/>
  <c r="AV75" i="32"/>
  <c r="AV76" i="32"/>
  <c r="AV77" i="32"/>
  <c r="AV78" i="32"/>
  <c r="AV79" i="32"/>
  <c r="AV84" i="32"/>
  <c r="AV85" i="32"/>
  <c r="AV86" i="32"/>
  <c r="AV87" i="32"/>
  <c r="AV88" i="32"/>
  <c r="AM88" i="32"/>
  <c r="AV89" i="32"/>
  <c r="AM88" i="19" l="1"/>
  <c r="AY98" i="17"/>
  <c r="AY75" i="17"/>
  <c r="AY142" i="16"/>
  <c r="AY95" i="19"/>
  <c r="AY30" i="18"/>
  <c r="AY133" i="17"/>
  <c r="AY106" i="17"/>
  <c r="AY50" i="19"/>
  <c r="AY140" i="14"/>
  <c r="AY30" i="29"/>
  <c r="AM41" i="19"/>
  <c r="AM165" i="19"/>
  <c r="AY52" i="16"/>
  <c r="AY115" i="16"/>
  <c r="AD14" i="13"/>
  <c r="AE14" i="13" s="1"/>
  <c r="AY61" i="17"/>
  <c r="AY169" i="17"/>
  <c r="AY62" i="19"/>
  <c r="AY134" i="19"/>
  <c r="AY78" i="19"/>
  <c r="AY103" i="17"/>
  <c r="AU87" i="31"/>
  <c r="AM107" i="16"/>
  <c r="AM85" i="15"/>
  <c r="AM86" i="14"/>
  <c r="AM138" i="14"/>
  <c r="AY50" i="29"/>
  <c r="AY68" i="29"/>
  <c r="AM123" i="29"/>
  <c r="AM125" i="29"/>
  <c r="AM14" i="29"/>
  <c r="AM42" i="29"/>
  <c r="AY48" i="29"/>
  <c r="AM124" i="29"/>
  <c r="AY107" i="29"/>
  <c r="AY139" i="29"/>
  <c r="AY94" i="29"/>
  <c r="AM69" i="29"/>
  <c r="AM165" i="29"/>
  <c r="AM138" i="29"/>
  <c r="AM130" i="29"/>
  <c r="AM24" i="29"/>
  <c r="AM13" i="29"/>
  <c r="AM25" i="29"/>
  <c r="AM161" i="29"/>
  <c r="AM114" i="29"/>
  <c r="AY98" i="29"/>
  <c r="AY166" i="29"/>
  <c r="AM94" i="29"/>
  <c r="AY35" i="29"/>
  <c r="AM22" i="29"/>
  <c r="AY147" i="29"/>
  <c r="AY111" i="29"/>
  <c r="AY165" i="29"/>
  <c r="AM35" i="30"/>
  <c r="AM61" i="30"/>
  <c r="AM32" i="30"/>
  <c r="AM15" i="30"/>
  <c r="AM103" i="30"/>
  <c r="AM51" i="30"/>
  <c r="AM121" i="30"/>
  <c r="AW51" i="30"/>
  <c r="AY51" i="30" s="1"/>
  <c r="AM30" i="30"/>
  <c r="AM89" i="30"/>
  <c r="AM86" i="30"/>
  <c r="AM40" i="30"/>
  <c r="AM130" i="30"/>
  <c r="AM41" i="30"/>
  <c r="AM52" i="30"/>
  <c r="AM143" i="30"/>
  <c r="AM58" i="30"/>
  <c r="AM116" i="30"/>
  <c r="AY17" i="30"/>
  <c r="AM160" i="30"/>
  <c r="AM67" i="30"/>
  <c r="AY102" i="30"/>
  <c r="AM66" i="30"/>
  <c r="AY41" i="30"/>
  <c r="AM17" i="30"/>
  <c r="AM59" i="30"/>
  <c r="AU51" i="31"/>
  <c r="AM75" i="31"/>
  <c r="AM16" i="31"/>
  <c r="AM98" i="31"/>
  <c r="AM85" i="31"/>
  <c r="AY105" i="31"/>
  <c r="AY89" i="31"/>
  <c r="AM143" i="31"/>
  <c r="AM41" i="31"/>
  <c r="AY23" i="31"/>
  <c r="AU40" i="31"/>
  <c r="AY40" i="31" s="1"/>
  <c r="AY152" i="31"/>
  <c r="AY143" i="31"/>
  <c r="AM95" i="31"/>
  <c r="AY41" i="31"/>
  <c r="AM12" i="31"/>
  <c r="AM43" i="32"/>
  <c r="AM22" i="32"/>
  <c r="AM140" i="32"/>
  <c r="AM111" i="32"/>
  <c r="AM114" i="32"/>
  <c r="AM102" i="32"/>
  <c r="AM85" i="32"/>
  <c r="AM14" i="32"/>
  <c r="AY140" i="32"/>
  <c r="AM61" i="32"/>
  <c r="AM59" i="32"/>
  <c r="AM26" i="32"/>
  <c r="AM167" i="32"/>
  <c r="AM157" i="32"/>
  <c r="AM95" i="32"/>
  <c r="AM84" i="32"/>
  <c r="AM69" i="32"/>
  <c r="AM78" i="19"/>
  <c r="AM131" i="19"/>
  <c r="AM143" i="19"/>
  <c r="AM105" i="19"/>
  <c r="AM148" i="19"/>
  <c r="AX67" i="19"/>
  <c r="AY158" i="19"/>
  <c r="AY166" i="19"/>
  <c r="AY33" i="19"/>
  <c r="AW88" i="19"/>
  <c r="AY88" i="19" s="1"/>
  <c r="AM51" i="19"/>
  <c r="AM15" i="19"/>
  <c r="AM89" i="19"/>
  <c r="AY44" i="19"/>
  <c r="AY125" i="19"/>
  <c r="AY61" i="19"/>
  <c r="AY98" i="19"/>
  <c r="AY102" i="19"/>
  <c r="AM111" i="19"/>
  <c r="AM107" i="19"/>
  <c r="AM12" i="19"/>
  <c r="AV165" i="19"/>
  <c r="AM58" i="19"/>
  <c r="AY67" i="19"/>
  <c r="AY87" i="18"/>
  <c r="AM140" i="18"/>
  <c r="AM112" i="18"/>
  <c r="AM80" i="18"/>
  <c r="AY88" i="18"/>
  <c r="AM88" i="18"/>
  <c r="AM53" i="18"/>
  <c r="AY77" i="18"/>
  <c r="AY156" i="18"/>
  <c r="AM123" i="18"/>
  <c r="AY76" i="18"/>
  <c r="AY68" i="18"/>
  <c r="AM105" i="18"/>
  <c r="AM40" i="18"/>
  <c r="AM116" i="18"/>
  <c r="AY104" i="18"/>
  <c r="AY16" i="18"/>
  <c r="AY21" i="18"/>
  <c r="AM161" i="17"/>
  <c r="AM129" i="17"/>
  <c r="AM58" i="17"/>
  <c r="AY102" i="17"/>
  <c r="AM103" i="17"/>
  <c r="AM32" i="17"/>
  <c r="AY69" i="17"/>
  <c r="AY76" i="17"/>
  <c r="AY25" i="17"/>
  <c r="AM62" i="17"/>
  <c r="AM13" i="17"/>
  <c r="AM107" i="17"/>
  <c r="AY88" i="17"/>
  <c r="AY53" i="17"/>
  <c r="AY43" i="17"/>
  <c r="AY170" i="17"/>
  <c r="AY141" i="17"/>
  <c r="AM168" i="17"/>
  <c r="AM89" i="17"/>
  <c r="AY94" i="17"/>
  <c r="AM49" i="17"/>
  <c r="AM31" i="17"/>
  <c r="AM121" i="17"/>
  <c r="AM138" i="17"/>
  <c r="AY67" i="17"/>
  <c r="AY41" i="17"/>
  <c r="AM58" i="16"/>
  <c r="AM120" i="16"/>
  <c r="AY76" i="16"/>
  <c r="AM26" i="16"/>
  <c r="AM105" i="16"/>
  <c r="AY48" i="16"/>
  <c r="AY58" i="16"/>
  <c r="AY66" i="16"/>
  <c r="AM33" i="16"/>
  <c r="AM51" i="16"/>
  <c r="AM152" i="16"/>
  <c r="AM131" i="16"/>
  <c r="AY165" i="16"/>
  <c r="AY79" i="16"/>
  <c r="AY160" i="16"/>
  <c r="AM94" i="16"/>
  <c r="AY113" i="16"/>
  <c r="AM122" i="16"/>
  <c r="AM85" i="16"/>
  <c r="AM114" i="16"/>
  <c r="AM139" i="16"/>
  <c r="AY12" i="16"/>
  <c r="AM13" i="16"/>
  <c r="AM147" i="15"/>
  <c r="AM105" i="15"/>
  <c r="AM61" i="15"/>
  <c r="AM33" i="15"/>
  <c r="AM160" i="15"/>
  <c r="AY140" i="15"/>
  <c r="AY151" i="15"/>
  <c r="AM161" i="15"/>
  <c r="AM151" i="15"/>
  <c r="AM22" i="15"/>
  <c r="AM121" i="15"/>
  <c r="AM57" i="15"/>
  <c r="AM60" i="15"/>
  <c r="AM49" i="15"/>
  <c r="AM152" i="15"/>
  <c r="AM105" i="14"/>
  <c r="AM140" i="14"/>
  <c r="AM40" i="14"/>
  <c r="AM102" i="14"/>
  <c r="AY87" i="14"/>
  <c r="AM139" i="14"/>
  <c r="AM43" i="14"/>
  <c r="AY104" i="14"/>
  <c r="AM87" i="14"/>
  <c r="AM111" i="14"/>
  <c r="AM114" i="14"/>
  <c r="AM34" i="14"/>
  <c r="AM123" i="14"/>
  <c r="AM80" i="14"/>
  <c r="AY133" i="14"/>
  <c r="AM132" i="14"/>
  <c r="AM59" i="14"/>
  <c r="AY111" i="14"/>
  <c r="AM158" i="14"/>
  <c r="AM169" i="14"/>
  <c r="AY133" i="29"/>
  <c r="AM106" i="29"/>
  <c r="AM17" i="29"/>
  <c r="AM131" i="29"/>
  <c r="AM30" i="29"/>
  <c r="AM35" i="29"/>
  <c r="AV42" i="29"/>
  <c r="AY42" i="29" s="1"/>
  <c r="AV24" i="29"/>
  <c r="AY24" i="29" s="1"/>
  <c r="AY102" i="29"/>
  <c r="AM77" i="29"/>
  <c r="AM48" i="29"/>
  <c r="AM98" i="29"/>
  <c r="AY105" i="29"/>
  <c r="AY103" i="29"/>
  <c r="AW69" i="29"/>
  <c r="AY69" i="29" s="1"/>
  <c r="AY149" i="29"/>
  <c r="AY151" i="29"/>
  <c r="AM60" i="29"/>
  <c r="AM62" i="29"/>
  <c r="AM50" i="29"/>
  <c r="AM39" i="29"/>
  <c r="AY66" i="29"/>
  <c r="AY113" i="29"/>
  <c r="AM40" i="29"/>
  <c r="AM16" i="29"/>
  <c r="AM166" i="29"/>
  <c r="AM147" i="29"/>
  <c r="AM116" i="29"/>
  <c r="AM68" i="29"/>
  <c r="AM85" i="29"/>
  <c r="AY71" i="29"/>
  <c r="AY131" i="29"/>
  <c r="AY80" i="29"/>
  <c r="AM41" i="29"/>
  <c r="AM15" i="29"/>
  <c r="AY123" i="29"/>
  <c r="AY116" i="29"/>
  <c r="AY120" i="29"/>
  <c r="AY114" i="29"/>
  <c r="AY157" i="29"/>
  <c r="AM44" i="29"/>
  <c r="AY16" i="29"/>
  <c r="AM133" i="29"/>
  <c r="AM70" i="29"/>
  <c r="AM121" i="29"/>
  <c r="AY70" i="29"/>
  <c r="AM88" i="29"/>
  <c r="AM87" i="29"/>
  <c r="AY156" i="29"/>
  <c r="AY122" i="29"/>
  <c r="AX30" i="30"/>
  <c r="AY30" i="30" s="1"/>
  <c r="AM102" i="30"/>
  <c r="AM139" i="30"/>
  <c r="AM131" i="30"/>
  <c r="AY93" i="30"/>
  <c r="AY85" i="30"/>
  <c r="AM31" i="30"/>
  <c r="AM24" i="30"/>
  <c r="AM123" i="30"/>
  <c r="AM33" i="30"/>
  <c r="AM88" i="30"/>
  <c r="AM98" i="30"/>
  <c r="AM43" i="30"/>
  <c r="AY94" i="30"/>
  <c r="AY75" i="30"/>
  <c r="AM84" i="30"/>
  <c r="AV15" i="30"/>
  <c r="AY15" i="30" s="1"/>
  <c r="AU121" i="30"/>
  <c r="AY121" i="30" s="1"/>
  <c r="AM39" i="30"/>
  <c r="AM96" i="30"/>
  <c r="AM23" i="30"/>
  <c r="AM138" i="30"/>
  <c r="AU89" i="30"/>
  <c r="AY89" i="30" s="1"/>
  <c r="AM62" i="30"/>
  <c r="AM70" i="30"/>
  <c r="AW40" i="30"/>
  <c r="AY52" i="30"/>
  <c r="AM68" i="30"/>
  <c r="AM50" i="30"/>
  <c r="AM77" i="30"/>
  <c r="AM150" i="30"/>
  <c r="AM132" i="30"/>
  <c r="AM104" i="30"/>
  <c r="AM166" i="30"/>
  <c r="AM134" i="30"/>
  <c r="AM87" i="30"/>
  <c r="AV59" i="30"/>
  <c r="AY59" i="30" s="1"/>
  <c r="AM161" i="30"/>
  <c r="AY147" i="30"/>
  <c r="AM78" i="30"/>
  <c r="AM13" i="30"/>
  <c r="AM149" i="30"/>
  <c r="AM57" i="30"/>
  <c r="AV78" i="30"/>
  <c r="AY78" i="30" s="1"/>
  <c r="AM22" i="30"/>
  <c r="AY167" i="30"/>
  <c r="AU138" i="30"/>
  <c r="AY138" i="30" s="1"/>
  <c r="AM76" i="30"/>
  <c r="AM25" i="30"/>
  <c r="AY40" i="30"/>
  <c r="AM93" i="30"/>
  <c r="AY25" i="30"/>
  <c r="AM125" i="30"/>
  <c r="AM168" i="30"/>
  <c r="AM21" i="30"/>
  <c r="AM142" i="30"/>
  <c r="AU131" i="31"/>
  <c r="AY131" i="31" s="1"/>
  <c r="AU58" i="31"/>
  <c r="AY30" i="31"/>
  <c r="AU149" i="31"/>
  <c r="AY149" i="31" s="1"/>
  <c r="AU76" i="31"/>
  <c r="AY76" i="31" s="1"/>
  <c r="AU94" i="31"/>
  <c r="AY94" i="31" s="1"/>
  <c r="AU44" i="31"/>
  <c r="AY44" i="31" s="1"/>
  <c r="AY75" i="31"/>
  <c r="AY16" i="31"/>
  <c r="AU138" i="31"/>
  <c r="AY138" i="31" s="1"/>
  <c r="AU62" i="31"/>
  <c r="AU15" i="31"/>
  <c r="AY15" i="31" s="1"/>
  <c r="AY148" i="31"/>
  <c r="AY106" i="31"/>
  <c r="AY34" i="31"/>
  <c r="AU80" i="31"/>
  <c r="AY80" i="31" s="1"/>
  <c r="AU33" i="31"/>
  <c r="AY33" i="31" s="1"/>
  <c r="AY48" i="31"/>
  <c r="AY150" i="31"/>
  <c r="AY85" i="31"/>
  <c r="AY139" i="31"/>
  <c r="AY52" i="31"/>
  <c r="AU26" i="31"/>
  <c r="AY26" i="31" s="1"/>
  <c r="AU142" i="31"/>
  <c r="AY142" i="31" s="1"/>
  <c r="AU69" i="31"/>
  <c r="AU22" i="31"/>
  <c r="AY12" i="31"/>
  <c r="AU141" i="31"/>
  <c r="AY141" i="31" s="1"/>
  <c r="AU102" i="31"/>
  <c r="AY102" i="31" s="1"/>
  <c r="AU93" i="31"/>
  <c r="AY93" i="31" s="1"/>
  <c r="AU86" i="31"/>
  <c r="AY86" i="31" s="1"/>
  <c r="AU68" i="31"/>
  <c r="AY68" i="31" s="1"/>
  <c r="AU61" i="31"/>
  <c r="AU57" i="31"/>
  <c r="AY57" i="31" s="1"/>
  <c r="AU50" i="31"/>
  <c r="AU43" i="31"/>
  <c r="AY43" i="31" s="1"/>
  <c r="AU39" i="31"/>
  <c r="AY39" i="31" s="1"/>
  <c r="AU32" i="31"/>
  <c r="AY32" i="31" s="1"/>
  <c r="AU14" i="31"/>
  <c r="AY14" i="31" s="1"/>
  <c r="AY88" i="31"/>
  <c r="AY84" i="31"/>
  <c r="AY69" i="31"/>
  <c r="AY140" i="31"/>
  <c r="AY95" i="31"/>
  <c r="AY78" i="31"/>
  <c r="AY62" i="31"/>
  <c r="AY58" i="31"/>
  <c r="AY51" i="31"/>
  <c r="AY22" i="31"/>
  <c r="AM151" i="31"/>
  <c r="AM147" i="31"/>
  <c r="AM133" i="31"/>
  <c r="AM129" i="31"/>
  <c r="AM25" i="31"/>
  <c r="AM21" i="31"/>
  <c r="AU71" i="31"/>
  <c r="AY71" i="31" s="1"/>
  <c r="AU67" i="31"/>
  <c r="AY67" i="31" s="1"/>
  <c r="AU60" i="31"/>
  <c r="AY60" i="31" s="1"/>
  <c r="AU53" i="31"/>
  <c r="AY53" i="31" s="1"/>
  <c r="AU49" i="31"/>
  <c r="AY49" i="31" s="1"/>
  <c r="AU42" i="31"/>
  <c r="AY42" i="31" s="1"/>
  <c r="AU35" i="31"/>
  <c r="AY35" i="31" s="1"/>
  <c r="AU31" i="31"/>
  <c r="AY31" i="31" s="1"/>
  <c r="AU24" i="31"/>
  <c r="AY24" i="31" s="1"/>
  <c r="AU17" i="31"/>
  <c r="AY17" i="31" s="1"/>
  <c r="AU13" i="31"/>
  <c r="AY13" i="31" s="1"/>
  <c r="AY151" i="31"/>
  <c r="AY133" i="31"/>
  <c r="AY87" i="31"/>
  <c r="AY77" i="31"/>
  <c r="AY61" i="31"/>
  <c r="AY50" i="31"/>
  <c r="AY25" i="31"/>
  <c r="AY21" i="31"/>
  <c r="AY147" i="31"/>
  <c r="AY129" i="31"/>
  <c r="AM33" i="32"/>
  <c r="AU84" i="32"/>
  <c r="AX51" i="32"/>
  <c r="AM97" i="32"/>
  <c r="AM156" i="32"/>
  <c r="AV98" i="32"/>
  <c r="AY98" i="32" s="1"/>
  <c r="AM32" i="32"/>
  <c r="AW85" i="32"/>
  <c r="AY85" i="32" s="1"/>
  <c r="AY66" i="32"/>
  <c r="AM40" i="32"/>
  <c r="AM24" i="32"/>
  <c r="AM96" i="32"/>
  <c r="AM158" i="32"/>
  <c r="AM87" i="32"/>
  <c r="AU22" i="32"/>
  <c r="AM89" i="32"/>
  <c r="AY148" i="32"/>
  <c r="AM131" i="32"/>
  <c r="AY41" i="32"/>
  <c r="AM21" i="32"/>
  <c r="AM70" i="32"/>
  <c r="AM15" i="32"/>
  <c r="AY141" i="32"/>
  <c r="AM138" i="32"/>
  <c r="AM76" i="32"/>
  <c r="AY84" i="32"/>
  <c r="AY103" i="32"/>
  <c r="AM57" i="32"/>
  <c r="AV102" i="32"/>
  <c r="AY102" i="32" s="1"/>
  <c r="AY33" i="32"/>
  <c r="AY14" i="32"/>
  <c r="AU69" i="32"/>
  <c r="AY69" i="32" s="1"/>
  <c r="AM66" i="32"/>
  <c r="AM58" i="32"/>
  <c r="AM48" i="32"/>
  <c r="AM30" i="32"/>
  <c r="AM80" i="32"/>
  <c r="AM39" i="32"/>
  <c r="AY89" i="32"/>
  <c r="AM52" i="32"/>
  <c r="AM44" i="32"/>
  <c r="AM168" i="32"/>
  <c r="AM123" i="32"/>
  <c r="AM159" i="32"/>
  <c r="AY139" i="19"/>
  <c r="AY85" i="19"/>
  <c r="AY21" i="19"/>
  <c r="AY150" i="19"/>
  <c r="AY15" i="19"/>
  <c r="AM96" i="19"/>
  <c r="AY94" i="19"/>
  <c r="AY40" i="19"/>
  <c r="AY39" i="19"/>
  <c r="AM33" i="19"/>
  <c r="AX93" i="19"/>
  <c r="AY93" i="19" s="1"/>
  <c r="AY152" i="19"/>
  <c r="AM139" i="19"/>
  <c r="AM79" i="19"/>
  <c r="AM168" i="19"/>
  <c r="AW41" i="19"/>
  <c r="AY41" i="19" s="1"/>
  <c r="AM160" i="19"/>
  <c r="AY59" i="19"/>
  <c r="AM97" i="19"/>
  <c r="AY22" i="19"/>
  <c r="AY130" i="19"/>
  <c r="AV143" i="19"/>
  <c r="AY143" i="19" s="1"/>
  <c r="AY96" i="19"/>
  <c r="AM22" i="19"/>
  <c r="AM59" i="19"/>
  <c r="AM80" i="19"/>
  <c r="AM113" i="19"/>
  <c r="AM49" i="19"/>
  <c r="AM53" i="19"/>
  <c r="AM87" i="19"/>
  <c r="AY106" i="19"/>
  <c r="AM151" i="19"/>
  <c r="AY121" i="19"/>
  <c r="AY32" i="19"/>
  <c r="AM140" i="19"/>
  <c r="AM32" i="19"/>
  <c r="AY114" i="19"/>
  <c r="AM138" i="19"/>
  <c r="AY122" i="19"/>
  <c r="AY17" i="19"/>
  <c r="AY133" i="19"/>
  <c r="AY14" i="19"/>
  <c r="AU26" i="19"/>
  <c r="AY26" i="19" s="1"/>
  <c r="AY107" i="19"/>
  <c r="AM121" i="19"/>
  <c r="AY148" i="19"/>
  <c r="AM62" i="19"/>
  <c r="AM94" i="19"/>
  <c r="AM133" i="19"/>
  <c r="AM156" i="19"/>
  <c r="AM17" i="19"/>
  <c r="AM122" i="19"/>
  <c r="AM25" i="19"/>
  <c r="AY58" i="19"/>
  <c r="AY168" i="19"/>
  <c r="AY16" i="19"/>
  <c r="AY34" i="19"/>
  <c r="AV131" i="19"/>
  <c r="AY131" i="19" s="1"/>
  <c r="AY80" i="19"/>
  <c r="AM43" i="19"/>
  <c r="AM98" i="19"/>
  <c r="AM48" i="19"/>
  <c r="AM124" i="19"/>
  <c r="AM24" i="19"/>
  <c r="AM61" i="19"/>
  <c r="AY129" i="19"/>
  <c r="AM95" i="19"/>
  <c r="AM134" i="19"/>
  <c r="AM159" i="19"/>
  <c r="AM30" i="19"/>
  <c r="AM106" i="19"/>
  <c r="AM86" i="19"/>
  <c r="AY49" i="19"/>
  <c r="AY86" i="19"/>
  <c r="AY113" i="19"/>
  <c r="AM112" i="19"/>
  <c r="AY142" i="19"/>
  <c r="AY13" i="19"/>
  <c r="AY31" i="19"/>
  <c r="AY79" i="19"/>
  <c r="AY30" i="19"/>
  <c r="AY161" i="19"/>
  <c r="AY120" i="19"/>
  <c r="AM57" i="19"/>
  <c r="AY24" i="19"/>
  <c r="AY165" i="19"/>
  <c r="AY141" i="19"/>
  <c r="AM76" i="19"/>
  <c r="AM23" i="18"/>
  <c r="AM57" i="18"/>
  <c r="AY84" i="18"/>
  <c r="AM87" i="18"/>
  <c r="AM24" i="18"/>
  <c r="AM44" i="18"/>
  <c r="AM62" i="18"/>
  <c r="AM78" i="18"/>
  <c r="AM111" i="18"/>
  <c r="AM151" i="18"/>
  <c r="AM129" i="18"/>
  <c r="AY129" i="18"/>
  <c r="AM50" i="18"/>
  <c r="AM131" i="18"/>
  <c r="AY147" i="18"/>
  <c r="AM85" i="18"/>
  <c r="AY160" i="18"/>
  <c r="AY52" i="18"/>
  <c r="AM42" i="18"/>
  <c r="AY169" i="18"/>
  <c r="AM48" i="18"/>
  <c r="AM86" i="18"/>
  <c r="AM66" i="18"/>
  <c r="AM103" i="18"/>
  <c r="AM159" i="18"/>
  <c r="AM169" i="18"/>
  <c r="AW26" i="18"/>
  <c r="AY26" i="18" s="1"/>
  <c r="AY62" i="18"/>
  <c r="AY61" i="18"/>
  <c r="AY79" i="18"/>
  <c r="AY95" i="18"/>
  <c r="AM113" i="18"/>
  <c r="AM12" i="18"/>
  <c r="AM69" i="18"/>
  <c r="AM152" i="18"/>
  <c r="AM130" i="18"/>
  <c r="AM51" i="18"/>
  <c r="AM39" i="18"/>
  <c r="AY15" i="18"/>
  <c r="AM143" i="18"/>
  <c r="AY40" i="18"/>
  <c r="AM68" i="18"/>
  <c r="AY167" i="18"/>
  <c r="AM14" i="18"/>
  <c r="AM70" i="18"/>
  <c r="AY35" i="18"/>
  <c r="AM102" i="18"/>
  <c r="AY31" i="18"/>
  <c r="AY57" i="18"/>
  <c r="AY12" i="18"/>
  <c r="AM22" i="18"/>
  <c r="AY87" i="17"/>
  <c r="AX49" i="17"/>
  <c r="AM93" i="17"/>
  <c r="AV52" i="17"/>
  <c r="AY52" i="17" s="1"/>
  <c r="AM139" i="17"/>
  <c r="AM41" i="17"/>
  <c r="AM150" i="17"/>
  <c r="AM105" i="17"/>
  <c r="AM57" i="17"/>
  <c r="AY151" i="17"/>
  <c r="AY49" i="17"/>
  <c r="AY120" i="17"/>
  <c r="AY134" i="17"/>
  <c r="AM143" i="17"/>
  <c r="AM76" i="17"/>
  <c r="AM159" i="17"/>
  <c r="AM85" i="17"/>
  <c r="AM106" i="17"/>
  <c r="AY97" i="17"/>
  <c r="AM149" i="17"/>
  <c r="AM14" i="17"/>
  <c r="AY50" i="17"/>
  <c r="AM21" i="17"/>
  <c r="AM70" i="17"/>
  <c r="AY85" i="17"/>
  <c r="AY116" i="17"/>
  <c r="AM77" i="17"/>
  <c r="AM170" i="17"/>
  <c r="AY23" i="17"/>
  <c r="AY150" i="17"/>
  <c r="AM42" i="17"/>
  <c r="AM15" i="17"/>
  <c r="AM87" i="17"/>
  <c r="AM43" i="17"/>
  <c r="AM166" i="17"/>
  <c r="AM160" i="17"/>
  <c r="AM53" i="17"/>
  <c r="AM88" i="17"/>
  <c r="AM120" i="17"/>
  <c r="AX32" i="17"/>
  <c r="AY32" i="17" s="1"/>
  <c r="AY114" i="17"/>
  <c r="AY123" i="17"/>
  <c r="AM133" i="17"/>
  <c r="AM35" i="17"/>
  <c r="AM78" i="17"/>
  <c r="AY24" i="17"/>
  <c r="AY15" i="17"/>
  <c r="AM125" i="17"/>
  <c r="AM111" i="17"/>
  <c r="AM156" i="17"/>
  <c r="AM17" i="17"/>
  <c r="AM67" i="17"/>
  <c r="AY33" i="17"/>
  <c r="AY35" i="17"/>
  <c r="AM122" i="17"/>
  <c r="AM79" i="17"/>
  <c r="AY167" i="17"/>
  <c r="AM41" i="16"/>
  <c r="AM69" i="16"/>
  <c r="AM21" i="16"/>
  <c r="AM161" i="16"/>
  <c r="AM159" i="16"/>
  <c r="AW94" i="16"/>
  <c r="AY94" i="16" s="1"/>
  <c r="AM157" i="16"/>
  <c r="AY34" i="16"/>
  <c r="AM15" i="16"/>
  <c r="AM61" i="16"/>
  <c r="AM70" i="16"/>
  <c r="AM22" i="16"/>
  <c r="AM104" i="16"/>
  <c r="AY75" i="16"/>
  <c r="AX13" i="16"/>
  <c r="AM49" i="16"/>
  <c r="AM93" i="16"/>
  <c r="AY35" i="16"/>
  <c r="AY111" i="16"/>
  <c r="AM76" i="16"/>
  <c r="AM84" i="16"/>
  <c r="AM23" i="16"/>
  <c r="AY78" i="16"/>
  <c r="AY170" i="16"/>
  <c r="AY147" i="16"/>
  <c r="AY80" i="16"/>
  <c r="AW14" i="16"/>
  <c r="AY14" i="16" s="1"/>
  <c r="AM66" i="16"/>
  <c r="AY60" i="16"/>
  <c r="AM89" i="16"/>
  <c r="AY39" i="16"/>
  <c r="AM31" i="16"/>
  <c r="AM35" i="16"/>
  <c r="AM40" i="16"/>
  <c r="AM57" i="16"/>
  <c r="AM87" i="16"/>
  <c r="AM129" i="16"/>
  <c r="AM53" i="16"/>
  <c r="AY42" i="16"/>
  <c r="AY151" i="16"/>
  <c r="AY24" i="16"/>
  <c r="AM68" i="16"/>
  <c r="AY41" i="16"/>
  <c r="AY156" i="16"/>
  <c r="AM132" i="16"/>
  <c r="AM130" i="16"/>
  <c r="AM116" i="16"/>
  <c r="AM88" i="16"/>
  <c r="AM165" i="16"/>
  <c r="AM24" i="16"/>
  <c r="AM143" i="16"/>
  <c r="AY116" i="16"/>
  <c r="AM102" i="16"/>
  <c r="AM148" i="16"/>
  <c r="AY22" i="16"/>
  <c r="AM111" i="16"/>
  <c r="AM121" i="16"/>
  <c r="AM48" i="16"/>
  <c r="AM168" i="16"/>
  <c r="AM134" i="16"/>
  <c r="AY57" i="15"/>
  <c r="AY147" i="15"/>
  <c r="AM15" i="15"/>
  <c r="AY33" i="15"/>
  <c r="AM123" i="15"/>
  <c r="AW13" i="15"/>
  <c r="AY13" i="15" s="1"/>
  <c r="AW66" i="15"/>
  <c r="AY66" i="15" s="1"/>
  <c r="AW26" i="15"/>
  <c r="AY156" i="15"/>
  <c r="AY39" i="15"/>
  <c r="AM59" i="15"/>
  <c r="AY26" i="15"/>
  <c r="AY98" i="15"/>
  <c r="AY138" i="15"/>
  <c r="AW94" i="15"/>
  <c r="AM75" i="15"/>
  <c r="AW159" i="15"/>
  <c r="AY159" i="15" s="1"/>
  <c r="AM34" i="15"/>
  <c r="AW105" i="15"/>
  <c r="AY105" i="15" s="1"/>
  <c r="AY111" i="15"/>
  <c r="AM98" i="15"/>
  <c r="AM17" i="15"/>
  <c r="AM139" i="15"/>
  <c r="AY16" i="15"/>
  <c r="AY120" i="15"/>
  <c r="AY41" i="15"/>
  <c r="AM111" i="15"/>
  <c r="AM69" i="15"/>
  <c r="AM156" i="15"/>
  <c r="AM107" i="15"/>
  <c r="AM41" i="15"/>
  <c r="AM103" i="15"/>
  <c r="AM138" i="15"/>
  <c r="AM87" i="15"/>
  <c r="AM77" i="15"/>
  <c r="AY122" i="15"/>
  <c r="AY115" i="15"/>
  <c r="AY80" i="15"/>
  <c r="AM30" i="15"/>
  <c r="AM50" i="15"/>
  <c r="AM68" i="15"/>
  <c r="AM157" i="15"/>
  <c r="AM150" i="15"/>
  <c r="AM132" i="15"/>
  <c r="AU86" i="14"/>
  <c r="AY86" i="14" s="1"/>
  <c r="AM15" i="14"/>
  <c r="AM50" i="14"/>
  <c r="AM53" i="14"/>
  <c r="AM170" i="14"/>
  <c r="AM130" i="14"/>
  <c r="AM168" i="14"/>
  <c r="AY141" i="14"/>
  <c r="AM157" i="14"/>
  <c r="AM30" i="14"/>
  <c r="AM33" i="14"/>
  <c r="AY123" i="14"/>
  <c r="AM62" i="14"/>
  <c r="AM133" i="14"/>
  <c r="AU59" i="14"/>
  <c r="AY59" i="14" s="1"/>
  <c r="AY112" i="14"/>
  <c r="AY12" i="14"/>
  <c r="AM75" i="14"/>
  <c r="AY51" i="14"/>
  <c r="AM78" i="14"/>
  <c r="AM142" i="14"/>
  <c r="AY114" i="14"/>
  <c r="AM14" i="14"/>
  <c r="AM48" i="14"/>
  <c r="AM51" i="14"/>
  <c r="AM85" i="14"/>
  <c r="AM159" i="14"/>
  <c r="AM26" i="14"/>
  <c r="AM112" i="14"/>
  <c r="AV132" i="14"/>
  <c r="AY132" i="14" s="1"/>
  <c r="AM13" i="14"/>
  <c r="AM129" i="14"/>
  <c r="AY21" i="14"/>
  <c r="AY159" i="14"/>
  <c r="AY129" i="14"/>
  <c r="AV138" i="14"/>
  <c r="AY138" i="14" s="1"/>
  <c r="AY43" i="14"/>
  <c r="AY75" i="14"/>
  <c r="AY158" i="14"/>
  <c r="AY161" i="14"/>
  <c r="AM113" i="14"/>
  <c r="AM143" i="14"/>
  <c r="AY16" i="32"/>
  <c r="AM16" i="32"/>
  <c r="AM23" i="32"/>
  <c r="AM25" i="32"/>
  <c r="AM34" i="32"/>
  <c r="AM41" i="32"/>
  <c r="AU43" i="32"/>
  <c r="AU61" i="32"/>
  <c r="AY61" i="32" s="1"/>
  <c r="AM68" i="32"/>
  <c r="AM77" i="32"/>
  <c r="AU76" i="32"/>
  <c r="AY76" i="32" s="1"/>
  <c r="AY80" i="32"/>
  <c r="AM79" i="32"/>
  <c r="AU95" i="32"/>
  <c r="AY95" i="32" s="1"/>
  <c r="AM106" i="32"/>
  <c r="AY104" i="32"/>
  <c r="AV114" i="32"/>
  <c r="AY114" i="32" s="1"/>
  <c r="AM115" i="32"/>
  <c r="AM113" i="32"/>
  <c r="AM116" i="32"/>
  <c r="AY111" i="32"/>
  <c r="AM122" i="32"/>
  <c r="AM125" i="32"/>
  <c r="AM124" i="32"/>
  <c r="AY133" i="32"/>
  <c r="AM142" i="32"/>
  <c r="AY142" i="32"/>
  <c r="AY149" i="32"/>
  <c r="AM149" i="32"/>
  <c r="AM151" i="32"/>
  <c r="AY151" i="32"/>
  <c r="AX159" i="32"/>
  <c r="AY159" i="32" s="1"/>
  <c r="AM161" i="32"/>
  <c r="AU158" i="32"/>
  <c r="AY158" i="32" s="1"/>
  <c r="AM160" i="32"/>
  <c r="AM166" i="32"/>
  <c r="AM165" i="32"/>
  <c r="AY166" i="32"/>
  <c r="AM170" i="32"/>
  <c r="AY170" i="32"/>
  <c r="AM16" i="19"/>
  <c r="AM23" i="19"/>
  <c r="AM34" i="19"/>
  <c r="AM52" i="19"/>
  <c r="AM68" i="19"/>
  <c r="AY71" i="19"/>
  <c r="AM70" i="19"/>
  <c r="AY77" i="19"/>
  <c r="BA14" i="2" s="1"/>
  <c r="AU76" i="19"/>
  <c r="AY76" i="19" s="1"/>
  <c r="AM77" i="19"/>
  <c r="AU97" i="19"/>
  <c r="AY97" i="19" s="1"/>
  <c r="AM104" i="19"/>
  <c r="AW103" i="19"/>
  <c r="AY103" i="19" s="1"/>
  <c r="AY116" i="19"/>
  <c r="AU112" i="19"/>
  <c r="AY112" i="19" s="1"/>
  <c r="AY111" i="19"/>
  <c r="AM114" i="19"/>
  <c r="AM115" i="19"/>
  <c r="AW124" i="19"/>
  <c r="AY124" i="19" s="1"/>
  <c r="AM125" i="19"/>
  <c r="AM142" i="19"/>
  <c r="AX140" i="19"/>
  <c r="AY140" i="19" s="1"/>
  <c r="AM149" i="19"/>
  <c r="AX151" i="19"/>
  <c r="AY151" i="19" s="1"/>
  <c r="AM157" i="19"/>
  <c r="AY157" i="19"/>
  <c r="AM158" i="19"/>
  <c r="AX160" i="19"/>
  <c r="AY160" i="19" s="1"/>
  <c r="AY156" i="19"/>
  <c r="AM166" i="19"/>
  <c r="AV167" i="19"/>
  <c r="AY167" i="19" s="1"/>
  <c r="AM170" i="19"/>
  <c r="AM169" i="19"/>
  <c r="AM170" i="18"/>
  <c r="AY170" i="18"/>
  <c r="AM166" i="18"/>
  <c r="AM165" i="18"/>
  <c r="AM167" i="18"/>
  <c r="AY158" i="18"/>
  <c r="AM156" i="18"/>
  <c r="AM160" i="18"/>
  <c r="AY159" i="18"/>
  <c r="AY157" i="18"/>
  <c r="AM161" i="18"/>
  <c r="AM157" i="18"/>
  <c r="AY151" i="18"/>
  <c r="AM142" i="18"/>
  <c r="AY142" i="18"/>
  <c r="AY140" i="18"/>
  <c r="AM133" i="18"/>
  <c r="AM124" i="18"/>
  <c r="AM125" i="18"/>
  <c r="AM114" i="18"/>
  <c r="AM115" i="18"/>
  <c r="AM106" i="18"/>
  <c r="AM104" i="18"/>
  <c r="AY103" i="18"/>
  <c r="AM97" i="18"/>
  <c r="AM95" i="18"/>
  <c r="AM79" i="18"/>
  <c r="AY75" i="18"/>
  <c r="AM76" i="18"/>
  <c r="AM77" i="18"/>
  <c r="AM71" i="18"/>
  <c r="AY71" i="18"/>
  <c r="AM61" i="18"/>
  <c r="AM52" i="18"/>
  <c r="AY41" i="18"/>
  <c r="AY34" i="18"/>
  <c r="AM25" i="18"/>
  <c r="AY23" i="18"/>
  <c r="AM16" i="18"/>
  <c r="AM169" i="17"/>
  <c r="AM167" i="17"/>
  <c r="AM158" i="17"/>
  <c r="AM151" i="17"/>
  <c r="AY140" i="17"/>
  <c r="AM140" i="17"/>
  <c r="AU125" i="17"/>
  <c r="AY125" i="17" s="1"/>
  <c r="AM124" i="17"/>
  <c r="AY124" i="17"/>
  <c r="AM116" i="17"/>
  <c r="AY112" i="17"/>
  <c r="AM112" i="17"/>
  <c r="AM113" i="17"/>
  <c r="AM97" i="17"/>
  <c r="AW79" i="17"/>
  <c r="AY79" i="17" s="1"/>
  <c r="AY80" i="17"/>
  <c r="AX77" i="17"/>
  <c r="AY77" i="17" s="1"/>
  <c r="AM71" i="17"/>
  <c r="AU70" i="17"/>
  <c r="AY70" i="17" s="1"/>
  <c r="AM61" i="17"/>
  <c r="AM25" i="17"/>
  <c r="AM16" i="17"/>
  <c r="AM169" i="16"/>
  <c r="AM170" i="16"/>
  <c r="AY166" i="16"/>
  <c r="AM166" i="16"/>
  <c r="AM167" i="16"/>
  <c r="AU161" i="16"/>
  <c r="AY161" i="16" s="1"/>
  <c r="AM160" i="16"/>
  <c r="AM156" i="16"/>
  <c r="AV159" i="16"/>
  <c r="AY159" i="16" s="1"/>
  <c r="AM158" i="16"/>
  <c r="AM151" i="16"/>
  <c r="AM149" i="16"/>
  <c r="AM142" i="16"/>
  <c r="AY140" i="16"/>
  <c r="AM140" i="16"/>
  <c r="AM133" i="16"/>
  <c r="AY124" i="16"/>
  <c r="AM124" i="16"/>
  <c r="AX114" i="16"/>
  <c r="AY114" i="16" s="1"/>
  <c r="AY112" i="16"/>
  <c r="AM113" i="16"/>
  <c r="AM115" i="16"/>
  <c r="AM106" i="16"/>
  <c r="AM103" i="16"/>
  <c r="AM97" i="16"/>
  <c r="AY88" i="16"/>
  <c r="AY77" i="16"/>
  <c r="AM77" i="16"/>
  <c r="AM75" i="16"/>
  <c r="AM78" i="16"/>
  <c r="AM79" i="16"/>
  <c r="AM80" i="16"/>
  <c r="AM71" i="16"/>
  <c r="AU71" i="16"/>
  <c r="AY71" i="16" s="1"/>
  <c r="AY68" i="16"/>
  <c r="AY61" i="16"/>
  <c r="AM52" i="16"/>
  <c r="AM34" i="16"/>
  <c r="AM25" i="16"/>
  <c r="AY25" i="16"/>
  <c r="AY23" i="16"/>
  <c r="AM16" i="16"/>
  <c r="AM169" i="15"/>
  <c r="AY165" i="15"/>
  <c r="AM165" i="15"/>
  <c r="AU161" i="15"/>
  <c r="AY161" i="15" s="1"/>
  <c r="AW157" i="15"/>
  <c r="AY157" i="15" s="1"/>
  <c r="AY160" i="15"/>
  <c r="AM149" i="15"/>
  <c r="AY149" i="15"/>
  <c r="AM142" i="15"/>
  <c r="AY142" i="15"/>
  <c r="AM140" i="15"/>
  <c r="AY133" i="15"/>
  <c r="AY125" i="15"/>
  <c r="AM124" i="15"/>
  <c r="AM125" i="15"/>
  <c r="AY124" i="15"/>
  <c r="AM122" i="15"/>
  <c r="AY112" i="15"/>
  <c r="AM112" i="15"/>
  <c r="AM114" i="15"/>
  <c r="AU114" i="15"/>
  <c r="AY114" i="15" s="1"/>
  <c r="AY106" i="15"/>
  <c r="AM106" i="15"/>
  <c r="AY104" i="15"/>
  <c r="AM104" i="15"/>
  <c r="AY103" i="15"/>
  <c r="AY97" i="15"/>
  <c r="AM97" i="15"/>
  <c r="AM95" i="15"/>
  <c r="AY88" i="15"/>
  <c r="AM88" i="15"/>
  <c r="AM76" i="15"/>
  <c r="AU75" i="15"/>
  <c r="AY75" i="15" s="1"/>
  <c r="AV77" i="15"/>
  <c r="AY77" i="15" s="1"/>
  <c r="AY76" i="15"/>
  <c r="AY70" i="15"/>
  <c r="AM71" i="15"/>
  <c r="AM70" i="15"/>
  <c r="AY71" i="15"/>
  <c r="AM52" i="15"/>
  <c r="AW34" i="15"/>
  <c r="AY34" i="15" s="1"/>
  <c r="AY25" i="15"/>
  <c r="AM25" i="15"/>
  <c r="AM16" i="15"/>
  <c r="AW166" i="14"/>
  <c r="AY166" i="14" s="1"/>
  <c r="AM165" i="14"/>
  <c r="AW160" i="14"/>
  <c r="AY160" i="14" s="1"/>
  <c r="AM161" i="14"/>
  <c r="AY151" i="14"/>
  <c r="AM149" i="14"/>
  <c r="AY142" i="14"/>
  <c r="AY124" i="14"/>
  <c r="AM125" i="14"/>
  <c r="AY122" i="14"/>
  <c r="AY115" i="14"/>
  <c r="AY113" i="14"/>
  <c r="AY106" i="14"/>
  <c r="AM106" i="14"/>
  <c r="AY103" i="14"/>
  <c r="AY95" i="14"/>
  <c r="AW88" i="14"/>
  <c r="AY88" i="14" s="1"/>
  <c r="AY80" i="14"/>
  <c r="AM79" i="14"/>
  <c r="AY76" i="14"/>
  <c r="AM76" i="14"/>
  <c r="AY79" i="14"/>
  <c r="AM77" i="14"/>
  <c r="AM70" i="14"/>
  <c r="AY61" i="14"/>
  <c r="AY41" i="14"/>
  <c r="AM41" i="14"/>
  <c r="AY34" i="14"/>
  <c r="AY25" i="14"/>
  <c r="AM25" i="14"/>
  <c r="AM23" i="14"/>
  <c r="AY67" i="14"/>
  <c r="AV49" i="14"/>
  <c r="AM49" i="14"/>
  <c r="AM57" i="14"/>
  <c r="AU57" i="14"/>
  <c r="AY57" i="14" s="1"/>
  <c r="AM97" i="14"/>
  <c r="AM84" i="14"/>
  <c r="AW84" i="14"/>
  <c r="AY84" i="14" s="1"/>
  <c r="AY24" i="14"/>
  <c r="AY44" i="14"/>
  <c r="AY96" i="14"/>
  <c r="AM24" i="14"/>
  <c r="AM71" i="14"/>
  <c r="AU71" i="14"/>
  <c r="AY71" i="14" s="1"/>
  <c r="AM120" i="14"/>
  <c r="AU120" i="14"/>
  <c r="AY120" i="14" s="1"/>
  <c r="AU147" i="14"/>
  <c r="AY147" i="14" s="1"/>
  <c r="AM147" i="14"/>
  <c r="AU93" i="14"/>
  <c r="AM93" i="14"/>
  <c r="AY93" i="14"/>
  <c r="AU116" i="14"/>
  <c r="AY116" i="14" s="1"/>
  <c r="AM116" i="14"/>
  <c r="AY23" i="14"/>
  <c r="AM16" i="14"/>
  <c r="AU16" i="14"/>
  <c r="AM134" i="14"/>
  <c r="AW134" i="14"/>
  <c r="AY134" i="14" s="1"/>
  <c r="AY156" i="14"/>
  <c r="AY139" i="14"/>
  <c r="AM94" i="14"/>
  <c r="AV94" i="14"/>
  <c r="AY14" i="14"/>
  <c r="AV98" i="14"/>
  <c r="AM98" i="14"/>
  <c r="AM69" i="14"/>
  <c r="AU69" i="14"/>
  <c r="AY69" i="14" s="1"/>
  <c r="AM68" i="14"/>
  <c r="AU68" i="14"/>
  <c r="AY68" i="14" s="1"/>
  <c r="AM121" i="14"/>
  <c r="AV121" i="14"/>
  <c r="AY121" i="14" s="1"/>
  <c r="AM167" i="14"/>
  <c r="AU167" i="14"/>
  <c r="AY167" i="14" s="1"/>
  <c r="AM152" i="14"/>
  <c r="AV152" i="14"/>
  <c r="AY152" i="14" s="1"/>
  <c r="AM107" i="14"/>
  <c r="AV107" i="14"/>
  <c r="AY107" i="14" s="1"/>
  <c r="AM131" i="14"/>
  <c r="AV131" i="14"/>
  <c r="AY131" i="14" s="1"/>
  <c r="AM31" i="14"/>
  <c r="AU31" i="14"/>
  <c r="AY31" i="14" s="1"/>
  <c r="AW148" i="14"/>
  <c r="AY148" i="14" s="1"/>
  <c r="AM148" i="14"/>
  <c r="AY40" i="14"/>
  <c r="AY60" i="14"/>
  <c r="AY66" i="14"/>
  <c r="AM32" i="14"/>
  <c r="AU32" i="14"/>
  <c r="AY32" i="14" s="1"/>
  <c r="AW17" i="14"/>
  <c r="AY17" i="14" s="1"/>
  <c r="AM17" i="14"/>
  <c r="AY39" i="14"/>
  <c r="AY30" i="14"/>
  <c r="AY50" i="14"/>
  <c r="AY70" i="14"/>
  <c r="AY102" i="14"/>
  <c r="AM58" i="14"/>
  <c r="AM96" i="14"/>
  <c r="AM141" i="14"/>
  <c r="AM44" i="14"/>
  <c r="AY22" i="14"/>
  <c r="AY42" i="14"/>
  <c r="AY62" i="14"/>
  <c r="AY94" i="14"/>
  <c r="AY170" i="14"/>
  <c r="AM12" i="14"/>
  <c r="AY13" i="14"/>
  <c r="AY33" i="14"/>
  <c r="AY53" i="14"/>
  <c r="AY85" i="14"/>
  <c r="AY105" i="14"/>
  <c r="AY125" i="14"/>
  <c r="AM61" i="14"/>
  <c r="AM39" i="14"/>
  <c r="AM151" i="14"/>
  <c r="AU149" i="14"/>
  <c r="AY149" i="14" s="1"/>
  <c r="AV15" i="14"/>
  <c r="AY15" i="14" s="1"/>
  <c r="AV168" i="14"/>
  <c r="AY168" i="14" s="1"/>
  <c r="AV143" i="14"/>
  <c r="AY143" i="14" s="1"/>
  <c r="AU157" i="14"/>
  <c r="AY157" i="14" s="1"/>
  <c r="AY77" i="14"/>
  <c r="AY97" i="14"/>
  <c r="AY165" i="14"/>
  <c r="AY16" i="14"/>
  <c r="AY48" i="14"/>
  <c r="AY130" i="14"/>
  <c r="AY150" i="14"/>
  <c r="AY26" i="14"/>
  <c r="AY58" i="14"/>
  <c r="AY78" i="14"/>
  <c r="AY98" i="14"/>
  <c r="AY49" i="14"/>
  <c r="AY89" i="14"/>
  <c r="AY166" i="15"/>
  <c r="AM12" i="15"/>
  <c r="AW12" i="15"/>
  <c r="AY12" i="15" s="1"/>
  <c r="AM166" i="15"/>
  <c r="AM51" i="15"/>
  <c r="AV49" i="15"/>
  <c r="AY49" i="15" s="1"/>
  <c r="AU139" i="15"/>
  <c r="AY139" i="15" s="1"/>
  <c r="AM167" i="15"/>
  <c r="AU167" i="15"/>
  <c r="AY167" i="15" s="1"/>
  <c r="AV53" i="15"/>
  <c r="AY53" i="15" s="1"/>
  <c r="AM53" i="15"/>
  <c r="AY134" i="15"/>
  <c r="AM113" i="15"/>
  <c r="AU113" i="15"/>
  <c r="AY113" i="15" s="1"/>
  <c r="AU150" i="15"/>
  <c r="AY150" i="15" s="1"/>
  <c r="AV85" i="15"/>
  <c r="AY85" i="15" s="1"/>
  <c r="AW107" i="15"/>
  <c r="AW152" i="15"/>
  <c r="AY152" i="15" s="1"/>
  <c r="AW168" i="15"/>
  <c r="AY168" i="15" s="1"/>
  <c r="AM43" i="15"/>
  <c r="AM133" i="15"/>
  <c r="AM48" i="15"/>
  <c r="AW48" i="15"/>
  <c r="AM148" i="15"/>
  <c r="AU148" i="15"/>
  <c r="AY148" i="15" s="1"/>
  <c r="AM44" i="15"/>
  <c r="AM96" i="15"/>
  <c r="AV96" i="15"/>
  <c r="AY96" i="15" s="1"/>
  <c r="AM89" i="15"/>
  <c r="AV89" i="15"/>
  <c r="AM143" i="15"/>
  <c r="AX143" i="15"/>
  <c r="AY143" i="15" s="1"/>
  <c r="AM93" i="15"/>
  <c r="AW93" i="15"/>
  <c r="AY93" i="15" s="1"/>
  <c r="AY48" i="15"/>
  <c r="AY58" i="15"/>
  <c r="AM58" i="15"/>
  <c r="AM134" i="15"/>
  <c r="AU86" i="15"/>
  <c r="AY86" i="15" s="1"/>
  <c r="AM86" i="15"/>
  <c r="AM129" i="15"/>
  <c r="AM62" i="15"/>
  <c r="AW102" i="15"/>
  <c r="AM102" i="15"/>
  <c r="AM131" i="15"/>
  <c r="AM42" i="15"/>
  <c r="AU158" i="15"/>
  <c r="AY158" i="15" s="1"/>
  <c r="AM158" i="15"/>
  <c r="AM130" i="15"/>
  <c r="AM79" i="15"/>
  <c r="AU79" i="15"/>
  <c r="AY79" i="15" s="1"/>
  <c r="AM35" i="15"/>
  <c r="AU35" i="15"/>
  <c r="AY35" i="15" s="1"/>
  <c r="AM141" i="15"/>
  <c r="AM21" i="15"/>
  <c r="AU21" i="15"/>
  <c r="AY21" i="15" s="1"/>
  <c r="AM116" i="15"/>
  <c r="AU116" i="15"/>
  <c r="AY116" i="15" s="1"/>
  <c r="AW14" i="15"/>
  <c r="AY14" i="15" s="1"/>
  <c r="AX132" i="15"/>
  <c r="AY132" i="15" s="1"/>
  <c r="AY67" i="15"/>
  <c r="AY87" i="15"/>
  <c r="AY107" i="15"/>
  <c r="AY60" i="15"/>
  <c r="AU68" i="15"/>
  <c r="AY68" i="15" s="1"/>
  <c r="AV129" i="15"/>
  <c r="AY129" i="15" s="1"/>
  <c r="AU62" i="15"/>
  <c r="AY62" i="15" s="1"/>
  <c r="AU131" i="15"/>
  <c r="AY131" i="15" s="1"/>
  <c r="AU15" i="15"/>
  <c r="AY15" i="15" s="1"/>
  <c r="AU42" i="15"/>
  <c r="AY42" i="15" s="1"/>
  <c r="AV130" i="15"/>
  <c r="AY130" i="15" s="1"/>
  <c r="AW40" i="15"/>
  <c r="AY40" i="15" s="1"/>
  <c r="AV141" i="15"/>
  <c r="AY141" i="15" s="1"/>
  <c r="AY59" i="15"/>
  <c r="AY17" i="15"/>
  <c r="AY69" i="15"/>
  <c r="AY89" i="15"/>
  <c r="AY121" i="15"/>
  <c r="AY22" i="15"/>
  <c r="AY94" i="15"/>
  <c r="AY50" i="15"/>
  <c r="AY102" i="15"/>
  <c r="AY31" i="15"/>
  <c r="AY51" i="15"/>
  <c r="AY123" i="15"/>
  <c r="AY24" i="15"/>
  <c r="AY44" i="15"/>
  <c r="AY30" i="15"/>
  <c r="AY61" i="15"/>
  <c r="AY32" i="15"/>
  <c r="AY52" i="15"/>
  <c r="AY84" i="15"/>
  <c r="AY43" i="15"/>
  <c r="AY95" i="15"/>
  <c r="AY62" i="16"/>
  <c r="AY59" i="16"/>
  <c r="AY31" i="16"/>
  <c r="AM62" i="16"/>
  <c r="AM42" i="16"/>
  <c r="AU57" i="16"/>
  <c r="AY57" i="16" s="1"/>
  <c r="AU129" i="16"/>
  <c r="AY129" i="16" s="1"/>
  <c r="AV26" i="16"/>
  <c r="AY26" i="16" s="1"/>
  <c r="AU85" i="16"/>
  <c r="AW139" i="16"/>
  <c r="AY139" i="16" s="1"/>
  <c r="AU167" i="16"/>
  <c r="AY167" i="16" s="1"/>
  <c r="AX131" i="16"/>
  <c r="AY131" i="16" s="1"/>
  <c r="AX89" i="16"/>
  <c r="AY89" i="16" s="1"/>
  <c r="AW49" i="16"/>
  <c r="AY49" i="16" s="1"/>
  <c r="AW120" i="16"/>
  <c r="AY120" i="16" s="1"/>
  <c r="AY150" i="16"/>
  <c r="AY16" i="16"/>
  <c r="AY13" i="16"/>
  <c r="AU97" i="16"/>
  <c r="AY97" i="16" s="1"/>
  <c r="AU158" i="16"/>
  <c r="AY158" i="16" s="1"/>
  <c r="AU149" i="16"/>
  <c r="AY149" i="16" s="1"/>
  <c r="AW132" i="16"/>
  <c r="AY132" i="16" s="1"/>
  <c r="AW102" i="16"/>
  <c r="AY102" i="16" s="1"/>
  <c r="AX130" i="16"/>
  <c r="AX93" i="16"/>
  <c r="AY93" i="16" s="1"/>
  <c r="AU106" i="16"/>
  <c r="AY106" i="16" s="1"/>
  <c r="AY143" i="16"/>
  <c r="AM86" i="16"/>
  <c r="AM138" i="16"/>
  <c r="AM147" i="16"/>
  <c r="AY30" i="16"/>
  <c r="AM67" i="16"/>
  <c r="AY69" i="16"/>
  <c r="AY130" i="16"/>
  <c r="AM39" i="16"/>
  <c r="AM150" i="16"/>
  <c r="AX107" i="16"/>
  <c r="AY107" i="16" s="1"/>
  <c r="AU134" i="16"/>
  <c r="AY134" i="16" s="1"/>
  <c r="AM123" i="16"/>
  <c r="AX105" i="16"/>
  <c r="AY105" i="16" s="1"/>
  <c r="AU104" i="16"/>
  <c r="AY104" i="16" s="1"/>
  <c r="AM30" i="16"/>
  <c r="AM96" i="16"/>
  <c r="AM59" i="16"/>
  <c r="AY84" i="16"/>
  <c r="AY67" i="16"/>
  <c r="AY50" i="16"/>
  <c r="AM141" i="16"/>
  <c r="AY98" i="16"/>
  <c r="AV17" i="16"/>
  <c r="AY17" i="16" s="1"/>
  <c r="AY33" i="16"/>
  <c r="AY40" i="16"/>
  <c r="AU21" i="16"/>
  <c r="AY21" i="16" s="1"/>
  <c r="AX53" i="16"/>
  <c r="AY53" i="16" s="1"/>
  <c r="AY96" i="16"/>
  <c r="AY32" i="16"/>
  <c r="AW51" i="16"/>
  <c r="AY51" i="16" s="1"/>
  <c r="AU87" i="16"/>
  <c r="AY87" i="16" s="1"/>
  <c r="AU141" i="16"/>
  <c r="AY141" i="16" s="1"/>
  <c r="AX152" i="16"/>
  <c r="AY152" i="16" s="1"/>
  <c r="AV148" i="16"/>
  <c r="AY148" i="16" s="1"/>
  <c r="AY85" i="16"/>
  <c r="AY121" i="16"/>
  <c r="AY133" i="16"/>
  <c r="AY86" i="16"/>
  <c r="AY122" i="16"/>
  <c r="AY123" i="16"/>
  <c r="AY138" i="16"/>
  <c r="AM142" i="17"/>
  <c r="AU142" i="17"/>
  <c r="AY142" i="17" s="1"/>
  <c r="AM95" i="17"/>
  <c r="AU95" i="17"/>
  <c r="AY95" i="17" s="1"/>
  <c r="AM66" i="17"/>
  <c r="AU66" i="17"/>
  <c r="AY66" i="17" s="1"/>
  <c r="AY105" i="17"/>
  <c r="AM30" i="17"/>
  <c r="AW30" i="17"/>
  <c r="AY30" i="17" s="1"/>
  <c r="AY152" i="17"/>
  <c r="AM22" i="17"/>
  <c r="AY42" i="17"/>
  <c r="AY17" i="17"/>
  <c r="AM104" i="17"/>
  <c r="AU104" i="17"/>
  <c r="AY104" i="17" s="1"/>
  <c r="AY17" i="2" s="1"/>
  <c r="AY13" i="17"/>
  <c r="AM132" i="17"/>
  <c r="AU132" i="17"/>
  <c r="AY132" i="17" s="1"/>
  <c r="AM131" i="17"/>
  <c r="AM33" i="17"/>
  <c r="AM102" i="17"/>
  <c r="AM59" i="17"/>
  <c r="AW59" i="17"/>
  <c r="AY59" i="17" s="1"/>
  <c r="AM148" i="17"/>
  <c r="AY130" i="17"/>
  <c r="AM44" i="17"/>
  <c r="AX44" i="17"/>
  <c r="AY44" i="17" s="1"/>
  <c r="AM86" i="17"/>
  <c r="AV86" i="17"/>
  <c r="AY131" i="17"/>
  <c r="AM48" i="17"/>
  <c r="AW48" i="17"/>
  <c r="AY48" i="17" s="1"/>
  <c r="AM115" i="17"/>
  <c r="AU115" i="17"/>
  <c r="AY115" i="17" s="1"/>
  <c r="AM39" i="17"/>
  <c r="AW39" i="17"/>
  <c r="AY39" i="17" s="1"/>
  <c r="AY168" i="17"/>
  <c r="AM12" i="17"/>
  <c r="AU12" i="17"/>
  <c r="AY12" i="17" s="1"/>
  <c r="AM94" i="17"/>
  <c r="AM134" i="17"/>
  <c r="AM123" i="17"/>
  <c r="AY26" i="17"/>
  <c r="AM84" i="17"/>
  <c r="AU84" i="17"/>
  <c r="AY84" i="17" s="1"/>
  <c r="AM40" i="17"/>
  <c r="AU40" i="17"/>
  <c r="AY40" i="17" s="1"/>
  <c r="AY121" i="17"/>
  <c r="AY143" i="17"/>
  <c r="AY62" i="17"/>
  <c r="AM98" i="17"/>
  <c r="AM114" i="17"/>
  <c r="AY22" i="17"/>
  <c r="AY86" i="17"/>
  <c r="AY60" i="17"/>
  <c r="AM51" i="17"/>
  <c r="AY147" i="17"/>
  <c r="AY96" i="17"/>
  <c r="AY139" i="17"/>
  <c r="AM141" i="17"/>
  <c r="AM152" i="17"/>
  <c r="AM23" i="17"/>
  <c r="AM75" i="17"/>
  <c r="AW57" i="17"/>
  <c r="AY57" i="17" s="1"/>
  <c r="AU122" i="17"/>
  <c r="AY122" i="17" s="1"/>
  <c r="AU129" i="17"/>
  <c r="AY129" i="17" s="1"/>
  <c r="AU113" i="17"/>
  <c r="AY113" i="17" s="1"/>
  <c r="AU34" i="17"/>
  <c r="AY34" i="17" s="1"/>
  <c r="AV148" i="17"/>
  <c r="AY148" i="17" s="1"/>
  <c r="AV93" i="17"/>
  <c r="AY93" i="17" s="1"/>
  <c r="AM24" i="17"/>
  <c r="AM96" i="17"/>
  <c r="AM147" i="17"/>
  <c r="AU149" i="17"/>
  <c r="AY149" i="17" s="1"/>
  <c r="AW14" i="17"/>
  <c r="AY14" i="17" s="1"/>
  <c r="AM50" i="17"/>
  <c r="AM60" i="17"/>
  <c r="AM80" i="17"/>
  <c r="AU138" i="17"/>
  <c r="AY138" i="17" s="1"/>
  <c r="AV21" i="17"/>
  <c r="AY21" i="17" s="1"/>
  <c r="AY44" i="18"/>
  <c r="AY148" i="18"/>
  <c r="AY32" i="18"/>
  <c r="AY59" i="18"/>
  <c r="AY13" i="18"/>
  <c r="AY93" i="18"/>
  <c r="AY168" i="18"/>
  <c r="AY67" i="18"/>
  <c r="AU149" i="18"/>
  <c r="AY149" i="18" s="1"/>
  <c r="AM149" i="18"/>
  <c r="AU49" i="18"/>
  <c r="AY49" i="18" s="1"/>
  <c r="AM49" i="18"/>
  <c r="AM30" i="18"/>
  <c r="AM75" i="18"/>
  <c r="AV96" i="18"/>
  <c r="AY96" i="18" s="1"/>
  <c r="AU130" i="18"/>
  <c r="AY130" i="18" s="1"/>
  <c r="AU161" i="18"/>
  <c r="AY161" i="18" s="1"/>
  <c r="AV42" i="18"/>
  <c r="AY42" i="18" s="1"/>
  <c r="AX48" i="18"/>
  <c r="AY48" i="18" s="1"/>
  <c r="AX39" i="18"/>
  <c r="AY39" i="18" s="1"/>
  <c r="AV58" i="18"/>
  <c r="AY58" i="18" s="1"/>
  <c r="AU25" i="18"/>
  <c r="AY25" i="18" s="1"/>
  <c r="AV86" i="18"/>
  <c r="AY86" i="18" s="1"/>
  <c r="AV143" i="18"/>
  <c r="AY143" i="18" s="1"/>
  <c r="AM147" i="18"/>
  <c r="AU43" i="18"/>
  <c r="AY43" i="18" s="1"/>
  <c r="AM43" i="18"/>
  <c r="AM31" i="18"/>
  <c r="AM168" i="18"/>
  <c r="AM60" i="18"/>
  <c r="AV53" i="18"/>
  <c r="AY53" i="18" s="1"/>
  <c r="AU102" i="18"/>
  <c r="AY102" i="18" s="1"/>
  <c r="AV60" i="18"/>
  <c r="AY60" i="18" s="1"/>
  <c r="AM139" i="18"/>
  <c r="AM98" i="18"/>
  <c r="AM89" i="18"/>
  <c r="AM32" i="18"/>
  <c r="AM67" i="18"/>
  <c r="AM21" i="18"/>
  <c r="AM41" i="18"/>
  <c r="AM59" i="18"/>
  <c r="AW17" i="18"/>
  <c r="AY17" i="18" s="1"/>
  <c r="AU152" i="18"/>
  <c r="AY152" i="18" s="1"/>
  <c r="AM158" i="18"/>
  <c r="AM134" i="18"/>
  <c r="AM150" i="18"/>
  <c r="AY134" i="18"/>
  <c r="AM94" i="18"/>
  <c r="AM132" i="18"/>
  <c r="AU33" i="18"/>
  <c r="AY33" i="18" s="1"/>
  <c r="AM33" i="18"/>
  <c r="AM93" i="18"/>
  <c r="AM148" i="18"/>
  <c r="AM13" i="18"/>
  <c r="AX121" i="18"/>
  <c r="AY121" i="18" s="1"/>
  <c r="AU138" i="18"/>
  <c r="AY138" i="18" s="1"/>
  <c r="AU133" i="18"/>
  <c r="AY133" i="18" s="1"/>
  <c r="AU141" i="18"/>
  <c r="AY141" i="18" s="1"/>
  <c r="AU50" i="18"/>
  <c r="AY50" i="18" s="1"/>
  <c r="AU165" i="18"/>
  <c r="AY165" i="18" s="1"/>
  <c r="AM15" i="18"/>
  <c r="AM84" i="18"/>
  <c r="AU131" i="18"/>
  <c r="AY131" i="18" s="1"/>
  <c r="AX69" i="18"/>
  <c r="AY69" i="18" s="1"/>
  <c r="AZ13" i="2" s="1"/>
  <c r="AV85" i="18"/>
  <c r="AY85" i="18" s="1"/>
  <c r="AU139" i="18"/>
  <c r="AY139" i="18" s="1"/>
  <c r="AW98" i="18"/>
  <c r="AY98" i="18" s="1"/>
  <c r="AV89" i="18"/>
  <c r="AY89" i="18" s="1"/>
  <c r="AW51" i="18"/>
  <c r="AY51" i="18" s="1"/>
  <c r="AU150" i="18"/>
  <c r="AY150" i="18" s="1"/>
  <c r="AU166" i="18"/>
  <c r="AY166" i="18" s="1"/>
  <c r="AV94" i="18"/>
  <c r="AY94" i="18" s="1"/>
  <c r="AW22" i="18"/>
  <c r="AY22" i="18" s="1"/>
  <c r="AV132" i="18"/>
  <c r="AY132" i="18" s="1"/>
  <c r="AY60" i="19"/>
  <c r="AY53" i="19"/>
  <c r="AY147" i="19"/>
  <c r="AY132" i="19"/>
  <c r="AM132" i="19"/>
  <c r="AU23" i="19"/>
  <c r="AY23" i="19" s="1"/>
  <c r="AU138" i="19"/>
  <c r="AY138" i="19" s="1"/>
  <c r="AU115" i="19"/>
  <c r="AY115" i="19" s="1"/>
  <c r="AM39" i="19"/>
  <c r="AM14" i="19"/>
  <c r="AM85" i="19"/>
  <c r="AM123" i="19"/>
  <c r="AW12" i="19"/>
  <c r="AY12" i="19" s="1"/>
  <c r="AU149" i="19"/>
  <c r="AY149" i="19" s="1"/>
  <c r="AU35" i="19"/>
  <c r="AY35" i="19" s="1"/>
  <c r="AV87" i="19"/>
  <c r="AY87" i="19" s="1"/>
  <c r="AU48" i="19"/>
  <c r="AY48" i="19" s="1"/>
  <c r="AU25" i="19"/>
  <c r="AY25" i="19" s="1"/>
  <c r="AU57" i="19"/>
  <c r="AY57" i="19" s="1"/>
  <c r="BA12" i="2" s="1"/>
  <c r="AU170" i="19"/>
  <c r="AY170" i="19" s="1"/>
  <c r="AM84" i="19"/>
  <c r="AM40" i="19"/>
  <c r="AM44" i="19"/>
  <c r="AM60" i="19"/>
  <c r="AM116" i="19"/>
  <c r="AM147" i="19"/>
  <c r="AM66" i="19"/>
  <c r="AV66" i="19"/>
  <c r="AY66" i="19" s="1"/>
  <c r="AY123" i="19"/>
  <c r="AM21" i="19"/>
  <c r="AM129" i="19"/>
  <c r="AM120" i="19"/>
  <c r="AY84" i="19"/>
  <c r="AM13" i="19"/>
  <c r="AM71" i="19"/>
  <c r="AM141" i="19"/>
  <c r="AM130" i="19"/>
  <c r="AM150" i="19"/>
  <c r="AM50" i="19"/>
  <c r="AU70" i="19"/>
  <c r="AY70" i="19" s="1"/>
  <c r="AY24" i="32"/>
  <c r="AY21" i="32"/>
  <c r="AY143" i="32"/>
  <c r="AY125" i="32"/>
  <c r="AM120" i="32"/>
  <c r="AY105" i="32"/>
  <c r="AY77" i="32"/>
  <c r="AY52" i="32"/>
  <c r="AY30" i="32"/>
  <c r="AY130" i="32"/>
  <c r="AY120" i="32"/>
  <c r="AY113" i="32"/>
  <c r="AM105" i="32"/>
  <c r="AY23" i="32"/>
  <c r="AY124" i="32"/>
  <c r="AY59" i="32"/>
  <c r="AY34" i="32"/>
  <c r="AY150" i="32"/>
  <c r="AY132" i="32"/>
  <c r="AY94" i="32"/>
  <c r="AM75" i="32"/>
  <c r="AM50" i="32"/>
  <c r="AY152" i="32"/>
  <c r="AY134" i="32"/>
  <c r="AV131" i="32"/>
  <c r="AY131" i="32" s="1"/>
  <c r="AU75" i="32"/>
  <c r="AY75" i="32" s="1"/>
  <c r="AU50" i="32"/>
  <c r="AY50" i="32" s="1"/>
  <c r="AU25" i="32"/>
  <c r="AY25" i="32" s="1"/>
  <c r="AM147" i="32"/>
  <c r="AM169" i="32"/>
  <c r="AY139" i="32"/>
  <c r="AV138" i="32"/>
  <c r="AY138" i="32" s="1"/>
  <c r="AU79" i="32"/>
  <c r="AY79" i="32" s="1"/>
  <c r="AU57" i="32"/>
  <c r="AY57" i="32" s="1"/>
  <c r="AU32" i="32"/>
  <c r="AY32" i="32" s="1"/>
  <c r="AW147" i="32"/>
  <c r="AY147" i="32" s="1"/>
  <c r="AY88" i="32"/>
  <c r="AY70" i="32"/>
  <c r="AY62" i="32"/>
  <c r="AY48" i="32"/>
  <c r="AY40" i="32"/>
  <c r="AY169" i="32"/>
  <c r="AY165" i="32"/>
  <c r="AY121" i="32"/>
  <c r="AY96" i="32"/>
  <c r="AM129" i="32"/>
  <c r="AY58" i="32"/>
  <c r="AY51" i="32"/>
  <c r="AY44" i="32"/>
  <c r="AM17" i="32"/>
  <c r="AM13" i="32"/>
  <c r="AY168" i="32"/>
  <c r="AY161" i="32"/>
  <c r="AY157" i="32"/>
  <c r="AY129" i="32"/>
  <c r="AY123" i="32"/>
  <c r="AY116" i="32"/>
  <c r="AY87" i="32"/>
  <c r="AY68" i="32"/>
  <c r="AY43" i="32"/>
  <c r="AY39" i="32"/>
  <c r="AY26" i="32"/>
  <c r="AY22" i="32"/>
  <c r="AY17" i="32"/>
  <c r="AY15" i="32"/>
  <c r="AY13" i="32"/>
  <c r="AM107" i="32"/>
  <c r="AM93" i="32"/>
  <c r="AY112" i="32"/>
  <c r="AM86" i="32"/>
  <c r="AM78" i="32"/>
  <c r="AM71" i="32"/>
  <c r="AM67" i="32"/>
  <c r="AM60" i="32"/>
  <c r="AM53" i="32"/>
  <c r="AM49" i="32"/>
  <c r="AM42" i="32"/>
  <c r="AM35" i="32"/>
  <c r="AM31" i="32"/>
  <c r="AY167" i="32"/>
  <c r="AY160" i="32"/>
  <c r="AY156" i="32"/>
  <c r="AY122" i="32"/>
  <c r="AY115" i="32"/>
  <c r="AY107" i="32"/>
  <c r="AY93" i="32"/>
  <c r="AU106" i="32"/>
  <c r="AY106" i="32" s="1"/>
  <c r="AY86" i="32"/>
  <c r="AY78" i="32"/>
  <c r="AY71" i="32"/>
  <c r="AY67" i="32"/>
  <c r="AY60" i="32"/>
  <c r="AY53" i="32"/>
  <c r="AY49" i="32"/>
  <c r="AY42" i="32"/>
  <c r="AY35" i="32"/>
  <c r="AY31" i="32"/>
  <c r="AM152" i="32"/>
  <c r="AM150" i="32"/>
  <c r="AM148" i="32"/>
  <c r="AM143" i="32"/>
  <c r="AM141" i="32"/>
  <c r="AM139" i="32"/>
  <c r="AM134" i="32"/>
  <c r="AM132" i="32"/>
  <c r="AM130" i="32"/>
  <c r="AM121" i="32"/>
  <c r="AM94" i="32"/>
  <c r="AM112" i="32"/>
  <c r="AY169" i="30"/>
  <c r="AM170" i="30"/>
  <c r="AU166" i="30"/>
  <c r="AY166" i="30" s="1"/>
  <c r="AY157" i="30"/>
  <c r="AY161" i="30"/>
  <c r="AM156" i="30"/>
  <c r="AY158" i="30"/>
  <c r="AM157" i="30"/>
  <c r="AM158" i="30"/>
  <c r="AY156" i="30"/>
  <c r="AY160" i="30"/>
  <c r="AM159" i="30"/>
  <c r="AM151" i="30"/>
  <c r="AY151" i="30"/>
  <c r="AM133" i="30"/>
  <c r="AY133" i="30"/>
  <c r="AY125" i="30"/>
  <c r="AY124" i="30"/>
  <c r="AM124" i="30"/>
  <c r="AM112" i="30"/>
  <c r="AY111" i="30"/>
  <c r="AM114" i="30"/>
  <c r="AY116" i="30"/>
  <c r="AY113" i="30"/>
  <c r="AY103" i="30"/>
  <c r="AW104" i="30"/>
  <c r="AY104" i="30" s="1"/>
  <c r="AY97" i="30"/>
  <c r="AM97" i="30"/>
  <c r="AM95" i="30"/>
  <c r="AY88" i="30"/>
  <c r="AM80" i="30"/>
  <c r="AX77" i="30"/>
  <c r="AY77" i="30" s="1"/>
  <c r="AY76" i="30"/>
  <c r="AM71" i="30"/>
  <c r="AY68" i="30"/>
  <c r="AX61" i="30"/>
  <c r="AY61" i="30" s="1"/>
  <c r="AX43" i="30"/>
  <c r="AY43" i="30" s="1"/>
  <c r="AM34" i="30"/>
  <c r="AU34" i="30"/>
  <c r="AY34" i="30" s="1"/>
  <c r="AV23" i="30"/>
  <c r="AY23" i="30" s="1"/>
  <c r="AM16" i="30"/>
  <c r="AY16" i="30"/>
  <c r="AY123" i="30"/>
  <c r="AM60" i="30"/>
  <c r="AY35" i="30"/>
  <c r="AY149" i="30"/>
  <c r="AW96" i="30"/>
  <c r="AY96" i="30" s="1"/>
  <c r="AV13" i="30"/>
  <c r="AY13" i="30" s="1"/>
  <c r="AU130" i="30"/>
  <c r="AU80" i="30"/>
  <c r="AY80" i="30" s="1"/>
  <c r="AY60" i="30"/>
  <c r="AM26" i="30"/>
  <c r="AM75" i="30"/>
  <c r="AM85" i="30"/>
  <c r="AX98" i="30"/>
  <c r="AY98" i="30" s="1"/>
  <c r="AW48" i="30"/>
  <c r="AY48" i="30" s="1"/>
  <c r="AM48" i="30"/>
  <c r="AV21" i="30"/>
  <c r="AY21" i="30" s="1"/>
  <c r="AV12" i="30"/>
  <c r="AY12" i="30" s="1"/>
  <c r="AM12" i="30"/>
  <c r="AY168" i="30"/>
  <c r="AU142" i="30"/>
  <c r="AY142" i="30" s="1"/>
  <c r="AU134" i="30"/>
  <c r="AY134" i="30" s="1"/>
  <c r="AU95" i="30"/>
  <c r="AY95" i="30" s="1"/>
  <c r="AU87" i="30"/>
  <c r="AY87" i="30" s="1"/>
  <c r="AM79" i="30"/>
  <c r="AU79" i="30"/>
  <c r="AY79" i="30" s="1"/>
  <c r="AY62" i="30"/>
  <c r="AY26" i="30"/>
  <c r="AM107" i="30"/>
  <c r="AW107" i="30"/>
  <c r="AY107" i="30" s="1"/>
  <c r="AV105" i="30"/>
  <c r="AY105" i="30" s="1"/>
  <c r="AM105" i="30"/>
  <c r="AM141" i="30"/>
  <c r="AU141" i="30"/>
  <c r="AY141" i="30" s="1"/>
  <c r="AY120" i="30"/>
  <c r="AU53" i="30"/>
  <c r="AY53" i="30" s="1"/>
  <c r="AM53" i="30"/>
  <c r="AU31" i="30"/>
  <c r="AY31" i="30" s="1"/>
  <c r="AY58" i="30"/>
  <c r="AM129" i="30"/>
  <c r="AY70" i="30"/>
  <c r="AM44" i="30"/>
  <c r="AM169" i="30"/>
  <c r="AY129" i="30"/>
  <c r="AM148" i="30"/>
  <c r="AY69" i="30"/>
  <c r="AM94" i="30"/>
  <c r="AM111" i="30"/>
  <c r="AY131" i="30"/>
  <c r="AM42" i="30"/>
  <c r="AV42" i="30"/>
  <c r="AY42" i="30" s="1"/>
  <c r="AU165" i="30"/>
  <c r="AY165" i="30" s="1"/>
  <c r="AM165" i="30"/>
  <c r="AU115" i="30"/>
  <c r="AY115" i="30" s="1"/>
  <c r="AM115" i="30"/>
  <c r="AM106" i="30"/>
  <c r="AU106" i="30"/>
  <c r="AY106" i="30" s="1"/>
  <c r="AM147" i="30"/>
  <c r="AU170" i="30"/>
  <c r="AY170" i="30" s="1"/>
  <c r="AM152" i="30"/>
  <c r="AY84" i="30"/>
  <c r="AU122" i="30"/>
  <c r="AY122" i="30" s="1"/>
  <c r="AM122" i="30"/>
  <c r="AY130" i="30"/>
  <c r="AM14" i="30"/>
  <c r="AY44" i="30"/>
  <c r="AY24" i="30"/>
  <c r="AM113" i="30"/>
  <c r="AY114" i="30"/>
  <c r="AY71" i="30"/>
  <c r="AY50" i="30"/>
  <c r="AW67" i="30"/>
  <c r="AY67" i="30" s="1"/>
  <c r="AW32" i="30"/>
  <c r="AY32" i="30" s="1"/>
  <c r="AU148" i="30"/>
  <c r="AY148" i="30" s="1"/>
  <c r="AM140" i="30"/>
  <c r="AU140" i="30"/>
  <c r="AY140" i="30" s="1"/>
  <c r="AU66" i="30"/>
  <c r="AY66" i="30" s="1"/>
  <c r="AM120" i="30"/>
  <c r="AM167" i="30"/>
  <c r="AY57" i="30"/>
  <c r="AY14" i="30"/>
  <c r="AY139" i="30"/>
  <c r="AW150" i="30"/>
  <c r="AY150" i="30" s="1"/>
  <c r="AW143" i="30"/>
  <c r="AY143" i="30" s="1"/>
  <c r="AW132" i="30"/>
  <c r="AY132" i="30" s="1"/>
  <c r="AU152" i="30"/>
  <c r="AY152" i="30" s="1"/>
  <c r="AY33" i="30"/>
  <c r="AU159" i="30"/>
  <c r="AY159" i="30" s="1"/>
  <c r="AU112" i="30"/>
  <c r="AY112" i="30" s="1"/>
  <c r="AM69" i="30"/>
  <c r="AM49" i="30"/>
  <c r="AU49" i="30"/>
  <c r="AY49" i="30" s="1"/>
  <c r="AY22" i="30"/>
  <c r="AY39" i="30"/>
  <c r="AY86" i="30"/>
  <c r="AY169" i="29"/>
  <c r="AM169" i="29"/>
  <c r="AY170" i="29"/>
  <c r="AY167" i="29"/>
  <c r="X23" i="2"/>
  <c r="AY161" i="29"/>
  <c r="AM156" i="29"/>
  <c r="AM160" i="29"/>
  <c r="AY160" i="29"/>
  <c r="AM158" i="29"/>
  <c r="AM159" i="29"/>
  <c r="AY158" i="29"/>
  <c r="AM157" i="29"/>
  <c r="AM151" i="29"/>
  <c r="AM149" i="29"/>
  <c r="AY142" i="29"/>
  <c r="AM142" i="29"/>
  <c r="AY140" i="29"/>
  <c r="AM140" i="29"/>
  <c r="AY124" i="29"/>
  <c r="AY125" i="29"/>
  <c r="AM122" i="29"/>
  <c r="AM111" i="29"/>
  <c r="AM113" i="29"/>
  <c r="AM104" i="29"/>
  <c r="AM103" i="29"/>
  <c r="AM97" i="29"/>
  <c r="AY97" i="29"/>
  <c r="AY95" i="29"/>
  <c r="AV88" i="29"/>
  <c r="AY88" i="29" s="1"/>
  <c r="AM80" i="29"/>
  <c r="AM79" i="29"/>
  <c r="AY79" i="29"/>
  <c r="AV77" i="29"/>
  <c r="AY77" i="29" s="1"/>
  <c r="AY76" i="29"/>
  <c r="AM76" i="29"/>
  <c r="AM71" i="29"/>
  <c r="AM61" i="29"/>
  <c r="AY61" i="29"/>
  <c r="AY43" i="29"/>
  <c r="AM43" i="29"/>
  <c r="AY41" i="29"/>
  <c r="AY25" i="29"/>
  <c r="AM23" i="29"/>
  <c r="AY23" i="29"/>
  <c r="AY129" i="29"/>
  <c r="AU86" i="29"/>
  <c r="AY86" i="29" s="1"/>
  <c r="AM86" i="29"/>
  <c r="AX57" i="29"/>
  <c r="AY57" i="29" s="1"/>
  <c r="AM57" i="29"/>
  <c r="AU115" i="29"/>
  <c r="AY115" i="29" s="1"/>
  <c r="AM115" i="29"/>
  <c r="AU96" i="29"/>
  <c r="AY96" i="29" s="1"/>
  <c r="AM96" i="29"/>
  <c r="AY85" i="29"/>
  <c r="AV168" i="29"/>
  <c r="AY168" i="29" s="1"/>
  <c r="AM168" i="29"/>
  <c r="AM148" i="29"/>
  <c r="AW150" i="29"/>
  <c r="AY150" i="29" s="1"/>
  <c r="AM150" i="29"/>
  <c r="AU134" i="29"/>
  <c r="AY134" i="29" s="1"/>
  <c r="AM134" i="29"/>
  <c r="AU84" i="29"/>
  <c r="AY84" i="29" s="1"/>
  <c r="AM84" i="29"/>
  <c r="AM26" i="29"/>
  <c r="AM95" i="29"/>
  <c r="AM33" i="29"/>
  <c r="AM107" i="29"/>
  <c r="AV148" i="29"/>
  <c r="AY148" i="29" s="1"/>
  <c r="AM93" i="29"/>
  <c r="AV93" i="29"/>
  <c r="AY93" i="29" s="1"/>
  <c r="AV14" i="29"/>
  <c r="AY14" i="29" s="1"/>
  <c r="AU143" i="29"/>
  <c r="AY143" i="29" s="1"/>
  <c r="AM143" i="29"/>
  <c r="AU104" i="29"/>
  <c r="AY104" i="29" s="1"/>
  <c r="AU34" i="29"/>
  <c r="AY34" i="29" s="1"/>
  <c r="AM34" i="29"/>
  <c r="AM152" i="29"/>
  <c r="AU132" i="29"/>
  <c r="AY132" i="29" s="1"/>
  <c r="AM132" i="29"/>
  <c r="AY33" i="29"/>
  <c r="AM58" i="29"/>
  <c r="AM167" i="29"/>
  <c r="AX138" i="29"/>
  <c r="AY138" i="29" s="1"/>
  <c r="AM51" i="29"/>
  <c r="AU51" i="29"/>
  <c r="AY51" i="29" s="1"/>
  <c r="AM102" i="29"/>
  <c r="AV87" i="29"/>
  <c r="AY87" i="29" s="1"/>
  <c r="AV67" i="29"/>
  <c r="AY67" i="29" s="1"/>
  <c r="AM67" i="29"/>
  <c r="AY121" i="29"/>
  <c r="AM31" i="29"/>
  <c r="AM53" i="29"/>
  <c r="AW53" i="29"/>
  <c r="AY53" i="29" s="1"/>
  <c r="AM75" i="29"/>
  <c r="AV75" i="29"/>
  <c r="AY75" i="29" s="1"/>
  <c r="AU89" i="29"/>
  <c r="AY89" i="29" s="1"/>
  <c r="AM89" i="29"/>
  <c r="AU52" i="29"/>
  <c r="AY52" i="29" s="1"/>
  <c r="AM52" i="29"/>
  <c r="AU152" i="29"/>
  <c r="AY152" i="29" s="1"/>
  <c r="AU112" i="29"/>
  <c r="AY112" i="29" s="1"/>
  <c r="AM112" i="29"/>
  <c r="AU32" i="29"/>
  <c r="AY32" i="29" s="1"/>
  <c r="AM32" i="29"/>
  <c r="AM78" i="29"/>
  <c r="AM129" i="29"/>
  <c r="AM120" i="29"/>
  <c r="AM170" i="29"/>
  <c r="AM12" i="29"/>
  <c r="AV141" i="29"/>
  <c r="AY141" i="29" s="1"/>
  <c r="AM141" i="29"/>
  <c r="AU49" i="29"/>
  <c r="AY49" i="29" s="1"/>
  <c r="AM49" i="29"/>
  <c r="AM139" i="29"/>
  <c r="AY78" i="29"/>
  <c r="AY62" i="29"/>
  <c r="AY60" i="29"/>
  <c r="AY58" i="29"/>
  <c r="AY44" i="29"/>
  <c r="AY40" i="29"/>
  <c r="AY26" i="29"/>
  <c r="AY22" i="29"/>
  <c r="AY17" i="29"/>
  <c r="AY15" i="29"/>
  <c r="AY13" i="29"/>
  <c r="AM105" i="29"/>
  <c r="AV130" i="29"/>
  <c r="AY130" i="29" s="1"/>
  <c r="AV39" i="29"/>
  <c r="AY39" i="29" s="1"/>
  <c r="AV12" i="29"/>
  <c r="AU159" i="29"/>
  <c r="AY159" i="29" s="1"/>
  <c r="AM59" i="29"/>
  <c r="AM21" i="29"/>
  <c r="AU106" i="29"/>
  <c r="AY106" i="29" s="1"/>
  <c r="AU31" i="29"/>
  <c r="AY31" i="29" s="1"/>
  <c r="AY59" i="29"/>
  <c r="AY21" i="29"/>
  <c r="X9" i="2"/>
  <c r="X13" i="2"/>
  <c r="X17" i="2"/>
  <c r="X19" i="2"/>
  <c r="X20" i="2"/>
  <c r="AM66" i="29"/>
  <c r="O7" i="2"/>
  <c r="O19" i="2"/>
  <c r="P8" i="2"/>
  <c r="P14" i="2"/>
  <c r="P16" i="2"/>
  <c r="P18" i="2"/>
  <c r="Q15" i="2"/>
  <c r="AY23" i="2"/>
  <c r="AD24" i="13"/>
  <c r="AE24" i="13" s="1"/>
  <c r="AZ18" i="2"/>
  <c r="X21" i="2"/>
  <c r="Y21" i="13"/>
  <c r="Z21" i="13" s="1"/>
  <c r="AW48" i="1"/>
  <c r="AD22" i="13"/>
  <c r="AE22" i="13" s="1"/>
  <c r="Y13" i="13"/>
  <c r="Z13" i="13" s="1"/>
  <c r="X11" i="2"/>
  <c r="X15" i="2"/>
  <c r="X18" i="2"/>
  <c r="X22" i="2"/>
  <c r="AD16" i="13"/>
  <c r="AE16" i="13" s="1"/>
  <c r="AD28" i="13"/>
  <c r="AE28" i="13" s="1"/>
  <c r="Y27" i="13"/>
  <c r="Z27" i="13" s="1"/>
  <c r="O11" i="2"/>
  <c r="O13" i="2"/>
  <c r="O24" i="2"/>
  <c r="O30" i="2" s="1"/>
  <c r="O35" i="2" s="1"/>
  <c r="P23" i="2"/>
  <c r="Q19" i="2"/>
  <c r="AD20" i="13"/>
  <c r="AE20" i="13" s="1"/>
  <c r="Y15" i="13"/>
  <c r="Z15" i="13" s="1"/>
  <c r="AZ19" i="2"/>
  <c r="Y25" i="13"/>
  <c r="Z25" i="13" s="1"/>
  <c r="AD26" i="13"/>
  <c r="AE26" i="13" s="1"/>
  <c r="O9" i="2"/>
  <c r="O15" i="2"/>
  <c r="O17" i="2"/>
  <c r="P10" i="2"/>
  <c r="P12" i="2"/>
  <c r="Q8" i="2"/>
  <c r="Q11" i="2"/>
  <c r="AU30" i="1"/>
  <c r="Y17" i="13"/>
  <c r="Z17" i="13" s="1"/>
  <c r="O8" i="2"/>
  <c r="O10" i="2"/>
  <c r="O12" i="2"/>
  <c r="O16" i="2"/>
  <c r="O18" i="2"/>
  <c r="O23" i="2"/>
  <c r="P7" i="2"/>
  <c r="P9" i="2"/>
  <c r="P11" i="2"/>
  <c r="P13" i="2"/>
  <c r="P17" i="2"/>
  <c r="P19" i="2"/>
  <c r="Q12" i="2"/>
  <c r="Q14" i="2"/>
  <c r="Q16" i="2"/>
  <c r="Q18" i="2"/>
  <c r="AY13" i="2"/>
  <c r="BA15" i="2"/>
  <c r="Y23" i="13"/>
  <c r="Z23" i="13" s="1"/>
  <c r="T7" i="2"/>
  <c r="AY22" i="1"/>
  <c r="AU26" i="1"/>
  <c r="AJ115" i="1"/>
  <c r="AJ129" i="1"/>
  <c r="O14" i="2"/>
  <c r="Q13" i="2"/>
  <c r="AP24" i="1"/>
  <c r="AN111" i="1"/>
  <c r="AL132" i="1"/>
  <c r="AJ132" i="1"/>
  <c r="AN113" i="1"/>
  <c r="AH59" i="1"/>
  <c r="AH34" i="2"/>
  <c r="AY24" i="1"/>
  <c r="AO132" i="1"/>
  <c r="AT30" i="1"/>
  <c r="AX34" i="1"/>
  <c r="AY30" i="1"/>
  <c r="AF113" i="1"/>
  <c r="AN131" i="1"/>
  <c r="AK59" i="1"/>
  <c r="AH113" i="1"/>
  <c r="P15" i="2"/>
  <c r="Q17" i="2"/>
  <c r="AO57" i="1"/>
  <c r="AO131" i="1"/>
  <c r="AI129" i="1"/>
  <c r="AN59" i="1"/>
  <c r="AO113" i="1"/>
  <c r="AI59" i="1"/>
  <c r="AR30" i="1"/>
  <c r="AU34" i="1"/>
  <c r="AS22" i="1"/>
  <c r="AD19" i="13"/>
  <c r="AE19" i="13" s="1"/>
  <c r="AG77" i="1"/>
  <c r="AX152" i="1"/>
  <c r="AP138" i="1"/>
  <c r="AT16" i="1"/>
  <c r="AO61" i="1"/>
  <c r="AL115" i="1"/>
  <c r="AP68" i="1"/>
  <c r="AT140" i="1"/>
  <c r="AU22" i="1"/>
  <c r="AR22" i="1"/>
  <c r="AY26" i="1"/>
  <c r="AV26" i="1"/>
  <c r="AP12" i="1"/>
  <c r="AW26" i="1"/>
  <c r="AY168" i="1"/>
  <c r="AU168" i="1"/>
  <c r="Y14" i="13"/>
  <c r="Z14" i="13" s="1"/>
  <c r="Y16" i="13"/>
  <c r="Z16" i="13" s="1"/>
  <c r="Y18" i="13"/>
  <c r="Z18" i="13" s="1"/>
  <c r="AD42" i="13"/>
  <c r="AE42" i="13" s="1"/>
  <c r="AF115" i="1"/>
  <c r="AN115" i="1"/>
  <c r="AF129" i="1"/>
  <c r="AN129" i="1"/>
  <c r="AX22" i="1"/>
  <c r="AL61" i="1"/>
  <c r="AG115" i="1"/>
  <c r="AK129" i="1"/>
  <c r="AR152" i="1"/>
  <c r="AM16" i="1"/>
  <c r="AM32" i="1"/>
  <c r="AP66" i="1"/>
  <c r="AV138" i="1"/>
  <c r="AR140" i="1"/>
  <c r="AT14" i="1"/>
  <c r="AO62" i="1"/>
  <c r="AK61" i="1"/>
  <c r="AF77" i="1"/>
  <c r="AO129" i="1"/>
  <c r="AH77" i="1"/>
  <c r="AT152" i="1"/>
  <c r="AL129" i="1"/>
  <c r="AX105" i="1"/>
  <c r="S14" i="2"/>
  <c r="AX66" i="1"/>
  <c r="AR66" i="1"/>
  <c r="AX138" i="1"/>
  <c r="Y12" i="13"/>
  <c r="Z12" i="13" s="1"/>
  <c r="AI51" i="1"/>
  <c r="AR105" i="1"/>
  <c r="AT15" i="1"/>
  <c r="AO134" i="1"/>
  <c r="O20" i="2"/>
  <c r="O21" i="2"/>
  <c r="O22" i="2"/>
  <c r="P20" i="2"/>
  <c r="P21" i="2"/>
  <c r="P22" i="2"/>
  <c r="AO111" i="1"/>
  <c r="AH129" i="1"/>
  <c r="AY152" i="1"/>
  <c r="AV152" i="1"/>
  <c r="AO77" i="1"/>
  <c r="AI77" i="1"/>
  <c r="AS152" i="1"/>
  <c r="CO76" i="4"/>
  <c r="CO77" i="4" s="1"/>
  <c r="T14" i="2"/>
  <c r="X24" i="2"/>
  <c r="X30" i="2" s="1"/>
  <c r="X35" i="2" s="1"/>
  <c r="X16" i="2"/>
  <c r="AS33" i="1"/>
  <c r="AR68" i="1"/>
  <c r="AP105" i="1"/>
  <c r="AW15" i="1"/>
  <c r="AU16" i="1"/>
  <c r="AV24" i="1"/>
  <c r="AY16" i="1"/>
  <c r="AT48" i="1"/>
  <c r="AJ62" i="1"/>
  <c r="AX30" i="1"/>
  <c r="AS30" i="1"/>
  <c r="AH134" i="1"/>
  <c r="AX168" i="1"/>
  <c r="AS168" i="1"/>
  <c r="AW34" i="1"/>
  <c r="AT34" i="1"/>
  <c r="AV30" i="1"/>
  <c r="AF111" i="1"/>
  <c r="AM113" i="1"/>
  <c r="AJ113" i="1"/>
  <c r="AF131" i="1"/>
  <c r="AF134" i="1"/>
  <c r="AL57" i="1"/>
  <c r="AO59" i="1"/>
  <c r="AL59" i="1"/>
  <c r="AK113" i="1"/>
  <c r="S15" i="2"/>
  <c r="T13" i="2"/>
  <c r="T17" i="2"/>
  <c r="T15" i="2"/>
  <c r="T19" i="2"/>
  <c r="AJ59" i="1"/>
  <c r="AL113" i="1"/>
  <c r="AI113" i="1"/>
  <c r="AF59" i="1"/>
  <c r="AG59" i="1"/>
  <c r="AW30" i="1"/>
  <c r="AP30" i="1"/>
  <c r="AR34" i="1"/>
  <c r="R8" i="2"/>
  <c r="AQ34" i="1"/>
  <c r="AV34" i="1"/>
  <c r="H183" i="4"/>
  <c r="H185" i="4" s="1"/>
  <c r="AG51" i="1"/>
  <c r="AV62" i="1"/>
  <c r="AT105" i="1"/>
  <c r="AX15" i="1"/>
  <c r="AX16" i="1"/>
  <c r="AS16" i="1"/>
  <c r="AX48" i="1"/>
  <c r="AX12" i="1"/>
  <c r="BJ20" i="2"/>
  <c r="BJ21" i="2"/>
  <c r="BJ22" i="2"/>
  <c r="R23" i="2"/>
  <c r="AD13" i="13"/>
  <c r="AL77" i="1"/>
  <c r="AK77" i="1"/>
  <c r="AJ77" i="1"/>
  <c r="AP152" i="1"/>
  <c r="AN77" i="1"/>
  <c r="AQ152" i="1"/>
  <c r="W23" i="2"/>
  <c r="S24" i="2"/>
  <c r="S30" i="2" s="1"/>
  <c r="S35" i="2" s="1"/>
  <c r="AH42" i="2"/>
  <c r="AW19" i="2"/>
  <c r="R20" i="2"/>
  <c r="R16" i="2"/>
  <c r="S7" i="2"/>
  <c r="S23" i="2"/>
  <c r="W14" i="2"/>
  <c r="U14" i="2"/>
  <c r="V19" i="2"/>
  <c r="Q182" i="13"/>
  <c r="CH64" i="4"/>
  <c r="CH72" i="4" s="1"/>
  <c r="D159" i="4"/>
  <c r="AH26" i="2"/>
  <c r="AJ26" i="2" s="1"/>
  <c r="BH26" i="2"/>
  <c r="AT66" i="1"/>
  <c r="AV98" i="1"/>
  <c r="AR138" i="1"/>
  <c r="AV140" i="1"/>
  <c r="AX140" i="1"/>
  <c r="AV97" i="1"/>
  <c r="AU24" i="1"/>
  <c r="AR24" i="1"/>
  <c r="AW14" i="1"/>
  <c r="AS24" i="1"/>
  <c r="AX24" i="1"/>
  <c r="AV40" i="1"/>
  <c r="AD27" i="13"/>
  <c r="AE27" i="13" s="1"/>
  <c r="AD25" i="13"/>
  <c r="AE25" i="13" s="1"/>
  <c r="AD23" i="13"/>
  <c r="AE23" i="13" s="1"/>
  <c r="AD21" i="13"/>
  <c r="AE21" i="13" s="1"/>
  <c r="AK62" i="1"/>
  <c r="AK134" i="1"/>
  <c r="AJ134" i="1"/>
  <c r="AV168" i="1"/>
  <c r="AQ168" i="1"/>
  <c r="AT168" i="1"/>
  <c r="AW168" i="1"/>
  <c r="AM111" i="1"/>
  <c r="AJ111" i="1"/>
  <c r="AM131" i="1"/>
  <c r="AJ131" i="1"/>
  <c r="AI134" i="1"/>
  <c r="AL134" i="1"/>
  <c r="AK57" i="1"/>
  <c r="AG111" i="1"/>
  <c r="AG131" i="1"/>
  <c r="R12" i="2"/>
  <c r="S10" i="2"/>
  <c r="S18" i="2"/>
  <c r="AD29" i="13"/>
  <c r="AE29" i="13" s="1"/>
  <c r="AD17" i="13"/>
  <c r="AE17" i="13" s="1"/>
  <c r="Y20" i="13"/>
  <c r="Z20" i="13" s="1"/>
  <c r="Y22" i="13"/>
  <c r="Z22" i="13" s="1"/>
  <c r="Y24" i="13"/>
  <c r="Z24" i="13" s="1"/>
  <c r="Y26" i="13"/>
  <c r="Z26" i="13" s="1"/>
  <c r="Y28" i="13"/>
  <c r="Z28" i="13" s="1"/>
  <c r="AI115" i="1"/>
  <c r="AK115" i="1"/>
  <c r="AH115" i="1"/>
  <c r="AG61" i="1"/>
  <c r="AM61" i="1"/>
  <c r="AJ61" i="1"/>
  <c r="AF61" i="1"/>
  <c r="AN61" i="1"/>
  <c r="AI61" i="1"/>
  <c r="AQ26" i="1"/>
  <c r="AP26" i="1"/>
  <c r="AQ22" i="1"/>
  <c r="AT22" i="1"/>
  <c r="AW22" i="1"/>
  <c r="AI131" i="1"/>
  <c r="AH131" i="1"/>
  <c r="AK131" i="1"/>
  <c r="AI111" i="1"/>
  <c r="AH111" i="1"/>
  <c r="AK111" i="1"/>
  <c r="AG57" i="1"/>
  <c r="AM57" i="1"/>
  <c r="AJ57" i="1"/>
  <c r="AI57" i="1"/>
  <c r="AN57" i="1"/>
  <c r="AF57" i="1"/>
  <c r="AQ24" i="1"/>
  <c r="AT24" i="1"/>
  <c r="AX68" i="1"/>
  <c r="AQ68" i="1"/>
  <c r="AU68" i="1"/>
  <c r="AY68" i="1"/>
  <c r="AW68" i="1"/>
  <c r="AT68" i="1"/>
  <c r="AS68" i="1"/>
  <c r="S11" i="2"/>
  <c r="S19" i="2"/>
  <c r="T10" i="2"/>
  <c r="T18" i="2"/>
  <c r="T24" i="2"/>
  <c r="T30" i="2" s="1"/>
  <c r="T35" i="2" s="1"/>
  <c r="AD15" i="13"/>
  <c r="AE15" i="13" s="1"/>
  <c r="S8" i="2"/>
  <c r="S12" i="2"/>
  <c r="S16" i="2"/>
  <c r="S20" i="2"/>
  <c r="S22" i="2"/>
  <c r="T23" i="2"/>
  <c r="T9" i="2"/>
  <c r="T11" i="2"/>
  <c r="U13" i="2"/>
  <c r="U10" i="2"/>
  <c r="U17" i="2"/>
  <c r="V17" i="2"/>
  <c r="W18" i="2"/>
  <c r="W16" i="2"/>
  <c r="V7" i="2"/>
  <c r="T12" i="2"/>
  <c r="T16" i="2"/>
  <c r="Q23" i="2"/>
  <c r="U16" i="2"/>
  <c r="W11" i="2"/>
  <c r="W9" i="2"/>
  <c r="W17" i="2"/>
  <c r="R10" i="2"/>
  <c r="R14" i="2"/>
  <c r="R18" i="2"/>
  <c r="R24" i="2"/>
  <c r="R30" i="2" s="1"/>
  <c r="R35" i="2" s="1"/>
  <c r="S9" i="2"/>
  <c r="S13" i="2"/>
  <c r="S17" i="2"/>
  <c r="S21" i="2"/>
  <c r="T8" i="2"/>
  <c r="U15" i="2"/>
  <c r="U11" i="2"/>
  <c r="V23" i="2"/>
  <c r="W19" i="2"/>
  <c r="U23" i="2"/>
  <c r="U12" i="2"/>
  <c r="W12" i="2"/>
  <c r="W24" i="2"/>
  <c r="W30" i="2" s="1"/>
  <c r="W35" i="2" s="1"/>
  <c r="AG132" i="1"/>
  <c r="AF132" i="1"/>
  <c r="AG134" i="1"/>
  <c r="AN134" i="1"/>
  <c r="U9" i="2"/>
  <c r="W7" i="2"/>
  <c r="W15" i="2"/>
  <c r="AO51" i="1"/>
  <c r="AI16" i="1"/>
  <c r="AI32" i="1"/>
  <c r="AR98" i="1"/>
  <c r="AR97" i="1"/>
  <c r="AP14" i="1"/>
  <c r="AU40" i="1"/>
  <c r="AW12" i="1"/>
  <c r="AK132" i="1"/>
  <c r="AH132" i="1"/>
  <c r="AM132" i="1"/>
  <c r="Q9" i="2"/>
  <c r="Q21" i="2"/>
  <c r="AN132" i="1"/>
  <c r="Q24" i="2"/>
  <c r="Q30" i="2" s="1"/>
  <c r="Q35" i="2" s="1"/>
  <c r="R7" i="2"/>
  <c r="R9" i="2"/>
  <c r="R11" i="2"/>
  <c r="R13" i="2"/>
  <c r="R15" i="2"/>
  <c r="R17" i="2"/>
  <c r="R19" i="2"/>
  <c r="X12" i="2"/>
  <c r="P24" i="2"/>
  <c r="P30" i="2" s="1"/>
  <c r="P35" i="2" s="1"/>
  <c r="V16" i="2"/>
  <c r="R22" i="2"/>
  <c r="T20" i="2"/>
  <c r="T22" i="2"/>
  <c r="U24" i="2"/>
  <c r="U30" i="2" s="1"/>
  <c r="U35" i="2" s="1"/>
  <c r="U19" i="2"/>
  <c r="U18" i="2"/>
  <c r="V24" i="2"/>
  <c r="V30" i="2" s="1"/>
  <c r="V35" i="2" s="1"/>
  <c r="V18" i="2"/>
  <c r="BJ57" i="2"/>
  <c r="AF54" i="2"/>
  <c r="BJ54" i="2" s="1"/>
  <c r="W8" i="2"/>
  <c r="W10" i="2"/>
  <c r="W13" i="2"/>
  <c r="BC23" i="2"/>
  <c r="BC19" i="2"/>
  <c r="U20" i="2"/>
  <c r="BC24" i="2"/>
  <c r="BC30" i="2" s="1"/>
  <c r="BC35" i="2" s="1"/>
  <c r="BC18" i="2"/>
  <c r="Q10" i="2"/>
  <c r="Q7" i="2"/>
  <c r="Q20" i="2"/>
  <c r="Q22" i="2"/>
  <c r="V22" i="2"/>
  <c r="V20" i="2"/>
  <c r="W21" i="2"/>
  <c r="U22" i="2"/>
  <c r="U21" i="2"/>
  <c r="V21" i="2"/>
  <c r="W22" i="2"/>
  <c r="W20" i="2"/>
  <c r="R21" i="2"/>
  <c r="T21" i="2"/>
  <c r="AG35" i="2"/>
  <c r="AG34" i="2"/>
  <c r="CH82" i="4"/>
  <c r="CH83" i="4" s="1"/>
  <c r="D131" i="4" s="1"/>
  <c r="CL64" i="4"/>
  <c r="CL72" i="4" s="1"/>
  <c r="CL73" i="4" s="1"/>
  <c r="CN76" i="4"/>
  <c r="CN77" i="4" s="1"/>
  <c r="H159" i="4"/>
  <c r="AM50" i="1"/>
  <c r="AI50" i="1"/>
  <c r="AF50" i="1"/>
  <c r="AJ50" i="1"/>
  <c r="AN50" i="1"/>
  <c r="AK50" i="1"/>
  <c r="AL50" i="1"/>
  <c r="AO50" i="1"/>
  <c r="AH50" i="1"/>
  <c r="AG50" i="1"/>
  <c r="AS12" i="1"/>
  <c r="AQ12" i="1"/>
  <c r="AY12" i="1"/>
  <c r="AV12" i="1"/>
  <c r="AU12" i="1"/>
  <c r="AR12" i="1"/>
  <c r="AI53" i="1"/>
  <c r="AM53" i="1"/>
  <c r="AF53" i="1"/>
  <c r="AJ53" i="1"/>
  <c r="AN53" i="1"/>
  <c r="AG53" i="1"/>
  <c r="AO53" i="1"/>
  <c r="AL53" i="1"/>
  <c r="AK53" i="1"/>
  <c r="AH53" i="1"/>
  <c r="AQ62" i="1"/>
  <c r="AU62" i="1"/>
  <c r="AY62" i="1"/>
  <c r="AT62" i="1"/>
  <c r="AS62" i="1"/>
  <c r="AW62" i="1"/>
  <c r="AX62" i="1"/>
  <c r="AP62" i="1"/>
  <c r="AG62" i="1"/>
  <c r="AI62" i="1"/>
  <c r="AH62" i="1"/>
  <c r="AN62" i="1"/>
  <c r="AM62" i="1"/>
  <c r="AF62" i="1"/>
  <c r="AS151" i="1"/>
  <c r="AW151" i="1"/>
  <c r="AP151" i="1"/>
  <c r="AT151" i="1"/>
  <c r="AX151" i="1"/>
  <c r="AQ151" i="1"/>
  <c r="AU151" i="1"/>
  <c r="AY151" i="1"/>
  <c r="AR151" i="1"/>
  <c r="AV151" i="1"/>
  <c r="AS160" i="1"/>
  <c r="AW160" i="1"/>
  <c r="AP160" i="1"/>
  <c r="AT160" i="1"/>
  <c r="AX160" i="1"/>
  <c r="AQ160" i="1"/>
  <c r="AU160" i="1"/>
  <c r="AY160" i="1"/>
  <c r="AR160" i="1"/>
  <c r="AV160" i="1"/>
  <c r="AG114" i="1"/>
  <c r="AK114" i="1"/>
  <c r="AO114" i="1"/>
  <c r="AH114" i="1"/>
  <c r="AL114" i="1"/>
  <c r="AI114" i="1"/>
  <c r="AM114" i="1"/>
  <c r="AF114" i="1"/>
  <c r="AJ114" i="1"/>
  <c r="AN114" i="1"/>
  <c r="Y130" i="1"/>
  <c r="Y54" i="13"/>
  <c r="AF80" i="1"/>
  <c r="AJ80" i="1"/>
  <c r="AN80" i="1"/>
  <c r="AI80" i="1"/>
  <c r="AM80" i="1"/>
  <c r="AH80" i="1"/>
  <c r="AL80" i="1"/>
  <c r="AG80" i="1"/>
  <c r="AK80" i="1"/>
  <c r="AO80" i="1"/>
  <c r="AF95" i="1"/>
  <c r="AJ95" i="1"/>
  <c r="AN95" i="1"/>
  <c r="AI95" i="1"/>
  <c r="AM95" i="1"/>
  <c r="AH95" i="1"/>
  <c r="AL95" i="1"/>
  <c r="AG95" i="1"/>
  <c r="AK95" i="1"/>
  <c r="AO95" i="1"/>
  <c r="AG44" i="1"/>
  <c r="AK44" i="1"/>
  <c r="AO44" i="1"/>
  <c r="AH44" i="1"/>
  <c r="AL44" i="1"/>
  <c r="AI44" i="1"/>
  <c r="AM44" i="1"/>
  <c r="AF44" i="1"/>
  <c r="AJ44" i="1"/>
  <c r="AN44" i="1"/>
  <c r="AP48" i="1"/>
  <c r="AV48" i="1"/>
  <c r="AQ48" i="1"/>
  <c r="AR48" i="1"/>
  <c r="AS48" i="1"/>
  <c r="AY48" i="1"/>
  <c r="AG130" i="1"/>
  <c r="AK130" i="1"/>
  <c r="AO130" i="1"/>
  <c r="AH130" i="1"/>
  <c r="AL130" i="1"/>
  <c r="AI130" i="1"/>
  <c r="AM130" i="1"/>
  <c r="AF130" i="1"/>
  <c r="AJ130" i="1"/>
  <c r="AN130" i="1"/>
  <c r="AQ147" i="1"/>
  <c r="AU147" i="1"/>
  <c r="AY147" i="1"/>
  <c r="AR147" i="1"/>
  <c r="AV147" i="1"/>
  <c r="AS147" i="1"/>
  <c r="AW147" i="1"/>
  <c r="AP147" i="1"/>
  <c r="AT147" i="1"/>
  <c r="AX147" i="1"/>
  <c r="AQ167" i="1"/>
  <c r="AU167" i="1"/>
  <c r="AY167" i="1"/>
  <c r="AR167" i="1"/>
  <c r="AV167" i="1"/>
  <c r="AS167" i="1"/>
  <c r="AW167" i="1"/>
  <c r="AP167" i="1"/>
  <c r="AT167" i="1"/>
  <c r="AX167" i="1"/>
  <c r="AF78" i="1"/>
  <c r="AJ78" i="1"/>
  <c r="AN78" i="1"/>
  <c r="AI78" i="1"/>
  <c r="AM78" i="1"/>
  <c r="AH78" i="1"/>
  <c r="AL78" i="1"/>
  <c r="AG78" i="1"/>
  <c r="AK78" i="1"/>
  <c r="AO78" i="1"/>
  <c r="AD12" i="13"/>
  <c r="T182" i="13"/>
  <c r="U13" i="13"/>
  <c r="AI169" i="1"/>
  <c r="AM169" i="1"/>
  <c r="AF169" i="1"/>
  <c r="AJ169" i="1"/>
  <c r="AN169" i="1"/>
  <c r="AG169" i="1"/>
  <c r="AK169" i="1"/>
  <c r="AO169" i="1"/>
  <c r="AH169" i="1"/>
  <c r="AL169" i="1"/>
  <c r="AR86" i="1"/>
  <c r="AV86" i="1"/>
  <c r="AQ86" i="1"/>
  <c r="AU86" i="1"/>
  <c r="AY86" i="1"/>
  <c r="AP86" i="1"/>
  <c r="AT86" i="1"/>
  <c r="AX86" i="1"/>
  <c r="AS86" i="1"/>
  <c r="AW86" i="1"/>
  <c r="AP16" i="1"/>
  <c r="AQ16" i="1"/>
  <c r="AR16" i="1"/>
  <c r="AW16" i="1"/>
  <c r="AI97" i="1"/>
  <c r="AM97" i="1"/>
  <c r="AF97" i="1"/>
  <c r="AN97" i="1"/>
  <c r="AL97" i="1"/>
  <c r="AG97" i="1"/>
  <c r="AK97" i="1"/>
  <c r="AO97" i="1"/>
  <c r="AJ97" i="1"/>
  <c r="AH97" i="1"/>
  <c r="AP15" i="1"/>
  <c r="AV15" i="1"/>
  <c r="AQ15" i="1"/>
  <c r="AR15" i="1"/>
  <c r="AS15" i="1"/>
  <c r="AY15" i="1"/>
  <c r="AR32" i="1"/>
  <c r="AV32" i="1"/>
  <c r="AQ32" i="1"/>
  <c r="AY32" i="1"/>
  <c r="AW32" i="1"/>
  <c r="AP32" i="1"/>
  <c r="AT32" i="1"/>
  <c r="AX32" i="1"/>
  <c r="AU32" i="1"/>
  <c r="AS32" i="1"/>
  <c r="AI98" i="1"/>
  <c r="AM98" i="1"/>
  <c r="AF98" i="1"/>
  <c r="AN98" i="1"/>
  <c r="AL98" i="1"/>
  <c r="AG98" i="1"/>
  <c r="AK98" i="1"/>
  <c r="AO98" i="1"/>
  <c r="AJ98" i="1"/>
  <c r="AH98" i="1"/>
  <c r="AQ105" i="1"/>
  <c r="AU105" i="1"/>
  <c r="AY105" i="1"/>
  <c r="AS105" i="1"/>
  <c r="AW105" i="1"/>
  <c r="Y112" i="1"/>
  <c r="Y52" i="13"/>
  <c r="AD149" i="1"/>
  <c r="AD56" i="13"/>
  <c r="AI165" i="1"/>
  <c r="AM165" i="1"/>
  <c r="AF165" i="1"/>
  <c r="AJ165" i="1"/>
  <c r="AN165" i="1"/>
  <c r="AG165" i="1"/>
  <c r="AK165" i="1"/>
  <c r="AO165" i="1"/>
  <c r="AH165" i="1"/>
  <c r="AL165" i="1"/>
  <c r="AS14" i="1"/>
  <c r="AQ14" i="1"/>
  <c r="AY14" i="1"/>
  <c r="AV14" i="1"/>
  <c r="AU14" i="1"/>
  <c r="AR14" i="1"/>
  <c r="AO32" i="1"/>
  <c r="AH32" i="1"/>
  <c r="AL32" i="1"/>
  <c r="AK32" i="1"/>
  <c r="AF32" i="1"/>
  <c r="AJ32" i="1"/>
  <c r="AN32" i="1"/>
  <c r="Y97" i="1"/>
  <c r="Y50" i="13"/>
  <c r="AT98" i="1"/>
  <c r="AQ98" i="1"/>
  <c r="AU98" i="1"/>
  <c r="AY98" i="1"/>
  <c r="AX98" i="1"/>
  <c r="AS98" i="1"/>
  <c r="AW98" i="1"/>
  <c r="AG116" i="1"/>
  <c r="AK116" i="1"/>
  <c r="AO116" i="1"/>
  <c r="AH116" i="1"/>
  <c r="AL116" i="1"/>
  <c r="AI116" i="1"/>
  <c r="AM116" i="1"/>
  <c r="AF116" i="1"/>
  <c r="AJ116" i="1"/>
  <c r="AN116" i="1"/>
  <c r="AK16" i="1"/>
  <c r="AH16" i="1"/>
  <c r="AL16" i="1"/>
  <c r="AO16" i="1"/>
  <c r="AF16" i="1"/>
  <c r="AJ16" i="1"/>
  <c r="AN16" i="1"/>
  <c r="AQ40" i="1"/>
  <c r="AS40" i="1"/>
  <c r="AP40" i="1"/>
  <c r="AX40" i="1"/>
  <c r="AW40" i="1"/>
  <c r="AT40" i="1"/>
  <c r="AQ42" i="1"/>
  <c r="AU42" i="1"/>
  <c r="AY42" i="1"/>
  <c r="AR42" i="1"/>
  <c r="AV42" i="1"/>
  <c r="AS42" i="1"/>
  <c r="AW42" i="1"/>
  <c r="AP42" i="1"/>
  <c r="AT42" i="1"/>
  <c r="AX42" i="1"/>
  <c r="AF71" i="1"/>
  <c r="AJ71" i="1"/>
  <c r="AN71" i="1"/>
  <c r="AI71" i="1"/>
  <c r="AM71" i="1"/>
  <c r="AH71" i="1"/>
  <c r="AL71" i="1"/>
  <c r="AG71" i="1"/>
  <c r="AK71" i="1"/>
  <c r="AO71" i="1"/>
  <c r="AX97" i="1"/>
  <c r="AS97" i="1"/>
  <c r="AW97" i="1"/>
  <c r="AT97" i="1"/>
  <c r="AQ97" i="1"/>
  <c r="AU97" i="1"/>
  <c r="AY97" i="1"/>
  <c r="AG112" i="1"/>
  <c r="AK112" i="1"/>
  <c r="AO112" i="1"/>
  <c r="AH112" i="1"/>
  <c r="AL112" i="1"/>
  <c r="AI112" i="1"/>
  <c r="AM112" i="1"/>
  <c r="AF112" i="1"/>
  <c r="AJ112" i="1"/>
  <c r="AN112" i="1"/>
  <c r="AS149" i="1"/>
  <c r="AW149" i="1"/>
  <c r="AP149" i="1"/>
  <c r="AT149" i="1"/>
  <c r="AX149" i="1"/>
  <c r="AQ149" i="1"/>
  <c r="AU149" i="1"/>
  <c r="AY149" i="1"/>
  <c r="AR149" i="1"/>
  <c r="AV149" i="1"/>
  <c r="AI42" i="1"/>
  <c r="AM42" i="1"/>
  <c r="AF42" i="1"/>
  <c r="AJ42" i="1"/>
  <c r="AN42" i="1"/>
  <c r="AG42" i="1"/>
  <c r="AO42" i="1"/>
  <c r="AH42" i="1"/>
  <c r="AK42" i="1"/>
  <c r="AL42" i="1"/>
  <c r="AS51" i="1"/>
  <c r="AV51" i="1"/>
  <c r="AP51" i="1"/>
  <c r="AT51" i="1"/>
  <c r="AR51" i="1"/>
  <c r="AW51" i="1"/>
  <c r="AQ51" i="1"/>
  <c r="AU51" i="1"/>
  <c r="AY51" i="1"/>
  <c r="AP84" i="1"/>
  <c r="AT84" i="1"/>
  <c r="AX84" i="1"/>
  <c r="AS84" i="1"/>
  <c r="AW84" i="1"/>
  <c r="AR84" i="1"/>
  <c r="AV84" i="1"/>
  <c r="AQ84" i="1"/>
  <c r="AU84" i="1"/>
  <c r="AY84" i="1"/>
  <c r="AF140" i="1"/>
  <c r="AH140" i="1"/>
  <c r="AJ140" i="1"/>
  <c r="AG140" i="1"/>
  <c r="AK140" i="1"/>
  <c r="AO140" i="1"/>
  <c r="AN140" i="1"/>
  <c r="AI140" i="1"/>
  <c r="AM140" i="1"/>
  <c r="Y166" i="1"/>
  <c r="Y58" i="13"/>
  <c r="AH67" i="1"/>
  <c r="AN67" i="1"/>
  <c r="AI67" i="1"/>
  <c r="AM67" i="1"/>
  <c r="AJ67" i="1"/>
  <c r="AG67" i="1"/>
  <c r="AK67" i="1"/>
  <c r="AO67" i="1"/>
  <c r="AF67" i="1"/>
  <c r="AP33" i="1"/>
  <c r="AU33" i="1"/>
  <c r="AQ33" i="1"/>
  <c r="AY33" i="1"/>
  <c r="AV33" i="1"/>
  <c r="AR33" i="1"/>
  <c r="AT33" i="1"/>
  <c r="AX33" i="1"/>
  <c r="AG58" i="1"/>
  <c r="AK58" i="1"/>
  <c r="AO58" i="1"/>
  <c r="AH58" i="1"/>
  <c r="AL58" i="1"/>
  <c r="AI58" i="1"/>
  <c r="AM58" i="1"/>
  <c r="AF58" i="1"/>
  <c r="AN58" i="1"/>
  <c r="AJ58" i="1"/>
  <c r="AG60" i="1"/>
  <c r="AK60" i="1"/>
  <c r="AO60" i="1"/>
  <c r="AH60" i="1"/>
  <c r="AL60" i="1"/>
  <c r="AI60" i="1"/>
  <c r="AF60" i="1"/>
  <c r="AN60" i="1"/>
  <c r="AM60" i="1"/>
  <c r="AJ60" i="1"/>
  <c r="AF85" i="1"/>
  <c r="AJ85" i="1"/>
  <c r="AN85" i="1"/>
  <c r="AI85" i="1"/>
  <c r="AM85" i="1"/>
  <c r="AH85" i="1"/>
  <c r="AG85" i="1"/>
  <c r="AO85" i="1"/>
  <c r="AL85" i="1"/>
  <c r="AK85" i="1"/>
  <c r="AF103" i="1"/>
  <c r="AN103" i="1"/>
  <c r="AG103" i="1"/>
  <c r="AK103" i="1"/>
  <c r="AO103" i="1"/>
  <c r="AH103" i="1"/>
  <c r="AJ103" i="1"/>
  <c r="AI103" i="1"/>
  <c r="AM103" i="1"/>
  <c r="AI121" i="1"/>
  <c r="AM121" i="1"/>
  <c r="AF121" i="1"/>
  <c r="AJ121" i="1"/>
  <c r="AN121" i="1"/>
  <c r="AG121" i="1"/>
  <c r="AO121" i="1"/>
  <c r="AL121" i="1"/>
  <c r="AK121" i="1"/>
  <c r="AH121" i="1"/>
  <c r="AI123" i="1"/>
  <c r="AM123" i="1"/>
  <c r="AF123" i="1"/>
  <c r="AJ123" i="1"/>
  <c r="AN123" i="1"/>
  <c r="AK123" i="1"/>
  <c r="AH123" i="1"/>
  <c r="AL123" i="1"/>
  <c r="AG123" i="1"/>
  <c r="AO123" i="1"/>
  <c r="AI125" i="1"/>
  <c r="AM125" i="1"/>
  <c r="AF125" i="1"/>
  <c r="AJ125" i="1"/>
  <c r="AN125" i="1"/>
  <c r="AK125" i="1"/>
  <c r="AO125" i="1"/>
  <c r="AL125" i="1"/>
  <c r="AG125" i="1"/>
  <c r="AH125" i="1"/>
  <c r="AQ156" i="1"/>
  <c r="AU156" i="1"/>
  <c r="AY156" i="1"/>
  <c r="AR156" i="1"/>
  <c r="AV156" i="1"/>
  <c r="AW156" i="1"/>
  <c r="AT156" i="1"/>
  <c r="AS156" i="1"/>
  <c r="AP156" i="1"/>
  <c r="AX156" i="1"/>
  <c r="AD58" i="13"/>
  <c r="AD165" i="1"/>
  <c r="AF76" i="1"/>
  <c r="AJ76" i="1"/>
  <c r="AN76" i="1"/>
  <c r="AI76" i="1"/>
  <c r="AM76" i="1"/>
  <c r="AL76" i="1"/>
  <c r="AK76" i="1"/>
  <c r="AH76" i="1"/>
  <c r="AG76" i="1"/>
  <c r="AO76" i="1"/>
  <c r="AD85" i="1"/>
  <c r="AD49" i="13"/>
  <c r="AI107" i="1"/>
  <c r="AM107" i="1"/>
  <c r="AF107" i="1"/>
  <c r="AJ107" i="1"/>
  <c r="AN107" i="1"/>
  <c r="AG107" i="1"/>
  <c r="AH107" i="1"/>
  <c r="AK107" i="1"/>
  <c r="AO107" i="1"/>
  <c r="AL107" i="1"/>
  <c r="AK51" i="1"/>
  <c r="AH51" i="1"/>
  <c r="AL51" i="1"/>
  <c r="AJ51" i="1"/>
  <c r="AN51" i="1"/>
  <c r="AF51" i="1"/>
  <c r="AR88" i="1"/>
  <c r="AV88" i="1"/>
  <c r="AQ88" i="1"/>
  <c r="AU88" i="1"/>
  <c r="AY88" i="1"/>
  <c r="AP88" i="1"/>
  <c r="AT88" i="1"/>
  <c r="AX88" i="1"/>
  <c r="AS88" i="1"/>
  <c r="AW88" i="1"/>
  <c r="AF138" i="1"/>
  <c r="AH138" i="1"/>
  <c r="AN138" i="1"/>
  <c r="AG138" i="1"/>
  <c r="AK138" i="1"/>
  <c r="AO138" i="1"/>
  <c r="AJ138" i="1"/>
  <c r="AI138" i="1"/>
  <c r="AM138" i="1"/>
  <c r="AG167" i="1"/>
  <c r="AK167" i="1"/>
  <c r="AO167" i="1"/>
  <c r="AH167" i="1"/>
  <c r="AL167" i="1"/>
  <c r="AI167" i="1"/>
  <c r="AM167" i="1"/>
  <c r="AF167" i="1"/>
  <c r="AJ167" i="1"/>
  <c r="AN167" i="1"/>
  <c r="AI34" i="1"/>
  <c r="AM34" i="1"/>
  <c r="AF34" i="1"/>
  <c r="AJ34" i="1"/>
  <c r="AN34" i="1"/>
  <c r="AK34" i="1"/>
  <c r="AH34" i="1"/>
  <c r="AL34" i="1"/>
  <c r="AG34" i="1"/>
  <c r="AO34" i="1"/>
  <c r="Y58" i="1"/>
  <c r="Y46" i="13"/>
  <c r="AQ66" i="1"/>
  <c r="AU66" i="1"/>
  <c r="AY66" i="1"/>
  <c r="AS66" i="1"/>
  <c r="AW66" i="1"/>
  <c r="AR76" i="1"/>
  <c r="AV76" i="1"/>
  <c r="AQ76" i="1"/>
  <c r="AU76" i="1"/>
  <c r="AY76" i="1"/>
  <c r="AP76" i="1"/>
  <c r="AT76" i="1"/>
  <c r="AX76" i="1"/>
  <c r="AS76" i="1"/>
  <c r="AW76" i="1"/>
  <c r="Y85" i="1"/>
  <c r="Y49" i="13"/>
  <c r="AP87" i="1"/>
  <c r="AT87" i="1"/>
  <c r="AX87" i="1"/>
  <c r="AS87" i="1"/>
  <c r="AW87" i="1"/>
  <c r="AR87" i="1"/>
  <c r="AV87" i="1"/>
  <c r="AQ87" i="1"/>
  <c r="AU87" i="1"/>
  <c r="AY87" i="1"/>
  <c r="AF89" i="1"/>
  <c r="AJ89" i="1"/>
  <c r="AN89" i="1"/>
  <c r="AI89" i="1"/>
  <c r="AM89" i="1"/>
  <c r="AL89" i="1"/>
  <c r="AG89" i="1"/>
  <c r="AK89" i="1"/>
  <c r="AH89" i="1"/>
  <c r="AO89" i="1"/>
  <c r="AQ107" i="1"/>
  <c r="AU107" i="1"/>
  <c r="AY107" i="1"/>
  <c r="AR107" i="1"/>
  <c r="AV107" i="1"/>
  <c r="AS107" i="1"/>
  <c r="AW107" i="1"/>
  <c r="AP107" i="1"/>
  <c r="AT107" i="1"/>
  <c r="AX107" i="1"/>
  <c r="Y121" i="1"/>
  <c r="Y53" i="13"/>
  <c r="AQ138" i="1"/>
  <c r="AU138" i="1"/>
  <c r="AY138" i="1"/>
  <c r="AS138" i="1"/>
  <c r="AW138" i="1"/>
  <c r="AD57" i="13"/>
  <c r="AD156" i="1"/>
  <c r="AI157" i="1"/>
  <c r="AM157" i="1"/>
  <c r="AF157" i="1"/>
  <c r="AJ157" i="1"/>
  <c r="AN157" i="1"/>
  <c r="AG157" i="1"/>
  <c r="AK157" i="1"/>
  <c r="AO157" i="1"/>
  <c r="AH157" i="1"/>
  <c r="AL157" i="1"/>
  <c r="AQ158" i="1"/>
  <c r="AU158" i="1"/>
  <c r="AY158" i="1"/>
  <c r="AR158" i="1"/>
  <c r="AV158" i="1"/>
  <c r="AW158" i="1"/>
  <c r="AT158" i="1"/>
  <c r="AS158" i="1"/>
  <c r="AP158" i="1"/>
  <c r="AX158" i="1"/>
  <c r="AQ165" i="1"/>
  <c r="AU165" i="1"/>
  <c r="AY165" i="1"/>
  <c r="AR165" i="1"/>
  <c r="AV165" i="1"/>
  <c r="AS165" i="1"/>
  <c r="AP165" i="1"/>
  <c r="AX165" i="1"/>
  <c r="AW165" i="1"/>
  <c r="AT165" i="1"/>
  <c r="AI168" i="1"/>
  <c r="AM168" i="1"/>
  <c r="AF168" i="1"/>
  <c r="AJ168" i="1"/>
  <c r="AN168" i="1"/>
  <c r="AG168" i="1"/>
  <c r="AK168" i="1"/>
  <c r="AO168" i="1"/>
  <c r="AH168" i="1"/>
  <c r="AL168" i="1"/>
  <c r="AQ169" i="1"/>
  <c r="AU169" i="1"/>
  <c r="AY169" i="1"/>
  <c r="AR169" i="1"/>
  <c r="AV169" i="1"/>
  <c r="AW169" i="1"/>
  <c r="AP169" i="1"/>
  <c r="AX169" i="1"/>
  <c r="AS169" i="1"/>
  <c r="AT169" i="1"/>
  <c r="AI22" i="1"/>
  <c r="AM22" i="1"/>
  <c r="AF22" i="1"/>
  <c r="AJ22" i="1"/>
  <c r="AN22" i="1"/>
  <c r="AG22" i="1"/>
  <c r="AO22" i="1"/>
  <c r="AH22" i="1"/>
  <c r="AK22" i="1"/>
  <c r="AL22" i="1"/>
  <c r="AG24" i="1"/>
  <c r="AK24" i="1"/>
  <c r="AO24" i="1"/>
  <c r="AH24" i="1"/>
  <c r="AL24" i="1"/>
  <c r="AM24" i="1"/>
  <c r="AN24" i="1"/>
  <c r="AI24" i="1"/>
  <c r="AF24" i="1"/>
  <c r="AJ24" i="1"/>
  <c r="AI26" i="1"/>
  <c r="AM26" i="1"/>
  <c r="AF26" i="1"/>
  <c r="AJ26" i="1"/>
  <c r="AN26" i="1"/>
  <c r="AG26" i="1"/>
  <c r="AO26" i="1"/>
  <c r="AL26" i="1"/>
  <c r="AK26" i="1"/>
  <c r="AH26" i="1"/>
  <c r="AG39" i="1"/>
  <c r="AK39" i="1"/>
  <c r="AO39" i="1"/>
  <c r="AH39" i="1"/>
  <c r="AL39" i="1"/>
  <c r="AM39" i="1"/>
  <c r="AJ39" i="1"/>
  <c r="AI39" i="1"/>
  <c r="AF39" i="1"/>
  <c r="AN39" i="1"/>
  <c r="AI43" i="1"/>
  <c r="AM43" i="1"/>
  <c r="AF43" i="1"/>
  <c r="AJ43" i="1"/>
  <c r="AN43" i="1"/>
  <c r="AG43" i="1"/>
  <c r="AK43" i="1"/>
  <c r="AO43" i="1"/>
  <c r="AH43" i="1"/>
  <c r="AL43" i="1"/>
  <c r="AQ44" i="1"/>
  <c r="AU44" i="1"/>
  <c r="AP44" i="1"/>
  <c r="AT44" i="1"/>
  <c r="AX44" i="1"/>
  <c r="AS44" i="1"/>
  <c r="AR44" i="1"/>
  <c r="AY44" i="1"/>
  <c r="AW44" i="1"/>
  <c r="AV44" i="1"/>
  <c r="AQ58" i="1"/>
  <c r="AU58" i="1"/>
  <c r="AY58" i="1"/>
  <c r="AR58" i="1"/>
  <c r="AV58" i="1"/>
  <c r="AS58" i="1"/>
  <c r="AW58" i="1"/>
  <c r="AP58" i="1"/>
  <c r="AT58" i="1"/>
  <c r="AX58" i="1"/>
  <c r="AS60" i="1"/>
  <c r="AW60" i="1"/>
  <c r="AP60" i="1"/>
  <c r="AT60" i="1"/>
  <c r="AX60" i="1"/>
  <c r="AQ60" i="1"/>
  <c r="AU60" i="1"/>
  <c r="AY60" i="1"/>
  <c r="AR60" i="1"/>
  <c r="AV60" i="1"/>
  <c r="Y76" i="1"/>
  <c r="Y48" i="13"/>
  <c r="AR85" i="1"/>
  <c r="AV85" i="1"/>
  <c r="AQ85" i="1"/>
  <c r="AU85" i="1"/>
  <c r="AY85" i="1"/>
  <c r="AP85" i="1"/>
  <c r="AT85" i="1"/>
  <c r="AX85" i="1"/>
  <c r="AS85" i="1"/>
  <c r="AW85" i="1"/>
  <c r="AF87" i="1"/>
  <c r="AJ87" i="1"/>
  <c r="AN87" i="1"/>
  <c r="AI87" i="1"/>
  <c r="AM87" i="1"/>
  <c r="AL87" i="1"/>
  <c r="AO87" i="1"/>
  <c r="AH87" i="1"/>
  <c r="AG87" i="1"/>
  <c r="AK87" i="1"/>
  <c r="AP89" i="1"/>
  <c r="AT89" i="1"/>
  <c r="AX89" i="1"/>
  <c r="AS89" i="1"/>
  <c r="AW89" i="1"/>
  <c r="AR89" i="1"/>
  <c r="AV89" i="1"/>
  <c r="AQ89" i="1"/>
  <c r="AU89" i="1"/>
  <c r="AY89" i="1"/>
  <c r="AQ121" i="1"/>
  <c r="AU121" i="1"/>
  <c r="AY121" i="1"/>
  <c r="AR121" i="1"/>
  <c r="AV121" i="1"/>
  <c r="AS121" i="1"/>
  <c r="AW121" i="1"/>
  <c r="AP121" i="1"/>
  <c r="AT121" i="1"/>
  <c r="AX121" i="1"/>
  <c r="AQ123" i="1"/>
  <c r="AU123" i="1"/>
  <c r="AY123" i="1"/>
  <c r="AR123" i="1"/>
  <c r="AV123" i="1"/>
  <c r="AS123" i="1"/>
  <c r="AW123" i="1"/>
  <c r="AP123" i="1"/>
  <c r="AT123" i="1"/>
  <c r="AX123" i="1"/>
  <c r="AS125" i="1"/>
  <c r="AW125" i="1"/>
  <c r="AP125" i="1"/>
  <c r="AT125" i="1"/>
  <c r="AX125" i="1"/>
  <c r="AQ125" i="1"/>
  <c r="AU125" i="1"/>
  <c r="AY125" i="1"/>
  <c r="AR125" i="1"/>
  <c r="AV125" i="1"/>
  <c r="AS140" i="1"/>
  <c r="AW140" i="1"/>
  <c r="AQ140" i="1"/>
  <c r="AU140" i="1"/>
  <c r="AY140" i="1"/>
  <c r="AQ142" i="1"/>
  <c r="AU142" i="1"/>
  <c r="AY142" i="1"/>
  <c r="AR142" i="1"/>
  <c r="AV142" i="1"/>
  <c r="AW142" i="1"/>
  <c r="AT142" i="1"/>
  <c r="AS142" i="1"/>
  <c r="AP142" i="1"/>
  <c r="AX142" i="1"/>
  <c r="AG143" i="1"/>
  <c r="AK143" i="1"/>
  <c r="AO143" i="1"/>
  <c r="AH143" i="1"/>
  <c r="AL143" i="1"/>
  <c r="AI143" i="1"/>
  <c r="AM143" i="1"/>
  <c r="AF143" i="1"/>
  <c r="AJ143" i="1"/>
  <c r="AN143" i="1"/>
  <c r="AD44" i="13"/>
  <c r="AD49" i="1"/>
  <c r="AD45" i="13"/>
  <c r="AP17" i="1"/>
  <c r="AS17" i="1"/>
  <c r="AW17" i="1"/>
  <c r="AQ17" i="1"/>
  <c r="AU17" i="1"/>
  <c r="AY17" i="1"/>
  <c r="AV17" i="1"/>
  <c r="AR17" i="1"/>
  <c r="AX17" i="1"/>
  <c r="AT17" i="1"/>
  <c r="Y21" i="1"/>
  <c r="Y42" i="13"/>
  <c r="Y30" i="1"/>
  <c r="Y43" i="13"/>
  <c r="AD31" i="1"/>
  <c r="AD43" i="13"/>
  <c r="AG12" i="1"/>
  <c r="AI12" i="1"/>
  <c r="AK12" i="1"/>
  <c r="AM12" i="1"/>
  <c r="AO12" i="1"/>
  <c r="AF12" i="1"/>
  <c r="AH12" i="1"/>
  <c r="AJ12" i="1"/>
  <c r="AL12" i="1"/>
  <c r="AN12" i="1"/>
  <c r="AG17" i="1"/>
  <c r="AI17" i="1"/>
  <c r="AK17" i="1"/>
  <c r="AM17" i="1"/>
  <c r="AO17" i="1"/>
  <c r="AF17" i="1"/>
  <c r="AH17" i="1"/>
  <c r="AJ17" i="1"/>
  <c r="AL17" i="1"/>
  <c r="AN17" i="1"/>
  <c r="AG23" i="1"/>
  <c r="AK23" i="1"/>
  <c r="AO23" i="1"/>
  <c r="AH23" i="1"/>
  <c r="AL23" i="1"/>
  <c r="AI23" i="1"/>
  <c r="AM23" i="1"/>
  <c r="AF23" i="1"/>
  <c r="AJ23" i="1"/>
  <c r="AN23" i="1"/>
  <c r="Y40" i="1"/>
  <c r="Y44" i="13"/>
  <c r="AQ59" i="1"/>
  <c r="AU59" i="1"/>
  <c r="AY59" i="1"/>
  <c r="AR59" i="1"/>
  <c r="AV59" i="1"/>
  <c r="AS59" i="1"/>
  <c r="AW59" i="1"/>
  <c r="AP59" i="1"/>
  <c r="AT59" i="1"/>
  <c r="AX59" i="1"/>
  <c r="AP67" i="1"/>
  <c r="AT67" i="1"/>
  <c r="AX67" i="1"/>
  <c r="AR67" i="1"/>
  <c r="AV67" i="1"/>
  <c r="AS67" i="1"/>
  <c r="AW67" i="1"/>
  <c r="AQ67" i="1"/>
  <c r="AU67" i="1"/>
  <c r="AY67" i="1"/>
  <c r="AD57" i="1"/>
  <c r="AD46" i="13"/>
  <c r="AL66" i="1"/>
  <c r="AH66" i="1"/>
  <c r="AI66" i="1"/>
  <c r="AM66" i="1"/>
  <c r="AG66" i="1"/>
  <c r="AK66" i="1"/>
  <c r="AO66" i="1"/>
  <c r="AJ66" i="1"/>
  <c r="AN66" i="1"/>
  <c r="AF66" i="1"/>
  <c r="AP70" i="1"/>
  <c r="AT70" i="1"/>
  <c r="AX70" i="1"/>
  <c r="AS70" i="1"/>
  <c r="AW70" i="1"/>
  <c r="AR70" i="1"/>
  <c r="AV70" i="1"/>
  <c r="AQ70" i="1"/>
  <c r="AU70" i="1"/>
  <c r="AY70" i="1"/>
  <c r="AP75" i="1"/>
  <c r="AR75" i="1"/>
  <c r="AT75" i="1"/>
  <c r="AV75" i="1"/>
  <c r="AX75" i="1"/>
  <c r="AQ75" i="1"/>
  <c r="AS75" i="1"/>
  <c r="AU75" i="1"/>
  <c r="AW75" i="1"/>
  <c r="AY75" i="1"/>
  <c r="AD102" i="1"/>
  <c r="AD51" i="13"/>
  <c r="AR104" i="1"/>
  <c r="AV104" i="1"/>
  <c r="AP104" i="1"/>
  <c r="AT104" i="1"/>
  <c r="AX104" i="1"/>
  <c r="AQ104" i="1"/>
  <c r="AU104" i="1"/>
  <c r="AY104" i="1"/>
  <c r="AS104" i="1"/>
  <c r="AW104" i="1"/>
  <c r="AF105" i="1"/>
  <c r="AJ105" i="1"/>
  <c r="AN105" i="1"/>
  <c r="AH105" i="1"/>
  <c r="AL105" i="1"/>
  <c r="AG105" i="1"/>
  <c r="AK105" i="1"/>
  <c r="AO105" i="1"/>
  <c r="AI105" i="1"/>
  <c r="AM105" i="1"/>
  <c r="AQ113" i="1"/>
  <c r="AU113" i="1"/>
  <c r="AY113" i="1"/>
  <c r="AR113" i="1"/>
  <c r="AV113" i="1"/>
  <c r="AS113" i="1"/>
  <c r="AW113" i="1"/>
  <c r="AP113" i="1"/>
  <c r="AT113" i="1"/>
  <c r="AX113" i="1"/>
  <c r="AS122" i="1"/>
  <c r="AW122" i="1"/>
  <c r="AP122" i="1"/>
  <c r="AT122" i="1"/>
  <c r="AX122" i="1"/>
  <c r="AQ122" i="1"/>
  <c r="AU122" i="1"/>
  <c r="AY122" i="1"/>
  <c r="AR122" i="1"/>
  <c r="AV122" i="1"/>
  <c r="AS131" i="1"/>
  <c r="AW131" i="1"/>
  <c r="AP131" i="1"/>
  <c r="AT131" i="1"/>
  <c r="AX131" i="1"/>
  <c r="AQ131" i="1"/>
  <c r="AU131" i="1"/>
  <c r="AY131" i="1"/>
  <c r="AR131" i="1"/>
  <c r="AV131" i="1"/>
  <c r="AD139" i="1"/>
  <c r="AD55" i="13"/>
  <c r="AR141" i="1"/>
  <c r="AV141" i="1"/>
  <c r="AP141" i="1"/>
  <c r="AT141" i="1"/>
  <c r="AX141" i="1"/>
  <c r="AS141" i="1"/>
  <c r="AW141" i="1"/>
  <c r="AQ141" i="1"/>
  <c r="AU141" i="1"/>
  <c r="AY141" i="1"/>
  <c r="Y147" i="1"/>
  <c r="Y56" i="13"/>
  <c r="Y156" i="1"/>
  <c r="Y57" i="13"/>
  <c r="AP94" i="1"/>
  <c r="AT94" i="1"/>
  <c r="AX94" i="1"/>
  <c r="AS94" i="1"/>
  <c r="AW94" i="1"/>
  <c r="AR94" i="1"/>
  <c r="AV94" i="1"/>
  <c r="AQ94" i="1"/>
  <c r="AU94" i="1"/>
  <c r="AY94" i="1"/>
  <c r="Y102" i="1"/>
  <c r="Y51" i="13"/>
  <c r="AD111" i="1"/>
  <c r="AD52" i="13"/>
  <c r="AD120" i="1"/>
  <c r="AD53" i="13"/>
  <c r="AD129" i="1"/>
  <c r="AD54" i="13"/>
  <c r="Y49" i="1"/>
  <c r="Y45" i="13"/>
  <c r="AG14" i="1"/>
  <c r="AK14" i="1"/>
  <c r="AO14" i="1"/>
  <c r="AH14" i="1"/>
  <c r="AL14" i="1"/>
  <c r="AI14" i="1"/>
  <c r="AM14" i="1"/>
  <c r="AF14" i="1"/>
  <c r="AJ14" i="1"/>
  <c r="AN14" i="1"/>
  <c r="AD17" i="1"/>
  <c r="AD41" i="13"/>
  <c r="AG21" i="1"/>
  <c r="AI21" i="1"/>
  <c r="AK21" i="1"/>
  <c r="AM21" i="1"/>
  <c r="AO21" i="1"/>
  <c r="AF21" i="1"/>
  <c r="AH21" i="1"/>
  <c r="AJ21" i="1"/>
  <c r="AL21" i="1"/>
  <c r="AN21" i="1"/>
  <c r="AG25" i="1"/>
  <c r="AK25" i="1"/>
  <c r="AO25" i="1"/>
  <c r="AH25" i="1"/>
  <c r="AL25" i="1"/>
  <c r="AI25" i="1"/>
  <c r="AM25" i="1"/>
  <c r="AF25" i="1"/>
  <c r="AJ25" i="1"/>
  <c r="AN25" i="1"/>
  <c r="AO30" i="1"/>
  <c r="AG30" i="1"/>
  <c r="AI30" i="1"/>
  <c r="AK30" i="1"/>
  <c r="AM30" i="1"/>
  <c r="AF30" i="1"/>
  <c r="AH30" i="1"/>
  <c r="AJ30" i="1"/>
  <c r="AL30" i="1"/>
  <c r="AN30" i="1"/>
  <c r="AQ31" i="1"/>
  <c r="AW31" i="1"/>
  <c r="AS31" i="1"/>
  <c r="AY31" i="1"/>
  <c r="AP31" i="1"/>
  <c r="AT31" i="1"/>
  <c r="AX31" i="1"/>
  <c r="AU31" i="1"/>
  <c r="AR31" i="1"/>
  <c r="AV31" i="1"/>
  <c r="AG35" i="1"/>
  <c r="AK35" i="1"/>
  <c r="AO35" i="1"/>
  <c r="AH35" i="1"/>
  <c r="AL35" i="1"/>
  <c r="AI35" i="1"/>
  <c r="AM35" i="1"/>
  <c r="AF35" i="1"/>
  <c r="AJ35" i="1"/>
  <c r="AN35" i="1"/>
  <c r="Y12" i="1"/>
  <c r="Y41" i="13"/>
  <c r="AI33" i="1"/>
  <c r="AL33" i="1"/>
  <c r="AN33" i="1"/>
  <c r="AG33" i="1"/>
  <c r="AK33" i="1"/>
  <c r="AM33" i="1"/>
  <c r="AO33" i="1"/>
  <c r="AH33" i="1"/>
  <c r="AF33" i="1"/>
  <c r="AJ33" i="1"/>
  <c r="AI40" i="1"/>
  <c r="AM40" i="1"/>
  <c r="AF40" i="1"/>
  <c r="AJ40" i="1"/>
  <c r="AN40" i="1"/>
  <c r="AG40" i="1"/>
  <c r="AK40" i="1"/>
  <c r="AO40" i="1"/>
  <c r="AH40" i="1"/>
  <c r="AL40" i="1"/>
  <c r="AD67" i="1"/>
  <c r="AD47" i="13"/>
  <c r="AP77" i="1"/>
  <c r="AT77" i="1"/>
  <c r="AX77" i="1"/>
  <c r="AS77" i="1"/>
  <c r="AW77" i="1"/>
  <c r="AR77" i="1"/>
  <c r="AV77" i="1"/>
  <c r="AQ77" i="1"/>
  <c r="AU77" i="1"/>
  <c r="AY77" i="1"/>
  <c r="AR79" i="1"/>
  <c r="AV79" i="1"/>
  <c r="AQ79" i="1"/>
  <c r="AU79" i="1"/>
  <c r="AY79" i="1"/>
  <c r="AP79" i="1"/>
  <c r="AT79" i="1"/>
  <c r="AX79" i="1"/>
  <c r="AS79" i="1"/>
  <c r="AW79" i="1"/>
  <c r="AP93" i="1"/>
  <c r="AR93" i="1"/>
  <c r="AT93" i="1"/>
  <c r="AV93" i="1"/>
  <c r="AX93" i="1"/>
  <c r="AQ93" i="1"/>
  <c r="AS93" i="1"/>
  <c r="AU93" i="1"/>
  <c r="AW93" i="1"/>
  <c r="AY93" i="1"/>
  <c r="AS52" i="1"/>
  <c r="AW52" i="1"/>
  <c r="AP52" i="1"/>
  <c r="AT52" i="1"/>
  <c r="AX52" i="1"/>
  <c r="AQ52" i="1"/>
  <c r="AU52" i="1"/>
  <c r="AY52" i="1"/>
  <c r="AR52" i="1"/>
  <c r="AV52" i="1"/>
  <c r="AS57" i="1"/>
  <c r="AW57" i="1"/>
  <c r="AP57" i="1"/>
  <c r="AT57" i="1"/>
  <c r="AX57" i="1"/>
  <c r="AQ57" i="1"/>
  <c r="AU57" i="1"/>
  <c r="AY57" i="1"/>
  <c r="AR57" i="1"/>
  <c r="AV57" i="1"/>
  <c r="AS61" i="1"/>
  <c r="AW61" i="1"/>
  <c r="AP61" i="1"/>
  <c r="AT61" i="1"/>
  <c r="AX61" i="1"/>
  <c r="AQ61" i="1"/>
  <c r="AU61" i="1"/>
  <c r="AY61" i="1"/>
  <c r="AR61" i="1"/>
  <c r="AV61" i="1"/>
  <c r="Y66" i="1"/>
  <c r="Y47" i="13"/>
  <c r="AD75" i="1"/>
  <c r="AD48" i="13"/>
  <c r="AR96" i="1"/>
  <c r="AV96" i="1"/>
  <c r="AQ96" i="1"/>
  <c r="AU96" i="1"/>
  <c r="AY96" i="1"/>
  <c r="AP96" i="1"/>
  <c r="AT96" i="1"/>
  <c r="AX96" i="1"/>
  <c r="AS96" i="1"/>
  <c r="AW96" i="1"/>
  <c r="AR102" i="1"/>
  <c r="AV102" i="1"/>
  <c r="AP102" i="1"/>
  <c r="AT102" i="1"/>
  <c r="AX102" i="1"/>
  <c r="AQ102" i="1"/>
  <c r="AS102" i="1"/>
  <c r="AU102" i="1"/>
  <c r="AW102" i="1"/>
  <c r="AY102" i="1"/>
  <c r="AR139" i="1"/>
  <c r="AV139" i="1"/>
  <c r="AP139" i="1"/>
  <c r="AT139" i="1"/>
  <c r="AX139" i="1"/>
  <c r="AS139" i="1"/>
  <c r="AW139" i="1"/>
  <c r="AQ139" i="1"/>
  <c r="AU139" i="1"/>
  <c r="AY139" i="1"/>
  <c r="AI142" i="1"/>
  <c r="AM142" i="1"/>
  <c r="AF142" i="1"/>
  <c r="AH142" i="1"/>
  <c r="AJ142" i="1"/>
  <c r="AG142" i="1"/>
  <c r="AK142" i="1"/>
  <c r="AO142" i="1"/>
  <c r="AL142" i="1"/>
  <c r="AN142" i="1"/>
  <c r="AG147" i="1"/>
  <c r="AI147" i="1"/>
  <c r="AK147" i="1"/>
  <c r="AM147" i="1"/>
  <c r="AO147" i="1"/>
  <c r="AF147" i="1"/>
  <c r="AH147" i="1"/>
  <c r="AJ147" i="1"/>
  <c r="AL147" i="1"/>
  <c r="AN147" i="1"/>
  <c r="AG151" i="1"/>
  <c r="AK151" i="1"/>
  <c r="AO151" i="1"/>
  <c r="AH151" i="1"/>
  <c r="AL151" i="1"/>
  <c r="AI151" i="1"/>
  <c r="AM151" i="1"/>
  <c r="AF151" i="1"/>
  <c r="AJ151" i="1"/>
  <c r="AN151" i="1"/>
  <c r="AG156" i="1"/>
  <c r="AI156" i="1"/>
  <c r="AK156" i="1"/>
  <c r="AM156" i="1"/>
  <c r="AO156" i="1"/>
  <c r="AF156" i="1"/>
  <c r="AH156" i="1"/>
  <c r="AJ156" i="1"/>
  <c r="AL156" i="1"/>
  <c r="AN156" i="1"/>
  <c r="AI160" i="1"/>
  <c r="AM160" i="1"/>
  <c r="AF160" i="1"/>
  <c r="AJ160" i="1"/>
  <c r="AN160" i="1"/>
  <c r="AG160" i="1"/>
  <c r="AK160" i="1"/>
  <c r="AO160" i="1"/>
  <c r="AH160" i="1"/>
  <c r="AL160" i="1"/>
  <c r="AD94" i="1"/>
  <c r="AD50" i="13"/>
  <c r="AF102" i="1"/>
  <c r="AL102" i="1"/>
  <c r="AH102" i="1"/>
  <c r="AJ102" i="1"/>
  <c r="AG102" i="1"/>
  <c r="AK102" i="1"/>
  <c r="AO102" i="1"/>
  <c r="AN102" i="1"/>
  <c r="AI102" i="1"/>
  <c r="AM102" i="1"/>
  <c r="AF104" i="1"/>
  <c r="AL104" i="1"/>
  <c r="AH104" i="1"/>
  <c r="AJ104" i="1"/>
  <c r="AG104" i="1"/>
  <c r="AK104" i="1"/>
  <c r="AO104" i="1"/>
  <c r="AN104" i="1"/>
  <c r="AI104" i="1"/>
  <c r="AM104" i="1"/>
  <c r="AS106" i="1"/>
  <c r="AW106" i="1"/>
  <c r="AP106" i="1"/>
  <c r="AT106" i="1"/>
  <c r="AX106" i="1"/>
  <c r="AQ106" i="1"/>
  <c r="AU106" i="1"/>
  <c r="AY106" i="1"/>
  <c r="AR106" i="1"/>
  <c r="AV106" i="1"/>
  <c r="AQ111" i="1"/>
  <c r="AS111" i="1"/>
  <c r="AU111" i="1"/>
  <c r="AW111" i="1"/>
  <c r="AY111" i="1"/>
  <c r="AP111" i="1"/>
  <c r="AR111" i="1"/>
  <c r="AT111" i="1"/>
  <c r="AV111" i="1"/>
  <c r="AX111" i="1"/>
  <c r="AS115" i="1"/>
  <c r="AW115" i="1"/>
  <c r="AP115" i="1"/>
  <c r="AT115" i="1"/>
  <c r="AX115" i="1"/>
  <c r="AQ115" i="1"/>
  <c r="AU115" i="1"/>
  <c r="AY115" i="1"/>
  <c r="AR115" i="1"/>
  <c r="AV115" i="1"/>
  <c r="AQ120" i="1"/>
  <c r="AU120" i="1"/>
  <c r="AY120" i="1"/>
  <c r="AR120" i="1"/>
  <c r="AV120" i="1"/>
  <c r="AS120" i="1"/>
  <c r="AW120" i="1"/>
  <c r="AP120" i="1"/>
  <c r="AT120" i="1"/>
  <c r="AX120" i="1"/>
  <c r="AQ124" i="1"/>
  <c r="AU124" i="1"/>
  <c r="AY124" i="1"/>
  <c r="AR124" i="1"/>
  <c r="AV124" i="1"/>
  <c r="AS124" i="1"/>
  <c r="AW124" i="1"/>
  <c r="AP124" i="1"/>
  <c r="AT124" i="1"/>
  <c r="AX124" i="1"/>
  <c r="AQ129" i="1"/>
  <c r="AS129" i="1"/>
  <c r="AU129" i="1"/>
  <c r="AW129" i="1"/>
  <c r="AY129" i="1"/>
  <c r="AP129" i="1"/>
  <c r="AR129" i="1"/>
  <c r="AT129" i="1"/>
  <c r="AV129" i="1"/>
  <c r="AX129" i="1"/>
  <c r="AF139" i="1"/>
  <c r="AL139" i="1"/>
  <c r="AH139" i="1"/>
  <c r="AJ139" i="1"/>
  <c r="AI139" i="1"/>
  <c r="AM139" i="1"/>
  <c r="AN139" i="1"/>
  <c r="AG139" i="1"/>
  <c r="AK139" i="1"/>
  <c r="AO139" i="1"/>
  <c r="AF141" i="1"/>
  <c r="AL141" i="1"/>
  <c r="AH141" i="1"/>
  <c r="AJ141" i="1"/>
  <c r="AI141" i="1"/>
  <c r="AM141" i="1"/>
  <c r="AN141" i="1"/>
  <c r="AG141" i="1"/>
  <c r="AK141" i="1"/>
  <c r="AO141" i="1"/>
  <c r="AG149" i="1"/>
  <c r="AK149" i="1"/>
  <c r="AO149" i="1"/>
  <c r="AH149" i="1"/>
  <c r="AL149" i="1"/>
  <c r="AI149" i="1"/>
  <c r="AM149" i="1"/>
  <c r="AF149" i="1"/>
  <c r="AJ149" i="1"/>
  <c r="AN149" i="1"/>
  <c r="AI158" i="1"/>
  <c r="AM158" i="1"/>
  <c r="AF158" i="1"/>
  <c r="AJ158" i="1"/>
  <c r="AN158" i="1"/>
  <c r="AG158" i="1"/>
  <c r="AK158" i="1"/>
  <c r="AO158" i="1"/>
  <c r="AH158" i="1"/>
  <c r="AL158" i="1"/>
  <c r="AT11" i="2"/>
  <c r="Y55" i="13"/>
  <c r="AG39" i="2"/>
  <c r="AG46" i="2"/>
  <c r="AG42" i="2"/>
  <c r="CL63" i="4"/>
  <c r="CL66" i="4" s="1"/>
  <c r="CL67" i="4" s="1"/>
  <c r="CH79" i="4"/>
  <c r="CL82" i="4"/>
  <c r="CL83" i="4" s="1"/>
  <c r="CM76" i="4"/>
  <c r="CM77" i="4" s="1"/>
  <c r="AF14" i="4"/>
  <c r="D168" i="4" s="1"/>
  <c r="CH63" i="4"/>
  <c r="Y56" i="2"/>
  <c r="Y59" i="2"/>
  <c r="Y31" i="8"/>
  <c r="W31" i="8"/>
  <c r="Z31" i="8" s="1"/>
  <c r="X31" i="8"/>
  <c r="Y60" i="2"/>
  <c r="O31" i="8"/>
  <c r="Q31" i="8" s="1"/>
  <c r="BH34" i="2"/>
  <c r="AV42" i="2"/>
  <c r="AJ34" i="2"/>
  <c r="X8" i="2"/>
  <c r="X10" i="2"/>
  <c r="X14" i="2"/>
  <c r="X7" i="2"/>
  <c r="V15" i="2"/>
  <c r="V14" i="2"/>
  <c r="V13" i="2"/>
  <c r="V12" i="2"/>
  <c r="V11" i="2"/>
  <c r="V10" i="2"/>
  <c r="V9" i="2"/>
  <c r="V8" i="2"/>
  <c r="U8" i="2"/>
  <c r="U7" i="2"/>
  <c r="AC11" i="2" l="1"/>
  <c r="AZ12" i="2"/>
  <c r="AZ23" i="2"/>
  <c r="AZ7" i="2"/>
  <c r="BA20" i="2"/>
  <c r="AR13" i="2"/>
  <c r="AC22" i="2"/>
  <c r="AC18" i="2"/>
  <c r="BB8" i="2"/>
  <c r="AY15" i="2"/>
  <c r="AZ15" i="2"/>
  <c r="AC21" i="2"/>
  <c r="AC16" i="2"/>
  <c r="AC20" i="2"/>
  <c r="AC12" i="2"/>
  <c r="BA10" i="2"/>
  <c r="AZ14" i="2"/>
  <c r="R25" i="2"/>
  <c r="AC10" i="2"/>
  <c r="AC17" i="2"/>
  <c r="BC15" i="2"/>
  <c r="AC14" i="2"/>
  <c r="AC8" i="2"/>
  <c r="AC15" i="2"/>
  <c r="AC19" i="2"/>
  <c r="BC16" i="2"/>
  <c r="AX24" i="2"/>
  <c r="AX30" i="2" s="1"/>
  <c r="AX35" i="2" s="1"/>
  <c r="AC9" i="2"/>
  <c r="AC7" i="2"/>
  <c r="BB10" i="2"/>
  <c r="AY24" i="2"/>
  <c r="AY30" i="2" s="1"/>
  <c r="AY35" i="2" s="1"/>
  <c r="AC13" i="2"/>
  <c r="X25" i="2"/>
  <c r="BE20" i="2"/>
  <c r="BE21" i="2"/>
  <c r="BE19" i="2"/>
  <c r="BE11" i="2"/>
  <c r="BE12" i="2"/>
  <c r="BD14" i="2"/>
  <c r="W25" i="2"/>
  <c r="BD16" i="2"/>
  <c r="BD11" i="2"/>
  <c r="BD7" i="2"/>
  <c r="BD18" i="2"/>
  <c r="BD19" i="2"/>
  <c r="BD10" i="2"/>
  <c r="BC17" i="2"/>
  <c r="BC20" i="2"/>
  <c r="BC22" i="2"/>
  <c r="BC12" i="2"/>
  <c r="BC11" i="2"/>
  <c r="BC9" i="2"/>
  <c r="V25" i="2"/>
  <c r="BC14" i="2"/>
  <c r="U25" i="2"/>
  <c r="BB23" i="2"/>
  <c r="BB20" i="2"/>
  <c r="BB15" i="2"/>
  <c r="BB7" i="2"/>
  <c r="BB21" i="2"/>
  <c r="BA19" i="2"/>
  <c r="T25" i="2"/>
  <c r="BA23" i="2"/>
  <c r="BA9" i="2"/>
  <c r="BA11" i="2"/>
  <c r="BA24" i="2"/>
  <c r="BA30" i="2" s="1"/>
  <c r="BA35" i="2" s="1"/>
  <c r="BA16" i="2"/>
  <c r="BA17" i="2"/>
  <c r="BA18" i="2"/>
  <c r="BA7" i="2"/>
  <c r="BA13" i="2"/>
  <c r="S25" i="2"/>
  <c r="AZ9" i="2"/>
  <c r="AZ21" i="2"/>
  <c r="AZ17" i="2"/>
  <c r="AZ22" i="2"/>
  <c r="AZ16" i="2"/>
  <c r="AZ36" i="2" s="1"/>
  <c r="AY8" i="2"/>
  <c r="AY10" i="2"/>
  <c r="AY16" i="2"/>
  <c r="AY14" i="2"/>
  <c r="AY20" i="2"/>
  <c r="AY11" i="2"/>
  <c r="AY18" i="2"/>
  <c r="AY21" i="2"/>
  <c r="AX17" i="2"/>
  <c r="Q25" i="2"/>
  <c r="AX14" i="2"/>
  <c r="AX10" i="2"/>
  <c r="AX7" i="2"/>
  <c r="AX18" i="2"/>
  <c r="AW10" i="2"/>
  <c r="AW22" i="2"/>
  <c r="AW24" i="2"/>
  <c r="AW30" i="2" s="1"/>
  <c r="AW35" i="2" s="1"/>
  <c r="AW20" i="2"/>
  <c r="AW14" i="2"/>
  <c r="P25" i="2"/>
  <c r="AV21" i="2"/>
  <c r="AV11" i="2"/>
  <c r="AV8" i="2"/>
  <c r="AV14" i="2"/>
  <c r="AV9" i="2"/>
  <c r="AV18" i="2"/>
  <c r="O25" i="2"/>
  <c r="BE22" i="2"/>
  <c r="AY12" i="29"/>
  <c r="BE7" i="2" s="1"/>
  <c r="BE10" i="2"/>
  <c r="BE18" i="2"/>
  <c r="BE23" i="2"/>
  <c r="BE24" i="2"/>
  <c r="BE30" i="2" s="1"/>
  <c r="BE35" i="2" s="1"/>
  <c r="BE13" i="2"/>
  <c r="BE14" i="2"/>
  <c r="BE16" i="2"/>
  <c r="BE15" i="2"/>
  <c r="BE9" i="2"/>
  <c r="BE17" i="2"/>
  <c r="BD24" i="2"/>
  <c r="BD30" i="2" s="1"/>
  <c r="BD35" i="2" s="1"/>
  <c r="BD8" i="2"/>
  <c r="BD17" i="2"/>
  <c r="BD23" i="2"/>
  <c r="BD15" i="2"/>
  <c r="BC7" i="2"/>
  <c r="BC8" i="2"/>
  <c r="BC21" i="2"/>
  <c r="BC10" i="2"/>
  <c r="BC13" i="2"/>
  <c r="BB22" i="2"/>
  <c r="BB12" i="2"/>
  <c r="BB18" i="2"/>
  <c r="BB19" i="2"/>
  <c r="BB13" i="2"/>
  <c r="BA22" i="2"/>
  <c r="BA8" i="2"/>
  <c r="BA21" i="2"/>
  <c r="AZ11" i="2"/>
  <c r="AZ8" i="2"/>
  <c r="AZ20" i="2"/>
  <c r="AY7" i="2"/>
  <c r="AY33" i="2" s="1"/>
  <c r="AY43" i="2" s="1"/>
  <c r="AY12" i="2"/>
  <c r="AY22" i="2"/>
  <c r="AY9" i="2"/>
  <c r="AX16" i="2"/>
  <c r="AX8" i="2"/>
  <c r="AX9" i="2"/>
  <c r="AX13" i="2"/>
  <c r="AX15" i="2"/>
  <c r="AX12" i="2"/>
  <c r="AX23" i="2"/>
  <c r="AX21" i="2"/>
  <c r="AW15" i="2"/>
  <c r="AW18" i="2"/>
  <c r="AW23" i="2"/>
  <c r="AW17" i="2"/>
  <c r="AW21" i="2"/>
  <c r="AW37" i="2" s="1"/>
  <c r="AW45" i="2" s="1"/>
  <c r="AV22" i="2"/>
  <c r="AV17" i="2"/>
  <c r="AV20" i="2"/>
  <c r="AV24" i="2"/>
  <c r="AV30" i="2" s="1"/>
  <c r="AV35" i="2" s="1"/>
  <c r="AV10" i="2"/>
  <c r="BI10" i="2" s="1"/>
  <c r="BB11" i="2"/>
  <c r="BB14" i="2"/>
  <c r="BB16" i="2"/>
  <c r="BB17" i="2"/>
  <c r="BB24" i="2"/>
  <c r="BB30" i="2" s="1"/>
  <c r="BB35" i="2" s="1"/>
  <c r="AZ24" i="2"/>
  <c r="AZ30" i="2" s="1"/>
  <c r="AZ35" i="2" s="1"/>
  <c r="AZ10" i="2"/>
  <c r="AY19" i="2"/>
  <c r="AX22" i="2"/>
  <c r="AX19" i="2"/>
  <c r="Q36" i="2"/>
  <c r="Q44" i="2" s="1"/>
  <c r="P36" i="2"/>
  <c r="P44" i="2" s="1"/>
  <c r="AW16" i="2"/>
  <c r="AW13" i="2"/>
  <c r="AW12" i="2"/>
  <c r="AW9" i="2"/>
  <c r="AW8" i="2"/>
  <c r="P33" i="2"/>
  <c r="P43" i="2" s="1"/>
  <c r="AV23" i="2"/>
  <c r="AV19" i="2"/>
  <c r="BI19" i="2" s="1"/>
  <c r="AV16" i="2"/>
  <c r="BI16" i="2" s="1"/>
  <c r="AV15" i="2"/>
  <c r="BI15" i="2" s="1"/>
  <c r="AV13" i="2"/>
  <c r="AV12" i="2"/>
  <c r="BI12" i="2" s="1"/>
  <c r="AY182" i="14"/>
  <c r="AV7" i="2"/>
  <c r="AW7" i="2"/>
  <c r="AW11" i="2"/>
  <c r="AX20" i="2"/>
  <c r="AX11" i="2"/>
  <c r="BB9" i="2"/>
  <c r="BD22" i="2"/>
  <c r="BD21" i="2"/>
  <c r="BD13" i="2"/>
  <c r="BD12" i="2"/>
  <c r="BD20" i="2"/>
  <c r="BD9" i="2"/>
  <c r="X37" i="2"/>
  <c r="X45" i="2" s="1"/>
  <c r="BE8" i="2"/>
  <c r="X36" i="2"/>
  <c r="X44" i="2" s="1"/>
  <c r="O36" i="2"/>
  <c r="O44" i="2" s="1"/>
  <c r="O33" i="2"/>
  <c r="O43" i="2" s="1"/>
  <c r="L14" i="2"/>
  <c r="W37" i="2"/>
  <c r="W45" i="2" s="1"/>
  <c r="M7" i="2"/>
  <c r="AR8" i="2"/>
  <c r="AH30" i="2"/>
  <c r="AJ30" i="2" s="1"/>
  <c r="AH35" i="2"/>
  <c r="AJ35" i="2" s="1"/>
  <c r="G14" i="2"/>
  <c r="AQ8" i="2"/>
  <c r="AT8" i="2"/>
  <c r="AN8" i="2"/>
  <c r="AL8" i="2"/>
  <c r="H14" i="2"/>
  <c r="I14" i="2"/>
  <c r="M18" i="2"/>
  <c r="E18" i="2"/>
  <c r="G18" i="2"/>
  <c r="H20" i="2"/>
  <c r="AS8" i="2"/>
  <c r="AO8" i="2"/>
  <c r="AP13" i="2"/>
  <c r="AP7" i="2"/>
  <c r="E14" i="2"/>
  <c r="AP8" i="2"/>
  <c r="Z30" i="13"/>
  <c r="AR11" i="2"/>
  <c r="AP11" i="2"/>
  <c r="AS11" i="2"/>
  <c r="Y69" i="13"/>
  <c r="Z69" i="13" s="1"/>
  <c r="AP9" i="2"/>
  <c r="AS10" i="2"/>
  <c r="AM10" i="2"/>
  <c r="I11" i="2"/>
  <c r="M14" i="2"/>
  <c r="F18" i="2"/>
  <c r="L20" i="2"/>
  <c r="AQ10" i="2"/>
  <c r="W33" i="2"/>
  <c r="W43" i="2" s="1"/>
  <c r="AH12" i="2"/>
  <c r="AJ12" i="2" s="1"/>
  <c r="D111" i="4"/>
  <c r="D130" i="4"/>
  <c r="AP20" i="2"/>
  <c r="AS20" i="2"/>
  <c r="AO21" i="2"/>
  <c r="AM11" i="2"/>
  <c r="AR9" i="2"/>
  <c r="AQ9" i="2"/>
  <c r="AS9" i="2"/>
  <c r="AS7" i="2"/>
  <c r="H18" i="2"/>
  <c r="J18" i="2"/>
  <c r="AT20" i="2"/>
  <c r="AL20" i="2"/>
  <c r="AO20" i="2"/>
  <c r="AM21" i="2"/>
  <c r="AP21" i="2"/>
  <c r="AR21" i="2"/>
  <c r="K10" i="2"/>
  <c r="F10" i="2"/>
  <c r="I10" i="2"/>
  <c r="L10" i="2"/>
  <c r="P37" i="2"/>
  <c r="P31" i="2"/>
  <c r="O37" i="2"/>
  <c r="O31" i="2"/>
  <c r="AO10" i="2"/>
  <c r="M11" i="2"/>
  <c r="G20" i="2"/>
  <c r="U36" i="2"/>
  <c r="U44" i="2" s="1"/>
  <c r="Y30" i="13"/>
  <c r="M13" i="2"/>
  <c r="K13" i="2"/>
  <c r="AT7" i="2"/>
  <c r="J14" i="2"/>
  <c r="I18" i="2"/>
  <c r="L18" i="2"/>
  <c r="K18" i="2"/>
  <c r="I20" i="2"/>
  <c r="K20" i="2"/>
  <c r="F20" i="2"/>
  <c r="W36" i="2"/>
  <c r="W44" i="2" s="1"/>
  <c r="AZ37" i="2"/>
  <c r="BJ31" i="2"/>
  <c r="BJ59" i="2" s="1"/>
  <c r="AE13" i="13"/>
  <c r="AD70" i="13"/>
  <c r="AE70" i="13" s="1"/>
  <c r="T36" i="2"/>
  <c r="T44" i="2" s="1"/>
  <c r="T33" i="2"/>
  <c r="T43" i="2" s="1"/>
  <c r="AX37" i="2"/>
  <c r="AX45" i="2" s="1"/>
  <c r="AH16" i="2"/>
  <c r="AJ16" i="2" s="1"/>
  <c r="AH17" i="2"/>
  <c r="AJ17" i="2" s="1"/>
  <c r="S36" i="2"/>
  <c r="S44" i="2" s="1"/>
  <c r="AM8" i="2"/>
  <c r="AL13" i="2"/>
  <c r="AN7" i="2"/>
  <c r="AR7" i="2"/>
  <c r="AH18" i="2"/>
  <c r="AJ18" i="2" s="1"/>
  <c r="AH19" i="2"/>
  <c r="AJ19" i="2" s="1"/>
  <c r="AH11" i="2"/>
  <c r="AJ11" i="2" s="1"/>
  <c r="AN21" i="2"/>
  <c r="I13" i="2"/>
  <c r="G13" i="2"/>
  <c r="AH23" i="2"/>
  <c r="AJ23" i="2" s="1"/>
  <c r="S37" i="2"/>
  <c r="S45" i="2" s="1"/>
  <c r="AH7" i="2"/>
  <c r="AJ7" i="2" s="1"/>
  <c r="AH14" i="2"/>
  <c r="AJ14" i="2" s="1"/>
  <c r="H11" i="2"/>
  <c r="L11" i="2"/>
  <c r="S31" i="2"/>
  <c r="AN10" i="2"/>
  <c r="AO7" i="2"/>
  <c r="W31" i="2"/>
  <c r="S33" i="2"/>
  <c r="AN13" i="2"/>
  <c r="AH24" i="2"/>
  <c r="AJ24" i="2" s="1"/>
  <c r="R36" i="2"/>
  <c r="R44" i="2" s="1"/>
  <c r="AH9" i="2"/>
  <c r="AJ9" i="2" s="1"/>
  <c r="AH13" i="2"/>
  <c r="AJ13" i="2" s="1"/>
  <c r="V36" i="2"/>
  <c r="V44" i="2" s="1"/>
  <c r="AR20" i="2"/>
  <c r="AM20" i="2"/>
  <c r="AL11" i="2"/>
  <c r="AO11" i="2"/>
  <c r="AT9" i="2"/>
  <c r="AO9" i="2"/>
  <c r="F13" i="2"/>
  <c r="H13" i="2"/>
  <c r="AQ7" i="2"/>
  <c r="AL7" i="2"/>
  <c r="AT10" i="2"/>
  <c r="AL10" i="2"/>
  <c r="E11" i="2"/>
  <c r="G11" i="2"/>
  <c r="K14" i="2"/>
  <c r="AR22" i="2"/>
  <c r="AM22" i="2"/>
  <c r="AP22" i="2"/>
  <c r="AS22" i="2"/>
  <c r="M20" i="2"/>
  <c r="E20" i="2"/>
  <c r="J20" i="2"/>
  <c r="R33" i="2"/>
  <c r="R43" i="2" s="1"/>
  <c r="R31" i="2"/>
  <c r="AH21" i="2"/>
  <c r="AJ21" i="2" s="1"/>
  <c r="R37" i="2"/>
  <c r="Q37" i="2"/>
  <c r="AH20" i="2"/>
  <c r="AJ20" i="2" s="1"/>
  <c r="AT18" i="2"/>
  <c r="AL18" i="2"/>
  <c r="BB37" i="2"/>
  <c r="BB45" i="2" s="1"/>
  <c r="V37" i="2"/>
  <c r="V45" i="2" s="1"/>
  <c r="U37" i="2"/>
  <c r="U45" i="2" s="1"/>
  <c r="BC36" i="2"/>
  <c r="BC44" i="2" s="1"/>
  <c r="T37" i="2"/>
  <c r="T31" i="2"/>
  <c r="Q33" i="2"/>
  <c r="Q31" i="2"/>
  <c r="BA37" i="2"/>
  <c r="AT13" i="2"/>
  <c r="F11" i="2"/>
  <c r="BC37" i="2"/>
  <c r="BC45" i="2" s="1"/>
  <c r="AH22" i="2"/>
  <c r="AJ22" i="2" s="1"/>
  <c r="AN20" i="2"/>
  <c r="AQ20" i="2"/>
  <c r="AQ21" i="2"/>
  <c r="AS21" i="2"/>
  <c r="AT21" i="2"/>
  <c r="AL21" i="2"/>
  <c r="AN11" i="2"/>
  <c r="AQ11" i="2"/>
  <c r="G10" i="2"/>
  <c r="J10" i="2"/>
  <c r="M10" i="2"/>
  <c r="E10" i="2"/>
  <c r="H10" i="2"/>
  <c r="AN9" i="2"/>
  <c r="AL9" i="2"/>
  <c r="AM9" i="2"/>
  <c r="E13" i="2"/>
  <c r="J13" i="2"/>
  <c r="L13" i="2"/>
  <c r="AM7" i="2"/>
  <c r="AR10" i="2"/>
  <c r="AP10" i="2"/>
  <c r="K11" i="2"/>
  <c r="J11" i="2"/>
  <c r="F14" i="2"/>
  <c r="AN22" i="2"/>
  <c r="AQ22" i="2"/>
  <c r="AT22" i="2"/>
  <c r="AL22" i="2"/>
  <c r="AO22" i="2"/>
  <c r="AO18" i="2"/>
  <c r="Z54" i="13"/>
  <c r="Y82" i="13"/>
  <c r="Z82" i="13" s="1"/>
  <c r="I8" i="2"/>
  <c r="AD30" i="13"/>
  <c r="AE12" i="13"/>
  <c r="AD84" i="13"/>
  <c r="AE84" i="13" s="1"/>
  <c r="AE56" i="13"/>
  <c r="Z52" i="13"/>
  <c r="Y80" i="13"/>
  <c r="Z80" i="13" s="1"/>
  <c r="I16" i="2"/>
  <c r="J16" i="2"/>
  <c r="K16" i="2"/>
  <c r="E16" i="2"/>
  <c r="H16" i="2"/>
  <c r="Z50" i="13"/>
  <c r="Y78" i="13"/>
  <c r="Z78" i="13" s="1"/>
  <c r="L8" i="2"/>
  <c r="AS24" i="2"/>
  <c r="I24" i="2"/>
  <c r="L24" i="2"/>
  <c r="J19" i="2"/>
  <c r="E12" i="2"/>
  <c r="G16" i="2"/>
  <c r="F16" i="2"/>
  <c r="M16" i="2"/>
  <c r="L16" i="2"/>
  <c r="AE57" i="13"/>
  <c r="AD85" i="13"/>
  <c r="AE85" i="13" s="1"/>
  <c r="Y81" i="13"/>
  <c r="Z81" i="13" s="1"/>
  <c r="Z53" i="13"/>
  <c r="Z49" i="13"/>
  <c r="Y77" i="13"/>
  <c r="Z77" i="13" s="1"/>
  <c r="AE58" i="13"/>
  <c r="AD86" i="13"/>
  <c r="AE86" i="13" s="1"/>
  <c r="K21" i="2"/>
  <c r="AL24" i="2"/>
  <c r="AR24" i="2"/>
  <c r="AM24" i="2"/>
  <c r="K24" i="2"/>
  <c r="F24" i="2"/>
  <c r="AL23" i="2"/>
  <c r="AP23" i="2"/>
  <c r="AR23" i="2"/>
  <c r="AM23" i="2"/>
  <c r="M19" i="2"/>
  <c r="E19" i="2"/>
  <c r="H19" i="2"/>
  <c r="J15" i="2"/>
  <c r="G15" i="2"/>
  <c r="H15" i="2"/>
  <c r="I15" i="2"/>
  <c r="I12" i="2"/>
  <c r="H12" i="2"/>
  <c r="G12" i="2"/>
  <c r="J12" i="2"/>
  <c r="AM15" i="2"/>
  <c r="AN15" i="2"/>
  <c r="AO15" i="2"/>
  <c r="AP15" i="2"/>
  <c r="AE44" i="13"/>
  <c r="AD72" i="13"/>
  <c r="AE72" i="13" s="1"/>
  <c r="Z48" i="13"/>
  <c r="Y76" i="13"/>
  <c r="Z76" i="13" s="1"/>
  <c r="Z46" i="13"/>
  <c r="Y74" i="13"/>
  <c r="Z74" i="13" s="1"/>
  <c r="AE49" i="13"/>
  <c r="AD77" i="13"/>
  <c r="AE77" i="13" s="1"/>
  <c r="Z58" i="13"/>
  <c r="Y86" i="13"/>
  <c r="Z86" i="13" s="1"/>
  <c r="AP24" i="2"/>
  <c r="AT24" i="2"/>
  <c r="AO24" i="2"/>
  <c r="AN24" i="2"/>
  <c r="AQ24" i="2"/>
  <c r="M24" i="2"/>
  <c r="E24" i="2"/>
  <c r="H24" i="2"/>
  <c r="G24" i="2"/>
  <c r="J24" i="2"/>
  <c r="AT23" i="2"/>
  <c r="AO23" i="2"/>
  <c r="AS23" i="2"/>
  <c r="AN23" i="2"/>
  <c r="AQ23" i="2"/>
  <c r="G19" i="2"/>
  <c r="K19" i="2"/>
  <c r="F19" i="2"/>
  <c r="I19" i="2"/>
  <c r="L19" i="2"/>
  <c r="K15" i="2"/>
  <c r="F15" i="2"/>
  <c r="L15" i="2"/>
  <c r="M15" i="2"/>
  <c r="E15" i="2"/>
  <c r="M12" i="2"/>
  <c r="L12" i="2"/>
  <c r="K12" i="2"/>
  <c r="F12" i="2"/>
  <c r="AQ15" i="2"/>
  <c r="AR15" i="2"/>
  <c r="AS15" i="2"/>
  <c r="AT15" i="2"/>
  <c r="AL15" i="2"/>
  <c r="J21" i="2"/>
  <c r="M21" i="2"/>
  <c r="H21" i="2"/>
  <c r="G21" i="2"/>
  <c r="E21" i="2"/>
  <c r="AP19" i="2"/>
  <c r="AS19" i="2"/>
  <c r="AR19" i="2"/>
  <c r="AM19" i="2"/>
  <c r="AR18" i="2"/>
  <c r="AN18" i="2"/>
  <c r="AQ18" i="2"/>
  <c r="AM18" i="2"/>
  <c r="H17" i="2"/>
  <c r="F17" i="2"/>
  <c r="G17" i="2"/>
  <c r="E17" i="2"/>
  <c r="K23" i="2"/>
  <c r="G23" i="2"/>
  <c r="J23" i="2"/>
  <c r="F23" i="2"/>
  <c r="K22" i="2"/>
  <c r="G22" i="2"/>
  <c r="J22" i="2"/>
  <c r="F22" i="2"/>
  <c r="AS17" i="2"/>
  <c r="AO17" i="2"/>
  <c r="AT17" i="2"/>
  <c r="AL17" i="2"/>
  <c r="AN17" i="2"/>
  <c r="AN12" i="2"/>
  <c r="AQ12" i="2"/>
  <c r="AT12" i="2"/>
  <c r="AL12" i="2"/>
  <c r="AO12" i="2"/>
  <c r="AS16" i="2"/>
  <c r="AO16" i="2"/>
  <c r="AT16" i="2"/>
  <c r="AP16" i="2"/>
  <c r="AL16" i="2"/>
  <c r="K9" i="2"/>
  <c r="G9" i="2"/>
  <c r="L9" i="2"/>
  <c r="H9" i="2"/>
  <c r="K8" i="2"/>
  <c r="G8" i="2"/>
  <c r="J8" i="2"/>
  <c r="F8" i="2"/>
  <c r="AS14" i="2"/>
  <c r="AO14" i="2"/>
  <c r="AT14" i="2"/>
  <c r="AP14" i="2"/>
  <c r="AL14" i="2"/>
  <c r="AQ13" i="2"/>
  <c r="AS13" i="2"/>
  <c r="K7" i="2"/>
  <c r="G7" i="2"/>
  <c r="J7" i="2"/>
  <c r="F7" i="2"/>
  <c r="Z55" i="13"/>
  <c r="Y83" i="13"/>
  <c r="Z83" i="13" s="1"/>
  <c r="AE50" i="13"/>
  <c r="AD78" i="13"/>
  <c r="AE78" i="13" s="1"/>
  <c r="AE48" i="13"/>
  <c r="AD76" i="13"/>
  <c r="AE76" i="13" s="1"/>
  <c r="Z47" i="13"/>
  <c r="Y75" i="13"/>
  <c r="Z75" i="13" s="1"/>
  <c r="AE47" i="13"/>
  <c r="AD75" i="13"/>
  <c r="AE75" i="13" s="1"/>
  <c r="Y59" i="13"/>
  <c r="Z41" i="13"/>
  <c r="AD59" i="13"/>
  <c r="AD69" i="13"/>
  <c r="AE41" i="13"/>
  <c r="Z45" i="13"/>
  <c r="Y73" i="13"/>
  <c r="Z73" i="13" s="1"/>
  <c r="AD82" i="13"/>
  <c r="AE82" i="13" s="1"/>
  <c r="AE54" i="13"/>
  <c r="AE53" i="13"/>
  <c r="AD81" i="13"/>
  <c r="AE81" i="13" s="1"/>
  <c r="AE52" i="13"/>
  <c r="AD80" i="13"/>
  <c r="AE80" i="13" s="1"/>
  <c r="Y79" i="13"/>
  <c r="Z79" i="13" s="1"/>
  <c r="Z51" i="13"/>
  <c r="Z57" i="13"/>
  <c r="Y85" i="13"/>
  <c r="Z85" i="13" s="1"/>
  <c r="Z56" i="13"/>
  <c r="Y84" i="13"/>
  <c r="Z84" i="13" s="1"/>
  <c r="AD83" i="13"/>
  <c r="AE83" i="13" s="1"/>
  <c r="AE55" i="13"/>
  <c r="AE51" i="13"/>
  <c r="AD79" i="13"/>
  <c r="AE79" i="13" s="1"/>
  <c r="AE46" i="13"/>
  <c r="AD74" i="13"/>
  <c r="AE74" i="13" s="1"/>
  <c r="Z44" i="13"/>
  <c r="Y72" i="13"/>
  <c r="Z72" i="13" s="1"/>
  <c r="AE43" i="13"/>
  <c r="AD71" i="13"/>
  <c r="AE71" i="13" s="1"/>
  <c r="Y71" i="13"/>
  <c r="Z71" i="13" s="1"/>
  <c r="Z43" i="13"/>
  <c r="Z42" i="13"/>
  <c r="Y70" i="13"/>
  <c r="Z70" i="13" s="1"/>
  <c r="AE45" i="13"/>
  <c r="AD73" i="13"/>
  <c r="AE73" i="13" s="1"/>
  <c r="F21" i="2"/>
  <c r="L21" i="2"/>
  <c r="I21" i="2"/>
  <c r="AT19" i="2"/>
  <c r="AL19" i="2"/>
  <c r="AO19" i="2"/>
  <c r="AN19" i="2"/>
  <c r="AQ19" i="2"/>
  <c r="AP18" i="2"/>
  <c r="AS18" i="2"/>
  <c r="L17" i="2"/>
  <c r="M17" i="2"/>
  <c r="J17" i="2"/>
  <c r="I17" i="2"/>
  <c r="K17" i="2"/>
  <c r="M23" i="2"/>
  <c r="I23" i="2"/>
  <c r="E23" i="2"/>
  <c r="L23" i="2"/>
  <c r="H23" i="2"/>
  <c r="M22" i="2"/>
  <c r="I22" i="2"/>
  <c r="E22" i="2"/>
  <c r="L22" i="2"/>
  <c r="H22" i="2"/>
  <c r="AQ17" i="2"/>
  <c r="AM17" i="2"/>
  <c r="AP17" i="2"/>
  <c r="AR17" i="2"/>
  <c r="AR12" i="2"/>
  <c r="AM12" i="2"/>
  <c r="AP12" i="2"/>
  <c r="AS12" i="2"/>
  <c r="AQ16" i="2"/>
  <c r="AM16" i="2"/>
  <c r="AR16" i="2"/>
  <c r="AN16" i="2"/>
  <c r="M9" i="2"/>
  <c r="I9" i="2"/>
  <c r="E9" i="2"/>
  <c r="J9" i="2"/>
  <c r="F9" i="2"/>
  <c r="M8" i="2"/>
  <c r="E8" i="2"/>
  <c r="H8" i="2"/>
  <c r="AQ14" i="2"/>
  <c r="AM14" i="2"/>
  <c r="AR14" i="2"/>
  <c r="AN14" i="2"/>
  <c r="AM13" i="2"/>
  <c r="AO13" i="2"/>
  <c r="I7" i="2"/>
  <c r="E7" i="2"/>
  <c r="L7" i="2"/>
  <c r="H7" i="2"/>
  <c r="AH8" i="2"/>
  <c r="AJ8" i="2" s="1"/>
  <c r="CH66" i="4"/>
  <c r="D110" i="4"/>
  <c r="D138" i="4"/>
  <c r="CH80" i="4"/>
  <c r="D139" i="4" s="1"/>
  <c r="AC31" i="8"/>
  <c r="AF31" i="8" s="1"/>
  <c r="AD31" i="8"/>
  <c r="AE31" i="8"/>
  <c r="Y64" i="2"/>
  <c r="Y65" i="2" s="1"/>
  <c r="Y66" i="2"/>
  <c r="Y67" i="2" s="1"/>
  <c r="Y63" i="2"/>
  <c r="BH42" i="2"/>
  <c r="AH10" i="2"/>
  <c r="AJ10" i="2" s="1"/>
  <c r="AH15" i="2"/>
  <c r="AJ15" i="2" s="1"/>
  <c r="M110" i="4"/>
  <c r="CH73" i="4"/>
  <c r="M111" i="4" s="1"/>
  <c r="U33" i="2"/>
  <c r="V31" i="2"/>
  <c r="X33" i="2"/>
  <c r="X31" i="2"/>
  <c r="V33" i="2"/>
  <c r="BI13" i="2" l="1"/>
  <c r="AW36" i="2"/>
  <c r="AW44" i="2" s="1"/>
  <c r="BI18" i="2"/>
  <c r="BI20" i="2"/>
  <c r="AZ33" i="2"/>
  <c r="AZ43" i="2" s="1"/>
  <c r="BI9" i="2"/>
  <c r="BI17" i="2"/>
  <c r="BI14" i="2"/>
  <c r="AY31" i="2"/>
  <c r="BI8" i="2"/>
  <c r="AZ44" i="2"/>
  <c r="BI22" i="2"/>
  <c r="BI11" i="2"/>
  <c r="BA36" i="2"/>
  <c r="BA44" i="2" s="1"/>
  <c r="BI7" i="2"/>
  <c r="BI21" i="2"/>
  <c r="BE37" i="2"/>
  <c r="BE45" i="2" s="1"/>
  <c r="AX33" i="2"/>
  <c r="AX43" i="2" s="1"/>
  <c r="BA33" i="2"/>
  <c r="BA43" i="2" s="1"/>
  <c r="BD33" i="2"/>
  <c r="BE25" i="2"/>
  <c r="BD36" i="2"/>
  <c r="BD44" i="2" s="1"/>
  <c r="BD25" i="2"/>
  <c r="BD37" i="2"/>
  <c r="BD45" i="2" s="1"/>
  <c r="BC25" i="2"/>
  <c r="BC33" i="2"/>
  <c r="BC40" i="2" s="1"/>
  <c r="BC31" i="2"/>
  <c r="BB36" i="2"/>
  <c r="BB44" i="2" s="1"/>
  <c r="BB31" i="2"/>
  <c r="BB25" i="2"/>
  <c r="BA31" i="2"/>
  <c r="BH16" i="2"/>
  <c r="BA25" i="2"/>
  <c r="AZ25" i="2"/>
  <c r="AY37" i="2"/>
  <c r="AY25" i="2"/>
  <c r="AX36" i="2"/>
  <c r="AX25" i="2"/>
  <c r="BH18" i="2"/>
  <c r="BH10" i="2"/>
  <c r="AW25" i="2"/>
  <c r="BH21" i="2"/>
  <c r="BH15" i="2"/>
  <c r="AV37" i="2"/>
  <c r="AV45" i="2" s="1"/>
  <c r="AV25" i="2"/>
  <c r="BH14" i="2"/>
  <c r="BE31" i="2"/>
  <c r="BE36" i="2"/>
  <c r="BE44" i="2" s="1"/>
  <c r="BE33" i="2"/>
  <c r="BE40" i="2" s="1"/>
  <c r="BH23" i="2"/>
  <c r="BB33" i="2"/>
  <c r="BH19" i="2"/>
  <c r="BH17" i="2"/>
  <c r="BH13" i="2"/>
  <c r="BH12" i="2"/>
  <c r="AZ31" i="2"/>
  <c r="BH35" i="2"/>
  <c r="BH24" i="2"/>
  <c r="BH30" i="2"/>
  <c r="BH8" i="2"/>
  <c r="BH22" i="2"/>
  <c r="BH7" i="2"/>
  <c r="BH9" i="2"/>
  <c r="AV31" i="2"/>
  <c r="AY36" i="2"/>
  <c r="AY44" i="2" s="1"/>
  <c r="AX31" i="2"/>
  <c r="P48" i="2"/>
  <c r="AW31" i="2"/>
  <c r="AW33" i="2"/>
  <c r="AW43" i="2" s="1"/>
  <c r="AW47" i="2" s="1"/>
  <c r="BH11" i="2"/>
  <c r="AV36" i="2"/>
  <c r="AV44" i="2" s="1"/>
  <c r="AV33" i="2"/>
  <c r="AV43" i="2" s="1"/>
  <c r="BH20" i="2"/>
  <c r="BD31" i="2"/>
  <c r="O48" i="2"/>
  <c r="AL37" i="2"/>
  <c r="AL45" i="2" s="1"/>
  <c r="W47" i="2"/>
  <c r="W59" i="2" s="1"/>
  <c r="AP37" i="2"/>
  <c r="AP45" i="2" s="1"/>
  <c r="AO37" i="2"/>
  <c r="AO45" i="2" s="1"/>
  <c r="O40" i="2"/>
  <c r="N21" i="8" s="1"/>
  <c r="P21" i="8" s="1"/>
  <c r="O45" i="2"/>
  <c r="O47" i="2" s="1"/>
  <c r="O56" i="2" s="1"/>
  <c r="P45" i="2"/>
  <c r="P47" i="2" s="1"/>
  <c r="P40" i="2"/>
  <c r="N22" i="8" s="1"/>
  <c r="P22" i="8" s="1"/>
  <c r="AE30" i="13"/>
  <c r="W40" i="2"/>
  <c r="N29" i="8" s="1"/>
  <c r="P29" i="8" s="1"/>
  <c r="X29" i="8" s="1"/>
  <c r="AA14" i="2"/>
  <c r="AG14" i="2" s="1"/>
  <c r="AA18" i="2"/>
  <c r="AG18" i="2" s="1"/>
  <c r="AN37" i="2"/>
  <c r="AN45" i="2" s="1"/>
  <c r="AH44" i="2"/>
  <c r="AS33" i="2"/>
  <c r="AS43" i="2" s="1"/>
  <c r="K36" i="2"/>
  <c r="K44" i="2" s="1"/>
  <c r="N37" i="2"/>
  <c r="N45" i="2" s="1"/>
  <c r="AZ45" i="2"/>
  <c r="AZ47" i="2" s="1"/>
  <c r="AZ40" i="2"/>
  <c r="AA13" i="2"/>
  <c r="AG13" i="2" s="1"/>
  <c r="AA20" i="2"/>
  <c r="AG20" i="2" s="1"/>
  <c r="Y87" i="13"/>
  <c r="AM37" i="2"/>
  <c r="AM45" i="2" s="1"/>
  <c r="AR37" i="2"/>
  <c r="AR45" i="2" s="1"/>
  <c r="S43" i="2"/>
  <c r="S47" i="2" s="1"/>
  <c r="S40" i="2"/>
  <c r="N25" i="8" s="1"/>
  <c r="P25" i="8" s="1"/>
  <c r="AT37" i="2"/>
  <c r="AT45" i="2" s="1"/>
  <c r="AU37" i="2"/>
  <c r="AU45" i="2" s="1"/>
  <c r="U40" i="2"/>
  <c r="N27" i="8" s="1"/>
  <c r="P27" i="8" s="1"/>
  <c r="AH36" i="2"/>
  <c r="AJ36" i="2" s="1"/>
  <c r="AN33" i="2"/>
  <c r="AQ36" i="2"/>
  <c r="AQ44" i="2" s="1"/>
  <c r="J36" i="2"/>
  <c r="J44" i="2" s="1"/>
  <c r="L36" i="2"/>
  <c r="L44" i="2" s="1"/>
  <c r="AA11" i="2"/>
  <c r="AG11" i="2" s="1"/>
  <c r="AS37" i="2"/>
  <c r="AS45" i="2" s="1"/>
  <c r="AX44" i="2"/>
  <c r="AX47" i="2" s="1"/>
  <c r="AX40" i="2"/>
  <c r="F37" i="2"/>
  <c r="F45" i="2" s="1"/>
  <c r="G36" i="2"/>
  <c r="G44" i="2" s="1"/>
  <c r="N36" i="2"/>
  <c r="N44" i="2" s="1"/>
  <c r="AY45" i="2"/>
  <c r="BA45" i="2"/>
  <c r="BA47" i="2" s="1"/>
  <c r="Q43" i="2"/>
  <c r="Q40" i="2"/>
  <c r="N23" i="8" s="1"/>
  <c r="P23" i="8" s="1"/>
  <c r="BC43" i="2"/>
  <c r="BC47" i="2" s="1"/>
  <c r="R45" i="2"/>
  <c r="R47" i="2" s="1"/>
  <c r="R40" i="2"/>
  <c r="N24" i="8" s="1"/>
  <c r="P24" i="8" s="1"/>
  <c r="BB43" i="2"/>
  <c r="BD43" i="2"/>
  <c r="T45" i="2"/>
  <c r="T47" i="2" s="1"/>
  <c r="T40" i="2"/>
  <c r="N26" i="8" s="1"/>
  <c r="P26" i="8" s="1"/>
  <c r="Q45" i="2"/>
  <c r="AH37" i="2"/>
  <c r="AJ37" i="2" s="1"/>
  <c r="AR36" i="2"/>
  <c r="AR44" i="2" s="1"/>
  <c r="AA10" i="2"/>
  <c r="AG10" i="2" s="1"/>
  <c r="Z87" i="13"/>
  <c r="AO33" i="2"/>
  <c r="AO43" i="2" s="1"/>
  <c r="AN36" i="2"/>
  <c r="AN44" i="2" s="1"/>
  <c r="AM36" i="2"/>
  <c r="AM44" i="2" s="1"/>
  <c r="AU36" i="2"/>
  <c r="AU44" i="2" s="1"/>
  <c r="AP31" i="2"/>
  <c r="I36" i="2"/>
  <c r="I44" i="2" s="1"/>
  <c r="M36" i="2"/>
  <c r="M44" i="2" s="1"/>
  <c r="K37" i="2"/>
  <c r="K45" i="2" s="1"/>
  <c r="F36" i="2"/>
  <c r="F44" i="2" s="1"/>
  <c r="H36" i="2"/>
  <c r="H44" i="2" s="1"/>
  <c r="AQ37" i="2"/>
  <c r="AQ45" i="2" s="1"/>
  <c r="AA16" i="2"/>
  <c r="AM33" i="2"/>
  <c r="AM43" i="2" s="1"/>
  <c r="AR31" i="2"/>
  <c r="AL33" i="2"/>
  <c r="AL43" i="2" s="1"/>
  <c r="AQ33" i="2"/>
  <c r="AQ43" i="2" s="1"/>
  <c r="AA12" i="2"/>
  <c r="AA15" i="2"/>
  <c r="AA24" i="2"/>
  <c r="AA19" i="2"/>
  <c r="AU31" i="2"/>
  <c r="AT31" i="2"/>
  <c r="AN43" i="2"/>
  <c r="L31" i="2"/>
  <c r="L33" i="2"/>
  <c r="I33" i="2"/>
  <c r="I31" i="2"/>
  <c r="AA23" i="2"/>
  <c r="J31" i="2"/>
  <c r="J33" i="2"/>
  <c r="G33" i="2"/>
  <c r="G31" i="2"/>
  <c r="AA17" i="2"/>
  <c r="E36" i="2"/>
  <c r="I37" i="2"/>
  <c r="I45" i="2" s="1"/>
  <c r="AM31" i="2"/>
  <c r="AN31" i="2"/>
  <c r="AS31" i="2"/>
  <c r="AE59" i="13"/>
  <c r="AR33" i="2"/>
  <c r="AO31" i="2"/>
  <c r="AP36" i="2"/>
  <c r="AP44" i="2" s="1"/>
  <c r="AO36" i="2"/>
  <c r="AO44" i="2" s="1"/>
  <c r="G37" i="2"/>
  <c r="G45" i="2" s="1"/>
  <c r="M37" i="2"/>
  <c r="M45" i="2" s="1"/>
  <c r="AL31" i="2"/>
  <c r="AQ31" i="2"/>
  <c r="AP33" i="2"/>
  <c r="AU33" i="2"/>
  <c r="AT33" i="2"/>
  <c r="H33" i="2"/>
  <c r="H31" i="2"/>
  <c r="AA7" i="2"/>
  <c r="E33" i="2"/>
  <c r="E31" i="2"/>
  <c r="M33" i="2"/>
  <c r="M31" i="2"/>
  <c r="AA8" i="2"/>
  <c r="AA9" i="2"/>
  <c r="AA22" i="2"/>
  <c r="AE69" i="13"/>
  <c r="AE87" i="13" s="1"/>
  <c r="AD87" i="13"/>
  <c r="F33" i="2"/>
  <c r="F31" i="2"/>
  <c r="N33" i="2"/>
  <c r="K31" i="2"/>
  <c r="K33" i="2"/>
  <c r="AA21" i="2"/>
  <c r="E37" i="2"/>
  <c r="L37" i="2"/>
  <c r="L45" i="2" s="1"/>
  <c r="Z59" i="13"/>
  <c r="AL36" i="2"/>
  <c r="AL44" i="2" s="1"/>
  <c r="AT36" i="2"/>
  <c r="AT44" i="2" s="1"/>
  <c r="AS36" i="2"/>
  <c r="AS44" i="2" s="1"/>
  <c r="H37" i="2"/>
  <c r="H45" i="2" s="1"/>
  <c r="J37" i="2"/>
  <c r="J45" i="2" s="1"/>
  <c r="CH67" i="4"/>
  <c r="D121" i="4" s="1"/>
  <c r="D120" i="4"/>
  <c r="AH31" i="2"/>
  <c r="F78" i="4" s="1"/>
  <c r="U43" i="2"/>
  <c r="AH33" i="2"/>
  <c r="X43" i="2"/>
  <c r="X47" i="2" s="1"/>
  <c r="X40" i="2"/>
  <c r="N30" i="8" s="1"/>
  <c r="P30" i="8" s="1"/>
  <c r="V43" i="2"/>
  <c r="V47" i="2" s="1"/>
  <c r="V40" i="2"/>
  <c r="N28" i="8" s="1"/>
  <c r="P28" i="8" s="1"/>
  <c r="BI25" i="2" l="1"/>
  <c r="BI27" i="2" s="1"/>
  <c r="BA40" i="2"/>
  <c r="T60" i="2" s="1"/>
  <c r="BE43" i="2"/>
  <c r="BD40" i="2"/>
  <c r="W60" i="2" s="1"/>
  <c r="BD47" i="2"/>
  <c r="BH37" i="2"/>
  <c r="BB40" i="2"/>
  <c r="U60" i="2" s="1"/>
  <c r="AY40" i="2"/>
  <c r="BE47" i="2"/>
  <c r="BH31" i="2"/>
  <c r="BH33" i="2"/>
  <c r="AW40" i="2"/>
  <c r="O22" i="8" s="1"/>
  <c r="Q22" i="8" s="1"/>
  <c r="AE22" i="8" s="1"/>
  <c r="AV47" i="2"/>
  <c r="BH36" i="2"/>
  <c r="AV40" i="2"/>
  <c r="O21" i="8" s="1"/>
  <c r="Q21" i="8" s="1"/>
  <c r="AD21" i="8" s="1"/>
  <c r="AV48" i="2"/>
  <c r="BH44" i="2"/>
  <c r="W56" i="2"/>
  <c r="N40" i="2"/>
  <c r="N20" i="8" s="1"/>
  <c r="P20" i="8" s="1"/>
  <c r="N48" i="2"/>
  <c r="Y29" i="8"/>
  <c r="AN47" i="2"/>
  <c r="O59" i="2"/>
  <c r="P56" i="2"/>
  <c r="P59" i="2"/>
  <c r="W21" i="8"/>
  <c r="Z21" i="8" s="1"/>
  <c r="X21" i="8"/>
  <c r="Y21" i="8"/>
  <c r="X22" i="8"/>
  <c r="W22" i="8"/>
  <c r="Z22" i="8" s="1"/>
  <c r="Y22" i="8"/>
  <c r="AQ47" i="2"/>
  <c r="W29" i="8"/>
  <c r="Z29" i="8" s="1"/>
  <c r="S60" i="2"/>
  <c r="O25" i="8"/>
  <c r="Q25" i="8" s="1"/>
  <c r="AI44" i="2"/>
  <c r="S59" i="2"/>
  <c r="S56" i="2"/>
  <c r="W25" i="8"/>
  <c r="Z25" i="8" s="1"/>
  <c r="Y25" i="8"/>
  <c r="X25" i="8"/>
  <c r="Q60" i="2"/>
  <c r="O23" i="8"/>
  <c r="Q23" i="8" s="1"/>
  <c r="AH45" i="2"/>
  <c r="AI45" i="2" s="1"/>
  <c r="T59" i="2"/>
  <c r="T56" i="2"/>
  <c r="O27" i="8"/>
  <c r="Q27" i="8" s="1"/>
  <c r="W24" i="8"/>
  <c r="Z24" i="8" s="1"/>
  <c r="Y24" i="8"/>
  <c r="X24" i="8"/>
  <c r="X60" i="2"/>
  <c r="O30" i="8"/>
  <c r="Q30" i="8" s="1"/>
  <c r="V60" i="2"/>
  <c r="O28" i="8"/>
  <c r="Q28" i="8" s="1"/>
  <c r="W23" i="8"/>
  <c r="Z23" i="8" s="1"/>
  <c r="Y23" i="8"/>
  <c r="X23" i="8"/>
  <c r="O26" i="8"/>
  <c r="Q26" i="8" s="1"/>
  <c r="O24" i="8"/>
  <c r="Q24" i="8" s="1"/>
  <c r="R60" i="2"/>
  <c r="AY47" i="2"/>
  <c r="BH45" i="2"/>
  <c r="W26" i="8"/>
  <c r="Z26" i="8" s="1"/>
  <c r="Y26" i="8"/>
  <c r="X26" i="8"/>
  <c r="O29" i="8"/>
  <c r="Q29" i="8" s="1"/>
  <c r="BB47" i="2"/>
  <c r="BH43" i="2"/>
  <c r="R59" i="2"/>
  <c r="R56" i="2"/>
  <c r="Q47" i="2"/>
  <c r="AM47" i="2"/>
  <c r="AN40" i="2"/>
  <c r="O13" i="8" s="1"/>
  <c r="Q13" i="8" s="1"/>
  <c r="AQ40" i="2"/>
  <c r="J60" i="2" s="1"/>
  <c r="AM40" i="2"/>
  <c r="O12" i="8" s="1"/>
  <c r="Q12" i="8" s="1"/>
  <c r="AG16" i="2"/>
  <c r="AG19" i="2"/>
  <c r="AG24" i="2"/>
  <c r="AG15" i="2"/>
  <c r="AG12" i="2"/>
  <c r="E40" i="2"/>
  <c r="E45" i="2"/>
  <c r="AA37" i="2"/>
  <c r="AG21" i="2"/>
  <c r="F43" i="2"/>
  <c r="F47" i="2" s="1"/>
  <c r="F40" i="2"/>
  <c r="N12" i="8" s="1"/>
  <c r="P12" i="8" s="1"/>
  <c r="AG22" i="2"/>
  <c r="AG8" i="2"/>
  <c r="E43" i="2"/>
  <c r="AA33" i="2"/>
  <c r="AT43" i="2"/>
  <c r="AT47" i="2" s="1"/>
  <c r="AT40" i="2"/>
  <c r="AP43" i="2"/>
  <c r="AP47" i="2" s="1"/>
  <c r="AP40" i="2"/>
  <c r="E44" i="2"/>
  <c r="AA44" i="2" s="1"/>
  <c r="AA36" i="2"/>
  <c r="G43" i="2"/>
  <c r="G47" i="2" s="1"/>
  <c r="G40" i="2"/>
  <c r="N13" i="8" s="1"/>
  <c r="P13" i="8" s="1"/>
  <c r="I43" i="2"/>
  <c r="I47" i="2" s="1"/>
  <c r="I40" i="2"/>
  <c r="N15" i="8" s="1"/>
  <c r="P15" i="8" s="1"/>
  <c r="AO47" i="2"/>
  <c r="AL47" i="2"/>
  <c r="AS47" i="2"/>
  <c r="K43" i="2"/>
  <c r="K47" i="2" s="1"/>
  <c r="K40" i="2"/>
  <c r="N17" i="8" s="1"/>
  <c r="P17" i="8" s="1"/>
  <c r="N43" i="2"/>
  <c r="N47" i="2" s="1"/>
  <c r="AG9" i="2"/>
  <c r="M43" i="2"/>
  <c r="M47" i="2" s="1"/>
  <c r="M40" i="2"/>
  <c r="N19" i="8" s="1"/>
  <c r="P19" i="8" s="1"/>
  <c r="AG7" i="2"/>
  <c r="AA31" i="2"/>
  <c r="H43" i="2"/>
  <c r="H47" i="2" s="1"/>
  <c r="H40" i="2"/>
  <c r="N14" i="8" s="1"/>
  <c r="P14" i="8" s="1"/>
  <c r="AU43" i="2"/>
  <c r="AU47" i="2" s="1"/>
  <c r="AU40" i="2"/>
  <c r="AR43" i="2"/>
  <c r="AR47" i="2" s="1"/>
  <c r="AR40" i="2"/>
  <c r="AG17" i="2"/>
  <c r="J43" i="2"/>
  <c r="J47" i="2" s="1"/>
  <c r="J40" i="2"/>
  <c r="AG23" i="2"/>
  <c r="L43" i="2"/>
  <c r="L47" i="2" s="1"/>
  <c r="L40" i="2"/>
  <c r="N18" i="8" s="1"/>
  <c r="P18" i="8" s="1"/>
  <c r="AO40" i="2"/>
  <c r="AL40" i="2"/>
  <c r="AS40" i="2"/>
  <c r="F87" i="4"/>
  <c r="D158" i="4"/>
  <c r="H174" i="4"/>
  <c r="AI36" i="2"/>
  <c r="X56" i="2"/>
  <c r="X59" i="2"/>
  <c r="U47" i="2"/>
  <c r="AH43" i="2"/>
  <c r="AI43" i="2" s="1"/>
  <c r="W27" i="8"/>
  <c r="Z27" i="8" s="1"/>
  <c r="X27" i="8"/>
  <c r="Y27" i="8"/>
  <c r="AH40" i="2"/>
  <c r="V56" i="2"/>
  <c r="V59" i="2"/>
  <c r="Y28" i="8"/>
  <c r="W28" i="8"/>
  <c r="Z28" i="8" s="1"/>
  <c r="X28" i="8"/>
  <c r="X30" i="8"/>
  <c r="W30" i="8"/>
  <c r="Z30" i="8" s="1"/>
  <c r="Y30" i="8"/>
  <c r="AJ33" i="2"/>
  <c r="AI33" i="2"/>
  <c r="AI39" i="2"/>
  <c r="AI27" i="2"/>
  <c r="AI35" i="2"/>
  <c r="AI29" i="2"/>
  <c r="AI28" i="2"/>
  <c r="AI26" i="2"/>
  <c r="AJ31" i="2"/>
  <c r="AI46" i="2"/>
  <c r="AI38" i="2"/>
  <c r="AI42" i="2"/>
  <c r="AI31" i="2"/>
  <c r="AI30" i="2"/>
  <c r="AI34" i="2"/>
  <c r="AI37" i="2"/>
  <c r="W66" i="2"/>
  <c r="W67" i="2" s="1"/>
  <c r="W63" i="2"/>
  <c r="W64" i="2"/>
  <c r="W65" i="2" s="1"/>
  <c r="C29" i="35"/>
  <c r="E23" i="35" s="1"/>
  <c r="D29" i="35" l="1"/>
  <c r="F24" i="35" s="1"/>
  <c r="AD22" i="8"/>
  <c r="P60" i="2"/>
  <c r="AC22" i="8"/>
  <c r="AF22" i="8" s="1"/>
  <c r="O60" i="2"/>
  <c r="BH40" i="2"/>
  <c r="AA60" i="2" s="1"/>
  <c r="AE21" i="8"/>
  <c r="AC21" i="8"/>
  <c r="AF21" i="8" s="1"/>
  <c r="O64" i="2"/>
  <c r="O65" i="2" s="1"/>
  <c r="O63" i="2"/>
  <c r="O66" i="2"/>
  <c r="O67" i="2" s="1"/>
  <c r="P64" i="2"/>
  <c r="P65" i="2" s="1"/>
  <c r="P63" i="2"/>
  <c r="P66" i="2"/>
  <c r="P67" i="2" s="1"/>
  <c r="O16" i="8"/>
  <c r="Q16" i="8" s="1"/>
  <c r="AC16" i="8" s="1"/>
  <c r="AF16" i="8" s="1"/>
  <c r="F60" i="2"/>
  <c r="AE25" i="8"/>
  <c r="AD25" i="8"/>
  <c r="AC25" i="8"/>
  <c r="AF25" i="8" s="1"/>
  <c r="S64" i="2"/>
  <c r="S65" i="2" s="1"/>
  <c r="S66" i="2"/>
  <c r="S67" i="2" s="1"/>
  <c r="S63" i="2"/>
  <c r="AD23" i="8"/>
  <c r="AC23" i="8"/>
  <c r="AF23" i="8" s="1"/>
  <c r="AE23" i="8"/>
  <c r="BH47" i="2"/>
  <c r="AE29" i="8"/>
  <c r="AC29" i="8"/>
  <c r="AF29" i="8" s="1"/>
  <c r="AD29" i="8"/>
  <c r="AD27" i="8"/>
  <c r="AE27" i="8"/>
  <c r="AC27" i="8"/>
  <c r="AF27" i="8" s="1"/>
  <c r="T66" i="2"/>
  <c r="T67" i="2" s="1"/>
  <c r="T64" i="2"/>
  <c r="T65" i="2" s="1"/>
  <c r="T63" i="2"/>
  <c r="AC40" i="2"/>
  <c r="AF40" i="2"/>
  <c r="AD40" i="2"/>
  <c r="Q56" i="2"/>
  <c r="Q59" i="2"/>
  <c r="R64" i="2"/>
  <c r="R65" i="2" s="1"/>
  <c r="R66" i="2"/>
  <c r="R67" i="2" s="1"/>
  <c r="R63" i="2"/>
  <c r="AE24" i="8"/>
  <c r="AD24" i="8"/>
  <c r="AC24" i="8"/>
  <c r="AF24" i="8" s="1"/>
  <c r="AC26" i="8"/>
  <c r="AF26" i="8" s="1"/>
  <c r="AD26" i="8"/>
  <c r="AE26" i="8"/>
  <c r="AC28" i="8"/>
  <c r="AF28" i="8" s="1"/>
  <c r="AE28" i="8"/>
  <c r="AD28" i="8"/>
  <c r="AC30" i="8"/>
  <c r="AF30" i="8" s="1"/>
  <c r="AD30" i="8"/>
  <c r="AE30" i="8"/>
  <c r="AE40" i="2"/>
  <c r="G60" i="2"/>
  <c r="AD12" i="8"/>
  <c r="AE12" i="8"/>
  <c r="AC12" i="8"/>
  <c r="AF12" i="8" s="1"/>
  <c r="E60" i="2"/>
  <c r="O11" i="8"/>
  <c r="L59" i="2"/>
  <c r="L56" i="2"/>
  <c r="N16" i="8"/>
  <c r="P16" i="8" s="1"/>
  <c r="H56" i="2"/>
  <c r="H59" i="2"/>
  <c r="AG31" i="2"/>
  <c r="Y19" i="8"/>
  <c r="W19" i="8"/>
  <c r="Z19" i="8" s="1"/>
  <c r="X19" i="8"/>
  <c r="N59" i="2"/>
  <c r="N56" i="2"/>
  <c r="W17" i="8"/>
  <c r="Z17" i="8" s="1"/>
  <c r="Y17" i="8"/>
  <c r="X17" i="8"/>
  <c r="L60" i="2"/>
  <c r="O18" i="8"/>
  <c r="Q18" i="8" s="1"/>
  <c r="H60" i="2"/>
  <c r="O14" i="8"/>
  <c r="Q14" i="8" s="1"/>
  <c r="AC13" i="8"/>
  <c r="AF13" i="8" s="1"/>
  <c r="AE13" i="8"/>
  <c r="AD13" i="8"/>
  <c r="X18" i="8"/>
  <c r="W18" i="8"/>
  <c r="Z18" i="8" s="1"/>
  <c r="Y18" i="8"/>
  <c r="J56" i="2"/>
  <c r="J59" i="2"/>
  <c r="O17" i="8"/>
  <c r="Q17" i="8" s="1"/>
  <c r="K60" i="2"/>
  <c r="N60" i="2"/>
  <c r="O20" i="8"/>
  <c r="Q20" i="8" s="1"/>
  <c r="Y14" i="8"/>
  <c r="W14" i="8"/>
  <c r="Z14" i="8" s="1"/>
  <c r="X14" i="8"/>
  <c r="M59" i="2"/>
  <c r="M56" i="2"/>
  <c r="Y20" i="8"/>
  <c r="X20" i="8"/>
  <c r="W20" i="8"/>
  <c r="Z20" i="8" s="1"/>
  <c r="K59" i="2"/>
  <c r="K56" i="2"/>
  <c r="W15" i="8"/>
  <c r="Z15" i="8" s="1"/>
  <c r="X15" i="8"/>
  <c r="Y15" i="8"/>
  <c r="Y13" i="8"/>
  <c r="W13" i="8"/>
  <c r="Z13" i="8" s="1"/>
  <c r="X13" i="8"/>
  <c r="AG36" i="2"/>
  <c r="I60" i="2"/>
  <c r="O15" i="8"/>
  <c r="Q15" i="8" s="1"/>
  <c r="M60" i="2"/>
  <c r="O19" i="8"/>
  <c r="Q19" i="8" s="1"/>
  <c r="AG33" i="2"/>
  <c r="X12" i="8"/>
  <c r="Y12" i="8"/>
  <c r="W12" i="8"/>
  <c r="Z12" i="8" s="1"/>
  <c r="AG37" i="2"/>
  <c r="N11" i="8"/>
  <c r="AA40" i="2"/>
  <c r="BJ68" i="2" s="1"/>
  <c r="I56" i="2"/>
  <c r="I59" i="2"/>
  <c r="G59" i="2"/>
  <c r="G56" i="2"/>
  <c r="AG44" i="2"/>
  <c r="F56" i="2"/>
  <c r="F59" i="2"/>
  <c r="E47" i="2"/>
  <c r="AA45" i="2"/>
  <c r="AA43" i="2"/>
  <c r="CL6" i="4"/>
  <c r="CP60" i="4"/>
  <c r="CJ60" i="4"/>
  <c r="CO6" i="4"/>
  <c r="CK60" i="4"/>
  <c r="CM60" i="4"/>
  <c r="CO60" i="4"/>
  <c r="CH33" i="4"/>
  <c r="CN33" i="4"/>
  <c r="CO33" i="4"/>
  <c r="CM33" i="4"/>
  <c r="CL60" i="4"/>
  <c r="CN60" i="4"/>
  <c r="H161" i="4"/>
  <c r="H162" i="4" s="1"/>
  <c r="CM6" i="4"/>
  <c r="CH60" i="4"/>
  <c r="H100" i="4" s="1"/>
  <c r="CP6" i="4"/>
  <c r="CJ6" i="4"/>
  <c r="CK33" i="4"/>
  <c r="H158" i="4"/>
  <c r="CH6" i="4"/>
  <c r="O87" i="4"/>
  <c r="CJ33" i="4" s="1"/>
  <c r="CL33" i="4"/>
  <c r="CN6" i="4"/>
  <c r="CK10" i="4"/>
  <c r="CK37" i="4" s="1"/>
  <c r="CK6" i="4"/>
  <c r="CP33" i="4"/>
  <c r="D174" i="4"/>
  <c r="D177" i="4" s="1"/>
  <c r="D161" i="4"/>
  <c r="D162" i="4" s="1"/>
  <c r="D163" i="4" s="1"/>
  <c r="D169" i="4"/>
  <c r="D170" i="4" s="1"/>
  <c r="E24" i="35"/>
  <c r="E25" i="35"/>
  <c r="U56" i="2"/>
  <c r="U59" i="2"/>
  <c r="AH47" i="2"/>
  <c r="V64" i="2"/>
  <c r="V65" i="2" s="1"/>
  <c r="V66" i="2"/>
  <c r="V67" i="2" s="1"/>
  <c r="V63" i="2"/>
  <c r="AJ40" i="2"/>
  <c r="AI40" i="2"/>
  <c r="X64" i="2"/>
  <c r="X65" i="2" s="1"/>
  <c r="X63" i="2"/>
  <c r="X66" i="2"/>
  <c r="X67" i="2" s="1"/>
  <c r="F25" i="35" l="1"/>
  <c r="F23" i="35"/>
  <c r="O78" i="4"/>
  <c r="F88" i="4" s="1"/>
  <c r="AH60" i="2"/>
  <c r="AE16" i="8"/>
  <c r="AD16" i="8"/>
  <c r="AE60" i="2"/>
  <c r="AE59" i="2"/>
  <c r="AC60" i="2"/>
  <c r="AF60" i="2"/>
  <c r="AD60" i="2"/>
  <c r="Q66" i="2"/>
  <c r="Q67" i="2" s="1"/>
  <c r="Q63" i="2"/>
  <c r="Q64" i="2"/>
  <c r="Q65" i="2" s="1"/>
  <c r="AB37" i="2"/>
  <c r="AG43" i="2"/>
  <c r="AA47" i="2"/>
  <c r="AB45" i="2" s="1"/>
  <c r="E56" i="2"/>
  <c r="E59" i="2"/>
  <c r="I63" i="2"/>
  <c r="I66" i="2"/>
  <c r="I67" i="2" s="1"/>
  <c r="I64" i="2"/>
  <c r="I65" i="2" s="1"/>
  <c r="K66" i="2"/>
  <c r="K67" i="2" s="1"/>
  <c r="K63" i="2"/>
  <c r="K64" i="2"/>
  <c r="K65" i="2" s="1"/>
  <c r="AC17" i="8"/>
  <c r="AF17" i="8" s="1"/>
  <c r="AE17" i="8"/>
  <c r="AD17" i="8"/>
  <c r="W16" i="8"/>
  <c r="Z16" i="8" s="1"/>
  <c r="Y16" i="8"/>
  <c r="X16" i="8"/>
  <c r="L66" i="2"/>
  <c r="L67" i="2" s="1"/>
  <c r="L63" i="2"/>
  <c r="L64" i="2"/>
  <c r="L65" i="2" s="1"/>
  <c r="AG45" i="2"/>
  <c r="F64" i="2"/>
  <c r="F65" i="2" s="1"/>
  <c r="F66" i="2"/>
  <c r="F67" i="2" s="1"/>
  <c r="F63" i="2"/>
  <c r="G63" i="2"/>
  <c r="G64" i="2"/>
  <c r="G65" i="2" s="1"/>
  <c r="G66" i="2"/>
  <c r="G67" i="2" s="1"/>
  <c r="AB36" i="2"/>
  <c r="AB11" i="2"/>
  <c r="AB26" i="2"/>
  <c r="AG40" i="2"/>
  <c r="AB10" i="2"/>
  <c r="AB24" i="2"/>
  <c r="AB18" i="2"/>
  <c r="AB20" i="2"/>
  <c r="AB27" i="2"/>
  <c r="AB16" i="2"/>
  <c r="AB38" i="2"/>
  <c r="AB40" i="2"/>
  <c r="AB13" i="2"/>
  <c r="AB28" i="2"/>
  <c r="AB29" i="2"/>
  <c r="AB8" i="2"/>
  <c r="AB23" i="2"/>
  <c r="AB39" i="2"/>
  <c r="AB35" i="2"/>
  <c r="AB30" i="2"/>
  <c r="AB15" i="2"/>
  <c r="AB14" i="2"/>
  <c r="AB17" i="2"/>
  <c r="AB22" i="2"/>
  <c r="AB12" i="2"/>
  <c r="AB19" i="2"/>
  <c r="AB34" i="2"/>
  <c r="AB21" i="2"/>
  <c r="AB7" i="2"/>
  <c r="AB9" i="2"/>
  <c r="P11" i="8"/>
  <c r="N34" i="8"/>
  <c r="N35" i="8"/>
  <c r="AD19" i="8"/>
  <c r="AC19" i="8"/>
  <c r="AF19" i="8" s="1"/>
  <c r="AE19" i="8"/>
  <c r="AC15" i="8"/>
  <c r="AF15" i="8" s="1"/>
  <c r="AE15" i="8"/>
  <c r="AD15" i="8"/>
  <c r="M64" i="2"/>
  <c r="M65" i="2" s="1"/>
  <c r="M66" i="2"/>
  <c r="M67" i="2" s="1"/>
  <c r="M63" i="2"/>
  <c r="AC20" i="8"/>
  <c r="AF20" i="8" s="1"/>
  <c r="AD20" i="8"/>
  <c r="AE20" i="8"/>
  <c r="J64" i="2"/>
  <c r="J65" i="2" s="1"/>
  <c r="J66" i="2"/>
  <c r="J67" i="2" s="1"/>
  <c r="J63" i="2"/>
  <c r="AC14" i="8"/>
  <c r="AF14" i="8" s="1"/>
  <c r="AD14" i="8"/>
  <c r="AE14" i="8"/>
  <c r="AE18" i="8"/>
  <c r="AC18" i="8"/>
  <c r="AF18" i="8" s="1"/>
  <c r="AD18" i="8"/>
  <c r="N63" i="2"/>
  <c r="N64" i="2"/>
  <c r="N65" i="2" s="1"/>
  <c r="N66" i="2"/>
  <c r="N67" i="2" s="1"/>
  <c r="H63" i="2"/>
  <c r="H66" i="2"/>
  <c r="H67" i="2" s="1"/>
  <c r="H64" i="2"/>
  <c r="H65" i="2" s="1"/>
  <c r="Q11" i="8"/>
  <c r="O34" i="8"/>
  <c r="O35" i="8"/>
  <c r="AB33" i="2"/>
  <c r="AB31" i="2"/>
  <c r="AI47" i="2"/>
  <c r="AH56" i="2"/>
  <c r="AH59" i="2"/>
  <c r="CP42" i="4"/>
  <c r="CP51" i="4"/>
  <c r="CP35" i="4"/>
  <c r="CL42" i="4"/>
  <c r="CL51" i="4"/>
  <c r="F89" i="4"/>
  <c r="CH15" i="4"/>
  <c r="D89" i="4" s="1"/>
  <c r="CH24" i="4"/>
  <c r="H89" i="4" s="1"/>
  <c r="CK51" i="4"/>
  <c r="CK36" i="4"/>
  <c r="CK42" i="4"/>
  <c r="CP15" i="4"/>
  <c r="CP17" i="4" s="1"/>
  <c r="CP22" i="4" s="1"/>
  <c r="CP8" i="4"/>
  <c r="CP13" i="4" s="1"/>
  <c r="CP24" i="4"/>
  <c r="CP26" i="4" s="1"/>
  <c r="CP31" i="4" s="1"/>
  <c r="CM15" i="4"/>
  <c r="CM17" i="4" s="1"/>
  <c r="CM8" i="4"/>
  <c r="CM24" i="4"/>
  <c r="CM26" i="4" s="1"/>
  <c r="CM42" i="4"/>
  <c r="CM51" i="4"/>
  <c r="CM35" i="4"/>
  <c r="CN51" i="4"/>
  <c r="CN36" i="4"/>
  <c r="CN42" i="4"/>
  <c r="CN35" i="4"/>
  <c r="CL24" i="4"/>
  <c r="CL15" i="4"/>
  <c r="CK15" i="4"/>
  <c r="CK18" i="4" s="1"/>
  <c r="CK22" i="4" s="1"/>
  <c r="CK9" i="4"/>
  <c r="CK13" i="4" s="1"/>
  <c r="CK24" i="4"/>
  <c r="CK27" i="4" s="1"/>
  <c r="CK31" i="4" s="1"/>
  <c r="CN8" i="4"/>
  <c r="CN9" i="4"/>
  <c r="CN15" i="4"/>
  <c r="CN24" i="4"/>
  <c r="CJ51" i="4"/>
  <c r="CJ36" i="4"/>
  <c r="CJ42" i="4"/>
  <c r="CJ15" i="4"/>
  <c r="CJ18" i="4" s="1"/>
  <c r="CJ24" i="4"/>
  <c r="CJ27" i="4" s="1"/>
  <c r="CJ9" i="4"/>
  <c r="CO35" i="4"/>
  <c r="CO42" i="4"/>
  <c r="CO36" i="4"/>
  <c r="CO51" i="4"/>
  <c r="CH51" i="4"/>
  <c r="Q89" i="4" s="1"/>
  <c r="CH42" i="4"/>
  <c r="M89" i="4" s="1"/>
  <c r="O89" i="4"/>
  <c r="CO9" i="4"/>
  <c r="CO15" i="4"/>
  <c r="CO24" i="4"/>
  <c r="CO8" i="4"/>
  <c r="U66" i="2"/>
  <c r="U67" i="2" s="1"/>
  <c r="U63" i="2"/>
  <c r="U64" i="2"/>
  <c r="U65" i="2" s="1"/>
  <c r="M183" i="4" l="1"/>
  <c r="M185" i="4" s="1"/>
  <c r="M186" i="4" s="1"/>
  <c r="M174" i="4"/>
  <c r="AC59" i="2"/>
  <c r="AF59" i="2"/>
  <c r="AD59" i="2"/>
  <c r="CM61" i="4"/>
  <c r="CO34" i="4"/>
  <c r="CP7" i="4"/>
  <c r="CM7" i="4"/>
  <c r="CL61" i="4"/>
  <c r="CJ7" i="4"/>
  <c r="H186" i="4"/>
  <c r="CK7" i="4"/>
  <c r="CP61" i="4"/>
  <c r="CN61" i="4"/>
  <c r="CM34" i="4"/>
  <c r="CL34" i="4"/>
  <c r="CO7" i="4"/>
  <c r="CP34" i="4"/>
  <c r="M158" i="4"/>
  <c r="CH61" i="4"/>
  <c r="H101" i="4" s="1"/>
  <c r="CJ11" i="4"/>
  <c r="CH34" i="4"/>
  <c r="CL7" i="4"/>
  <c r="CH7" i="4"/>
  <c r="O88" i="4"/>
  <c r="CJ10" i="4"/>
  <c r="CJ37" i="4" s="1"/>
  <c r="CK34" i="4"/>
  <c r="M161" i="4"/>
  <c r="M162" i="4" s="1"/>
  <c r="CO61" i="4"/>
  <c r="AE66" i="2"/>
  <c r="AE67" i="2" s="1"/>
  <c r="AE64" i="2"/>
  <c r="AE65" i="2" s="1"/>
  <c r="BJ64" i="2"/>
  <c r="BJ66" i="2"/>
  <c r="AB43" i="2"/>
  <c r="AE11" i="8"/>
  <c r="AD11" i="8"/>
  <c r="AD34" i="8" s="1"/>
  <c r="AC11" i="8"/>
  <c r="AF11" i="8" s="1"/>
  <c r="AF34" i="8" s="1"/>
  <c r="Q34" i="8"/>
  <c r="Q35" i="8"/>
  <c r="X11" i="8"/>
  <c r="X34" i="8" s="1"/>
  <c r="Y11" i="8"/>
  <c r="W11" i="8"/>
  <c r="P34" i="8"/>
  <c r="P35" i="8"/>
  <c r="E63" i="2"/>
  <c r="E65" i="2" s="1"/>
  <c r="E64" i="2"/>
  <c r="E66" i="2"/>
  <c r="E67" i="2" s="1"/>
  <c r="AA59" i="2"/>
  <c r="AB44" i="2"/>
  <c r="AA56" i="2"/>
  <c r="AB46" i="2"/>
  <c r="AB42" i="2"/>
  <c r="AB47" i="2"/>
  <c r="AG47" i="2"/>
  <c r="CO17" i="4"/>
  <c r="CO18" i="4"/>
  <c r="AD51" i="4"/>
  <c r="AD31" i="4" s="1"/>
  <c r="AD53" i="4"/>
  <c r="AD33" i="4" s="1"/>
  <c r="AD79" i="4"/>
  <c r="AD76" i="4"/>
  <c r="AD85" i="4"/>
  <c r="AD49" i="4"/>
  <c r="AD29" i="4" s="1"/>
  <c r="AD54" i="4"/>
  <c r="AD34" i="4" s="1"/>
  <c r="AD52" i="4"/>
  <c r="AD32" i="4" s="1"/>
  <c r="AD50" i="4"/>
  <c r="AD30" i="4" s="1"/>
  <c r="AD63" i="4"/>
  <c r="AD43" i="4" s="1"/>
  <c r="AD59" i="4"/>
  <c r="AD39" i="4" s="1"/>
  <c r="AD80" i="4"/>
  <c r="AD56" i="4"/>
  <c r="AD36" i="4" s="1"/>
  <c r="AD87" i="4"/>
  <c r="AD83" i="4"/>
  <c r="AD73" i="4"/>
  <c r="AD81" i="4"/>
  <c r="AD58" i="4"/>
  <c r="AD38" i="4" s="1"/>
  <c r="AD62" i="4"/>
  <c r="AD42" i="4" s="1"/>
  <c r="AD55" i="4"/>
  <c r="AD35" i="4" s="1"/>
  <c r="AD77" i="4"/>
  <c r="AD78" i="4"/>
  <c r="AD84" i="4"/>
  <c r="AD86" i="4"/>
  <c r="AD72" i="4"/>
  <c r="AD74" i="4"/>
  <c r="AD57" i="4"/>
  <c r="AD37" i="4" s="1"/>
  <c r="AD61" i="4"/>
  <c r="AD41" i="4" s="1"/>
  <c r="AD82" i="4"/>
  <c r="AD60" i="4"/>
  <c r="AD40" i="4" s="1"/>
  <c r="CO45" i="4"/>
  <c r="CO40" i="4"/>
  <c r="CO54" i="4"/>
  <c r="CO44" i="4"/>
  <c r="CO53" i="4"/>
  <c r="CN17" i="4"/>
  <c r="CN18" i="4"/>
  <c r="CN44" i="4"/>
  <c r="CN53" i="4"/>
  <c r="CN45" i="4"/>
  <c r="CN40" i="4"/>
  <c r="CN54" i="4"/>
  <c r="CM44" i="4"/>
  <c r="CM53" i="4"/>
  <c r="CK45" i="4"/>
  <c r="CK49" i="4" s="1"/>
  <c r="CK40" i="4"/>
  <c r="CK54" i="4"/>
  <c r="CK58" i="4" s="1"/>
  <c r="AH64" i="2"/>
  <c r="AH65" i="2" s="1"/>
  <c r="AH66" i="2"/>
  <c r="AH67" i="2" s="1"/>
  <c r="AH63" i="2"/>
  <c r="CO26" i="4"/>
  <c r="CO27" i="4"/>
  <c r="CJ54" i="4"/>
  <c r="CJ45" i="4"/>
  <c r="CN26" i="4"/>
  <c r="CN27" i="4"/>
  <c r="CP40" i="4"/>
  <c r="CP44" i="4"/>
  <c r="CP49" i="4" s="1"/>
  <c r="CP53" i="4"/>
  <c r="CP58" i="4" s="1"/>
  <c r="CO13" i="4"/>
  <c r="CN13" i="4"/>
  <c r="CN49" i="4" l="1"/>
  <c r="AE144" i="2"/>
  <c r="AE130" i="2"/>
  <c r="CH8" i="4"/>
  <c r="F91" i="4" s="1"/>
  <c r="CH16" i="4"/>
  <c r="CH25" i="4"/>
  <c r="CH9" i="4"/>
  <c r="F92" i="4" s="1"/>
  <c r="F90" i="4"/>
  <c r="CH13" i="4"/>
  <c r="F96" i="4" s="1"/>
  <c r="CO25" i="4"/>
  <c r="CO16" i="4"/>
  <c r="CK16" i="4"/>
  <c r="CK25" i="4"/>
  <c r="CJ16" i="4"/>
  <c r="CJ17" i="4" s="1"/>
  <c r="CJ8" i="4"/>
  <c r="CJ25" i="4"/>
  <c r="CJ26" i="4" s="1"/>
  <c r="CM16" i="4"/>
  <c r="CM18" i="4" s="1"/>
  <c r="CM22" i="4" s="1"/>
  <c r="CM25" i="4"/>
  <c r="CM27" i="4" s="1"/>
  <c r="CM31" i="4" s="1"/>
  <c r="CM9" i="4"/>
  <c r="CM13" i="4" s="1"/>
  <c r="CO43" i="4"/>
  <c r="CO52" i="4"/>
  <c r="AD66" i="2"/>
  <c r="AD67" i="2" s="1"/>
  <c r="AD64" i="2"/>
  <c r="AD65" i="2" s="1"/>
  <c r="AC66" i="2"/>
  <c r="AC67" i="2" s="1"/>
  <c r="AC64" i="2"/>
  <c r="AC65" i="2" s="1"/>
  <c r="AE143" i="2"/>
  <c r="AE129" i="2"/>
  <c r="CK52" i="4"/>
  <c r="CK43" i="4"/>
  <c r="CJ34" i="4"/>
  <c r="CJ38" i="4"/>
  <c r="CL16" i="4"/>
  <c r="CL25" i="4"/>
  <c r="CL8" i="4"/>
  <c r="CL9" i="4"/>
  <c r="CL13" i="4"/>
  <c r="CH40" i="4"/>
  <c r="O96" i="4" s="1"/>
  <c r="CH52" i="4"/>
  <c r="CH35" i="4"/>
  <c r="CH43" i="4"/>
  <c r="CH36" i="4"/>
  <c r="O90" i="4"/>
  <c r="CP52" i="4"/>
  <c r="CP43" i="4"/>
  <c r="CL40" i="4"/>
  <c r="CL36" i="4"/>
  <c r="CL35" i="4"/>
  <c r="CL52" i="4"/>
  <c r="CL58" i="4" s="1"/>
  <c r="CL43" i="4"/>
  <c r="CL49" i="4" s="1"/>
  <c r="CM43" i="4"/>
  <c r="CM52" i="4"/>
  <c r="CM36" i="4"/>
  <c r="CP16" i="4"/>
  <c r="CP25" i="4"/>
  <c r="AF64" i="2"/>
  <c r="AF65" i="2" s="1"/>
  <c r="AF63" i="2"/>
  <c r="AF66" i="2"/>
  <c r="AF67" i="2" s="1"/>
  <c r="BJ65" i="2"/>
  <c r="BJ67" i="2"/>
  <c r="CN22" i="4"/>
  <c r="CN58" i="4"/>
  <c r="W35" i="8"/>
  <c r="Z35" i="8" s="1"/>
  <c r="Y35" i="8"/>
  <c r="X35" i="8"/>
  <c r="Z11" i="8"/>
  <c r="Z34" i="8" s="1"/>
  <c r="W34" i="8"/>
  <c r="AA63" i="2"/>
  <c r="AA64" i="2"/>
  <c r="AA65" i="2" s="1"/>
  <c r="AA66" i="2"/>
  <c r="AA67" i="2" s="1"/>
  <c r="H176" i="4"/>
  <c r="H178" i="4" s="1"/>
  <c r="H179" i="4" s="1"/>
  <c r="Y34" i="8"/>
  <c r="AC35" i="8"/>
  <c r="AF35" i="8" s="1"/>
  <c r="AD35" i="8"/>
  <c r="AE35" i="8"/>
  <c r="M176" i="4"/>
  <c r="M178" i="4" s="1"/>
  <c r="M179" i="4" s="1"/>
  <c r="AE34" i="8"/>
  <c r="CO58" i="4"/>
  <c r="CO49" i="4"/>
  <c r="CN31" i="4"/>
  <c r="CO31" i="4"/>
  <c r="CO22" i="4"/>
  <c r="AF144" i="2" l="1"/>
  <c r="BK66" i="2" s="1"/>
  <c r="BK67" i="2" s="1"/>
  <c r="AF130" i="2"/>
  <c r="AF143" i="2"/>
  <c r="BK64" i="2" s="1"/>
  <c r="BK65" i="2" s="1"/>
  <c r="AF129" i="2"/>
  <c r="CL44" i="4"/>
  <c r="CL53" i="4"/>
  <c r="O92" i="4"/>
  <c r="CH54" i="4"/>
  <c r="Q92" i="4" s="1"/>
  <c r="CH45" i="4"/>
  <c r="M92" i="4" s="1"/>
  <c r="CH53" i="4"/>
  <c r="Q91" i="4" s="1"/>
  <c r="CH44" i="4"/>
  <c r="M91" i="4" s="1"/>
  <c r="O91" i="4"/>
  <c r="CL27" i="4"/>
  <c r="CL26" i="4"/>
  <c r="CL31" i="4"/>
  <c r="AC144" i="2"/>
  <c r="AC130" i="2"/>
  <c r="AD144" i="2"/>
  <c r="AD130" i="2"/>
  <c r="CH27" i="4"/>
  <c r="H92" i="4" s="1"/>
  <c r="CH26" i="4"/>
  <c r="H91" i="4" s="1"/>
  <c r="CH31" i="4"/>
  <c r="H96" i="4" s="1"/>
  <c r="H90" i="4"/>
  <c r="CM54" i="4"/>
  <c r="CM58" i="4" s="1"/>
  <c r="CM45" i="4"/>
  <c r="CM49" i="4" s="1"/>
  <c r="CM40" i="4"/>
  <c r="CL45" i="4"/>
  <c r="CL54" i="4"/>
  <c r="CH49" i="4"/>
  <c r="M96" i="4" s="1"/>
  <c r="M90" i="4"/>
  <c r="Q90" i="4"/>
  <c r="CH58" i="4"/>
  <c r="Q96" i="4" s="1"/>
  <c r="CL17" i="4"/>
  <c r="CL22" i="4"/>
  <c r="CL18" i="4"/>
  <c r="CJ35" i="4"/>
  <c r="CJ43" i="4"/>
  <c r="CJ52" i="4"/>
  <c r="AC143" i="2"/>
  <c r="AC129" i="2"/>
  <c r="AD143" i="2"/>
  <c r="AD129" i="2"/>
  <c r="CH18" i="4"/>
  <c r="D92" i="4" s="1"/>
  <c r="CH22" i="4"/>
  <c r="D96" i="4" s="1"/>
  <c r="D90" i="4"/>
  <c r="CH17" i="4"/>
  <c r="D91" i="4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 Fulton</author>
  </authors>
  <commentList>
    <comment ref="M74" authorId="0" shapeId="0" xr:uid="{00000000-0006-0000-1F00-000001000000}">
      <text>
        <r>
          <rPr>
            <b/>
            <sz val="8"/>
            <color indexed="81"/>
            <rFont val="Tahoma"/>
            <family val="2"/>
          </rPr>
          <t>R Fulton:</t>
        </r>
        <r>
          <rPr>
            <sz val="8"/>
            <color indexed="81"/>
            <rFont val="Tahoma"/>
            <family val="2"/>
          </rPr>
          <t xml:space="preserve">
1999-2003 chlorophyll data from Lakewatch
</t>
        </r>
      </text>
    </comment>
  </commentList>
</comments>
</file>

<file path=xl/sharedStrings.xml><?xml version="1.0" encoding="utf-8"?>
<sst xmlns="http://schemas.openxmlformats.org/spreadsheetml/2006/main" count="8020" uniqueCount="891">
  <si>
    <t>ENB_Subbasin-ID</t>
  </si>
  <si>
    <t>ENB_Subbasin#</t>
  </si>
  <si>
    <t>Flow path distance/slope (km)</t>
  </si>
  <si>
    <t>Slope/flow path distance (m)</t>
  </si>
  <si>
    <t>Flow path distance (m)</t>
  </si>
  <si>
    <t>landuse</t>
  </si>
  <si>
    <t>soil</t>
  </si>
  <si>
    <t>low density residential</t>
  </si>
  <si>
    <t>A</t>
  </si>
  <si>
    <t>B</t>
  </si>
  <si>
    <t>C</t>
  </si>
  <si>
    <t>D</t>
  </si>
  <si>
    <t>W</t>
  </si>
  <si>
    <t>X?</t>
  </si>
  <si>
    <t>total</t>
  </si>
  <si>
    <t>basin total</t>
  </si>
  <si>
    <t>medium density residential</t>
  </si>
  <si>
    <t>high density residential</t>
  </si>
  <si>
    <t>low density commercial</t>
  </si>
  <si>
    <t>high density commercial</t>
  </si>
  <si>
    <t>industrial</t>
  </si>
  <si>
    <t>mining</t>
  </si>
  <si>
    <t>openland/recreational</t>
  </si>
  <si>
    <t>pasture</t>
  </si>
  <si>
    <t>cropland</t>
  </si>
  <si>
    <t>tree crops</t>
  </si>
  <si>
    <t>feeding operations</t>
  </si>
  <si>
    <t>other agriculture</t>
  </si>
  <si>
    <t>forest/rangeland</t>
  </si>
  <si>
    <t>water</t>
  </si>
  <si>
    <t>wetlands</t>
  </si>
  <si>
    <t>spray fields</t>
  </si>
  <si>
    <t>Data file from Christine Schluter updated 1/9/2001</t>
  </si>
  <si>
    <t>1995 Landuse and soil areas in hectares:</t>
  </si>
  <si>
    <t>1995-1990 Landuse and soil areas in hectares:</t>
  </si>
  <si>
    <t>Stormwater treatment (proportion remaining</t>
  </si>
  <si>
    <t>TP</t>
  </si>
  <si>
    <t>TN</t>
  </si>
  <si>
    <t>TP concentration (mg/L)</t>
  </si>
  <si>
    <t>TN concentration (mg/L)</t>
  </si>
  <si>
    <t>BASIN</t>
  </si>
  <si>
    <t>Weighted Burrell Basin Annual rainfall (m)</t>
  </si>
  <si>
    <t>Total</t>
  </si>
  <si>
    <t>Date</t>
  </si>
  <si>
    <t>Person</t>
  </si>
  <si>
    <t>Action</t>
  </si>
  <si>
    <t>R. Fulton</t>
  </si>
  <si>
    <t xml:space="preserve">Calculations of runoff generated assume that stormwater treatment occurs for lands developed after 1990 land use map: runoff coefficients, concentrations, and stormwater treatment efficiencies from file runcoeff 2000.xls </t>
  </si>
  <si>
    <t>Calculated TP and TN generated from stormwater (except for sprayfields)</t>
  </si>
  <si>
    <t xml:space="preserve">% </t>
  </si>
  <si>
    <t>Mean</t>
  </si>
  <si>
    <t>1991-2000</t>
  </si>
  <si>
    <t>spray fields (rainfall only)</t>
  </si>
  <si>
    <t>Septic tanks</t>
  </si>
  <si>
    <t>Precipitation</t>
  </si>
  <si>
    <t>Dry deposition</t>
  </si>
  <si>
    <t>Lake Dora discharge</t>
  </si>
  <si>
    <t>Urban-residential runoff</t>
  </si>
  <si>
    <t>Other agriculture</t>
  </si>
  <si>
    <t>Natural areas</t>
  </si>
  <si>
    <t>Atmospheric</t>
  </si>
  <si>
    <t>Tributary discharge</t>
  </si>
  <si>
    <t>Muck farms (runoff coeff est )</t>
  </si>
  <si>
    <t>Revised 5/3/2002</t>
  </si>
  <si>
    <t>{GOTO}AO21~</t>
  </si>
  <si>
    <t>/CCJ2.CJ80~CH2.CH80~{HOME}~{QUIT}</t>
  </si>
  <si>
    <t>Eutromod modified for use with total nutrient concentrations in runoff</t>
  </si>
  <si>
    <t>{IF AO21="NC"}{branch CD1}~</t>
  </si>
  <si>
    <t>/CCK2.CK80~CH2.CH80~{HOME}~{QUIT}</t>
  </si>
  <si>
    <t xml:space="preserve">    for all land use categories, and land uses for UORB.</t>
  </si>
  <si>
    <t>{IF AO21="SC"}{branch CD1}~</t>
  </si>
  <si>
    <t>/CCL2.CL80~CH2.CH80~{HOME}~{QUIT}</t>
  </si>
  <si>
    <t>{IF AO21="MD"}{branch CD1}~</t>
  </si>
  <si>
    <t>/CCM2.CM80~CH2.CH80~{HOME}~{QUIT}</t>
  </si>
  <si>
    <t/>
  </si>
  <si>
    <t xml:space="preserve">             Surface Water Runoff &amp; Soil Loss</t>
  </si>
  <si>
    <t xml:space="preserve">                Universal Soil Loss Equation</t>
  </si>
  <si>
    <t>Total Land Areas, Septic Tank Inputs, and Wastewater Treatment Plants</t>
  </si>
  <si>
    <t>Input Lake Area, Mean Depth, Detention time and Lake Volume</t>
  </si>
  <si>
    <t>Land Use Categories:</t>
  </si>
  <si>
    <t>{Goto}as5~</t>
  </si>
  <si>
    <t>{IF AO21="VA"}{branch CD1}~</t>
  </si>
  <si>
    <t>/CCN2.CN80~CH2.CH80~{HOME}~{QUIT}</t>
  </si>
  <si>
    <t xml:space="preserve"> FLORIDA</t>
  </si>
  <si>
    <t>SOUTHEAST</t>
  </si>
  <si>
    <t>NORTHEAST</t>
  </si>
  <si>
    <t xml:space="preserve">   OV</t>
  </si>
  <si>
    <t xml:space="preserve">   GL</t>
  </si>
  <si>
    <t xml:space="preserve">   MW</t>
  </si>
  <si>
    <t xml:space="preserve">   WEST</t>
  </si>
  <si>
    <t>Hydrologic soil Group A</t>
  </si>
  <si>
    <t xml:space="preserve">                (Other Terms Calculated)</t>
  </si>
  <si>
    <t xml:space="preserve">  EUTROMOD</t>
  </si>
  <si>
    <t xml:space="preserve">   Res low-med density</t>
  </si>
  <si>
    <t>{L 7}~</t>
  </si>
  <si>
    <t>{IF AO21="WV"}{branch CD1}~</t>
  </si>
  <si>
    <t>/CCO2.CO80~CH2.CH80~{HOME}~{QUIT}</t>
  </si>
  <si>
    <t>MEAN TP</t>
  </si>
  <si>
    <t xml:space="preserve">  Land Use Category</t>
  </si>
  <si>
    <t>Runoff Coeff</t>
  </si>
  <si>
    <t xml:space="preserve">  USLE: RE</t>
  </si>
  <si>
    <t xml:space="preserve">    </t>
  </si>
  <si>
    <t xml:space="preserve">  USLE: K</t>
  </si>
  <si>
    <t xml:space="preserve"> Land Use Category</t>
  </si>
  <si>
    <t xml:space="preserve"> LS factor</t>
  </si>
  <si>
    <t xml:space="preserve"> C factor</t>
  </si>
  <si>
    <t xml:space="preserve"> P factor</t>
  </si>
  <si>
    <t xml:space="preserve">   Xi</t>
  </si>
  <si>
    <t xml:space="preserve">     Land Use Category</t>
  </si>
  <si>
    <t xml:space="preserve"> Area (hectares)</t>
  </si>
  <si>
    <t xml:space="preserve">  Septic Tanks &amp; Point Sources</t>
  </si>
  <si>
    <t xml:space="preserve">           Term</t>
  </si>
  <si>
    <t xml:space="preserve">      Units</t>
  </si>
  <si>
    <t xml:space="preserve">  Estimate</t>
  </si>
  <si>
    <t>Version 2.50</t>
  </si>
  <si>
    <t xml:space="preserve">   Res high density</t>
  </si>
  <si>
    <t>/grgtbxbc6.bc23~</t>
  </si>
  <si>
    <t>{D 16}~</t>
  </si>
  <si>
    <t>{IF AO21="TN"}{branch CD1}~</t>
  </si>
  <si>
    <t>/CCP2.CP80~CH2.CH80~{HOME}~{QUIT}</t>
  </si>
  <si>
    <t xml:space="preserve">     ’––––</t>
  </si>
  <si>
    <t>––––––––––––––––––––––</t>
  </si>
  <si>
    <t>–”</t>
  </si>
  <si>
    <t>–––––––––––––––</t>
  </si>
  <si>
    <t>––––––––––––”</t>
  </si>
  <si>
    <t>––––––––––––ˆ</t>
  </si>
  <si>
    <t>––––––––––––</t>
  </si>
  <si>
    <t>–”–</t>
  </si>
  <si>
    <t xml:space="preserve">    ’––––––––––––––––––––</t>
  </si>
  <si>
    <t>–ˆ</t>
  </si>
  <si>
    <t>’––––––––––––</t>
  </si>
  <si>
    <t>”–––––––––––––”</t>
  </si>
  <si>
    <t xml:space="preserve">     by</t>
  </si>
  <si>
    <t xml:space="preserve">   Commercial</t>
  </si>
  <si>
    <t>ah49.h66~</t>
  </si>
  <si>
    <t>{R 3}~</t>
  </si>
  <si>
    <t>{IF AO21="KY"}{branch CD1}~</t>
  </si>
  <si>
    <t>CHL A</t>
  </si>
  <si>
    <t xml:space="preserve">     ‡</t>
  </si>
  <si>
    <t xml:space="preserve"> ‡</t>
  </si>
  <si>
    <t xml:space="preserve">    ***</t>
  </si>
  <si>
    <t xml:space="preserve">  ‡</t>
  </si>
  <si>
    <t xml:space="preserve">    ‡  Res low-med density</t>
  </si>
  <si>
    <t>‡#Capita-yrs</t>
  </si>
  <si>
    <t xml:space="preserve">    ‡  Lake Area</t>
  </si>
  <si>
    <t>‡    Km^2     ‡</t>
  </si>
  <si>
    <t xml:space="preserve">       Kenneth H. Reckhow</t>
  </si>
  <si>
    <t xml:space="preserve">   Institutional</t>
  </si>
  <si>
    <t>otfPhosphorus Inputs By Category~</t>
  </si>
  <si>
    <t>{QUIT}</t>
  </si>
  <si>
    <t>{IF AO21="GA"}{branch CD1}~</t>
  </si>
  <si>
    <t>SD</t>
  </si>
  <si>
    <t xml:space="preserve">    ‡  Res High density</t>
  </si>
  <si>
    <t>‡P/pers-yr</t>
  </si>
  <si>
    <t xml:space="preserve">    ‡  Mean Depth</t>
  </si>
  <si>
    <t>‡   meters    ‡</t>
  </si>
  <si>
    <t xml:space="preserve">        Duke University</t>
  </si>
  <si>
    <t xml:space="preserve">   Industrial/Mining</t>
  </si>
  <si>
    <t>txCategory~</t>
  </si>
  <si>
    <t>{IF AO21="MS"}{branch CD1}~</t>
  </si>
  <si>
    <t>DO</t>
  </si>
  <si>
    <t xml:space="preserve">    ‡  Commercial</t>
  </si>
  <si>
    <t>‡N/pers-yr</t>
  </si>
  <si>
    <t xml:space="preserve">    ‡  Detention Time</t>
  </si>
  <si>
    <t>‡   years     ‡</t>
  </si>
  <si>
    <t xml:space="preserve">       Durham, NC  27706</t>
  </si>
  <si>
    <t xml:space="preserve">   Recreation/Open</t>
  </si>
  <si>
    <t>tyKg/yr~</t>
  </si>
  <si>
    <t>{IF AO21="AL"}{branch CD1}~</t>
  </si>
  <si>
    <t>BG</t>
  </si>
  <si>
    <t xml:space="preserve">    ‡  Institutional</t>
  </si>
  <si>
    <t>‡P-soil ret</t>
  </si>
  <si>
    <t xml:space="preserve">    ‡  </t>
  </si>
  <si>
    <t>‡             ‡</t>
  </si>
  <si>
    <t xml:space="preserve">    1991</t>
  </si>
  <si>
    <t xml:space="preserve">   Forest/Rangeland</t>
  </si>
  <si>
    <t>qv</t>
  </si>
  <si>
    <t>{IF AO21="NY"}{branch CD2}~</t>
  </si>
  <si>
    <t>THMs</t>
  </si>
  <si>
    <t xml:space="preserve">    ‡  Industrial/Mining</t>
  </si>
  <si>
    <t>‡N-soil ret</t>
  </si>
  <si>
    <t xml:space="preserve">    ‡  -----------------</t>
  </si>
  <si>
    <t>‡ ----------- ‡</t>
  </si>
  <si>
    <t xml:space="preserve"> -----------</t>
  </si>
  <si>
    <t xml:space="preserve">   Water/wetlands</t>
  </si>
  <si>
    <t>{IF AO21="RI"}{branch CD2}~</t>
  </si>
  <si>
    <t>TSI</t>
  </si>
  <si>
    <t xml:space="preserve">    ‡  Recreation/Open</t>
  </si>
  <si>
    <t>‡</t>
  </si>
  <si>
    <t xml:space="preserve">    ‡ Areal Water Loading</t>
  </si>
  <si>
    <t>‡    m/yr     ‡</t>
  </si>
  <si>
    <t>A watershed/lake modeling procedure for eutrophication</t>
  </si>
  <si>
    <t xml:space="preserve">   Feedlots</t>
  </si>
  <si>
    <t>{IF AO21="CT"}{branch CD2}~</t>
  </si>
  <si>
    <t xml:space="preserve">    ‡  Forest/Rangeland</t>
  </si>
  <si>
    <t>‡---------</t>
  </si>
  <si>
    <t>-----------</t>
  </si>
  <si>
    <t xml:space="preserve">    ‡  Water Outflows</t>
  </si>
  <si>
    <t xml:space="preserve">     management, with region-specific models and</t>
  </si>
  <si>
    <t xml:space="preserve">   Pasture</t>
  </si>
  <si>
    <t>aq49.q66~</t>
  </si>
  <si>
    <t>{IF AO21="MA"}{branch CD2}~</t>
  </si>
  <si>
    <t>5% TP</t>
  </si>
  <si>
    <t xml:space="preserve">    ‡  Water/wetlands</t>
  </si>
  <si>
    <t xml:space="preserve">    ‡  Lake Volume</t>
  </si>
  <si>
    <t>‡  10^6m^3    ‡</t>
  </si>
  <si>
    <t xml:space="preserve">        with emphasis on uncertainty analysis.</t>
  </si>
  <si>
    <t xml:space="preserve">   Citrus groves</t>
  </si>
  <si>
    <t>otfNitrogen Inputs By Category~</t>
  </si>
  <si>
    <t>{IF AO21="NH"}{branch CD2}~</t>
  </si>
  <si>
    <t xml:space="preserve">    ‡  Feedlots</t>
  </si>
  <si>
    <t>‡  MGD</t>
  </si>
  <si>
    <t xml:space="preserve">    ‡  Stream Runoff*</t>
  </si>
  <si>
    <t xml:space="preserve">   Other Agric</t>
  </si>
  <si>
    <t>{IF AO21="VT"}{branch CD2}~</t>
  </si>
  <si>
    <t xml:space="preserve">    ‡  Pasture</t>
  </si>
  <si>
    <t xml:space="preserve">‡  P-conc </t>
  </si>
  <si>
    <t xml:space="preserve">    ‡  Watershed Area</t>
  </si>
  <si>
    <t xml:space="preserve">        Enter two letter (all caps) state postal code (e.g., NY)</t>
  </si>
  <si>
    <t xml:space="preserve">   Muck Farms</t>
  </si>
  <si>
    <t>{IF AO21="ME"}{branch CD2}~</t>
  </si>
  <si>
    <t xml:space="preserve">    ‡  Citrus groves</t>
  </si>
  <si>
    <t>‡  N-conc</t>
  </si>
  <si>
    <t xml:space="preserve">    ‡  Lake Evaporation</t>
  </si>
  <si>
    <t xml:space="preserve">               in box, identifying the location of the lake.</t>
  </si>
  <si>
    <t xml:space="preserve">   Septic Tanks</t>
  </si>
  <si>
    <t>{IF AO21="FL"}{branch CD3}~</t>
  </si>
  <si>
    <t xml:space="preserve">    ‡  Other Agric</t>
  </si>
  <si>
    <t xml:space="preserve">    ‡ Watershed/Lake Area</t>
  </si>
  <si>
    <t>‡   Ratio     ‡</t>
  </si>
  <si>
    <t xml:space="preserve">        ’</t>
  </si>
  <si>
    <t>–––––––––ˆ</t>
  </si>
  <si>
    <t xml:space="preserve">   Point Sources</t>
  </si>
  <si>
    <t>{IF AO21="IN"}{branch CD4}~</t>
  </si>
  <si>
    <t xml:space="preserve">     •</t>
  </si>
  <si>
    <t>–––––––––––––––––––––––“</t>
  </si>
  <si>
    <t>–—</t>
  </si>
  <si>
    <t>–“</t>
  </si>
  <si>
    <t>––”–––––––––“</t>
  </si>
  <si>
    <t>––––––––––––‰</t>
  </si>
  <si>
    <t xml:space="preserve">    ‘––––––––––––––––––––“</t>
  </si>
  <si>
    <t>–‰</t>
  </si>
  <si>
    <t>‘–––––––––––</t>
  </si>
  <si>
    <t>–––––––––––</t>
  </si>
  <si>
    <t>“–––––––––––––“</t>
  </si>
  <si>
    <t xml:space="preserve">        ‡</t>
  </si>
  <si>
    <t>FL</t>
  </si>
  <si>
    <t xml:space="preserve">   Precipitation</t>
  </si>
  <si>
    <t>{IF AO21="IL"}{branch CD4}~</t>
  </si>
  <si>
    <t xml:space="preserve"> Precipitation Mean</t>
  </si>
  <si>
    <t>cm</t>
  </si>
  <si>
    <t xml:space="preserve">     ‘</t>
  </si>
  <si>
    <t>–“–</t>
  </si>
  <si>
    <t xml:space="preserve">        ‘</t>
  </si>
  <si>
    <t>–––––––––‰</t>
  </si>
  <si>
    <t xml:space="preserve">   Dry deposition</t>
  </si>
  <si>
    <t>{IF AO21="OH"}{branch CD4}~</t>
  </si>
  <si>
    <t xml:space="preserve"> Precipitation CV</t>
  </si>
  <si>
    <t xml:space="preserve"> X (total soil loss)</t>
  </si>
  <si>
    <t xml:space="preserve"> =</t>
  </si>
  <si>
    <t xml:space="preserve"> </t>
  </si>
  <si>
    <t>t/ha (area</t>
  </si>
  <si>
    <t>-we</t>
  </si>
  <si>
    <t>ighted av</t>
  </si>
  <si>
    <t>era</t>
  </si>
  <si>
    <t>ge)  ‡</t>
  </si>
  <si>
    <t>*Average gaged streamflow divided by watershed area.</t>
  </si>
  <si>
    <t xml:space="preserve">   Hit ALT-X to continue; this selects the region-specific lake models.</t>
  </si>
  <si>
    <t xml:space="preserve">   Apopka-Beauclair Canal</t>
  </si>
  <si>
    <t>{IF AO21="MI"}{branch CD5}~</t>
  </si>
  <si>
    <t>––</t>
  </si>
  <si>
    <t>––‰</t>
  </si>
  <si>
    <t>–</t>
  </si>
  <si>
    <t>–––</t>
  </si>
  <si>
    <t>–––––‰</t>
  </si>
  <si>
    <t>Macros in program</t>
  </si>
  <si>
    <t>/fxv123r3\files\eutromod\p1.wk3~ad29.ad43~r</t>
  </si>
  <si>
    <t>{IF AO21="WI"}{branch CD5}~</t>
  </si>
  <si>
    <t>95% TP</t>
  </si>
  <si>
    <t xml:space="preserve">             Phosphorus Concentration Estimates </t>
  </si>
  <si>
    <t xml:space="preserve">                 Nitrogen Concentration Estimates </t>
  </si>
  <si>
    <t xml:space="preserve">     Sediment Delivery Ratio and Stormwater Runoff Control</t>
  </si>
  <si>
    <t>I.</t>
  </si>
  <si>
    <t>Lognormal Error Distribution Error Points</t>
  </si>
  <si>
    <t>-</t>
  </si>
  <si>
    <t>/fxv123r3\files\eutromod\p2.wk3~ad49.ad63~r</t>
  </si>
  <si>
    <t>{IF AO21="MN"}{branch CD5}~</t>
  </si>
  <si>
    <t xml:space="preserve">      [Dissolved and Total in mg/l; Sed-Attached (Ci) in mg/kg]</t>
  </si>
  <si>
    <t xml:space="preserve">  Enter Trapping Factor and Land Area (Hectares) in each Zone.</t>
  </si>
  <si>
    <t>\0</t>
  </si>
  <si>
    <t>BK5..BK5</t>
  </si>
  <si>
    <t>{goto}aj29~</t>
  </si>
  <si>
    <t>{IF AO21="KA"}{branch CD6}~</t>
  </si>
  <si>
    <t xml:space="preserve">  Dissolved</t>
  </si>
  <si>
    <t>Sed-Attach</t>
  </si>
  <si>
    <t xml:space="preserve">   Total</t>
  </si>
  <si>
    <t>Sed-Attached</t>
  </si>
  <si>
    <t>k</t>
  </si>
  <si>
    <t xml:space="preserve">        f(Total P)</t>
  </si>
  <si>
    <t xml:space="preserve">    Total N</t>
  </si>
  <si>
    <t xml:space="preserve">  Chlor a</t>
  </si>
  <si>
    <t>\A</t>
  </si>
  <si>
    <t>BF7..BF7</t>
  </si>
  <si>
    <t>/fcce123r3\files\eutromod\p1.wk3~</t>
  </si>
  <si>
    <t>{IF AO21="MO"}{branch CD6}~</t>
  </si>
  <si>
    <t>–––––––––––ˆ</t>
  </si>
  <si>
    <t xml:space="preserve">           </t>
  </si>
  <si>
    <t xml:space="preserve">    Zone 1</t>
  </si>
  <si>
    <t xml:space="preserve">  Zone 2</t>
  </si>
  <si>
    <t xml:space="preserve">  Zone 3</t>
  </si>
  <si>
    <t>LGN PDF TERMS f(y)=(A/y)exp(B*lnk^2)</t>
  </si>
  <si>
    <t>\B</t>
  </si>
  <si>
    <t>BH14..BH14</t>
  </si>
  <si>
    <t>{goto}aj49~</t>
  </si>
  <si>
    <t>{IF AO21="OK"}{branch CD6}~</t>
  </si>
  <si>
    <t xml:space="preserve">    *****</t>
  </si>
  <si>
    <t xml:space="preserve">    A</t>
  </si>
  <si>
    <t>\D</t>
  </si>
  <si>
    <t>BH24..BH24</t>
  </si>
  <si>
    <t>/fcce123r3\files\eutromod\p2.wk3~</t>
  </si>
  <si>
    <t>{IF AO21="AK"}{branch CD6}~</t>
  </si>
  <si>
    <t xml:space="preserve">    ‡ Trapping Factor</t>
  </si>
  <si>
    <t xml:space="preserve">    B</t>
  </si>
  <si>
    <t>\E</t>
  </si>
  <si>
    <t>BH52..BH52</t>
  </si>
  <si>
    <t>{goto}a1~</t>
  </si>
  <si>
    <t>{IF AO21="IA"}{branch CD6}~</t>
  </si>
  <si>
    <t>\X</t>
  </si>
  <si>
    <t>CA1..CA1</t>
  </si>
  <si>
    <t>/grgtlxaj50.aj60~</t>
  </si>
  <si>
    <t>{IF AO21="NE"}{branch CD6}~</t>
  </si>
  <si>
    <t>aaj30.aj40~</t>
  </si>
  <si>
    <t>{IF AO21="CA"}{branch CD7}~</t>
  </si>
  <si>
    <t>osxff3~</t>
  </si>
  <si>
    <t>{IF AO21="OR"}{branch CD7}~</t>
  </si>
  <si>
    <t>MEDIAN TP</t>
  </si>
  <si>
    <t>qsymu40~</t>
  </si>
  <si>
    <t>{IF AO21="WA"}{branch CD7}~</t>
  </si>
  <si>
    <t>qqotfPredicted Phosphorus Concentration~</t>
  </si>
  <si>
    <t>{IF AO21="ID"}{branch CD7}~</t>
  </si>
  <si>
    <t>tsReflects Model Error~</t>
  </si>
  <si>
    <t>{IF AO21="WY"}{branch CD7}~</t>
  </si>
  <si>
    <t>txPhosphorus (mg/l)~</t>
  </si>
  <si>
    <t>{IF AO21="MT"}{branch CD7}~</t>
  </si>
  <si>
    <t>tyf(P)~</t>
  </si>
  <si>
    <t>{IF AO21="CO"}{branch CD7}~</t>
  </si>
  <si>
    <t>qncgraph-d~</t>
  </si>
  <si>
    <t>{IF AO21="NV"}{branch CD7}~</t>
  </si>
  <si>
    <t>v</t>
  </si>
  <si>
    <t>{IF AO21="UT"}{branch CD7}~</t>
  </si>
  <si>
    <t>{IF AO21="NM"}{branch CD7}~</t>
  </si>
  <si>
    <t>––––”–––––––––</t>
  </si>
  <si>
    <t>––––––––––</t>
  </si>
  <si>
    <t>––“––</t>
  </si>
  <si>
    <t>”–‰</t>
  </si>
  <si>
    <t>–”‰</t>
  </si>
  <si>
    <t>{IF AO21="AZ"}{branch CD7}~</t>
  </si>
  <si>
    <t>-1 TP</t>
  </si>
  <si>
    <t xml:space="preserve">    ‡P-enrichment ratio</t>
  </si>
  <si>
    <t xml:space="preserve">  =</t>
  </si>
  <si>
    <t xml:space="preserve">    ‡N-enrichment ratio</t>
  </si>
  <si>
    <t>{GOTO}AO21~Sorry!~{QUIT}</t>
  </si>
  <si>
    <t xml:space="preserve">    ‘––––––</t>
  </si>
  <si>
    <t>–––––––––––––––––––––––‰</t>
  </si>
  <si>
    <t>Original version of \e does not</t>
  </si>
  <si>
    <t>Phosphorus Loading Estimates - By Category</t>
  </si>
  <si>
    <t>Nitrogen Loading Estimates - By Category</t>
  </si>
  <si>
    <t>II.</t>
  </si>
  <si>
    <t>work in LOTUS, because</t>
  </si>
  <si>
    <t>Soil Group A</t>
  </si>
  <si>
    <t>Soil Grp A</t>
  </si>
  <si>
    <t xml:space="preserve">All Soil </t>
  </si>
  <si>
    <t>Hydrologic Soil Group A</t>
  </si>
  <si>
    <t>there is no merge graphs</t>
  </si>
  <si>
    <t xml:space="preserve">   Loading (kg/yr)</t>
  </si>
  <si>
    <t xml:space="preserve"> Expected</t>
  </si>
  <si>
    <t>Groups</t>
  </si>
  <si>
    <t xml:space="preserve">        Total P</t>
  </si>
  <si>
    <t>command as in ASEASYAS</t>
  </si>
  <si>
    <t>––”––</t>
  </si>
  <si>
    <t>––ˆ</t>
  </si>
  <si>
    <t xml:space="preserve">    Zone 4</t>
  </si>
  <si>
    <t xml:space="preserve">  Zone 5</t>
  </si>
  <si>
    <t xml:space="preserve">  Zone 6</t>
  </si>
  <si>
    <t>Replacement below appears to work</t>
  </si>
  <si>
    <t>except a carriage return needs to</t>
  </si>
  <si>
    <t>be manually inserted after first graph appears.</t>
  </si>
  <si>
    <t>Original \e:</t>
  </si>
  <si>
    <t>+1 TP</t>
  </si>
  <si>
    <t>/gnugraph-d~</t>
  </si>
  <si>
    <t>/gtlaad70.ad79~</t>
  </si>
  <si>
    <t>bad70.ad79~</t>
  </si>
  <si>
    <t>nmgraph-d~</t>
  </si>
  <si>
    <t>P H2O VAR</t>
  </si>
  <si>
    <t>N H2O VAR</t>
  </si>
  <si>
    <t>Pin(CA)</t>
  </si>
  <si>
    <t>Nin(CA)</t>
  </si>
  <si>
    <t>Muck Farms</t>
  </si>
  <si>
    <t>III.</t>
  </si>
  <si>
    <t>Restoration areas</t>
  </si>
  <si>
    <t>Septic Tanks</t>
  </si>
  <si>
    <t>PMass(CA)</t>
  </si>
  <si>
    <t>WWTP disposal areas</t>
  </si>
  <si>
    <t>Sewage spills</t>
  </si>
  <si>
    <t>Industrial wastes</t>
  </si>
  <si>
    <t>Industrial sprayfields</t>
  </si>
  <si>
    <t xml:space="preserve">    Zone 7</t>
  </si>
  <si>
    <t xml:space="preserve">  Zone 8</t>
  </si>
  <si>
    <t xml:space="preserve">  Zone 9</t>
  </si>
  <si>
    <t>NMass(CA)</t>
  </si>
  <si>
    <t>Apopka-Beauclair Canal</t>
  </si>
  <si>
    <t>––––––––––––––––––––</t>
  </si>
  <si>
    <t>Pin(TP)</t>
  </si>
  <si>
    <t xml:space="preserve">     </t>
  </si>
  <si>
    <t>Est. Total Soil Grp A =</t>
  </si>
  <si>
    <t xml:space="preserve">  (kg/yr)</t>
  </si>
  <si>
    <t>PMass(TP)</t>
  </si>
  <si>
    <t>Est. Total all soil grps =</t>
  </si>
  <si>
    <t>Hit ALT-A to view bar graph of expected P-loadings, soil group A.</t>
  </si>
  <si>
    <t>Hit ALT-B to view bar graph of expected N-loadings, soil group A.</t>
  </si>
  <si>
    <t>TSI(CA-N)</t>
  </si>
  <si>
    <t>TSI(CA-P)</t>
  </si>
  <si>
    <t>Predicted Lake Trophic State Variables - Based on Hydrologic Variability</t>
  </si>
  <si>
    <t>Predicted Lake Trophic State Variables - Based on Model Uncertainties</t>
  </si>
  <si>
    <t xml:space="preserve">   {Mean Values}</t>
  </si>
  <si>
    <t xml:space="preserve">   {Median Values}</t>
  </si>
  <si>
    <t xml:space="preserve">  Variable (units)</t>
  </si>
  <si>
    <t xml:space="preserve">  5th %ile</t>
  </si>
  <si>
    <t xml:space="preserve"> 95th %ile</t>
  </si>
  <si>
    <t xml:space="preserve"> -1 Std Err</t>
  </si>
  <si>
    <t>Predicted</t>
  </si>
  <si>
    <t xml:space="preserve"> +1 Std Err</t>
  </si>
  <si>
    <t>––––––––––––––</t>
  </si>
  <si>
    <t xml:space="preserve">  Total P-in (mg/l) </t>
  </si>
  <si>
    <t xml:space="preserve">  Total N-in (mg/l)</t>
  </si>
  <si>
    <t xml:space="preserve">  Total P (mg/l) </t>
  </si>
  <si>
    <t xml:space="preserve">            Calculations (dissolved nutrients, kg/yr)</t>
  </si>
  <si>
    <t xml:space="preserve">  Total N (mg/l) </t>
  </si>
  <si>
    <t xml:space="preserve">  Chlor a (ug/l)</t>
  </si>
  <si>
    <t xml:space="preserve">       Loading Term</t>
  </si>
  <si>
    <t xml:space="preserve">   Dissolved P</t>
  </si>
  <si>
    <t>Dissolved N</t>
  </si>
  <si>
    <t xml:space="preserve">  Secchi Depth (m)</t>
  </si>
  <si>
    <t xml:space="preserve">  Prob Hypo Anoxia</t>
  </si>
  <si>
    <t xml:space="preserve">  Prob BG Dominant </t>
  </si>
  <si>
    <t xml:space="preserve">  THMs</t>
  </si>
  <si>
    <t xml:space="preserve">  TSI</t>
  </si>
  <si>
    <t xml:space="preserve">   Model</t>
  </si>
  <si>
    <t>Std. Error</t>
  </si>
  <si>
    <t>Hit ALT-D to view lognormal distribution reflecting uncertainty</t>
  </si>
  <si>
    <t>Estimated effect of hydrologic</t>
  </si>
  <si>
    <t xml:space="preserve"> ’</t>
  </si>
  <si>
    <t xml:space="preserve">    in total phosphorus concentration. (Disk in A-drive.)</t>
  </si>
  <si>
    <t xml:space="preserve">      ****</t>
  </si>
  <si>
    <t xml:space="preserve">   variability on model</t>
  </si>
  <si>
    <t xml:space="preserve">  Phosphorus</t>
  </si>
  <si>
    <t>us‡</t>
  </si>
  <si>
    <t xml:space="preserve">     prediction.</t>
  </si>
  <si>
    <t xml:space="preserve">  Nitrogen</t>
  </si>
  <si>
    <t>Hit ALT-E to view graph comparing uncertainty in an alternative</t>
  </si>
  <si>
    <t xml:space="preserve"> ‘</t>
  </si>
  <si>
    <t xml:space="preserve">    scenario with the baseline "ALT-D" scenario uncertainty.</t>
  </si>
  <si>
    <t xml:space="preserve">     Allowable Nutrient Loading - To Meet In-Lake Chlorophyll a Goal</t>
  </si>
  <si>
    <t xml:space="preserve">    Allowable Nitrogen Loading - To Meet In-Lake Chlorophyll a Goal</t>
  </si>
  <si>
    <t xml:space="preserve">    Variable </t>
  </si>
  <si>
    <t xml:space="preserve"> Allowable</t>
  </si>
  <si>
    <t xml:space="preserve">  units</t>
  </si>
  <si>
    <t>+/-Std.Err.</t>
  </si>
  <si>
    <t>––––</t>
  </si>
  <si>
    <t xml:space="preserve">      Chlor a Goal </t>
  </si>
  <si>
    <t xml:space="preserve">  ug/l</t>
  </si>
  <si>
    <t xml:space="preserve">  </t>
  </si>
  <si>
    <t xml:space="preserve">       Calculations (sediment-attached nutrients, kg/yr)</t>
  </si>
  <si>
    <t xml:space="preserve"> Allowable Pin</t>
  </si>
  <si>
    <t xml:space="preserve">  mg/l</t>
  </si>
  <si>
    <t xml:space="preserve"> Allowable Nin</t>
  </si>
  <si>
    <t xml:space="preserve"> Allowable N-Mass</t>
  </si>
  <si>
    <t xml:space="preserve">  Kg/yr</t>
  </si>
  <si>
    <t xml:space="preserve">   Attached P</t>
  </si>
  <si>
    <t>Attached N</t>
  </si>
  <si>
    <t xml:space="preserve">    Allowable Phosphorus Loading - To Meet In-Lake Chlorophyll a Goal</t>
  </si>
  <si>
    <t xml:space="preserve"> Allowable Phosphorus Loading - To Meet In-Lake Total Phosphorus Goal</t>
  </si>
  <si>
    <t xml:space="preserve">   Total P Goal</t>
  </si>
  <si>
    <t xml:space="preserve"> Allowable P-Mass</t>
  </si>
  <si>
    <t xml:space="preserve">         Allowable Phosphorus Loading - To Meet In-Lake TSI Goal</t>
  </si>
  <si>
    <t xml:space="preserve">          TSI Goal </t>
  </si>
  <si>
    <t xml:space="preserve">              Calculations (total nutrients, kg/yr)</t>
  </si>
  <si>
    <t xml:space="preserve">    Total P</t>
  </si>
  <si>
    <t xml:space="preserve">  Total N</t>
  </si>
  <si>
    <t xml:space="preserve">        Allowable Nitrogen Loading - To Meet In-Lake TSI Goal</t>
  </si>
  <si>
    <t xml:space="preserve">    ‡  Septic Tanks</t>
  </si>
  <si>
    <t xml:space="preserve">    ‡  Point Sources</t>
  </si>
  <si>
    <t xml:space="preserve">    ‡  Precipitation</t>
  </si>
  <si>
    <t>Canfield &amp; Bachmann (1981)</t>
  </si>
  <si>
    <t>Reckhow (Jan 28, 1991)</t>
  </si>
  <si>
    <t>L, Areal P loading mg/m^2/y</t>
  </si>
  <si>
    <t>Pin</t>
  </si>
  <si>
    <t>Nin</t>
  </si>
  <si>
    <t>z, mean depth, m</t>
  </si>
  <si>
    <t>z</t>
  </si>
  <si>
    <t>Hyd flushing rate, y^-1</t>
  </si>
  <si>
    <t>Detention time</t>
  </si>
  <si>
    <t>k, Sed coeff, y^-1</t>
  </si>
  <si>
    <t>K</t>
  </si>
  <si>
    <t>TP (mg/m^3)</t>
  </si>
  <si>
    <t>TP (mg/L)</t>
  </si>
  <si>
    <t>TN (mg/L)</t>
  </si>
  <si>
    <t>Larson &amp; Mercier 1976, as recalculated by Canfield &amp; Bachmann 1981</t>
  </si>
  <si>
    <t>R= P Retention coeff</t>
  </si>
  <si>
    <t>qs=annual areal water loading m/y</t>
  </si>
  <si>
    <t>Salas &amp; Martino (1991)</t>
  </si>
  <si>
    <t>Vollenweider (1969)</t>
  </si>
  <si>
    <t>L, Areal P loading g/m^2/y</t>
  </si>
  <si>
    <t>P load (kg/yr)</t>
  </si>
  <si>
    <t>Water outflows (m^3/yr)</t>
  </si>
  <si>
    <t>Lake Volume</t>
  </si>
  <si>
    <t xml:space="preserve">Calculations of runoff transported to lake use flow path/slope (2) power equation, multiplied by nutrient delivery function, both from file flowpath_slope_may9_02.xls </t>
  </si>
  <si>
    <t>Copied other nutrient load estimates into worksheet summary</t>
  </si>
  <si>
    <t>Septic tank load calculated in Eutromod, using #capita-years from file "septic tank values june 25 2001.xls"</t>
  </si>
  <si>
    <t>Precipitation and wet deposition load from file "rain apopka.xls"</t>
  </si>
  <si>
    <t>land use/soils data for Harris basin copied from file PLRM_1990-95_march8_02.xls</t>
  </si>
  <si>
    <t>Muck farm/restoration area</t>
  </si>
  <si>
    <t>Muck farm regression est</t>
  </si>
  <si>
    <r>
      <t>Calculated TP and TN loading to lakes from stormwater (</t>
    </r>
    <r>
      <rPr>
        <b/>
        <sz val="10"/>
        <color indexed="10"/>
        <rFont val="Arial"/>
        <family val="2"/>
      </rPr>
      <t>except for sprayfields</t>
    </r>
    <r>
      <rPr>
        <sz val="10"/>
        <rFont val="Arial"/>
        <family val="2"/>
      </rPr>
      <t>)</t>
    </r>
  </si>
  <si>
    <t>Weir</t>
  </si>
  <si>
    <t>Weighted Weir Basin Annual rainfall (m)</t>
  </si>
  <si>
    <t>Lake Weir</t>
  </si>
  <si>
    <t>Started development of stormwater runoff estimates for Lake Weir Basin</t>
  </si>
  <si>
    <t>Revised calculations of runoff transported to lake using flow path/slope (2) power equation predictions of runoff coefficients using updated flowpath for subbasin 67 from file flowpath_slope_may31_02.xls</t>
  </si>
  <si>
    <t>Calculated TP and TN loading to lake assuming only sediment-associated nutrient losses in transport from contributing subbasins</t>
  </si>
  <si>
    <t xml:space="preserve">Revised calculations of runoff transported to lake using flow path/slope (2) Systat power equation predictions of runoff coefficients </t>
  </si>
  <si>
    <t>Agriculture</t>
  </si>
  <si>
    <t>TP Runoff generated-literature runoff coeff (Kg/m rainfall)</t>
  </si>
  <si>
    <t xml:space="preserve">TP Runoff transported to lake-literature runoff coeff (Kg/m rainfall)-incorporate estimates of only sediment-associated losses. </t>
  </si>
  <si>
    <t>TP Runoff generated-water budget runoff coeff (Kg/m rainfall)</t>
  </si>
  <si>
    <t xml:space="preserve">TP Runoff transported to lake-water budget runoff coeff (Kg/m rainfall)-incorporate estimates of only sediment-associated losses. </t>
  </si>
  <si>
    <t>TN Runoff generated-water budget runoff coeff (Kg/m rainfall)</t>
  </si>
  <si>
    <t xml:space="preserve">TN Runoff transported to lake-water budget runoff coeff (Kg/m rainfall)-incorporate estimates of only sediment-associated losses. </t>
  </si>
  <si>
    <t>Water Budget Runoff coefficient</t>
  </si>
  <si>
    <t>Summary TP loading (kg/year)-water budget runoff coeff, incorporate estimates of only sediment-associated losses</t>
  </si>
  <si>
    <t>Summary TN loading (kg/year)-water budget runoff coeff, incorporate estimates of only sediment-associated losses</t>
  </si>
  <si>
    <t>Revised worksheets "Stormwater" and "Summary" to incorporate runoff coefficients from Engineering Division water budgets</t>
  </si>
  <si>
    <t>Mean 1991-2000 - Eng. Water Budget</t>
  </si>
  <si>
    <t>Inserted runoff coefficients from Engineering water budget to calculate new P and N loading estimates</t>
  </si>
  <si>
    <t>Reduced TP and TN concentrations in runoff from 'Water' land cover type to means for Little Lake Weir</t>
  </si>
  <si>
    <t>Changed runoff concentrations for wetlands to those of undisturbed uplands, and for water to mean historic estimate for Lake Weir basin</t>
  </si>
  <si>
    <t>Areal Load</t>
  </si>
  <si>
    <t>Mg/m^2</t>
  </si>
  <si>
    <t>Inserted revised runoff coefficients from Engineering water budget to calculate new P and N loading estimates</t>
  </si>
  <si>
    <t>Lake</t>
  </si>
  <si>
    <t>TotalN</t>
  </si>
  <si>
    <t>TotalP</t>
  </si>
  <si>
    <t>Total N</t>
  </si>
  <si>
    <t>Total P</t>
  </si>
  <si>
    <t>Annual</t>
  </si>
  <si>
    <t>Loading</t>
  </si>
  <si>
    <t>Retention</t>
  </si>
  <si>
    <t>Discharge</t>
  </si>
  <si>
    <t>Year</t>
  </si>
  <si>
    <t>(m^3/yr)</t>
  </si>
  <si>
    <t>(Kg/yr)</t>
  </si>
  <si>
    <t>(mg/L))</t>
  </si>
  <si>
    <t>leakage</t>
  </si>
  <si>
    <t>losses</t>
  </si>
  <si>
    <t>Mean (1)</t>
  </si>
  <si>
    <t>Estimated</t>
  </si>
  <si>
    <t xml:space="preserve">Leakage </t>
  </si>
  <si>
    <t>(M^3)</t>
  </si>
  <si>
    <t>Losses (2)</t>
  </si>
  <si>
    <t>(2) From file Weirstg_hydrol.xls</t>
  </si>
  <si>
    <t>Mean lake volume (m^3) (3)</t>
  </si>
  <si>
    <t>(3) From file Weirstg_hydrol.xls</t>
  </si>
  <si>
    <t>Mean lakewater P mass (kg)</t>
  </si>
  <si>
    <t>P Sed coefficient k (yr^-1)</t>
  </si>
  <si>
    <t>Mean lakewater N mass (kg)</t>
  </si>
  <si>
    <t>N Sed coefficient k (yr^-1)</t>
  </si>
  <si>
    <t>Calculated sedimentation coefficients based on water and nutrient budgets</t>
  </si>
  <si>
    <t>Mean lake depth (m)</t>
  </si>
  <si>
    <t>Detention time (yr)</t>
  </si>
  <si>
    <t>Mean lake area (km^2)</t>
  </si>
  <si>
    <t>Mean lake volume (10^6m^3)</t>
  </si>
  <si>
    <t xml:space="preserve">  Total P Median (mg/l) </t>
  </si>
  <si>
    <t xml:space="preserve">  Total N Mean (mg/l) </t>
  </si>
  <si>
    <t xml:space="preserve">  Total N Median (mg/l) </t>
  </si>
  <si>
    <t xml:space="preserve">  Chlor a Mean (ug/l)</t>
  </si>
  <si>
    <t xml:space="preserve">  Chlor a Median (ug/l)</t>
  </si>
  <si>
    <t xml:space="preserve">  Secchi Depth Mean (m)</t>
  </si>
  <si>
    <t xml:space="preserve">  Secchi Depth Median (m)</t>
  </si>
  <si>
    <t xml:space="preserve">  TSI Mean</t>
  </si>
  <si>
    <t xml:space="preserve">  TSI Median</t>
  </si>
  <si>
    <t>Sed coefficient k (yr^-1)</t>
  </si>
  <si>
    <t>k adjusted for sediment thickness difference between Schelske &amp; Danek studies</t>
  </si>
  <si>
    <t>(7) Uses  only historic cores sedimentation rates, multiplied by estimated flocculent sediment area</t>
  </si>
  <si>
    <t>Estimated sedimentation coefficients 1990-99 derived from Schelske studies ( file 'Harris Chain sedimentation coeff.xls')</t>
  </si>
  <si>
    <t>Contributing cores</t>
  </si>
  <si>
    <t>TP Salas &amp; Martino (1991)</t>
  </si>
  <si>
    <t>Reckhow P Sed coefficient k (yr^-1)</t>
  </si>
  <si>
    <t>Reckhow N Sed coefficient k (yr^-1)</t>
  </si>
  <si>
    <t>Canfield &amp; Bachmann TP k (yr^-1)</t>
  </si>
  <si>
    <t>Salas &amp; Martino TP k (yr^-1)</t>
  </si>
  <si>
    <t>Larson &amp; Mercier  P Retention coeff</t>
  </si>
  <si>
    <t>Reckhow Predicted Lake Trophic state variables:</t>
  </si>
  <si>
    <t>Year end</t>
  </si>
  <si>
    <t>TotalP (4)</t>
  </si>
  <si>
    <t>TotalN (4)</t>
  </si>
  <si>
    <t>Year end lake volume (m^3) (3)</t>
  </si>
  <si>
    <t>Year end lakewater P mass (kg)</t>
  </si>
  <si>
    <t>Deposition</t>
  </si>
  <si>
    <t>based on P deposition</t>
  </si>
  <si>
    <t>based on P retention</t>
  </si>
  <si>
    <t>Year end lakewater N mass (kg)</t>
  </si>
  <si>
    <t>based on N retention</t>
  </si>
  <si>
    <t>based on N deposition</t>
  </si>
  <si>
    <t>Calculated sedimentation coefficients based both nutrient retention and nutrient deposition (incorporating year-end water mass of nutrients) and compared with sedimentation coefficients based on core studies</t>
  </si>
  <si>
    <t>Copied annual mean lake volume, area, depth, and detention time from file Weirstg_hydrol.xls into worksheet 'Summary'</t>
  </si>
  <si>
    <t>(1) Annual means from file Weir.xls</t>
  </si>
  <si>
    <t>Completed calculations of sedimentation coefficients in worksheet 'Sedimentation'</t>
  </si>
  <si>
    <t>N load (kg/yr)</t>
  </si>
  <si>
    <t>TN (mg/m^3)</t>
  </si>
  <si>
    <t>P Sed coefficient k (yr^-1) based on P retention</t>
  </si>
  <si>
    <t>P Sed coefficient k (yr^-1) based on P deposition</t>
  </si>
  <si>
    <t>N Sed coefficient k (yr^-1) based on N retention</t>
  </si>
  <si>
    <t>N Sed coefficient k (yr^-1) based on N deposition</t>
  </si>
  <si>
    <t xml:space="preserve">Reckhow Total P Mean (mg/l) </t>
  </si>
  <si>
    <t>TP Canfield &amp; Bachmann (1981)</t>
  </si>
  <si>
    <t>TP Larson &amp; Mercier (1976)</t>
  </si>
  <si>
    <t>Modeled water quality for years 1991-2000 and graphed sedimentation coefficients and TP</t>
  </si>
  <si>
    <t>Updated atmospheric deposition estimates from file "rain apopka.xls"</t>
  </si>
  <si>
    <t>Updated water quality modeling</t>
  </si>
  <si>
    <t>Mean TP mass (kg)</t>
  </si>
  <si>
    <t>Mean TN mass (kg)</t>
  </si>
  <si>
    <t>Bathtub predictions</t>
  </si>
  <si>
    <t>Chlorophyll-a default</t>
  </si>
  <si>
    <t>Secchi default</t>
  </si>
  <si>
    <t>Absolute TP deviations</t>
  </si>
  <si>
    <t>Reckhow-Obs</t>
  </si>
  <si>
    <t>Canfield &amp; Bachmann-Obs</t>
  </si>
  <si>
    <t>Larson &amp; Mercier-Obs</t>
  </si>
  <si>
    <t>Salas &amp; Martino-Obs</t>
  </si>
  <si>
    <t>Predicted/observed TP</t>
  </si>
  <si>
    <t>Reckhow/Obs</t>
  </si>
  <si>
    <t>Canfield &amp; Bachmann/Obs</t>
  </si>
  <si>
    <t>Larson &amp; Mercier/Obs</t>
  </si>
  <si>
    <t>Salas &amp; Martino/Obs</t>
  </si>
  <si>
    <t>Bathtub models</t>
  </si>
  <si>
    <t>Bachman (1098)/Volumetric load</t>
  </si>
  <si>
    <t>Lake Volume (Hm^3)</t>
  </si>
  <si>
    <t>QS</t>
  </si>
  <si>
    <t>B1</t>
  </si>
  <si>
    <t>Second order, available N (default)</t>
  </si>
  <si>
    <t>1995 Land Use</t>
  </si>
  <si>
    <t>*</t>
  </si>
  <si>
    <t>Set up file to calculate runoff based on 2000 land use, used 2000 land use for runoff estimates for years 1998-2000</t>
  </si>
  <si>
    <t>TP loading-water budget runoff coeff (kg/year)-incorporate estimates of only sediment-associated losses</t>
  </si>
  <si>
    <t xml:space="preserve">TN loading-water budget runoff coeff (kg/year)-incorporate estimates of only sediment-associated losses </t>
  </si>
  <si>
    <t>Went back to 1995 land use for 1998-2000 because need new runoff coefficients to use 2000 land use</t>
  </si>
  <si>
    <t>Did not enter equivalent spherical radius for subbasins because only subbasin has with centroid inside lake, for which calculated flow path distance would be used.</t>
  </si>
  <si>
    <t>Updated runoff coefficients from Engineering Division water budget</t>
  </si>
  <si>
    <t>‡ 10^6m^3/yr         or Hm^3/yr   ‡</t>
  </si>
  <si>
    <t>Fraction dissolved TP</t>
  </si>
  <si>
    <t>Fraction dissolved TN</t>
  </si>
  <si>
    <t>Nutrient delivery ratio (not including muck farms/restoration areas</t>
  </si>
  <si>
    <t>Revised runoff nutrient concentrations; set up file to use variable fractions dissolved TP and TN</t>
  </si>
  <si>
    <t>Calculated nutrient delivery ratios for contributing subbasins</t>
  </si>
  <si>
    <t>Deleted stormwater treatment function for forest/rangeland, water, and wetlands land uses</t>
  </si>
  <si>
    <t>1996-2000</t>
  </si>
  <si>
    <t>OECD P model - Vollenweider &amp; Kerekes 1982 (ug/L)</t>
  </si>
  <si>
    <t>OECD P model - Vollenweider &amp; Kerekes 1982 (mg/L)</t>
  </si>
  <si>
    <t>Bathtub TP 1, 2nd order, avail P</t>
  </si>
  <si>
    <t>Bathtub TP 3, 2nd order, fixed</t>
  </si>
  <si>
    <t>Bathtub TP 4, Canfield &amp; Bachmann (reservoir equation)</t>
  </si>
  <si>
    <t>Bathtub TP 5,  Vollenweider</t>
  </si>
  <si>
    <t>Bathtub TP 6,  First order</t>
  </si>
  <si>
    <t>Bathtub TP 7,  Settling velocity</t>
  </si>
  <si>
    <t>Bathtub TN 1, 2nd order, avail N</t>
  </si>
  <si>
    <t>Bathtub TN 3, 2nd order, fixed</t>
  </si>
  <si>
    <t>Bathtub TN 4,  Bachmann vol load</t>
  </si>
  <si>
    <t>Bathtub TN 5,  Bachmann flushing</t>
  </si>
  <si>
    <t>Bathtub TN 6,  First order</t>
  </si>
  <si>
    <t>Bathtub TN 7,  Settling velocity</t>
  </si>
  <si>
    <t>OECD P model - Obs</t>
  </si>
  <si>
    <t>Vollenweider P model -Obs</t>
  </si>
  <si>
    <t>Bathtub TP 4, Canfield &amp; Bachmann (reservoir)</t>
  </si>
  <si>
    <t>Inflow concentration</t>
  </si>
  <si>
    <t>OECD P model/Obs</t>
  </si>
  <si>
    <t>Vollenweider P model/Obs</t>
  </si>
  <si>
    <t>Absolute TN deviations</t>
  </si>
  <si>
    <t>Predicted/observed TN</t>
  </si>
  <si>
    <t>Completed Eutromod water quality modeling 1991-2000</t>
  </si>
  <si>
    <t>Completed Bathtub water quality modeling 1991-2000</t>
  </si>
  <si>
    <t>Completed Eutromod and Bathtub water quality modeling for decade using estimated inflow volumes (all other modeling uses outflow volumes)</t>
  </si>
  <si>
    <t>Completed Eutromod and Bathtub water quality modeling for half-decades using estimated inflow volumes (most other modeling uses outflow volumes)</t>
  </si>
  <si>
    <t>1991-2000 totals</t>
  </si>
  <si>
    <t>Calculated decadal sedimentation coefficients</t>
  </si>
  <si>
    <t>P retention coefficient</t>
  </si>
  <si>
    <t>N retention coefficient</t>
  </si>
  <si>
    <t>Water Outflows/Inflows-vol change (10^6m^3)</t>
  </si>
  <si>
    <t>Water Inflows (10^6m^3)</t>
  </si>
  <si>
    <t>Inflow P concentration-spreadsheet models (ug/L)</t>
  </si>
  <si>
    <t>Inflow N concentration-spreadsheet models (ug/L)</t>
  </si>
  <si>
    <t>Inflow P concentration-Bathtub models (ug/L)</t>
  </si>
  <si>
    <t>Inflow N concentration-Bathtub models (ug/L)</t>
  </si>
  <si>
    <t>Detention time (years)</t>
  </si>
  <si>
    <t>Revised Bathtub modeling using estimated inflow volumes and concentrations</t>
  </si>
  <si>
    <t>1991-98</t>
  </si>
  <si>
    <t>1995 land use</t>
  </si>
  <si>
    <t>Area (Ha)</t>
  </si>
  <si>
    <t>Historic conditions</t>
  </si>
  <si>
    <t>Water budget Runoff coefficient</t>
  </si>
  <si>
    <t>Muck farms/restoration areas</t>
  </si>
  <si>
    <t>Mean 1991-2000</t>
  </si>
  <si>
    <t>Historic conditions TP loading (kg/year)-water budget runoff coeff, incorporate estimates of only sediment-associated losses</t>
  </si>
  <si>
    <t>Model predictions of historic TP adjusted for error in predictions of existing TP</t>
  </si>
  <si>
    <t>Calculated historic P load for 1991-2000 hydrology.  All land uses converted to forest, wetland, or water, point sources and septic loads eliminated, no change in atmospheric load</t>
  </si>
  <si>
    <t>Historic TP - direct proportionality to est load</t>
  </si>
  <si>
    <t>Completed historic water quality modeling for spreadsheet models</t>
  </si>
  <si>
    <t>86L</t>
  </si>
  <si>
    <t>86NE</t>
  </si>
  <si>
    <t>86NW</t>
  </si>
  <si>
    <t>86SE</t>
  </si>
  <si>
    <t>86SW</t>
  </si>
  <si>
    <t>33L</t>
  </si>
  <si>
    <t>33NE</t>
  </si>
  <si>
    <t>33NW</t>
  </si>
  <si>
    <t>33SE</t>
  </si>
  <si>
    <t>33SW</t>
  </si>
  <si>
    <t>Subbasin Rainfall (m)</t>
  </si>
  <si>
    <t>TP loading (kg/year)-water budget runoff coeff, incorporate estimates of only sediment-associated losses</t>
  </si>
  <si>
    <t>TN loading (kg/year)-water budget runoff coeff, incorporate estimates of only sediment-associated losses</t>
  </si>
  <si>
    <t>Set up runoff calculations for 2001-2003 in worksheet 'stormwater 2001-2003'</t>
  </si>
  <si>
    <t>Entered 2001-2003 rainfall deposition data, from file 'rain apopka.xls'</t>
  </si>
  <si>
    <t>Inserted new 2000-1990 land use data from file PLRM_land_use_soils.xls</t>
  </si>
  <si>
    <t>Inserted revised runoff coefficients for 2001-2003 in worksheet 'stormwater-WB RC (2001-03)'</t>
  </si>
  <si>
    <t>Inserted flow paths for new subbasins, from file PLRM_land_use_soils.xls, to complete runoff nutrient load estimates for 2001-2003</t>
  </si>
  <si>
    <t>Added 2001-2003 septic tank load estimates from file "plrm septic tanks.xls"</t>
  </si>
  <si>
    <t>Added lake hydrology for 2001-2003 to worksheet "Summary"</t>
  </si>
  <si>
    <t>OECD x-axis [P]i / [1+ sqr(tw)]</t>
  </si>
  <si>
    <t>Mean rainfall</t>
  </si>
  <si>
    <t xml:space="preserve">TP Runoff transported to lake-water budget runoff coeff (Kg)-incorporate estimates of only sediment-associated losses. </t>
  </si>
  <si>
    <t xml:space="preserve">TN Runoff transported to lake-water budget runoff coeff (Kg)-incorporate estimates of only sediment-associated losses. </t>
  </si>
  <si>
    <t>Calculation of P loading changes between 2005 and 1995 and uses</t>
  </si>
  <si>
    <t>Calculation of N loading changes between 2005 and 1995 and uses</t>
  </si>
  <si>
    <t>2005 Land Use</t>
  </si>
  <si>
    <t>TP Runoff transported to lake (Kg)  -incorporate estimates of only sediment-associated losses</t>
  </si>
  <si>
    <t>TN Runoff transported to lake (Kg)  -incorporate estimates of only sediment-associated losses</t>
  </si>
  <si>
    <t>muck farms/restoration area (runoff coeff est )</t>
  </si>
  <si>
    <t xml:space="preserve">TN Runoff transported to lake (Kg)  -incorporate estimates of only sediment-associated losses </t>
  </si>
  <si>
    <t>Difference between 2005 and 1995 Land Use</t>
  </si>
  <si>
    <t>Landuses 1-16</t>
  </si>
  <si>
    <t>Set up file to calculate nutrient loading based on 2005 land use map and changes from 1995 land use map</t>
  </si>
  <si>
    <t>Corrected 2003 dry deposition data</t>
  </si>
  <si>
    <t>Corrected 2001-2003 septic tank discharge estimates</t>
  </si>
  <si>
    <t>Rolland Fulton</t>
  </si>
  <si>
    <t>Created new worksheets to calculate runoff in individual years 2001-2005, using year-specific runoff coefficients</t>
  </si>
  <si>
    <t>Areal P load Mg/m^2</t>
  </si>
  <si>
    <t>Updated nutrient budgets through 2005</t>
  </si>
  <si>
    <t>Vollenweider P model (1976) ug/L</t>
  </si>
  <si>
    <t>Vollenweider P model (1976) mg/L</t>
  </si>
  <si>
    <t>2004-1990 Landuse and soil areas in hectares:</t>
  </si>
  <si>
    <t>2004 Landuse and soil areas in hectares:</t>
  </si>
  <si>
    <t>Updated 2003-2005 nutrient budgets to to use 2004 land uses</t>
  </si>
  <si>
    <t>Calculated 2006 stormwater loadings</t>
  </si>
  <si>
    <t>Updated atmospheric deposition loading</t>
  </si>
  <si>
    <t>Mean reported TP ug/L)</t>
  </si>
  <si>
    <t>Mean reported TP (mg/L)</t>
  </si>
  <si>
    <t>Mean reported TN (mg/L)</t>
  </si>
  <si>
    <t>Mean reported  Secchi depth (m)</t>
  </si>
  <si>
    <t>Prepared figures of 1986-2005 TP loading, concentration, detention time, and water quality</t>
  </si>
  <si>
    <t>Transferred 1984-1990 TP loading and concentration, and detention time data from file EUTROMOD\WEIRTO2.xls; Chlorophyll and Secchi data from file WATERQ\WEIR.xls.  For 1999 and 2001-2003 used Lakewatch chlorophyll data instead of anamalously low data from FDEP lab</t>
  </si>
  <si>
    <t>Updated preliminary nutrient budget for 2006</t>
  </si>
  <si>
    <t>Updated stormwater runoff and wet deposition nutrient loading estimates for 2004-2005 using new rainfall data</t>
  </si>
  <si>
    <t>Corrected 2006 stormwater runoff calculations</t>
  </si>
  <si>
    <t>(4) Year end concentrations taken from sample closest to end of year or average of December and January samples</t>
  </si>
  <si>
    <t>Calculated nutrient runoff for 2007</t>
  </si>
  <si>
    <t>Updated atmospheric deposition loading 2004-2008</t>
  </si>
  <si>
    <t>Final PLRG</t>
  </si>
  <si>
    <t>Corrected stormwater Total Nitrogen runoff estimates for undeveloped lands to delete stormwater treatment, 2001-2007</t>
  </si>
  <si>
    <t>Interim PLRG</t>
  </si>
  <si>
    <t>Updated hydrology and sedimentation estimates through 2007</t>
  </si>
  <si>
    <t>Calculated nutrient runoff for 2008</t>
  </si>
  <si>
    <t>Updated  atmospheric deposition loading 2008-2009</t>
  </si>
  <si>
    <t>Calculated nutrient runoff for 2009</t>
  </si>
  <si>
    <t>Calculated stormwater nutrient runoff for 2010 (2004 land use)</t>
  </si>
  <si>
    <t>Revised atmospheric deposition estimates 2001-2010 determining annual medians from average daily values for rainfall concentrations and dry deposition, rather than from monthly averages</t>
  </si>
  <si>
    <t>2001-2010 Mean</t>
  </si>
  <si>
    <t>%</t>
  </si>
  <si>
    <t>Added septic tank nutrient discharge 2007-2010, from file plrm septic tanks.xlsx</t>
  </si>
  <si>
    <t>Updated hydrology and sedimentation estimates 2001-2010</t>
  </si>
  <si>
    <r>
      <rPr>
        <b/>
        <sz val="14"/>
        <color indexed="10"/>
        <rFont val="Arial"/>
        <family val="2"/>
      </rPr>
      <t xml:space="preserve">2009 </t>
    </r>
    <r>
      <rPr>
        <b/>
        <sz val="12"/>
        <rFont val="Arial"/>
        <family val="2"/>
      </rPr>
      <t>Landuse and soil areas in hectares:</t>
    </r>
  </si>
  <si>
    <r>
      <rPr>
        <b/>
        <sz val="14"/>
        <color indexed="10"/>
        <rFont val="Arial"/>
        <family val="2"/>
      </rPr>
      <t>2009</t>
    </r>
    <r>
      <rPr>
        <b/>
        <sz val="12"/>
        <rFont val="Arial"/>
        <family val="2"/>
      </rPr>
      <t>-1990 Landuse and soil areas in hectares:</t>
    </r>
  </si>
  <si>
    <t>2009 Land use</t>
  </si>
  <si>
    <r>
      <t>Calculated stormwater nutrient runoff for 2007-2010 (</t>
    </r>
    <r>
      <rPr>
        <b/>
        <sz val="10"/>
        <color indexed="10"/>
        <rFont val="Arial"/>
        <family val="2"/>
      </rPr>
      <t>2009 land use</t>
    </r>
    <r>
      <rPr>
        <sz val="10"/>
        <rFont val="Arial"/>
        <family val="2"/>
      </rPr>
      <t>)</t>
    </r>
  </si>
  <si>
    <r>
      <t>Recalculated stormwater nutrient runoff for 2007-2010 (</t>
    </r>
    <r>
      <rPr>
        <b/>
        <sz val="10"/>
        <color indexed="10"/>
        <rFont val="Arial"/>
        <family val="2"/>
      </rPr>
      <t>2009 land use, using new data for 1990 LU and current soil coverage</t>
    </r>
    <r>
      <rPr>
        <sz val="10"/>
        <rFont val="Arial"/>
        <family val="2"/>
      </rPr>
      <t>)</t>
    </r>
  </si>
  <si>
    <t>Use new soils coverage</t>
  </si>
  <si>
    <r>
      <t xml:space="preserve">Calculated stormwater nutrient runoff for 2011 ( both 2004 and </t>
    </r>
    <r>
      <rPr>
        <b/>
        <sz val="10"/>
        <color indexed="10"/>
        <rFont val="Arial"/>
        <family val="2"/>
      </rPr>
      <t>2009 land use</t>
    </r>
    <r>
      <rPr>
        <sz val="10"/>
        <rFont val="Arial"/>
        <family val="2"/>
      </rPr>
      <t>)</t>
    </r>
  </si>
  <si>
    <t>Updated  atmospheric deposition loading 2008-2011</t>
  </si>
  <si>
    <t>Literature values of bird nutrient excretion rates</t>
  </si>
  <si>
    <t>Species</t>
  </si>
  <si>
    <t>Weight (g)</t>
  </si>
  <si>
    <t>Common name</t>
  </si>
  <si>
    <t>Larus ridibundus</t>
  </si>
  <si>
    <t>Black-headed gull</t>
  </si>
  <si>
    <t>TKN</t>
  </si>
  <si>
    <t>Larus marinus</t>
  </si>
  <si>
    <t>Great black-backed gull</t>
  </si>
  <si>
    <t>Larus minutus</t>
  </si>
  <si>
    <t>Little gull</t>
  </si>
  <si>
    <t>Excretion/day (g)</t>
  </si>
  <si>
    <t>Notes</t>
  </si>
  <si>
    <t>Source</t>
  </si>
  <si>
    <t>Hahn et al. 2007</t>
  </si>
  <si>
    <t>Rip et al. 2006</t>
  </si>
  <si>
    <t>Larus argentatus</t>
  </si>
  <si>
    <t>Portnoy 1990</t>
  </si>
  <si>
    <t>Branta canadensis</t>
  </si>
  <si>
    <t>Canada geese</t>
  </si>
  <si>
    <t>Manny et al 1994</t>
  </si>
  <si>
    <t>&gt;0.115</t>
  </si>
  <si>
    <t>Gould and Fletcher (1978), cited in Fleming and Fraser (2001)</t>
  </si>
  <si>
    <t>Gould and Fletcher (1978), cited in Portnoy (1990)</t>
  </si>
  <si>
    <t>Herring gull</t>
  </si>
  <si>
    <t>Weight from: http://identify.whatbird.com/obj/478/identification/Herring_Gull.aspx</t>
  </si>
  <si>
    <t>Lower and Upper values for  winter and summer, respectively.  Weight from: http://identify.whatbird.com/obj/478/identification/Herring_Gull.aspx</t>
  </si>
  <si>
    <t>Weight from: http://identify.whatbird.com/obj/533/identification/Black-headed_Gull.aspx</t>
  </si>
  <si>
    <t>Derived from weight correction from values for larger gulls reported by Portnoy 1990.  Weight from:  http://identify.whatbird.com/obj/533/identification/Black-headed_Gull.aspx</t>
  </si>
  <si>
    <t>Lower and Upper values estimated from excretion and feeding models, respectively.  Assumed 60% of nutrient release deposited in water.</t>
  </si>
  <si>
    <t>Larus delawarensis</t>
  </si>
  <si>
    <t>Weight from: http://identify.whatbird.com/obj/129/identification/Ring-billed_Gull.aspx.  Christmas Bird Count from 2002  reported 5000 Ring-billed gulls from Lake Weir.</t>
  </si>
  <si>
    <t>Generic bird</t>
  </si>
  <si>
    <t>Scherer et al. 1995</t>
  </si>
  <si>
    <t>Predicted TP</t>
  </si>
  <si>
    <t>Predicted TN</t>
  </si>
  <si>
    <t>TP upper</t>
  </si>
  <si>
    <t>TN upper</t>
  </si>
  <si>
    <t>Dropping wt 2.25% of bird weight; P 1.87% of dropping wt.  Used weight for Red-billed gull</t>
  </si>
  <si>
    <t>Ring-billed gull</t>
  </si>
  <si>
    <t>Ring-billed gull numbers</t>
  </si>
  <si>
    <t>Excretion kg/year</t>
  </si>
  <si>
    <t>Mean external load 2002-2011</t>
  </si>
  <si>
    <t>Percent of external load</t>
  </si>
  <si>
    <t>External</t>
  </si>
  <si>
    <r>
      <t xml:space="preserve">Adjusted excretion rates, assuming as did Hahn et al. that 60% of nutrient release deposited in water; </t>
    </r>
    <r>
      <rPr>
        <b/>
        <sz val="10"/>
        <color rgb="FFFF0000"/>
        <rFont val="Arial"/>
        <family val="2"/>
      </rPr>
      <t>averaged summer and winter values</t>
    </r>
  </si>
  <si>
    <t>Predicted excretion:</t>
  </si>
  <si>
    <t>Mean reported uncorr chlorophyll-a (ug/L)</t>
  </si>
  <si>
    <t>Updated hydology and sedimentation estimates 2001-2011</t>
  </si>
  <si>
    <t>2009 LU beginning 2007</t>
  </si>
  <si>
    <t>2001-2010</t>
  </si>
  <si>
    <t>Forster's Tern</t>
  </si>
  <si>
    <t>Laughing Gull</t>
  </si>
  <si>
    <t>Herring Gull</t>
  </si>
  <si>
    <t>Bonaparte's Gull</t>
  </si>
  <si>
    <t>Ring-billed Gull</t>
  </si>
  <si>
    <t>Date&gt;&gt;</t>
  </si>
  <si>
    <t>CBC #&gt;&gt;</t>
  </si>
  <si>
    <t>Gulls and Terns</t>
  </si>
  <si>
    <t>from John Stenberg 2/13/2013</t>
  </si>
  <si>
    <t>Lake Weir Christmas Bird count data</t>
  </si>
  <si>
    <t xml:space="preserve">Note:  15,000 total from Dec 2001 made by Bubba Scales and experienced colleagues - considered to be accurate by him and by John Stenberg </t>
  </si>
  <si>
    <t>Mean lake stage (ft NAVD)</t>
  </si>
  <si>
    <r>
      <t>Calculated stormwater nutrient runoff for 2012 (</t>
    </r>
    <r>
      <rPr>
        <b/>
        <sz val="10"/>
        <color indexed="10"/>
        <rFont val="Arial"/>
        <family val="2"/>
      </rPr>
      <t>2009 land use</t>
    </r>
    <r>
      <rPr>
        <sz val="10"/>
        <rFont val="Arial"/>
        <family val="2"/>
      </rPr>
      <t>)</t>
    </r>
  </si>
  <si>
    <t>Updated  atmospheric deposition loading 2012</t>
  </si>
  <si>
    <t>2009 Landuse and soil areas in hectares:</t>
  </si>
  <si>
    <t>Denham</t>
  </si>
  <si>
    <t>Denahm</t>
  </si>
  <si>
    <t>Runoff (m3/yr)</t>
  </si>
  <si>
    <t>Lake Denham</t>
  </si>
  <si>
    <t>Weighted Denham Basin Annual rainfall (m)</t>
  </si>
  <si>
    <t>External Except for Muck Farm</t>
  </si>
  <si>
    <t>2009 -1988 Landuse and soil areas in hectares:</t>
  </si>
  <si>
    <t>TP loads (kg/year)</t>
  </si>
  <si>
    <t>Area</t>
  </si>
  <si>
    <t>Hectare</t>
  </si>
  <si>
    <t>Hectere</t>
  </si>
  <si>
    <t>runoff co</t>
  </si>
  <si>
    <t>2009-2002</t>
  </si>
  <si>
    <t>Total From Stormwater</t>
  </si>
  <si>
    <t>Runoff (Hm3/yr)</t>
  </si>
  <si>
    <t>Kyeongsik Rhew</t>
  </si>
  <si>
    <t>Tabs "stormwater each year column Q ( water budget runoff has been updated based on Dr. Fulton's email on 8/24/2015</t>
  </si>
  <si>
    <t>TP (Kg/yr)</t>
  </si>
  <si>
    <t>TN (Kg/yr)</t>
  </si>
  <si>
    <t>Muck farms (Pump )</t>
  </si>
  <si>
    <t>Runoff load from CN method</t>
  </si>
  <si>
    <t>% mean</t>
  </si>
  <si>
    <t>Natural</t>
  </si>
  <si>
    <t>Urban</t>
  </si>
  <si>
    <t>Rural</t>
  </si>
  <si>
    <t>Mean 2000-2012</t>
  </si>
  <si>
    <t>Pump</t>
  </si>
  <si>
    <t>2000-2012</t>
  </si>
  <si>
    <t>2004 Land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</si>
</sst>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43" formatCode="_(* #,##0.00_);_(* \(#,##0.00\);_(* &quot;-&quot;??_);_(@_)"/>
    <numFmt numFmtId="164" formatCode="0.0"/>
    <numFmt numFmtId="165" formatCode="0.000"/>
    <numFmt numFmtId="166" formatCode="General_)"/>
    <numFmt numFmtId="167" formatCode="0.0000_)"/>
    <numFmt numFmtId="168" formatCode="0.00_)"/>
    <numFmt numFmtId="169" formatCode="0.000000_)"/>
    <numFmt numFmtId="170" formatCode="0.000_)"/>
    <numFmt numFmtId="171" formatCode="0_)"/>
    <numFmt numFmtId="172" formatCode="#,##0.000"/>
    <numFmt numFmtId="173" formatCode="0.0%"/>
    <numFmt numFmtId="174" formatCode="[$-409]d\-mmm\-yy;@"/>
    <numFmt numFmtId="175" formatCode="0.0000"/>
    <numFmt numFmtId="176" formatCode="_(* #,##0_);_(* \(#,##0\);_(* &quot;-&quot;??_);_(@_)"/>
    <numFmt numFmtId="177" formatCode="_(* #,##0.000_);_(* \(#,##0.000\);_(* &quot;-&quot;??_);_(@_)"/>
    <numFmt numFmtId="178" formatCode="#,##0.0"/>
    <numFmt numFmtId="179" formatCode="_(* #,##0.0_);_(* \(#,##0.0\);_(* &quot;-&quot;??_);_(@_)"/>
  </numFmts>
  <fonts count="2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i/>
      <sz val="1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0"/>
      <name val="Arial"/>
      <family val="2"/>
    </font>
    <font>
      <sz val="10"/>
      <name val="Courier"/>
      <family val="3"/>
    </font>
    <font>
      <sz val="12"/>
      <name val="Arial"/>
      <family val="2"/>
    </font>
    <font>
      <sz val="10"/>
      <color indexed="12"/>
      <name val="Arial"/>
      <family val="2"/>
    </font>
    <font>
      <b/>
      <sz val="10"/>
      <name val="Courier"/>
      <family val="3"/>
    </font>
    <font>
      <b/>
      <sz val="10"/>
      <color indexed="12"/>
      <name val="Arial"/>
      <family val="2"/>
    </font>
    <font>
      <sz val="10"/>
      <color indexed="10"/>
      <name val="Arial"/>
      <family val="2"/>
    </font>
    <font>
      <sz val="10"/>
      <name val="Tahoma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4"/>
      <color indexed="10"/>
      <name val="Arial"/>
      <family val="2"/>
    </font>
    <font>
      <sz val="10"/>
      <color rgb="FFFF0000"/>
      <name val="Arial"/>
      <family val="2"/>
    </font>
    <font>
      <b/>
      <sz val="10"/>
      <color rgb="FF3333FF"/>
      <name val="Arial"/>
      <family val="2"/>
    </font>
    <font>
      <b/>
      <sz val="10"/>
      <color rgb="FFFF0000"/>
      <name val="Arial"/>
      <family val="2"/>
    </font>
    <font>
      <sz val="9"/>
      <name val="Arial"/>
      <family val="2"/>
    </font>
    <font>
      <sz val="10"/>
      <name val="Arial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CFFCC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18"/>
      </left>
      <right style="thin">
        <color indexed="18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18"/>
      </left>
      <right style="thin">
        <color indexed="1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18"/>
      </left>
      <right style="thin">
        <color indexed="18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1">
    <xf numFmtId="0" fontId="0" fillId="0" borderId="0"/>
    <xf numFmtId="43" fontId="3" fillId="0" borderId="0" applyFont="0" applyFill="0" applyBorder="0" applyAlignment="0" applyProtection="0"/>
    <xf numFmtId="0" fontId="5" fillId="0" borderId="0"/>
    <xf numFmtId="0" fontId="12" fillId="0" borderId="0"/>
    <xf numFmtId="166" fontId="12" fillId="0" borderId="0"/>
    <xf numFmtId="0" fontId="3" fillId="0" borderId="0"/>
    <xf numFmtId="0" fontId="5" fillId="0" borderId="0"/>
    <xf numFmtId="0" fontId="2" fillId="0" borderId="0"/>
    <xf numFmtId="0" fontId="3" fillId="0" borderId="0"/>
    <xf numFmtId="9" fontId="26" fillId="0" borderId="0" applyFont="0" applyFill="0" applyBorder="0" applyAlignment="0" applyProtection="0"/>
    <xf numFmtId="0" fontId="3" fillId="0" borderId="0"/>
  </cellStyleXfs>
  <cellXfs count="450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Fill="1"/>
    <xf numFmtId="0" fontId="6" fillId="0" borderId="0" xfId="0" applyFont="1" applyFill="1" applyAlignment="1">
      <alignment textRotation="90"/>
    </xf>
    <xf numFmtId="0" fontId="4" fillId="0" borderId="0" xfId="0" applyFont="1" applyBorder="1"/>
    <xf numFmtId="0" fontId="5" fillId="0" borderId="0" xfId="0" applyFont="1" applyBorder="1"/>
    <xf numFmtId="0" fontId="4" fillId="0" borderId="1" xfId="0" applyFont="1" applyBorder="1"/>
    <xf numFmtId="0" fontId="7" fillId="0" borderId="1" xfId="0" applyFont="1" applyBorder="1"/>
    <xf numFmtId="0" fontId="7" fillId="0" borderId="0" xfId="0" applyFont="1" applyBorder="1"/>
    <xf numFmtId="0" fontId="4" fillId="0" borderId="0" xfId="0" applyFont="1" applyFill="1" applyBorder="1"/>
    <xf numFmtId="0" fontId="5" fillId="0" borderId="0" xfId="0" applyFont="1" applyFill="1"/>
    <xf numFmtId="0" fontId="7" fillId="0" borderId="0" xfId="0" applyFont="1" applyFill="1"/>
    <xf numFmtId="0" fontId="7" fillId="0" borderId="0" xfId="0" applyFont="1"/>
    <xf numFmtId="2" fontId="0" fillId="0" borderId="0" xfId="0" applyNumberFormat="1"/>
    <xf numFmtId="0" fontId="5" fillId="0" borderId="0" xfId="5" applyFont="1"/>
    <xf numFmtId="0" fontId="4" fillId="0" borderId="0" xfId="5" applyFont="1"/>
    <xf numFmtId="0" fontId="3" fillId="2" borderId="0" xfId="5" applyFill="1" applyAlignment="1">
      <alignment horizontal="centerContinuous" wrapText="1"/>
    </xf>
    <xf numFmtId="0" fontId="3" fillId="2" borderId="0" xfId="5" applyFill="1" applyAlignment="1">
      <alignment horizontal="centerContinuous"/>
    </xf>
    <xf numFmtId="0" fontId="5" fillId="0" borderId="0" xfId="5" applyNumberFormat="1" applyFont="1"/>
    <xf numFmtId="0" fontId="3" fillId="0" borderId="0" xfId="5"/>
    <xf numFmtId="0" fontId="3" fillId="0" borderId="0" xfId="5" applyAlignment="1">
      <alignment horizontal="center"/>
    </xf>
    <xf numFmtId="0" fontId="3" fillId="0" borderId="0" xfId="5" applyAlignment="1">
      <alignment wrapText="1"/>
    </xf>
    <xf numFmtId="164" fontId="8" fillId="2" borderId="0" xfId="5" applyNumberFormat="1" applyFont="1" applyFill="1"/>
    <xf numFmtId="0" fontId="8" fillId="2" borderId="0" xfId="5" applyFont="1" applyFill="1"/>
    <xf numFmtId="0" fontId="11" fillId="2" borderId="0" xfId="5" applyFont="1" applyFill="1" applyAlignment="1">
      <alignment horizontal="centerContinuous" wrapText="1"/>
    </xf>
    <xf numFmtId="0" fontId="11" fillId="4" borderId="0" xfId="5" applyFont="1" applyFill="1" applyAlignment="1">
      <alignment horizontal="centerContinuous" wrapText="1"/>
    </xf>
    <xf numFmtId="164" fontId="8" fillId="4" borderId="0" xfId="5" applyNumberFormat="1" applyFont="1" applyFill="1"/>
    <xf numFmtId="0" fontId="11" fillId="5" borderId="0" xfId="5" applyFont="1" applyFill="1" applyAlignment="1">
      <alignment horizontal="centerContinuous" wrapText="1"/>
    </xf>
    <xf numFmtId="0" fontId="3" fillId="5" borderId="0" xfId="5" applyFill="1" applyAlignment="1">
      <alignment horizontal="centerContinuous" wrapText="1"/>
    </xf>
    <xf numFmtId="164" fontId="8" fillId="5" borderId="0" xfId="5" applyNumberFormat="1" applyFont="1" applyFill="1"/>
    <xf numFmtId="164" fontId="5" fillId="5" borderId="0" xfId="5" applyNumberFormat="1" applyFont="1" applyFill="1"/>
    <xf numFmtId="0" fontId="8" fillId="5" borderId="0" xfId="5" applyFont="1" applyFill="1"/>
    <xf numFmtId="0" fontId="11" fillId="6" borderId="0" xfId="5" applyFont="1" applyFill="1" applyAlignment="1">
      <alignment horizontal="centerContinuous"/>
    </xf>
    <xf numFmtId="0" fontId="3" fillId="6" borderId="0" xfId="5" applyFill="1" applyAlignment="1">
      <alignment horizontal="centerContinuous"/>
    </xf>
    <xf numFmtId="0" fontId="11" fillId="6" borderId="0" xfId="5" applyFont="1" applyFill="1"/>
    <xf numFmtId="0" fontId="3" fillId="6" borderId="0" xfId="5" applyFill="1"/>
    <xf numFmtId="164" fontId="5" fillId="5" borderId="0" xfId="5" applyNumberFormat="1" applyFont="1" applyFill="1" applyBorder="1"/>
    <xf numFmtId="0" fontId="11" fillId="0" borderId="0" xfId="5" applyFont="1"/>
    <xf numFmtId="14" fontId="3" fillId="0" borderId="0" xfId="5" applyNumberFormat="1"/>
    <xf numFmtId="0" fontId="3" fillId="0" borderId="0" xfId="5" applyFont="1"/>
    <xf numFmtId="0" fontId="5" fillId="0" borderId="0" xfId="5" applyFont="1" applyFill="1" applyAlignment="1">
      <alignment horizontal="centerContinuous"/>
    </xf>
    <xf numFmtId="0" fontId="5" fillId="6" borderId="0" xfId="5" applyFont="1" applyFill="1" applyAlignment="1">
      <alignment horizontal="centerContinuous"/>
    </xf>
    <xf numFmtId="0" fontId="11" fillId="0" borderId="0" xfId="5" applyFont="1" applyFill="1"/>
    <xf numFmtId="0" fontId="5" fillId="0" borderId="0" xfId="5" applyFont="1" applyFill="1"/>
    <xf numFmtId="4" fontId="5" fillId="6" borderId="0" xfId="5" applyNumberFormat="1" applyFont="1" applyFill="1"/>
    <xf numFmtId="4" fontId="5" fillId="0" borderId="0" xfId="5" applyNumberFormat="1" applyFont="1"/>
    <xf numFmtId="0" fontId="4" fillId="0" borderId="0" xfId="5" applyFont="1" applyFill="1"/>
    <xf numFmtId="4" fontId="5" fillId="0" borderId="0" xfId="0" applyNumberFormat="1" applyFont="1"/>
    <xf numFmtId="3" fontId="5" fillId="0" borderId="0" xfId="0" applyNumberFormat="1" applyFont="1"/>
    <xf numFmtId="3" fontId="5" fillId="0" borderId="0" xfId="5" applyNumberFormat="1" applyFont="1"/>
    <xf numFmtId="10" fontId="5" fillId="0" borderId="0" xfId="0" applyNumberFormat="1" applyFont="1"/>
    <xf numFmtId="166" fontId="12" fillId="0" borderId="0" xfId="4" applyAlignment="1">
      <alignment horizontal="left"/>
    </xf>
    <xf numFmtId="166" fontId="12" fillId="0" borderId="0" xfId="4"/>
    <xf numFmtId="169" fontId="12" fillId="0" borderId="0" xfId="4" applyNumberFormat="1" applyProtection="1"/>
    <xf numFmtId="167" fontId="12" fillId="0" borderId="0" xfId="4" applyNumberFormat="1" applyProtection="1"/>
    <xf numFmtId="167" fontId="12" fillId="0" borderId="0" xfId="4" applyNumberFormat="1" applyAlignment="1" applyProtection="1">
      <alignment horizontal="left"/>
    </xf>
    <xf numFmtId="168" fontId="12" fillId="0" borderId="0" xfId="4" applyNumberFormat="1" applyProtection="1"/>
    <xf numFmtId="166" fontId="12" fillId="7" borderId="0" xfId="4" applyFill="1"/>
    <xf numFmtId="166" fontId="12" fillId="0" borderId="0" xfId="4" applyAlignment="1">
      <alignment horizontal="fill"/>
    </xf>
    <xf numFmtId="170" fontId="12" fillId="0" borderId="0" xfId="4" applyNumberFormat="1" applyProtection="1"/>
    <xf numFmtId="166" fontId="5" fillId="0" borderId="0" xfId="4" applyFont="1" applyAlignment="1">
      <alignment horizontal="left"/>
    </xf>
    <xf numFmtId="166" fontId="5" fillId="0" borderId="0" xfId="4" applyFont="1"/>
    <xf numFmtId="166" fontId="5" fillId="0" borderId="0" xfId="4" applyFont="1" applyFill="1"/>
    <xf numFmtId="166" fontId="5" fillId="0" borderId="0" xfId="4" applyFont="1" applyAlignment="1"/>
    <xf numFmtId="3" fontId="12" fillId="0" borderId="0" xfId="4" applyNumberFormat="1"/>
    <xf numFmtId="167" fontId="12" fillId="0" borderId="0" xfId="4" applyNumberFormat="1" applyAlignment="1" applyProtection="1">
      <alignment horizontal="right"/>
    </xf>
    <xf numFmtId="166" fontId="12" fillId="0" borderId="0" xfId="4" applyAlignment="1">
      <alignment horizontal="center"/>
    </xf>
    <xf numFmtId="166" fontId="12" fillId="0" borderId="0" xfId="4" applyAlignment="1">
      <alignment horizontal="right"/>
    </xf>
    <xf numFmtId="37" fontId="12" fillId="0" borderId="0" xfId="4" applyNumberFormat="1" applyProtection="1"/>
    <xf numFmtId="171" fontId="12" fillId="0" borderId="0" xfId="4" applyNumberFormat="1" applyProtection="1"/>
    <xf numFmtId="166" fontId="12" fillId="0" borderId="0" xfId="4" applyFont="1" applyAlignment="1">
      <alignment horizontal="left"/>
    </xf>
    <xf numFmtId="0" fontId="10" fillId="5" borderId="0" xfId="0" applyFont="1" applyFill="1"/>
    <xf numFmtId="0" fontId="0" fillId="5" borderId="0" xfId="0" applyFill="1"/>
    <xf numFmtId="1" fontId="5" fillId="0" borderId="0" xfId="0" applyNumberFormat="1" applyFont="1"/>
    <xf numFmtId="2" fontId="9" fillId="0" borderId="0" xfId="0" applyNumberFormat="1" applyFont="1" applyFill="1"/>
    <xf numFmtId="2" fontId="9" fillId="0" borderId="0" xfId="0" applyNumberFormat="1" applyFont="1"/>
    <xf numFmtId="0" fontId="10" fillId="2" borderId="0" xfId="0" applyFont="1" applyFill="1"/>
    <xf numFmtId="0" fontId="10" fillId="4" borderId="0" xfId="0" applyFont="1" applyFill="1"/>
    <xf numFmtId="0" fontId="0" fillId="2" borderId="0" xfId="0" applyFill="1"/>
    <xf numFmtId="164" fontId="9" fillId="0" borderId="0" xfId="0" applyNumberFormat="1" applyFont="1"/>
    <xf numFmtId="1" fontId="9" fillId="0" borderId="0" xfId="0" applyNumberFormat="1" applyFont="1"/>
    <xf numFmtId="14" fontId="0" fillId="0" borderId="0" xfId="0" applyNumberFormat="1"/>
    <xf numFmtId="164" fontId="10" fillId="7" borderId="2" xfId="0" applyNumberFormat="1" applyFont="1" applyFill="1" applyBorder="1"/>
    <xf numFmtId="0" fontId="10" fillId="7" borderId="0" xfId="0" applyFont="1" applyFill="1"/>
    <xf numFmtId="1" fontId="10" fillId="7" borderId="3" xfId="0" applyNumberFormat="1" applyFont="1" applyFill="1" applyBorder="1"/>
    <xf numFmtId="165" fontId="10" fillId="7" borderId="3" xfId="0" applyNumberFormat="1" applyFont="1" applyFill="1" applyBorder="1"/>
    <xf numFmtId="2" fontId="10" fillId="7" borderId="0" xfId="0" applyNumberFormat="1" applyFont="1" applyFill="1" applyBorder="1"/>
    <xf numFmtId="10" fontId="11" fillId="0" borderId="0" xfId="0" applyNumberFormat="1" applyFont="1" applyBorder="1"/>
    <xf numFmtId="2" fontId="0" fillId="0" borderId="0" xfId="0" applyNumberFormat="1" applyBorder="1"/>
    <xf numFmtId="164" fontId="10" fillId="5" borderId="2" xfId="0" applyNumberFormat="1" applyFont="1" applyFill="1" applyBorder="1"/>
    <xf numFmtId="1" fontId="10" fillId="5" borderId="3" xfId="0" applyNumberFormat="1" applyFont="1" applyFill="1" applyBorder="1"/>
    <xf numFmtId="165" fontId="10" fillId="5" borderId="3" xfId="0" applyNumberFormat="1" applyFont="1" applyFill="1" applyBorder="1"/>
    <xf numFmtId="164" fontId="10" fillId="4" borderId="2" xfId="0" applyNumberFormat="1" applyFont="1" applyFill="1" applyBorder="1"/>
    <xf numFmtId="1" fontId="10" fillId="4" borderId="3" xfId="0" applyNumberFormat="1" applyFont="1" applyFill="1" applyBorder="1"/>
    <xf numFmtId="165" fontId="10" fillId="4" borderId="3" xfId="0" applyNumberFormat="1" applyFont="1" applyFill="1" applyBorder="1"/>
    <xf numFmtId="164" fontId="10" fillId="2" borderId="2" xfId="0" applyNumberFormat="1" applyFont="1" applyFill="1" applyBorder="1"/>
    <xf numFmtId="1" fontId="10" fillId="2" borderId="3" xfId="0" applyNumberFormat="1" applyFont="1" applyFill="1" applyBorder="1"/>
    <xf numFmtId="165" fontId="10" fillId="2" borderId="3" xfId="0" applyNumberFormat="1" applyFont="1" applyFill="1" applyBorder="1"/>
    <xf numFmtId="0" fontId="11" fillId="8" borderId="0" xfId="5" applyFont="1" applyFill="1" applyAlignment="1">
      <alignment horizontal="centerContinuous" wrapText="1"/>
    </xf>
    <xf numFmtId="0" fontId="3" fillId="8" borderId="0" xfId="5" applyFill="1" applyAlignment="1">
      <alignment horizontal="centerContinuous" wrapText="1"/>
    </xf>
    <xf numFmtId="164" fontId="8" fillId="8" borderId="0" xfId="5" applyNumberFormat="1" applyFont="1" applyFill="1"/>
    <xf numFmtId="164" fontId="5" fillId="8" borderId="0" xfId="5" applyNumberFormat="1" applyFont="1" applyFill="1"/>
    <xf numFmtId="164" fontId="10" fillId="8" borderId="2" xfId="0" applyNumberFormat="1" applyFont="1" applyFill="1" applyBorder="1"/>
    <xf numFmtId="164" fontId="5" fillId="8" borderId="0" xfId="5" applyNumberFormat="1" applyFont="1" applyFill="1" applyBorder="1"/>
    <xf numFmtId="0" fontId="10" fillId="8" borderId="0" xfId="0" applyFont="1" applyFill="1"/>
    <xf numFmtId="0" fontId="8" fillId="8" borderId="0" xfId="5" applyFont="1" applyFill="1"/>
    <xf numFmtId="1" fontId="10" fillId="8" borderId="3" xfId="0" applyNumberFormat="1" applyFont="1" applyFill="1" applyBorder="1"/>
    <xf numFmtId="0" fontId="0" fillId="8" borderId="0" xfId="0" applyFill="1"/>
    <xf numFmtId="165" fontId="10" fillId="8" borderId="3" xfId="0" applyNumberFormat="1" applyFont="1" applyFill="1" applyBorder="1"/>
    <xf numFmtId="0" fontId="5" fillId="8" borderId="0" xfId="0" applyFont="1" applyFill="1"/>
    <xf numFmtId="0" fontId="11" fillId="9" borderId="0" xfId="5" applyFont="1" applyFill="1" applyAlignment="1">
      <alignment horizontal="centerContinuous" wrapText="1"/>
    </xf>
    <xf numFmtId="0" fontId="3" fillId="9" borderId="0" xfId="5" applyFill="1" applyAlignment="1">
      <alignment horizontal="centerContinuous" wrapText="1"/>
    </xf>
    <xf numFmtId="164" fontId="8" fillId="9" borderId="0" xfId="5" applyNumberFormat="1" applyFont="1" applyFill="1"/>
    <xf numFmtId="164" fontId="5" fillId="9" borderId="0" xfId="5" applyNumberFormat="1" applyFont="1" applyFill="1"/>
    <xf numFmtId="164" fontId="10" fillId="9" borderId="2" xfId="0" applyNumberFormat="1" applyFont="1" applyFill="1" applyBorder="1"/>
    <xf numFmtId="164" fontId="5" fillId="9" borderId="0" xfId="5" applyNumberFormat="1" applyFont="1" applyFill="1" applyBorder="1"/>
    <xf numFmtId="0" fontId="10" fillId="9" borderId="0" xfId="0" applyFont="1" applyFill="1"/>
    <xf numFmtId="0" fontId="8" fillId="9" borderId="0" xfId="5" applyFont="1" applyFill="1"/>
    <xf numFmtId="1" fontId="10" fillId="9" borderId="3" xfId="0" applyNumberFormat="1" applyFont="1" applyFill="1" applyBorder="1"/>
    <xf numFmtId="0" fontId="0" fillId="9" borderId="0" xfId="0" applyFill="1"/>
    <xf numFmtId="165" fontId="10" fillId="9" borderId="3" xfId="0" applyNumberFormat="1" applyFont="1" applyFill="1" applyBorder="1"/>
    <xf numFmtId="0" fontId="11" fillId="5" borderId="0" xfId="5" applyFont="1" applyFill="1" applyAlignment="1">
      <alignment horizontal="centerContinuous"/>
    </xf>
    <xf numFmtId="0" fontId="3" fillId="5" borderId="0" xfId="5" applyFill="1"/>
    <xf numFmtId="0" fontId="11" fillId="6" borderId="0" xfId="5" applyFont="1" applyFill="1" applyAlignment="1">
      <alignment horizontal="centerContinuous" wrapText="1"/>
    </xf>
    <xf numFmtId="0" fontId="3" fillId="4" borderId="0" xfId="5" applyFill="1" applyAlignment="1">
      <alignment horizontal="centerContinuous" wrapText="1"/>
    </xf>
    <xf numFmtId="164" fontId="5" fillId="4" borderId="0" xfId="5" applyNumberFormat="1" applyFont="1" applyFill="1"/>
    <xf numFmtId="164" fontId="5" fillId="4" borderId="0" xfId="5" applyNumberFormat="1" applyFont="1" applyFill="1" applyBorder="1"/>
    <xf numFmtId="0" fontId="8" fillId="4" borderId="0" xfId="5" applyFont="1" applyFill="1"/>
    <xf numFmtId="0" fontId="0" fillId="4" borderId="0" xfId="0" applyFill="1"/>
    <xf numFmtId="0" fontId="5" fillId="4" borderId="0" xfId="0" applyFont="1" applyFill="1"/>
    <xf numFmtId="0" fontId="3" fillId="6" borderId="0" xfId="5" applyFill="1" applyAlignment="1">
      <alignment horizontal="centerContinuous" wrapText="1"/>
    </xf>
    <xf numFmtId="164" fontId="8" fillId="6" borderId="0" xfId="5" applyNumberFormat="1" applyFont="1" applyFill="1"/>
    <xf numFmtId="164" fontId="5" fillId="6" borderId="0" xfId="5" applyNumberFormat="1" applyFont="1" applyFill="1"/>
    <xf numFmtId="164" fontId="10" fillId="6" borderId="2" xfId="0" applyNumberFormat="1" applyFont="1" applyFill="1" applyBorder="1"/>
    <xf numFmtId="164" fontId="5" fillId="6" borderId="0" xfId="5" applyNumberFormat="1" applyFont="1" applyFill="1" applyBorder="1"/>
    <xf numFmtId="0" fontId="10" fillId="6" borderId="0" xfId="0" applyFont="1" applyFill="1"/>
    <xf numFmtId="0" fontId="8" fillId="6" borderId="0" xfId="5" applyFont="1" applyFill="1"/>
    <xf numFmtId="1" fontId="10" fillId="6" borderId="3" xfId="0" applyNumberFormat="1" applyFont="1" applyFill="1" applyBorder="1"/>
    <xf numFmtId="0" fontId="0" fillId="6" borderId="0" xfId="0" applyFill="1"/>
    <xf numFmtId="165" fontId="10" fillId="6" borderId="3" xfId="0" applyNumberFormat="1" applyFont="1" applyFill="1" applyBorder="1"/>
    <xf numFmtId="0" fontId="3" fillId="4" borderId="0" xfId="5" applyFill="1" applyAlignment="1">
      <alignment horizontal="centerContinuous"/>
    </xf>
    <xf numFmtId="0" fontId="11" fillId="4" borderId="0" xfId="5" applyFont="1" applyFill="1"/>
    <xf numFmtId="0" fontId="11" fillId="4" borderId="0" xfId="5" applyFont="1" applyFill="1" applyAlignment="1">
      <alignment horizontal="centerContinuous"/>
    </xf>
    <xf numFmtId="0" fontId="3" fillId="4" borderId="0" xfId="5" applyFill="1"/>
    <xf numFmtId="0" fontId="5" fillId="8" borderId="0" xfId="5" applyNumberFormat="1" applyFont="1" applyFill="1" applyBorder="1" applyAlignment="1">
      <alignment wrapText="1"/>
    </xf>
    <xf numFmtId="0" fontId="5" fillId="8" borderId="0" xfId="5" applyNumberFormat="1" applyFont="1" applyFill="1"/>
    <xf numFmtId="0" fontId="5" fillId="8" borderId="0" xfId="5" applyNumberFormat="1" applyFont="1" applyFill="1" applyBorder="1"/>
    <xf numFmtId="0" fontId="14" fillId="8" borderId="0" xfId="5" applyNumberFormat="1" applyFont="1" applyFill="1" applyBorder="1" applyAlignment="1">
      <alignment wrapText="1"/>
    </xf>
    <xf numFmtId="0" fontId="5" fillId="4" borderId="0" xfId="5" applyFont="1" applyFill="1" applyAlignment="1">
      <alignment horizontal="centerContinuous"/>
    </xf>
    <xf numFmtId="0" fontId="5" fillId="4" borderId="0" xfId="5" applyFont="1" applyFill="1"/>
    <xf numFmtId="0" fontId="11" fillId="9" borderId="0" xfId="5" applyFont="1" applyFill="1" applyAlignment="1">
      <alignment horizontal="centerContinuous"/>
    </xf>
    <xf numFmtId="4" fontId="5" fillId="4" borderId="0" xfId="5" applyNumberFormat="1" applyFont="1" applyFill="1"/>
    <xf numFmtId="4" fontId="11" fillId="4" borderId="0" xfId="5" applyNumberFormat="1" applyFont="1" applyFill="1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3" applyFont="1"/>
    <xf numFmtId="3" fontId="0" fillId="0" borderId="0" xfId="0" applyNumberFormat="1"/>
    <xf numFmtId="0" fontId="0" fillId="0" borderId="0" xfId="0" applyNumberFormat="1"/>
    <xf numFmtId="0" fontId="12" fillId="0" borderId="0" xfId="4" applyNumberFormat="1"/>
    <xf numFmtId="0" fontId="3" fillId="0" borderId="0" xfId="0" applyFont="1" applyAlignment="1"/>
    <xf numFmtId="3" fontId="5" fillId="0" borderId="0" xfId="3" applyNumberFormat="1" applyFont="1"/>
    <xf numFmtId="0" fontId="5" fillId="0" borderId="0" xfId="3" applyNumberFormat="1" applyFont="1"/>
    <xf numFmtId="166" fontId="15" fillId="2" borderId="0" xfId="4" applyFont="1" applyFill="1"/>
    <xf numFmtId="166" fontId="15" fillId="2" borderId="0" xfId="4" applyFont="1" applyFill="1" applyAlignment="1"/>
    <xf numFmtId="166" fontId="12" fillId="0" borderId="0" xfId="4" applyFont="1"/>
    <xf numFmtId="0" fontId="11" fillId="0" borderId="0" xfId="0" applyFont="1"/>
    <xf numFmtId="172" fontId="11" fillId="0" borderId="0" xfId="5" applyNumberFormat="1" applyFont="1"/>
    <xf numFmtId="172" fontId="5" fillId="0" borderId="0" xfId="5" applyNumberFormat="1" applyFont="1"/>
    <xf numFmtId="0" fontId="11" fillId="0" borderId="0" xfId="0" applyFont="1" applyAlignment="1">
      <alignment horizontal="left"/>
    </xf>
    <xf numFmtId="2" fontId="15" fillId="2" borderId="0" xfId="4" applyNumberFormat="1" applyFont="1" applyFill="1" applyProtection="1"/>
    <xf numFmtId="3" fontId="11" fillId="0" borderId="0" xfId="0" applyNumberFormat="1" applyFont="1"/>
    <xf numFmtId="2" fontId="0" fillId="5" borderId="0" xfId="0" applyNumberFormat="1" applyFill="1" applyBorder="1"/>
    <xf numFmtId="0" fontId="8" fillId="5" borderId="0" xfId="0" applyFont="1" applyFill="1" applyAlignment="1">
      <alignment wrapText="1"/>
    </xf>
    <xf numFmtId="164" fontId="9" fillId="5" borderId="0" xfId="0" applyNumberFormat="1" applyFont="1" applyFill="1"/>
    <xf numFmtId="0" fontId="8" fillId="7" borderId="0" xfId="5" applyFont="1" applyFill="1" applyAlignment="1">
      <alignment wrapText="1"/>
    </xf>
    <xf numFmtId="164" fontId="9" fillId="7" borderId="0" xfId="0" applyNumberFormat="1" applyFont="1" applyFill="1"/>
    <xf numFmtId="0" fontId="8" fillId="8" borderId="0" xfId="5" applyFont="1" applyFill="1" applyAlignment="1">
      <alignment wrapText="1"/>
    </xf>
    <xf numFmtId="164" fontId="9" fillId="8" borderId="0" xfId="0" applyNumberFormat="1" applyFont="1" applyFill="1"/>
    <xf numFmtId="0" fontId="8" fillId="9" borderId="0" xfId="0" applyFont="1" applyFill="1" applyAlignment="1">
      <alignment wrapText="1"/>
    </xf>
    <xf numFmtId="164" fontId="9" fillId="9" borderId="0" xfId="0" applyNumberFormat="1" applyFont="1" applyFill="1"/>
    <xf numFmtId="2" fontId="0" fillId="9" borderId="0" xfId="0" applyNumberFormat="1" applyFill="1" applyBorder="1"/>
    <xf numFmtId="166" fontId="15" fillId="0" borderId="0" xfId="4" applyFont="1"/>
    <xf numFmtId="2" fontId="3" fillId="0" borderId="0" xfId="0" applyNumberFormat="1" applyFont="1"/>
    <xf numFmtId="0" fontId="0" fillId="0" borderId="0" xfId="0" applyFill="1"/>
    <xf numFmtId="0" fontId="11" fillId="0" borderId="0" xfId="5" applyFont="1" applyFill="1" applyAlignment="1">
      <alignment horizontal="centerContinuous" wrapText="1"/>
    </xf>
    <xf numFmtId="164" fontId="5" fillId="0" borderId="0" xfId="5" applyNumberFormat="1" applyFont="1" applyFill="1"/>
    <xf numFmtId="164" fontId="5" fillId="0" borderId="0" xfId="5" applyNumberFormat="1" applyFont="1" applyFill="1" applyBorder="1"/>
    <xf numFmtId="0" fontId="8" fillId="0" borderId="0" xfId="5" applyFont="1" applyFill="1"/>
    <xf numFmtId="0" fontId="3" fillId="0" borderId="0" xfId="5" applyFill="1"/>
    <xf numFmtId="0" fontId="3" fillId="0" borderId="0" xfId="5" applyFont="1" applyFill="1" applyAlignment="1">
      <alignment horizontal="centerContinuous" wrapText="1"/>
    </xf>
    <xf numFmtId="167" fontId="5" fillId="0" borderId="0" xfId="0" applyNumberFormat="1" applyFont="1" applyProtection="1"/>
    <xf numFmtId="14" fontId="3" fillId="0" borderId="0" xfId="0" applyNumberFormat="1" applyFont="1"/>
    <xf numFmtId="166" fontId="12" fillId="0" borderId="0" xfId="4" applyFont="1" applyAlignment="1">
      <alignment horizontal="justify" wrapText="1"/>
    </xf>
    <xf numFmtId="0" fontId="3" fillId="0" borderId="0" xfId="5" applyFont="1" applyAlignment="1">
      <alignment wrapText="1"/>
    </xf>
    <xf numFmtId="165" fontId="3" fillId="0" borderId="0" xfId="5" applyNumberFormat="1"/>
    <xf numFmtId="0" fontId="9" fillId="2" borderId="0" xfId="5" applyFont="1" applyFill="1"/>
    <xf numFmtId="0" fontId="4" fillId="2" borderId="0" xfId="0" applyFont="1" applyFill="1"/>
    <xf numFmtId="2" fontId="10" fillId="2" borderId="0" xfId="0" applyNumberFormat="1" applyFont="1" applyFill="1" applyBorder="1"/>
    <xf numFmtId="0" fontId="3" fillId="2" borderId="0" xfId="5" applyFill="1"/>
    <xf numFmtId="0" fontId="9" fillId="0" borderId="0" xfId="5" applyNumberFormat="1" applyFont="1"/>
    <xf numFmtId="167" fontId="9" fillId="0" borderId="0" xfId="0" applyNumberFormat="1" applyFont="1" applyProtection="1"/>
    <xf numFmtId="0" fontId="9" fillId="0" borderId="0" xfId="0" applyFont="1"/>
    <xf numFmtId="3" fontId="3" fillId="0" borderId="0" xfId="0" applyNumberFormat="1" applyFont="1"/>
    <xf numFmtId="0" fontId="17" fillId="0" borderId="0" xfId="0" applyFont="1"/>
    <xf numFmtId="0" fontId="14" fillId="0" borderId="0" xfId="0" applyFont="1"/>
    <xf numFmtId="3" fontId="14" fillId="0" borderId="0" xfId="3" applyNumberFormat="1" applyFont="1"/>
    <xf numFmtId="0" fontId="3" fillId="0" borderId="0" xfId="0" applyFont="1" applyAlignment="1">
      <alignment horizontal="left" wrapText="1"/>
    </xf>
    <xf numFmtId="0" fontId="3" fillId="0" borderId="0" xfId="0" applyNumberFormat="1" applyFont="1"/>
    <xf numFmtId="2" fontId="3" fillId="2" borderId="0" xfId="5" applyNumberFormat="1" applyFont="1" applyFill="1" applyAlignment="1">
      <alignment horizontal="centerContinuous"/>
    </xf>
    <xf numFmtId="2" fontId="3" fillId="2" borderId="0" xfId="5" applyNumberFormat="1" applyFill="1" applyAlignment="1">
      <alignment horizontal="centerContinuous"/>
    </xf>
    <xf numFmtId="0" fontId="14" fillId="2" borderId="0" xfId="5" applyNumberFormat="1" applyFont="1" applyFill="1" applyBorder="1" applyAlignment="1">
      <alignment wrapText="1"/>
    </xf>
    <xf numFmtId="0" fontId="3" fillId="2" borderId="0" xfId="5" applyFill="1" applyAlignment="1">
      <alignment wrapText="1"/>
    </xf>
    <xf numFmtId="0" fontId="3" fillId="2" borderId="0" xfId="5" applyFont="1" applyFill="1" applyAlignment="1">
      <alignment wrapText="1"/>
    </xf>
    <xf numFmtId="0" fontId="5" fillId="2" borderId="0" xfId="5" applyNumberFormat="1" applyFont="1" applyFill="1" applyBorder="1"/>
    <xf numFmtId="165" fontId="3" fillId="2" borderId="0" xfId="5" applyNumberFormat="1" applyFill="1"/>
    <xf numFmtId="0" fontId="5" fillId="9" borderId="0" xfId="0" applyFont="1" applyFill="1"/>
    <xf numFmtId="2" fontId="11" fillId="2" borderId="0" xfId="5" applyNumberFormat="1" applyFont="1" applyFill="1" applyAlignment="1">
      <alignment horizontal="centerContinuous"/>
    </xf>
    <xf numFmtId="2" fontId="11" fillId="9" borderId="0" xfId="5" applyNumberFormat="1" applyFont="1" applyFill="1" applyAlignment="1">
      <alignment horizontal="centerContinuous"/>
    </xf>
    <xf numFmtId="0" fontId="11" fillId="2" borderId="0" xfId="5" applyFont="1" applyFill="1" applyAlignment="1">
      <alignment horizontal="center"/>
    </xf>
    <xf numFmtId="0" fontId="11" fillId="9" borderId="0" xfId="0" applyFont="1" applyFill="1" applyAlignment="1">
      <alignment wrapText="1"/>
    </xf>
    <xf numFmtId="0" fontId="11" fillId="2" borderId="0" xfId="5" applyFont="1" applyFill="1" applyAlignment="1">
      <alignment horizontal="centerContinuous"/>
    </xf>
    <xf numFmtId="4" fontId="5" fillId="2" borderId="0" xfId="5" applyNumberFormat="1" applyFont="1" applyFill="1"/>
    <xf numFmtId="0" fontId="3" fillId="0" borderId="0" xfId="0" applyFont="1" applyFill="1"/>
    <xf numFmtId="166" fontId="9" fillId="0" borderId="0" xfId="0" applyNumberFormat="1" applyFont="1"/>
    <xf numFmtId="0" fontId="17" fillId="0" borderId="0" xfId="0" applyFont="1" applyFill="1"/>
    <xf numFmtId="166" fontId="0" fillId="0" borderId="0" xfId="0" applyNumberFormat="1"/>
    <xf numFmtId="164" fontId="10" fillId="8" borderId="0" xfId="0" applyNumberFormat="1" applyFont="1" applyFill="1" applyBorder="1"/>
    <xf numFmtId="1" fontId="10" fillId="8" borderId="0" xfId="0" applyNumberFormat="1" applyFont="1" applyFill="1" applyBorder="1"/>
    <xf numFmtId="165" fontId="10" fillId="8" borderId="0" xfId="0" applyNumberFormat="1" applyFont="1" applyFill="1" applyBorder="1"/>
    <xf numFmtId="164" fontId="10" fillId="9" borderId="0" xfId="0" applyNumberFormat="1" applyFont="1" applyFill="1" applyBorder="1"/>
    <xf numFmtId="1" fontId="10" fillId="9" borderId="0" xfId="0" applyNumberFormat="1" applyFont="1" applyFill="1" applyBorder="1"/>
    <xf numFmtId="1" fontId="10" fillId="8" borderId="4" xfId="0" applyNumberFormat="1" applyFont="1" applyFill="1" applyBorder="1"/>
    <xf numFmtId="2" fontId="14" fillId="0" borderId="0" xfId="0" applyNumberFormat="1" applyFont="1"/>
    <xf numFmtId="164" fontId="10" fillId="4" borderId="0" xfId="0" applyNumberFormat="1" applyFont="1" applyFill="1" applyBorder="1"/>
    <xf numFmtId="1" fontId="10" fillId="4" borderId="0" xfId="0" applyNumberFormat="1" applyFont="1" applyFill="1" applyBorder="1"/>
    <xf numFmtId="165" fontId="10" fillId="4" borderId="0" xfId="0" applyNumberFormat="1" applyFont="1" applyFill="1" applyBorder="1"/>
    <xf numFmtId="0" fontId="13" fillId="0" borderId="0" xfId="0" applyFont="1"/>
    <xf numFmtId="0" fontId="8" fillId="7" borderId="0" xfId="5" applyFont="1" applyFill="1" applyAlignment="1">
      <alignment horizontal="centerContinuous" wrapText="1"/>
    </xf>
    <xf numFmtId="0" fontId="0" fillId="7" borderId="0" xfId="0" applyFill="1" applyAlignment="1">
      <alignment horizontal="centerContinuous"/>
    </xf>
    <xf numFmtId="0" fontId="8" fillId="4" borderId="0" xfId="5" applyFont="1" applyFill="1" applyAlignment="1">
      <alignment horizontal="centerContinuous" wrapText="1"/>
    </xf>
    <xf numFmtId="0" fontId="13" fillId="4" borderId="0" xfId="0" applyFont="1" applyFill="1"/>
    <xf numFmtId="0" fontId="8" fillId="3" borderId="0" xfId="5" applyFont="1" applyFill="1" applyAlignment="1">
      <alignment horizontal="centerContinuous" wrapText="1"/>
    </xf>
    <xf numFmtId="0" fontId="0" fillId="3" borderId="0" xfId="0" applyFill="1" applyAlignment="1">
      <alignment horizontal="centerContinuous"/>
    </xf>
    <xf numFmtId="0" fontId="8" fillId="10" borderId="0" xfId="5" applyFont="1" applyFill="1" applyAlignment="1">
      <alignment horizontal="centerContinuous" wrapText="1"/>
    </xf>
    <xf numFmtId="0" fontId="0" fillId="10" borderId="0" xfId="0" applyFill="1"/>
    <xf numFmtId="0" fontId="13" fillId="10" borderId="0" xfId="0" applyFont="1" applyFill="1"/>
    <xf numFmtId="0" fontId="5" fillId="0" borderId="0" xfId="0" quotePrefix="1" applyNumberFormat="1" applyFont="1"/>
    <xf numFmtId="0" fontId="9" fillId="0" borderId="0" xfId="5" applyFont="1"/>
    <xf numFmtId="0" fontId="11" fillId="11" borderId="0" xfId="5" applyFont="1" applyFill="1" applyAlignment="1">
      <alignment horizontal="centerContinuous"/>
    </xf>
    <xf numFmtId="0" fontId="3" fillId="11" borderId="0" xfId="5" applyFill="1"/>
    <xf numFmtId="0" fontId="11" fillId="11" borderId="0" xfId="5" applyFont="1" applyFill="1" applyAlignment="1">
      <alignment horizontal="centerContinuous" wrapText="1"/>
    </xf>
    <xf numFmtId="0" fontId="3" fillId="11" borderId="0" xfId="5" applyFill="1" applyAlignment="1">
      <alignment horizontal="centerContinuous" wrapText="1"/>
    </xf>
    <xf numFmtId="164" fontId="9" fillId="11" borderId="0" xfId="5" applyNumberFormat="1" applyFont="1" applyFill="1"/>
    <xf numFmtId="164" fontId="9" fillId="6" borderId="0" xfId="5" applyNumberFormat="1" applyFont="1" applyFill="1"/>
    <xf numFmtId="164" fontId="8" fillId="11" borderId="5" xfId="5" applyNumberFormat="1" applyFont="1" applyFill="1" applyBorder="1"/>
    <xf numFmtId="164" fontId="9" fillId="11" borderId="6" xfId="5" applyNumberFormat="1" applyFont="1" applyFill="1" applyBorder="1"/>
    <xf numFmtId="164" fontId="8" fillId="6" borderId="5" xfId="5" applyNumberFormat="1" applyFont="1" applyFill="1" applyBorder="1"/>
    <xf numFmtId="164" fontId="9" fillId="6" borderId="6" xfId="5" applyNumberFormat="1" applyFont="1" applyFill="1" applyBorder="1"/>
    <xf numFmtId="0" fontId="8" fillId="11" borderId="0" xfId="5" applyFont="1" applyFill="1"/>
    <xf numFmtId="16" fontId="11" fillId="0" borderId="0" xfId="5" applyNumberFormat="1" applyFont="1"/>
    <xf numFmtId="164" fontId="9" fillId="2" borderId="0" xfId="5" applyNumberFormat="1" applyFont="1" applyFill="1"/>
    <xf numFmtId="164" fontId="9" fillId="5" borderId="0" xfId="5" applyNumberFormat="1" applyFont="1" applyFill="1"/>
    <xf numFmtId="164" fontId="8" fillId="2" borderId="5" xfId="5" applyNumberFormat="1" applyFont="1" applyFill="1" applyBorder="1"/>
    <xf numFmtId="164" fontId="9" fillId="2" borderId="6" xfId="5" applyNumberFormat="1" applyFont="1" applyFill="1" applyBorder="1"/>
    <xf numFmtId="164" fontId="8" fillId="5" borderId="5" xfId="5" applyNumberFormat="1" applyFont="1" applyFill="1" applyBorder="1"/>
    <xf numFmtId="164" fontId="9" fillId="5" borderId="6" xfId="5" applyNumberFormat="1" applyFont="1" applyFill="1" applyBorder="1"/>
    <xf numFmtId="4" fontId="11" fillId="0" borderId="0" xfId="5" applyNumberFormat="1" applyFont="1"/>
    <xf numFmtId="0" fontId="3" fillId="9" borderId="0" xfId="5" applyFill="1"/>
    <xf numFmtId="0" fontId="11" fillId="7" borderId="0" xfId="5" applyFont="1" applyFill="1" applyAlignment="1">
      <alignment horizontal="centerContinuous"/>
    </xf>
    <xf numFmtId="0" fontId="3" fillId="7" borderId="0" xfId="5" applyFill="1"/>
    <xf numFmtId="0" fontId="11" fillId="7" borderId="0" xfId="5" applyFont="1" applyFill="1" applyAlignment="1">
      <alignment horizontal="centerContinuous" wrapText="1"/>
    </xf>
    <xf numFmtId="0" fontId="3" fillId="7" borderId="0" xfId="5" applyFill="1" applyAlignment="1">
      <alignment horizontal="centerContinuous" wrapText="1"/>
    </xf>
    <xf numFmtId="164" fontId="9" fillId="9" borderId="0" xfId="5" applyNumberFormat="1" applyFont="1" applyFill="1"/>
    <xf numFmtId="164" fontId="9" fillId="7" borderId="0" xfId="5" applyNumberFormat="1" applyFont="1" applyFill="1"/>
    <xf numFmtId="164" fontId="8" fillId="9" borderId="5" xfId="5" applyNumberFormat="1" applyFont="1" applyFill="1" applyBorder="1"/>
    <xf numFmtId="164" fontId="9" fillId="9" borderId="6" xfId="5" applyNumberFormat="1" applyFont="1" applyFill="1" applyBorder="1"/>
    <xf numFmtId="164" fontId="8" fillId="7" borderId="5" xfId="5" applyNumberFormat="1" applyFont="1" applyFill="1" applyBorder="1"/>
    <xf numFmtId="164" fontId="9" fillId="7" borderId="6" xfId="5" applyNumberFormat="1" applyFont="1" applyFill="1" applyBorder="1"/>
    <xf numFmtId="0" fontId="8" fillId="7" borderId="0" xfId="5" applyFont="1" applyFill="1"/>
    <xf numFmtId="165" fontId="3" fillId="0" borderId="7" xfId="0" applyNumberFormat="1" applyFont="1" applyBorder="1"/>
    <xf numFmtId="165" fontId="3" fillId="0" borderId="8" xfId="0" applyNumberFormat="1" applyFont="1" applyBorder="1"/>
    <xf numFmtId="165" fontId="3" fillId="0" borderId="9" xfId="0" applyNumberFormat="1" applyFont="1" applyBorder="1"/>
    <xf numFmtId="165" fontId="3" fillId="0" borderId="10" xfId="0" applyNumberFormat="1" applyFont="1" applyBorder="1"/>
    <xf numFmtId="165" fontId="3" fillId="0" borderId="11" xfId="0" applyNumberFormat="1" applyFont="1" applyBorder="1"/>
    <xf numFmtId="165" fontId="3" fillId="0" borderId="12" xfId="0" applyNumberFormat="1" applyFont="1" applyBorder="1"/>
    <xf numFmtId="165" fontId="16" fillId="0" borderId="10" xfId="0" applyNumberFormat="1" applyFont="1" applyBorder="1"/>
    <xf numFmtId="165" fontId="16" fillId="0" borderId="11" xfId="0" applyNumberFormat="1" applyFont="1" applyBorder="1"/>
    <xf numFmtId="165" fontId="16" fillId="0" borderId="12" xfId="0" applyNumberFormat="1" applyFont="1" applyBorder="1"/>
    <xf numFmtId="165" fontId="9" fillId="0" borderId="10" xfId="0" applyNumberFormat="1" applyFont="1" applyBorder="1"/>
    <xf numFmtId="165" fontId="9" fillId="0" borderId="11" xfId="0" applyNumberFormat="1" applyFont="1" applyBorder="1"/>
    <xf numFmtId="165" fontId="9" fillId="0" borderId="12" xfId="0" applyNumberFormat="1" applyFont="1" applyBorder="1"/>
    <xf numFmtId="165" fontId="3" fillId="7" borderId="13" xfId="0" applyNumberFormat="1" applyFont="1" applyFill="1" applyBorder="1"/>
    <xf numFmtId="165" fontId="3" fillId="7" borderId="14" xfId="0" applyNumberFormat="1" applyFont="1" applyFill="1" applyBorder="1"/>
    <xf numFmtId="165" fontId="3" fillId="7" borderId="15" xfId="0" applyNumberFormat="1" applyFont="1" applyFill="1" applyBorder="1"/>
    <xf numFmtId="165" fontId="3" fillId="7" borderId="10" xfId="0" applyNumberFormat="1" applyFont="1" applyFill="1" applyBorder="1"/>
    <xf numFmtId="165" fontId="3" fillId="7" borderId="11" xfId="0" applyNumberFormat="1" applyFont="1" applyFill="1" applyBorder="1"/>
    <xf numFmtId="165" fontId="3" fillId="7" borderId="12" xfId="0" applyNumberFormat="1" applyFont="1" applyFill="1" applyBorder="1"/>
    <xf numFmtId="0" fontId="11" fillId="4" borderId="0" xfId="5" applyFont="1" applyFill="1" applyAlignment="1">
      <alignment wrapText="1"/>
    </xf>
    <xf numFmtId="2" fontId="11" fillId="0" borderId="0" xfId="0" applyNumberFormat="1" applyFont="1"/>
    <xf numFmtId="0" fontId="0" fillId="0" borderId="0" xfId="0" quotePrefix="1" applyNumberFormat="1"/>
    <xf numFmtId="0" fontId="18" fillId="0" borderId="0" xfId="1" applyNumberFormat="1" applyFont="1" applyFill="1" applyBorder="1" applyAlignment="1" applyProtection="1"/>
    <xf numFmtId="0" fontId="22" fillId="0" borderId="0" xfId="0" applyNumberFormat="1" applyFont="1"/>
    <xf numFmtId="4" fontId="11" fillId="0" borderId="0" xfId="0" applyNumberFormat="1" applyFont="1"/>
    <xf numFmtId="2" fontId="11" fillId="12" borderId="0" xfId="0" applyNumberFormat="1" applyFont="1" applyFill="1"/>
    <xf numFmtId="14" fontId="5" fillId="0" borderId="0" xfId="5" applyNumberFormat="1" applyFont="1"/>
    <xf numFmtId="0" fontId="22" fillId="0" borderId="0" xfId="0" applyFont="1"/>
    <xf numFmtId="14" fontId="5" fillId="0" borderId="0" xfId="0" applyNumberFormat="1" applyFont="1"/>
    <xf numFmtId="0" fontId="5" fillId="0" borderId="0" xfId="6"/>
    <xf numFmtId="0" fontId="11" fillId="4" borderId="0" xfId="5" applyFont="1" applyFill="1" applyAlignment="1">
      <alignment horizontal="center" wrapText="1"/>
    </xf>
    <xf numFmtId="0" fontId="24" fillId="4" borderId="0" xfId="5" applyFont="1" applyFill="1"/>
    <xf numFmtId="0" fontId="24" fillId="4" borderId="0" xfId="5" applyFont="1" applyFill="1" applyAlignment="1">
      <alignment horizontal="centerContinuous" wrapText="1"/>
    </xf>
    <xf numFmtId="0" fontId="8" fillId="13" borderId="0" xfId="0" applyFont="1" applyFill="1"/>
    <xf numFmtId="4" fontId="0" fillId="0" borderId="0" xfId="0" applyNumberFormat="1"/>
    <xf numFmtId="0" fontId="3" fillId="0" borderId="0" xfId="5" applyFont="1" applyFill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12" borderId="0" xfId="0" applyFill="1"/>
    <xf numFmtId="173" fontId="0" fillId="0" borderId="0" xfId="0" applyNumberFormat="1"/>
    <xf numFmtId="0" fontId="11" fillId="0" borderId="0" xfId="0" applyFont="1" applyAlignment="1">
      <alignment wrapText="1"/>
    </xf>
    <xf numFmtId="2" fontId="11" fillId="0" borderId="0" xfId="0" applyNumberFormat="1" applyFont="1" applyFill="1"/>
    <xf numFmtId="14" fontId="3" fillId="0" borderId="0" xfId="5" applyNumberFormat="1" applyFont="1"/>
    <xf numFmtId="0" fontId="3" fillId="0" borderId="0" xfId="6" applyFont="1"/>
    <xf numFmtId="4" fontId="5" fillId="0" borderId="0" xfId="5" applyNumberFormat="1" applyFont="1" applyFill="1"/>
    <xf numFmtId="0" fontId="11" fillId="0" borderId="0" xfId="0" applyFont="1" applyFill="1"/>
    <xf numFmtId="0" fontId="2" fillId="0" borderId="0" xfId="7"/>
    <xf numFmtId="0" fontId="2" fillId="0" borderId="0" xfId="7" applyAlignment="1">
      <alignment horizontal="center"/>
    </xf>
    <xf numFmtId="0" fontId="2" fillId="0" borderId="0" xfId="7" applyFill="1" applyAlignment="1">
      <alignment horizontal="center"/>
    </xf>
    <xf numFmtId="0" fontId="2" fillId="0" borderId="0" xfId="7" applyFont="1" applyFill="1"/>
    <xf numFmtId="0" fontId="2" fillId="0" borderId="0" xfId="7" applyFont="1" applyFill="1" applyAlignment="1">
      <alignment horizontal="center"/>
    </xf>
    <xf numFmtId="0" fontId="2" fillId="0" borderId="0" xfId="7" applyFont="1" applyFill="1" applyBorder="1" applyAlignment="1">
      <alignment horizontal="center"/>
    </xf>
    <xf numFmtId="0" fontId="3" fillId="0" borderId="0" xfId="7" applyFont="1" applyFill="1" applyBorder="1" applyAlignment="1">
      <alignment horizontal="center" wrapText="1"/>
    </xf>
    <xf numFmtId="0" fontId="3" fillId="0" borderId="0" xfId="7" applyFont="1" applyFill="1" applyBorder="1" applyAlignment="1">
      <alignment horizontal="center"/>
    </xf>
    <xf numFmtId="0" fontId="25" fillId="0" borderId="0" xfId="7" applyFont="1" applyFill="1" applyBorder="1" applyAlignment="1">
      <alignment horizontal="center"/>
    </xf>
    <xf numFmtId="0" fontId="2" fillId="0" borderId="16" xfId="7" applyBorder="1"/>
    <xf numFmtId="14" fontId="2" fillId="0" borderId="16" xfId="7" applyNumberFormat="1" applyBorder="1" applyAlignment="1">
      <alignment horizontal="center"/>
    </xf>
    <xf numFmtId="17" fontId="2" fillId="0" borderId="16" xfId="7" applyNumberFormat="1" applyFill="1" applyBorder="1" applyAlignment="1">
      <alignment horizontal="center"/>
    </xf>
    <xf numFmtId="14" fontId="2" fillId="0" borderId="16" xfId="7" applyNumberFormat="1" applyFill="1" applyBorder="1" applyAlignment="1">
      <alignment horizontal="center"/>
    </xf>
    <xf numFmtId="174" fontId="2" fillId="0" borderId="16" xfId="7" applyNumberFormat="1" applyBorder="1" applyAlignment="1">
      <alignment horizontal="center"/>
    </xf>
    <xf numFmtId="15" fontId="2" fillId="0" borderId="16" xfId="7" applyNumberFormat="1" applyBorder="1" applyAlignment="1">
      <alignment horizontal="center"/>
    </xf>
    <xf numFmtId="0" fontId="2" fillId="0" borderId="16" xfId="7" applyBorder="1" applyAlignment="1">
      <alignment horizontal="center"/>
    </xf>
    <xf numFmtId="0" fontId="2" fillId="0" borderId="0" xfId="7" applyAlignment="1">
      <alignment horizontal="left"/>
    </xf>
    <xf numFmtId="0" fontId="2" fillId="0" borderId="0" xfId="7" applyNumberFormat="1" applyAlignment="1">
      <alignment horizontal="center"/>
    </xf>
    <xf numFmtId="0" fontId="1" fillId="0" borderId="0" xfId="7" applyFont="1" applyFill="1" applyBorder="1" applyAlignment="1">
      <alignment horizontal="left"/>
    </xf>
    <xf numFmtId="0" fontId="13" fillId="12" borderId="0" xfId="0" applyFont="1" applyFill="1"/>
    <xf numFmtId="0" fontId="24" fillId="6" borderId="0" xfId="5" applyFont="1" applyFill="1"/>
    <xf numFmtId="0" fontId="24" fillId="6" borderId="0" xfId="5" applyFont="1" applyFill="1" applyAlignment="1">
      <alignment wrapText="1"/>
    </xf>
    <xf numFmtId="4" fontId="3" fillId="0" borderId="0" xfId="5" applyNumberFormat="1" applyFont="1"/>
    <xf numFmtId="10" fontId="3" fillId="0" borderId="0" xfId="5" applyNumberFormat="1" applyFont="1"/>
    <xf numFmtId="0" fontId="3" fillId="0" borderId="0" xfId="5" applyNumberFormat="1" applyFont="1"/>
    <xf numFmtId="167" fontId="3" fillId="0" borderId="0" xfId="0" applyNumberFormat="1" applyFont="1" applyProtection="1"/>
    <xf numFmtId="10" fontId="3" fillId="0" borderId="0" xfId="0" applyNumberFormat="1" applyFont="1"/>
    <xf numFmtId="172" fontId="3" fillId="0" borderId="0" xfId="5" applyNumberFormat="1" applyFont="1"/>
    <xf numFmtId="166" fontId="3" fillId="0" borderId="0" xfId="0" applyNumberFormat="1" applyFont="1"/>
    <xf numFmtId="175" fontId="13" fillId="0" borderId="0" xfId="0" applyNumberFormat="1" applyFont="1"/>
    <xf numFmtId="0" fontId="23" fillId="0" borderId="0" xfId="0" applyFont="1"/>
    <xf numFmtId="165" fontId="9" fillId="0" borderId="12" xfId="2" applyNumberFormat="1" applyFont="1" applyBorder="1"/>
    <xf numFmtId="0" fontId="8" fillId="8" borderId="0" xfId="5" applyNumberFormat="1" applyFont="1" applyFill="1"/>
    <xf numFmtId="2" fontId="3" fillId="0" borderId="0" xfId="8" applyNumberFormat="1"/>
    <xf numFmtId="2" fontId="10" fillId="7" borderId="0" xfId="8" applyNumberFormat="1" applyFont="1" applyFill="1" applyBorder="1"/>
    <xf numFmtId="2" fontId="10" fillId="14" borderId="0" xfId="8" applyNumberFormat="1" applyFont="1" applyFill="1" applyBorder="1"/>
    <xf numFmtId="2" fontId="11" fillId="0" borderId="0" xfId="8" applyNumberFormat="1" applyFont="1"/>
    <xf numFmtId="4" fontId="5" fillId="12" borderId="0" xfId="5" applyNumberFormat="1" applyFont="1" applyFill="1"/>
    <xf numFmtId="4" fontId="5" fillId="0" borderId="0" xfId="0" applyNumberFormat="1" applyFont="1" applyFill="1"/>
    <xf numFmtId="3" fontId="5" fillId="0" borderId="0" xfId="0" applyNumberFormat="1" applyFont="1" applyFill="1"/>
    <xf numFmtId="175" fontId="0" fillId="0" borderId="0" xfId="0" applyNumberFormat="1"/>
    <xf numFmtId="0" fontId="4" fillId="12" borderId="1" xfId="0" applyFont="1" applyFill="1" applyBorder="1"/>
    <xf numFmtId="0" fontId="7" fillId="12" borderId="1" xfId="0" applyFont="1" applyFill="1" applyBorder="1"/>
    <xf numFmtId="0" fontId="23" fillId="12" borderId="0" xfId="0" applyFont="1" applyFill="1"/>
    <xf numFmtId="2" fontId="11" fillId="12" borderId="0" xfId="8" applyNumberFormat="1" applyFont="1" applyFill="1"/>
    <xf numFmtId="0" fontId="3" fillId="12" borderId="0" xfId="5" applyFill="1"/>
    <xf numFmtId="165" fontId="3" fillId="12" borderId="0" xfId="5" applyNumberFormat="1" applyFill="1"/>
    <xf numFmtId="0" fontId="4" fillId="12" borderId="0" xfId="5" applyFont="1" applyFill="1"/>
    <xf numFmtId="0" fontId="5" fillId="12" borderId="0" xfId="5" applyFont="1" applyFill="1"/>
    <xf numFmtId="0" fontId="5" fillId="12" borderId="0" xfId="0" applyFont="1" applyFill="1"/>
    <xf numFmtId="10" fontId="5" fillId="12" borderId="0" xfId="0" applyNumberFormat="1" applyFont="1" applyFill="1"/>
    <xf numFmtId="10" fontId="3" fillId="12" borderId="0" xfId="0" applyNumberFormat="1" applyFont="1" applyFill="1"/>
    <xf numFmtId="4" fontId="3" fillId="12" borderId="0" xfId="5" applyNumberFormat="1" applyFont="1" applyFill="1"/>
    <xf numFmtId="4" fontId="5" fillId="12" borderId="0" xfId="0" applyNumberFormat="1" applyFont="1" applyFill="1"/>
    <xf numFmtId="0" fontId="3" fillId="12" borderId="0" xfId="0" applyFont="1" applyFill="1"/>
    <xf numFmtId="3" fontId="0" fillId="12" borderId="0" xfId="0" applyNumberFormat="1" applyFill="1"/>
    <xf numFmtId="2" fontId="11" fillId="0" borderId="0" xfId="8" applyNumberFormat="1" applyFont="1" applyFill="1"/>
    <xf numFmtId="0" fontId="4" fillId="12" borderId="0" xfId="0" applyFont="1" applyFill="1"/>
    <xf numFmtId="2" fontId="3" fillId="12" borderId="0" xfId="8" applyNumberFormat="1" applyFill="1"/>
    <xf numFmtId="2" fontId="0" fillId="12" borderId="0" xfId="0" applyNumberFormat="1" applyFill="1"/>
    <xf numFmtId="2" fontId="3" fillId="0" borderId="0" xfId="8" applyNumberFormat="1" applyFill="1"/>
    <xf numFmtId="2" fontId="0" fillId="0" borderId="0" xfId="0" applyNumberFormat="1" applyFill="1"/>
    <xf numFmtId="0" fontId="5" fillId="0" borderId="0" xfId="5" applyNumberFormat="1" applyFont="1" applyFill="1" applyBorder="1"/>
    <xf numFmtId="165" fontId="3" fillId="0" borderId="0" xfId="5" applyNumberFormat="1" applyFill="1"/>
    <xf numFmtId="0" fontId="4" fillId="0" borderId="1" xfId="0" applyFont="1" applyFill="1" applyBorder="1"/>
    <xf numFmtId="0" fontId="7" fillId="0" borderId="1" xfId="0" applyFont="1" applyFill="1" applyBorder="1"/>
    <xf numFmtId="0" fontId="23" fillId="0" borderId="0" xfId="0" applyFont="1" applyFill="1"/>
    <xf numFmtId="0" fontId="4" fillId="12" borderId="0" xfId="0" applyFont="1" applyFill="1" applyBorder="1"/>
    <xf numFmtId="0" fontId="7" fillId="12" borderId="0" xfId="0" applyFont="1" applyFill="1" applyBorder="1"/>
    <xf numFmtId="165" fontId="9" fillId="12" borderId="12" xfId="2" applyNumberFormat="1" applyFont="1" applyFill="1" applyBorder="1"/>
    <xf numFmtId="0" fontId="0" fillId="0" borderId="0" xfId="0" applyFill="1" applyAlignment="1">
      <alignment horizontal="center"/>
    </xf>
    <xf numFmtId="0" fontId="3" fillId="0" borderId="0" xfId="0" quotePrefix="1" applyFont="1" applyFill="1"/>
    <xf numFmtId="0" fontId="5" fillId="0" borderId="0" xfId="0" applyFont="1" applyFill="1" applyBorder="1"/>
    <xf numFmtId="0" fontId="22" fillId="0" borderId="0" xfId="0" applyFont="1" applyFill="1"/>
    <xf numFmtId="0" fontId="7" fillId="0" borderId="0" xfId="0" applyFont="1" applyFill="1" applyBorder="1"/>
    <xf numFmtId="2" fontId="10" fillId="0" borderId="0" xfId="8" applyNumberFormat="1" applyFont="1" applyFill="1" applyBorder="1"/>
    <xf numFmtId="0" fontId="5" fillId="0" borderId="0" xfId="5" applyNumberFormat="1" applyFont="1" applyFill="1"/>
    <xf numFmtId="0" fontId="24" fillId="0" borderId="0" xfId="5" applyFont="1"/>
    <xf numFmtId="4" fontId="24" fillId="0" borderId="0" xfId="0" applyNumberFormat="1" applyFont="1"/>
    <xf numFmtId="176" fontId="0" fillId="0" borderId="0" xfId="1" applyNumberFormat="1" applyFont="1"/>
    <xf numFmtId="177" fontId="0" fillId="0" borderId="0" xfId="0" applyNumberFormat="1"/>
    <xf numFmtId="178" fontId="5" fillId="12" borderId="0" xfId="5" applyNumberFormat="1" applyFont="1" applyFill="1"/>
    <xf numFmtId="178" fontId="5" fillId="0" borderId="0" xfId="5" applyNumberFormat="1" applyFont="1"/>
    <xf numFmtId="178" fontId="24" fillId="0" borderId="0" xfId="0" applyNumberFormat="1" applyFont="1"/>
    <xf numFmtId="178" fontId="5" fillId="0" borderId="0" xfId="0" applyNumberFormat="1" applyFont="1"/>
    <xf numFmtId="178" fontId="5" fillId="0" borderId="0" xfId="0" applyNumberFormat="1" applyFont="1" applyFill="1"/>
    <xf numFmtId="178" fontId="0" fillId="0" borderId="0" xfId="0" applyNumberFormat="1"/>
    <xf numFmtId="178" fontId="5" fillId="0" borderId="0" xfId="5" applyNumberFormat="1" applyFont="1" applyFill="1"/>
    <xf numFmtId="10" fontId="5" fillId="0" borderId="0" xfId="0" applyNumberFormat="1" applyFont="1" applyFill="1"/>
    <xf numFmtId="10" fontId="3" fillId="0" borderId="0" xfId="0" applyNumberFormat="1" applyFont="1" applyFill="1"/>
    <xf numFmtId="4" fontId="3" fillId="0" borderId="0" xfId="5" applyNumberFormat="1" applyFont="1" applyFill="1"/>
    <xf numFmtId="0" fontId="8" fillId="15" borderId="0" xfId="5" applyFont="1" applyFill="1" applyAlignment="1">
      <alignment wrapText="1"/>
    </xf>
    <xf numFmtId="0" fontId="0" fillId="15" borderId="0" xfId="0" applyFill="1"/>
    <xf numFmtId="0" fontId="5" fillId="15" borderId="0" xfId="5" applyNumberFormat="1" applyFont="1" applyFill="1"/>
    <xf numFmtId="0" fontId="14" fillId="15" borderId="0" xfId="5" applyNumberFormat="1" applyFont="1" applyFill="1" applyBorder="1" applyAlignment="1">
      <alignment wrapText="1"/>
    </xf>
    <xf numFmtId="0" fontId="5" fillId="15" borderId="0" xfId="5" applyNumberFormat="1" applyFont="1" applyFill="1" applyBorder="1" applyAlignment="1">
      <alignment wrapText="1"/>
    </xf>
    <xf numFmtId="0" fontId="5" fillId="15" borderId="0" xfId="5" applyNumberFormat="1" applyFont="1" applyFill="1" applyBorder="1"/>
    <xf numFmtId="164" fontId="0" fillId="0" borderId="0" xfId="0" applyNumberFormat="1"/>
    <xf numFmtId="0" fontId="3" fillId="12" borderId="0" xfId="5" applyFont="1" applyFill="1"/>
    <xf numFmtId="0" fontId="27" fillId="0" borderId="0" xfId="0" applyFont="1" applyBorder="1" applyAlignment="1">
      <alignment horizontal="right" vertical="center"/>
    </xf>
    <xf numFmtId="0" fontId="27" fillId="0" borderId="0" xfId="0" applyFont="1" applyFill="1" applyBorder="1" applyAlignment="1">
      <alignment horizontal="right" vertical="center"/>
    </xf>
    <xf numFmtId="1" fontId="0" fillId="0" borderId="0" xfId="0" applyNumberFormat="1"/>
    <xf numFmtId="176" fontId="27" fillId="0" borderId="0" xfId="1" applyNumberFormat="1" applyFont="1" applyBorder="1" applyAlignment="1">
      <alignment vertical="center"/>
    </xf>
    <xf numFmtId="176" fontId="11" fillId="0" borderId="0" xfId="1" applyNumberFormat="1" applyFont="1"/>
    <xf numFmtId="176" fontId="28" fillId="0" borderId="0" xfId="1" applyNumberFormat="1" applyFont="1" applyBorder="1" applyAlignment="1">
      <alignment horizontal="right" vertical="center"/>
    </xf>
    <xf numFmtId="9" fontId="0" fillId="0" borderId="0" xfId="9" applyFont="1"/>
    <xf numFmtId="173" fontId="0" fillId="0" borderId="0" xfId="9" applyNumberFormat="1" applyFont="1"/>
    <xf numFmtId="9" fontId="28" fillId="0" borderId="0" xfId="9" applyFont="1" applyBorder="1" applyAlignment="1">
      <alignment horizontal="right" vertical="center"/>
    </xf>
    <xf numFmtId="176" fontId="0" fillId="0" borderId="0" xfId="0" applyNumberFormat="1"/>
    <xf numFmtId="165" fontId="3" fillId="0" borderId="0" xfId="10" applyNumberFormat="1"/>
    <xf numFmtId="165" fontId="10" fillId="0" borderId="0" xfId="10" applyNumberFormat="1" applyFont="1" applyFill="1" applyBorder="1"/>
    <xf numFmtId="165" fontId="3" fillId="15" borderId="0" xfId="10" applyNumberFormat="1" applyFill="1"/>
    <xf numFmtId="165" fontId="10" fillId="15" borderId="0" xfId="10" applyNumberFormat="1" applyFont="1" applyFill="1" applyBorder="1"/>
    <xf numFmtId="0" fontId="3" fillId="0" borderId="0" xfId="5" applyFont="1" applyFill="1" applyAlignment="1">
      <alignment wrapText="1"/>
    </xf>
    <xf numFmtId="179" fontId="5" fillId="0" borderId="0" xfId="1" applyNumberFormat="1" applyFont="1" applyFill="1"/>
    <xf numFmtId="179" fontId="22" fillId="12" borderId="0" xfId="1" applyNumberFormat="1" applyFont="1" applyFill="1"/>
    <xf numFmtId="0" fontId="22" fillId="12" borderId="0" xfId="0" applyFont="1" applyFill="1"/>
    <xf numFmtId="179" fontId="11" fillId="0" borderId="0" xfId="0" applyNumberFormat="1" applyFont="1" applyFill="1"/>
    <xf numFmtId="4" fontId="3" fillId="0" borderId="0" xfId="0" applyNumberFormat="1" applyFont="1" applyFill="1"/>
    <xf numFmtId="43" fontId="5" fillId="0" borderId="0" xfId="0" applyNumberFormat="1" applyFont="1" applyFill="1"/>
    <xf numFmtId="164" fontId="3" fillId="0" borderId="0" xfId="0" applyNumberFormat="1" applyFont="1"/>
    <xf numFmtId="164" fontId="3" fillId="12" borderId="0" xfId="0" applyNumberFormat="1" applyFont="1" applyFill="1"/>
    <xf numFmtId="0" fontId="5" fillId="6" borderId="0" xfId="5" applyFont="1" applyFill="1" applyAlignment="1">
      <alignment horizontal="centerContinuous" vertical="top"/>
    </xf>
  </cellXfs>
  <cellStyles count="11">
    <cellStyle name="Comma" xfId="1" builtinId="3"/>
    <cellStyle name="Normal" xfId="0" builtinId="0"/>
    <cellStyle name="Normal 2" xfId="7" xr:uid="{00000000-0005-0000-0000-000002000000}"/>
    <cellStyle name="Normal 3" xfId="2" xr:uid="{00000000-0005-0000-0000-000003000000}"/>
    <cellStyle name="Normal_ABCDIS1" xfId="3" xr:uid="{00000000-0005-0000-0000-000004000000}"/>
    <cellStyle name="Normal_Beauclair nut load" xfId="4" xr:uid="{00000000-0005-0000-0000-000005000000}"/>
    <cellStyle name="Normal_PLRM_1990-95_march8_02" xfId="5" xr:uid="{00000000-0005-0000-0000-000006000000}"/>
    <cellStyle name="Normal_UORBRunnoff" xfId="10" xr:uid="{00000000-0005-0000-0000-000007000000}"/>
    <cellStyle name="Normal_UORBSCSRunnoff" xfId="8" xr:uid="{00000000-0005-0000-0000-000008000000}"/>
    <cellStyle name="Percent" xfId="9" builtinId="5"/>
    <cellStyle name="Style 1" xfId="6" xr:uid="{00000000-0005-0000-0000-00000A000000}"/>
  </cellStyles>
  <dxfs count="0"/>
  <tableStyles count="0" defaultTableStyle="TableStyleMedium9" defaultPivotStyle="PivotStyleLight16"/>
  <colors>
    <mruColors>
      <color rgb="FFCCFFCC"/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8.xml"/><Relationship Id="rId13" Type="http://schemas.openxmlformats.org/officeDocument/2006/relationships/worksheet" Target="worksheets/sheet4.xml"/><Relationship Id="rId18" Type="http://schemas.openxmlformats.org/officeDocument/2006/relationships/worksheet" Target="worksheets/sheet9.xml"/><Relationship Id="rId26" Type="http://schemas.openxmlformats.org/officeDocument/2006/relationships/worksheet" Target="worksheets/sheet17.xml"/><Relationship Id="rId39" Type="http://schemas.openxmlformats.org/officeDocument/2006/relationships/chartsheet" Target="chartsheets/sheet14.xml"/><Relationship Id="rId3" Type="http://schemas.openxmlformats.org/officeDocument/2006/relationships/chartsheet" Target="chartsheets/sheet3.xml"/><Relationship Id="rId21" Type="http://schemas.openxmlformats.org/officeDocument/2006/relationships/worksheet" Target="worksheets/sheet12.xml"/><Relationship Id="rId34" Type="http://schemas.openxmlformats.org/officeDocument/2006/relationships/chartsheet" Target="chartsheets/sheet10.xml"/><Relationship Id="rId42" Type="http://schemas.openxmlformats.org/officeDocument/2006/relationships/worksheet" Target="worksheets/sheet28.xml"/><Relationship Id="rId7" Type="http://schemas.openxmlformats.org/officeDocument/2006/relationships/chartsheet" Target="chartsheets/sheet7.xml"/><Relationship Id="rId12" Type="http://schemas.openxmlformats.org/officeDocument/2006/relationships/worksheet" Target="worksheets/sheet3.xml"/><Relationship Id="rId17" Type="http://schemas.openxmlformats.org/officeDocument/2006/relationships/worksheet" Target="worksheets/sheet8.xml"/><Relationship Id="rId25" Type="http://schemas.openxmlformats.org/officeDocument/2006/relationships/worksheet" Target="worksheets/sheet16.xml"/><Relationship Id="rId33" Type="http://schemas.openxmlformats.org/officeDocument/2006/relationships/worksheet" Target="worksheets/sheet24.xml"/><Relationship Id="rId38" Type="http://schemas.openxmlformats.org/officeDocument/2006/relationships/chartsheet" Target="chartsheets/sheet13.xml"/><Relationship Id="rId46" Type="http://schemas.openxmlformats.org/officeDocument/2006/relationships/calcChain" Target="calcChain.xml"/><Relationship Id="rId2" Type="http://schemas.openxmlformats.org/officeDocument/2006/relationships/chartsheet" Target="chartsheets/sheet2.xml"/><Relationship Id="rId16" Type="http://schemas.openxmlformats.org/officeDocument/2006/relationships/worksheet" Target="worksheets/sheet7.xml"/><Relationship Id="rId20" Type="http://schemas.openxmlformats.org/officeDocument/2006/relationships/worksheet" Target="worksheets/sheet11.xml"/><Relationship Id="rId29" Type="http://schemas.openxmlformats.org/officeDocument/2006/relationships/worksheet" Target="worksheets/sheet20.xml"/><Relationship Id="rId41" Type="http://schemas.openxmlformats.org/officeDocument/2006/relationships/worksheet" Target="worksheets/sheet27.xml"/><Relationship Id="rId1" Type="http://schemas.openxmlformats.org/officeDocument/2006/relationships/chartsheet" Target="chartsheets/sheet1.xml"/><Relationship Id="rId6" Type="http://schemas.openxmlformats.org/officeDocument/2006/relationships/chartsheet" Target="chartsheets/sheet6.xml"/><Relationship Id="rId11" Type="http://schemas.openxmlformats.org/officeDocument/2006/relationships/worksheet" Target="worksheets/sheet2.xml"/><Relationship Id="rId24" Type="http://schemas.openxmlformats.org/officeDocument/2006/relationships/worksheet" Target="worksheets/sheet15.xml"/><Relationship Id="rId32" Type="http://schemas.openxmlformats.org/officeDocument/2006/relationships/worksheet" Target="worksheets/sheet23.xml"/><Relationship Id="rId37" Type="http://schemas.openxmlformats.org/officeDocument/2006/relationships/chartsheet" Target="chartsheets/sheet12.xml"/><Relationship Id="rId40" Type="http://schemas.openxmlformats.org/officeDocument/2006/relationships/worksheet" Target="worksheets/sheet26.xml"/><Relationship Id="rId45" Type="http://schemas.openxmlformats.org/officeDocument/2006/relationships/sharedStrings" Target="sharedStrings.xml"/><Relationship Id="rId5" Type="http://schemas.openxmlformats.org/officeDocument/2006/relationships/chartsheet" Target="chartsheets/sheet5.xml"/><Relationship Id="rId15" Type="http://schemas.openxmlformats.org/officeDocument/2006/relationships/worksheet" Target="worksheets/sheet6.xml"/><Relationship Id="rId23" Type="http://schemas.openxmlformats.org/officeDocument/2006/relationships/worksheet" Target="worksheets/sheet14.xml"/><Relationship Id="rId28" Type="http://schemas.openxmlformats.org/officeDocument/2006/relationships/worksheet" Target="worksheets/sheet19.xml"/><Relationship Id="rId36" Type="http://schemas.openxmlformats.org/officeDocument/2006/relationships/chartsheet" Target="chartsheets/sheet11.xml"/><Relationship Id="rId10" Type="http://schemas.openxmlformats.org/officeDocument/2006/relationships/worksheet" Target="worksheets/sheet1.xml"/><Relationship Id="rId19" Type="http://schemas.openxmlformats.org/officeDocument/2006/relationships/worksheet" Target="worksheets/sheet10.xml"/><Relationship Id="rId31" Type="http://schemas.openxmlformats.org/officeDocument/2006/relationships/worksheet" Target="worksheets/sheet22.xml"/><Relationship Id="rId44" Type="http://schemas.openxmlformats.org/officeDocument/2006/relationships/styles" Target="styles.xml"/><Relationship Id="rId4" Type="http://schemas.openxmlformats.org/officeDocument/2006/relationships/chartsheet" Target="chartsheets/sheet4.xml"/><Relationship Id="rId9" Type="http://schemas.openxmlformats.org/officeDocument/2006/relationships/chartsheet" Target="chartsheets/sheet9.xml"/><Relationship Id="rId14" Type="http://schemas.openxmlformats.org/officeDocument/2006/relationships/worksheet" Target="worksheets/sheet5.xml"/><Relationship Id="rId22" Type="http://schemas.openxmlformats.org/officeDocument/2006/relationships/worksheet" Target="worksheets/sheet13.xml"/><Relationship Id="rId27" Type="http://schemas.openxmlformats.org/officeDocument/2006/relationships/worksheet" Target="worksheets/sheet18.xml"/><Relationship Id="rId30" Type="http://schemas.openxmlformats.org/officeDocument/2006/relationships/worksheet" Target="worksheets/sheet21.xml"/><Relationship Id="rId35" Type="http://schemas.openxmlformats.org/officeDocument/2006/relationships/worksheet" Target="worksheets/sheet25.xml"/><Relationship Id="rId43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Lake Weir mean annual water quality</a:t>
            </a:r>
          </a:p>
        </c:rich>
      </c:tx>
      <c:layout>
        <c:manualLayout>
          <c:xMode val="edge"/>
          <c:yMode val="edge"/>
          <c:x val="0.21309650573037844"/>
          <c:y val="1.95757925547264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06049822064045E-2"/>
          <c:y val="0.19109947643979094"/>
          <c:w val="0.78736654804269546"/>
          <c:h val="0.67277486910995277"/>
        </c:manualLayout>
      </c:layout>
      <c:barChart>
        <c:barDir val="col"/>
        <c:grouping val="clustered"/>
        <c:varyColors val="0"/>
        <c:ser>
          <c:idx val="1"/>
          <c:order val="0"/>
          <c:tx>
            <c:v>Secchi transparency</c:v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Summary!$E$4:$S$4</c:f>
              <c:numCache>
                <c:formatCode>General</c:formatCode>
                <c:ptCount val="1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</c:numCache>
            </c:numRef>
          </c:cat>
          <c:val>
            <c:numRef>
              <c:f>Summary!$E$75:$S$75</c:f>
              <c:numCache>
                <c:formatCode>0.00</c:formatCode>
                <c:ptCount val="15"/>
                <c:pt idx="0">
                  <c:v>1.3791666666666667</c:v>
                </c:pt>
                <c:pt idx="1">
                  <c:v>1.5375000000000001</c:v>
                </c:pt>
                <c:pt idx="2">
                  <c:v>1.95</c:v>
                </c:pt>
                <c:pt idx="3">
                  <c:v>1.6666666666666667</c:v>
                </c:pt>
                <c:pt idx="4">
                  <c:v>2.08</c:v>
                </c:pt>
                <c:pt idx="5">
                  <c:v>1.6900000000000002</c:v>
                </c:pt>
                <c:pt idx="6">
                  <c:v>1.4833333333333334</c:v>
                </c:pt>
                <c:pt idx="7">
                  <c:v>1.59375</c:v>
                </c:pt>
                <c:pt idx="8">
                  <c:v>1.4454545454545455</c:v>
                </c:pt>
                <c:pt idx="9">
                  <c:v>1.4613333333333336</c:v>
                </c:pt>
                <c:pt idx="10">
                  <c:v>1.4458333333333335</c:v>
                </c:pt>
                <c:pt idx="11">
                  <c:v>1.2833333333333332</c:v>
                </c:pt>
                <c:pt idx="12">
                  <c:v>1.2583333333333331</c:v>
                </c:pt>
                <c:pt idx="13">
                  <c:v>1.3318181818181818</c:v>
                </c:pt>
                <c:pt idx="14">
                  <c:v>1.4833333333333334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E5-4585-843A-3E9D60A79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70052840"/>
        <c:axId val="469948112"/>
      </c:barChart>
      <c:lineChart>
        <c:grouping val="standard"/>
        <c:varyColors val="0"/>
        <c:ser>
          <c:idx val="0"/>
          <c:order val="1"/>
          <c:tx>
            <c:v>TP concentration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Summary!$E$4:$S$4</c:f>
              <c:numCache>
                <c:formatCode>General</c:formatCode>
                <c:ptCount val="1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</c:numCache>
            </c:numRef>
          </c:cat>
          <c:val>
            <c:numRef>
              <c:f>Summary!$E$69:$S$69</c:f>
              <c:numCache>
                <c:formatCode>General</c:formatCode>
                <c:ptCount val="15"/>
                <c:pt idx="0">
                  <c:v>14.000000000000004</c:v>
                </c:pt>
                <c:pt idx="1">
                  <c:v>15.400000000000002</c:v>
                </c:pt>
                <c:pt idx="2">
                  <c:v>11.500000000000002</c:v>
                </c:pt>
                <c:pt idx="3">
                  <c:v>6.75</c:v>
                </c:pt>
                <c:pt idx="4">
                  <c:v>14.2</c:v>
                </c:pt>
                <c:pt idx="5">
                  <c:v>21.2</c:v>
                </c:pt>
                <c:pt idx="6">
                  <c:v>16</c:v>
                </c:pt>
                <c:pt idx="7">
                  <c:v>13.624999999999998</c:v>
                </c:pt>
                <c:pt idx="8">
                  <c:v>11.166666666666666</c:v>
                </c:pt>
                <c:pt idx="9">
                  <c:v>12.500000000000002</c:v>
                </c:pt>
                <c:pt idx="10">
                  <c:v>15.416666666666668</c:v>
                </c:pt>
                <c:pt idx="11">
                  <c:v>14.833333333333337</c:v>
                </c:pt>
                <c:pt idx="12">
                  <c:v>12.249999999999998</c:v>
                </c:pt>
                <c:pt idx="13">
                  <c:v>12.181818181818183</c:v>
                </c:pt>
                <c:pt idx="14">
                  <c:v>9.5735318333333339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9E5-4585-843A-3E9D60A79488}"/>
            </c:ext>
          </c:extLst>
        </c:ser>
        <c:ser>
          <c:idx val="2"/>
          <c:order val="2"/>
          <c:tx>
            <c:v>Chlorophyll-a concentration</c:v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10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numRef>
              <c:f>Summary!$E$4:$S$4</c:f>
              <c:numCache>
                <c:formatCode>General</c:formatCode>
                <c:ptCount val="1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</c:numCache>
            </c:numRef>
          </c:cat>
          <c:val>
            <c:numRef>
              <c:f>Summary!$E$74:$S$74</c:f>
              <c:numCache>
                <c:formatCode>0.00</c:formatCode>
                <c:ptCount val="15"/>
                <c:pt idx="0">
                  <c:v>12.426833333333333</c:v>
                </c:pt>
                <c:pt idx="1">
                  <c:v>10.507899999999999</c:v>
                </c:pt>
                <c:pt idx="2">
                  <c:v>7.8278750000000006</c:v>
                </c:pt>
                <c:pt idx="3">
                  <c:v>9.66</c:v>
                </c:pt>
                <c:pt idx="4">
                  <c:v>8.3870000000000005</c:v>
                </c:pt>
                <c:pt idx="5">
                  <c:v>14.01</c:v>
                </c:pt>
                <c:pt idx="6">
                  <c:v>12.316666666666668</c:v>
                </c:pt>
                <c:pt idx="7">
                  <c:v>15.38</c:v>
                </c:pt>
                <c:pt idx="8">
                  <c:v>10.722222222222221</c:v>
                </c:pt>
                <c:pt idx="9">
                  <c:v>13.083333333333334</c:v>
                </c:pt>
                <c:pt idx="10">
                  <c:v>11.777777777777779</c:v>
                </c:pt>
                <c:pt idx="11">
                  <c:v>11.527777777777777</c:v>
                </c:pt>
                <c:pt idx="12">
                  <c:v>12.166666666666664</c:v>
                </c:pt>
                <c:pt idx="13">
                  <c:v>10.948499999999999</c:v>
                </c:pt>
                <c:pt idx="14">
                  <c:v>9.6175003964166663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2-D9E5-4585-843A-3E9D60A794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049872"/>
        <c:axId val="470008320"/>
      </c:lineChart>
      <c:catAx>
        <c:axId val="4700528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354000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9948112"/>
        <c:crossesAt val="0"/>
        <c:auto val="0"/>
        <c:lblAlgn val="ctr"/>
        <c:lblOffset val="0"/>
        <c:tickLblSkip val="2"/>
        <c:tickMarkSkip val="1"/>
        <c:noMultiLvlLbl val="0"/>
      </c:catAx>
      <c:valAx>
        <c:axId val="469948112"/>
        <c:scaling>
          <c:orientation val="minMax"/>
          <c:min val="0"/>
        </c:scaling>
        <c:delete val="0"/>
        <c:axPos val="l"/>
        <c:numFmt formatCode="0.0" sourceLinked="0"/>
        <c:majorTickMark val="out"/>
        <c:minorTickMark val="out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0052840"/>
        <c:crosses val="autoZero"/>
        <c:crossBetween val="between"/>
        <c:majorUnit val="0.5"/>
        <c:minorUnit val="0.1"/>
      </c:valAx>
      <c:catAx>
        <c:axId val="4700498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70008320"/>
        <c:crossesAt val="0"/>
        <c:auto val="0"/>
        <c:lblAlgn val="ctr"/>
        <c:lblOffset val="100"/>
        <c:noMultiLvlLbl val="0"/>
      </c:catAx>
      <c:valAx>
        <c:axId val="470008320"/>
        <c:scaling>
          <c:orientation val="minMax"/>
          <c:max val="25"/>
          <c:min val="0"/>
        </c:scaling>
        <c:delete val="0"/>
        <c:axPos val="r"/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0049872"/>
        <c:crosses val="max"/>
        <c:crossBetween val="between"/>
        <c:majorUnit val="5"/>
        <c:minorUnit val="1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1174377224199295E-2"/>
          <c:y val="0.10471204188481679"/>
          <c:w val="0.84786476868327465"/>
          <c:h val="5.3664921465968622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en-US" sz="2400"/>
              <a:t>Lake Weir gull and tern populations from</a:t>
            </a:r>
          </a:p>
          <a:p>
            <a:pPr>
              <a:defRPr sz="2400"/>
            </a:pPr>
            <a:r>
              <a:rPr lang="en-US" sz="2400"/>
              <a:t> Christmas Bird Counts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0.15223716720160721"/>
          <c:y val="0.13146122643760441"/>
          <c:w val="0.74266019350220513"/>
          <c:h val="0.798030382565815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'CBC gull data'!$A$6</c:f>
              <c:strCache>
                <c:ptCount val="1"/>
                <c:pt idx="0">
                  <c:v>Ring-billed Gull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12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'CBC gull data'!$E$5:$P$5</c:f>
              <c:numCache>
                <c:formatCode>d\-mmm\-yy</c:formatCode>
                <c:ptCount val="12"/>
                <c:pt idx="0">
                  <c:v>37253</c:v>
                </c:pt>
                <c:pt idx="1">
                  <c:v>37616</c:v>
                </c:pt>
                <c:pt idx="2" formatCode="[$-409]d\-mmm\-yy;@">
                  <c:v>37989</c:v>
                </c:pt>
                <c:pt idx="3" formatCode="[$-409]d\-mmm\-yy;@">
                  <c:v>38338</c:v>
                </c:pt>
                <c:pt idx="4" formatCode="m/d/yyyy">
                  <c:v>38702</c:v>
                </c:pt>
                <c:pt idx="5" formatCode="mmm\-yy">
                  <c:v>39052</c:v>
                </c:pt>
                <c:pt idx="6" formatCode="m/d/yyyy">
                  <c:v>39430</c:v>
                </c:pt>
                <c:pt idx="7" formatCode="m/d/yyyy">
                  <c:v>39797</c:v>
                </c:pt>
                <c:pt idx="8" formatCode="m/d/yyyy">
                  <c:v>40161</c:v>
                </c:pt>
                <c:pt idx="9" formatCode="m/d/yyyy">
                  <c:v>40526</c:v>
                </c:pt>
                <c:pt idx="10" formatCode="m/d/yyyy">
                  <c:v>40900</c:v>
                </c:pt>
                <c:pt idx="11" formatCode="m/d/yyyy">
                  <c:v>41257</c:v>
                </c:pt>
              </c:numCache>
            </c:numRef>
          </c:xVal>
          <c:yVal>
            <c:numRef>
              <c:f>'CBC gull data'!$E$6:$P$6</c:f>
              <c:numCache>
                <c:formatCode>General</c:formatCode>
                <c:ptCount val="12"/>
                <c:pt idx="0">
                  <c:v>15000</c:v>
                </c:pt>
                <c:pt idx="1">
                  <c:v>5000</c:v>
                </c:pt>
                <c:pt idx="2">
                  <c:v>50</c:v>
                </c:pt>
                <c:pt idx="3">
                  <c:v>256</c:v>
                </c:pt>
                <c:pt idx="4">
                  <c:v>209</c:v>
                </c:pt>
                <c:pt idx="6">
                  <c:v>700</c:v>
                </c:pt>
                <c:pt idx="7">
                  <c:v>3735</c:v>
                </c:pt>
                <c:pt idx="8">
                  <c:v>3000</c:v>
                </c:pt>
                <c:pt idx="9">
                  <c:v>3902</c:v>
                </c:pt>
                <c:pt idx="10">
                  <c:v>20</c:v>
                </c:pt>
                <c:pt idx="11">
                  <c:v>4101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EFDA-4E40-9360-8CBC00A13440}"/>
            </c:ext>
          </c:extLst>
        </c:ser>
        <c:ser>
          <c:idx val="1"/>
          <c:order val="1"/>
          <c:tx>
            <c:strRef>
              <c:f>'CBC gull data'!$A$7</c:f>
              <c:strCache>
                <c:ptCount val="1"/>
                <c:pt idx="0">
                  <c:v>Bonaparte's Gull</c:v>
                </c:pt>
              </c:strCache>
            </c:strRef>
          </c:tx>
          <c:marker>
            <c:symbol val="square"/>
            <c:size val="10"/>
          </c:marker>
          <c:xVal>
            <c:numRef>
              <c:f>'CBC gull data'!$E$5:$P$5</c:f>
              <c:numCache>
                <c:formatCode>d\-mmm\-yy</c:formatCode>
                <c:ptCount val="12"/>
                <c:pt idx="0">
                  <c:v>37253</c:v>
                </c:pt>
                <c:pt idx="1">
                  <c:v>37616</c:v>
                </c:pt>
                <c:pt idx="2" formatCode="[$-409]d\-mmm\-yy;@">
                  <c:v>37989</c:v>
                </c:pt>
                <c:pt idx="3" formatCode="[$-409]d\-mmm\-yy;@">
                  <c:v>38338</c:v>
                </c:pt>
                <c:pt idx="4" formatCode="m/d/yyyy">
                  <c:v>38702</c:v>
                </c:pt>
                <c:pt idx="5" formatCode="mmm\-yy">
                  <c:v>39052</c:v>
                </c:pt>
                <c:pt idx="6" formatCode="m/d/yyyy">
                  <c:v>39430</c:v>
                </c:pt>
                <c:pt idx="7" formatCode="m/d/yyyy">
                  <c:v>39797</c:v>
                </c:pt>
                <c:pt idx="8" formatCode="m/d/yyyy">
                  <c:v>40161</c:v>
                </c:pt>
                <c:pt idx="9" formatCode="m/d/yyyy">
                  <c:v>40526</c:v>
                </c:pt>
                <c:pt idx="10" formatCode="m/d/yyyy">
                  <c:v>40900</c:v>
                </c:pt>
                <c:pt idx="11" formatCode="m/d/yyyy">
                  <c:v>41257</c:v>
                </c:pt>
              </c:numCache>
            </c:numRef>
          </c:xVal>
          <c:yVal>
            <c:numRef>
              <c:f>'CBC gull data'!$E$7:$P$7</c:f>
              <c:numCache>
                <c:formatCode>General</c:formatCode>
                <c:ptCount val="12"/>
                <c:pt idx="0">
                  <c:v>20</c:v>
                </c:pt>
                <c:pt idx="1">
                  <c:v>70</c:v>
                </c:pt>
                <c:pt idx="4">
                  <c:v>15</c:v>
                </c:pt>
                <c:pt idx="6">
                  <c:v>24</c:v>
                </c:pt>
                <c:pt idx="7">
                  <c:v>11</c:v>
                </c:pt>
                <c:pt idx="8">
                  <c:v>100</c:v>
                </c:pt>
                <c:pt idx="9">
                  <c:v>16</c:v>
                </c:pt>
                <c:pt idx="10">
                  <c:v>3</c:v>
                </c:pt>
                <c:pt idx="11">
                  <c:v>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EFDA-4E40-9360-8CBC00A13440}"/>
            </c:ext>
          </c:extLst>
        </c:ser>
        <c:ser>
          <c:idx val="2"/>
          <c:order val="2"/>
          <c:tx>
            <c:strRef>
              <c:f>'CBC gull data'!$A$8</c:f>
              <c:strCache>
                <c:ptCount val="1"/>
                <c:pt idx="0">
                  <c:v>Herring Gull</c:v>
                </c:pt>
              </c:strCache>
            </c:strRef>
          </c:tx>
          <c:marker>
            <c:symbol val="triangle"/>
            <c:size val="12"/>
          </c:marker>
          <c:xVal>
            <c:numRef>
              <c:f>'CBC gull data'!$E$5:$P$5</c:f>
              <c:numCache>
                <c:formatCode>d\-mmm\-yy</c:formatCode>
                <c:ptCount val="12"/>
                <c:pt idx="0">
                  <c:v>37253</c:v>
                </c:pt>
                <c:pt idx="1">
                  <c:v>37616</c:v>
                </c:pt>
                <c:pt idx="2" formatCode="[$-409]d\-mmm\-yy;@">
                  <c:v>37989</c:v>
                </c:pt>
                <c:pt idx="3" formatCode="[$-409]d\-mmm\-yy;@">
                  <c:v>38338</c:v>
                </c:pt>
                <c:pt idx="4" formatCode="m/d/yyyy">
                  <c:v>38702</c:v>
                </c:pt>
                <c:pt idx="5" formatCode="mmm\-yy">
                  <c:v>39052</c:v>
                </c:pt>
                <c:pt idx="6" formatCode="m/d/yyyy">
                  <c:v>39430</c:v>
                </c:pt>
                <c:pt idx="7" formatCode="m/d/yyyy">
                  <c:v>39797</c:v>
                </c:pt>
                <c:pt idx="8" formatCode="m/d/yyyy">
                  <c:v>40161</c:v>
                </c:pt>
                <c:pt idx="9" formatCode="m/d/yyyy">
                  <c:v>40526</c:v>
                </c:pt>
                <c:pt idx="10" formatCode="m/d/yyyy">
                  <c:v>40900</c:v>
                </c:pt>
                <c:pt idx="11" formatCode="m/d/yyyy">
                  <c:v>41257</c:v>
                </c:pt>
              </c:numCache>
            </c:numRef>
          </c:xVal>
          <c:yVal>
            <c:numRef>
              <c:f>'CBC gull data'!$E$8:$P$8</c:f>
              <c:numCache>
                <c:formatCode>General</c:formatCode>
                <c:ptCount val="12"/>
                <c:pt idx="1">
                  <c:v>25</c:v>
                </c:pt>
                <c:pt idx="6">
                  <c:v>150</c:v>
                </c:pt>
                <c:pt idx="7">
                  <c:v>148</c:v>
                </c:pt>
                <c:pt idx="8">
                  <c:v>500</c:v>
                </c:pt>
                <c:pt idx="9">
                  <c:v>75</c:v>
                </c:pt>
                <c:pt idx="11">
                  <c:v>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EFDA-4E40-9360-8CBC00A13440}"/>
            </c:ext>
          </c:extLst>
        </c:ser>
        <c:ser>
          <c:idx val="3"/>
          <c:order val="3"/>
          <c:tx>
            <c:strRef>
              <c:f>'CBC gull data'!$A$9</c:f>
              <c:strCache>
                <c:ptCount val="1"/>
                <c:pt idx="0">
                  <c:v>Laughing Gull</c:v>
                </c:pt>
              </c:strCache>
            </c:strRef>
          </c:tx>
          <c:marker>
            <c:symbol val="circle"/>
            <c:size val="12"/>
          </c:marker>
          <c:xVal>
            <c:numRef>
              <c:f>'CBC gull data'!$E$5:$P$5</c:f>
              <c:numCache>
                <c:formatCode>d\-mmm\-yy</c:formatCode>
                <c:ptCount val="12"/>
                <c:pt idx="0">
                  <c:v>37253</c:v>
                </c:pt>
                <c:pt idx="1">
                  <c:v>37616</c:v>
                </c:pt>
                <c:pt idx="2" formatCode="[$-409]d\-mmm\-yy;@">
                  <c:v>37989</c:v>
                </c:pt>
                <c:pt idx="3" formatCode="[$-409]d\-mmm\-yy;@">
                  <c:v>38338</c:v>
                </c:pt>
                <c:pt idx="4" formatCode="m/d/yyyy">
                  <c:v>38702</c:v>
                </c:pt>
                <c:pt idx="5" formatCode="mmm\-yy">
                  <c:v>39052</c:v>
                </c:pt>
                <c:pt idx="6" formatCode="m/d/yyyy">
                  <c:v>39430</c:v>
                </c:pt>
                <c:pt idx="7" formatCode="m/d/yyyy">
                  <c:v>39797</c:v>
                </c:pt>
                <c:pt idx="8" formatCode="m/d/yyyy">
                  <c:v>40161</c:v>
                </c:pt>
                <c:pt idx="9" formatCode="m/d/yyyy">
                  <c:v>40526</c:v>
                </c:pt>
                <c:pt idx="10" formatCode="m/d/yyyy">
                  <c:v>40900</c:v>
                </c:pt>
                <c:pt idx="11" formatCode="m/d/yyyy">
                  <c:v>41257</c:v>
                </c:pt>
              </c:numCache>
            </c:numRef>
          </c:xVal>
          <c:yVal>
            <c:numRef>
              <c:f>'CBC gull data'!$E$9:$P$9</c:f>
              <c:numCache>
                <c:formatCode>General</c:formatCode>
                <c:ptCount val="12"/>
                <c:pt idx="7">
                  <c:v>1</c:v>
                </c:pt>
                <c:pt idx="8">
                  <c:v>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FDA-4E40-9360-8CBC00A13440}"/>
            </c:ext>
          </c:extLst>
        </c:ser>
        <c:ser>
          <c:idx val="4"/>
          <c:order val="4"/>
          <c:tx>
            <c:strRef>
              <c:f>'CBC gull data'!$A$11</c:f>
              <c:strCache>
                <c:ptCount val="1"/>
                <c:pt idx="0">
                  <c:v>Forster's Tern</c:v>
                </c:pt>
              </c:strCache>
            </c:strRef>
          </c:tx>
          <c:marker>
            <c:symbol val="diamond"/>
            <c:size val="12"/>
          </c:marker>
          <c:xVal>
            <c:numRef>
              <c:f>'CBC gull data'!$E$5:$P$5</c:f>
              <c:numCache>
                <c:formatCode>d\-mmm\-yy</c:formatCode>
                <c:ptCount val="12"/>
                <c:pt idx="0">
                  <c:v>37253</c:v>
                </c:pt>
                <c:pt idx="1">
                  <c:v>37616</c:v>
                </c:pt>
                <c:pt idx="2" formatCode="[$-409]d\-mmm\-yy;@">
                  <c:v>37989</c:v>
                </c:pt>
                <c:pt idx="3" formatCode="[$-409]d\-mmm\-yy;@">
                  <c:v>38338</c:v>
                </c:pt>
                <c:pt idx="4" formatCode="m/d/yyyy">
                  <c:v>38702</c:v>
                </c:pt>
                <c:pt idx="5" formatCode="mmm\-yy">
                  <c:v>39052</c:v>
                </c:pt>
                <c:pt idx="6" formatCode="m/d/yyyy">
                  <c:v>39430</c:v>
                </c:pt>
                <c:pt idx="7" formatCode="m/d/yyyy">
                  <c:v>39797</c:v>
                </c:pt>
                <c:pt idx="8" formatCode="m/d/yyyy">
                  <c:v>40161</c:v>
                </c:pt>
                <c:pt idx="9" formatCode="m/d/yyyy">
                  <c:v>40526</c:v>
                </c:pt>
                <c:pt idx="10" formatCode="m/d/yyyy">
                  <c:v>40900</c:v>
                </c:pt>
                <c:pt idx="11" formatCode="m/d/yyyy">
                  <c:v>41257</c:v>
                </c:pt>
              </c:numCache>
            </c:numRef>
          </c:xVal>
          <c:yVal>
            <c:numRef>
              <c:f>'CBC gull data'!$E$11:$P$11</c:f>
              <c:numCache>
                <c:formatCode>General</c:formatCode>
                <c:ptCount val="12"/>
                <c:pt idx="0">
                  <c:v>7</c:v>
                </c:pt>
                <c:pt idx="1">
                  <c:v>36</c:v>
                </c:pt>
                <c:pt idx="2">
                  <c:v>86</c:v>
                </c:pt>
                <c:pt idx="3">
                  <c:v>58</c:v>
                </c:pt>
                <c:pt idx="4">
                  <c:v>108</c:v>
                </c:pt>
                <c:pt idx="6">
                  <c:v>63</c:v>
                </c:pt>
                <c:pt idx="7">
                  <c:v>43</c:v>
                </c:pt>
                <c:pt idx="8">
                  <c:v>60</c:v>
                </c:pt>
                <c:pt idx="9">
                  <c:v>31</c:v>
                </c:pt>
                <c:pt idx="10">
                  <c:v>5</c:v>
                </c:pt>
                <c:pt idx="11">
                  <c:v>65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EFDA-4E40-9360-8CBC00A134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0007472"/>
        <c:axId val="470007896"/>
      </c:scatterChart>
      <c:valAx>
        <c:axId val="470007472"/>
        <c:scaling>
          <c:orientation val="minMax"/>
          <c:max val="41274"/>
          <c:min val="36893"/>
        </c:scaling>
        <c:delete val="0"/>
        <c:axPos val="b"/>
        <c:majorGridlines>
          <c:spPr>
            <a:ln w="12700">
              <a:solidFill>
                <a:sysClr val="windowText" lastClr="000000"/>
              </a:solidFill>
              <a:prstDash val="sysDash"/>
            </a:ln>
          </c:spPr>
        </c:majorGridlines>
        <c:minorGridlines>
          <c:spPr>
            <a:ln w="12700">
              <a:solidFill>
                <a:schemeClr val="tx1"/>
              </a:solidFill>
              <a:prstDash val="sysDash"/>
            </a:ln>
          </c:spPr>
        </c:minorGridlines>
        <c:numFmt formatCode="[$-409]mmm\-yy;@" sourceLinked="0"/>
        <c:majorTickMark val="out"/>
        <c:minorTickMark val="out"/>
        <c:tickLblPos val="nextTo"/>
        <c:crossAx val="470007896"/>
        <c:crosses val="autoZero"/>
        <c:crossBetween val="midCat"/>
        <c:majorUnit val="730.6"/>
        <c:minorUnit val="365.3"/>
      </c:valAx>
      <c:valAx>
        <c:axId val="470007896"/>
        <c:scaling>
          <c:orientation val="minMax"/>
          <c:min val="0"/>
        </c:scaling>
        <c:delete val="0"/>
        <c:axPos val="l"/>
        <c:majorGridlines>
          <c:spPr>
            <a:ln w="12700"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Number of birds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crossAx val="470007472"/>
        <c:crosses val="autoZero"/>
        <c:crossBetween val="midCat"/>
        <c:majorUnit val="4000"/>
      </c:valAx>
      <c:spPr>
        <a:ln w="31750">
          <a:solidFill>
            <a:srgbClr val="000000"/>
          </a:solidFill>
        </a:ln>
      </c:spPr>
    </c:plotArea>
    <c:legend>
      <c:legendPos val="r"/>
      <c:layout>
        <c:manualLayout>
          <c:xMode val="edge"/>
          <c:yMode val="edge"/>
          <c:x val="0.50395155517583767"/>
          <c:y val="0.1703720671279727"/>
          <c:w val="0.30396633338721668"/>
          <c:h val="0.23703364352183379"/>
        </c:manualLayout>
      </c:layout>
      <c:overlay val="0"/>
      <c:spPr>
        <a:solidFill>
          <a:sysClr val="window" lastClr="FFFFFF"/>
        </a:solidFill>
        <a:ln w="25400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sz="20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800"/>
      </a:pPr>
      <a:endParaRPr lang="en-US"/>
    </a:p>
  </c:txPr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en-US" sz="2400"/>
              <a:t>Reported waterfowl total phosphorus excretion rates</a:t>
            </a:r>
          </a:p>
        </c:rich>
      </c:tx>
      <c:layout>
        <c:manualLayout>
          <c:xMode val="edge"/>
          <c:yMode val="edge"/>
          <c:x val="0.14821613219233687"/>
          <c:y val="1.6126290440522321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Gulls</c:v>
          </c:tx>
          <c:spPr>
            <a:ln w="28575">
              <a:noFill/>
            </a:ln>
          </c:spPr>
          <c:marker>
            <c:symbol val="diamond"/>
            <c:size val="14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trendline>
            <c:spPr>
              <a:ln w="25400">
                <a:solidFill>
                  <a:srgbClr val="0000FF"/>
                </a:solidFill>
              </a:ln>
            </c:spPr>
            <c:trendlineType val="linear"/>
            <c:dispRSqr val="1"/>
            <c:dispEq val="1"/>
            <c:trendlineLbl>
              <c:layout>
                <c:manualLayout>
                  <c:x val="0.33951736690510026"/>
                  <c:y val="-0.12551825151648402"/>
                </c:manualLayout>
              </c:layout>
              <c:numFmt formatCode="#,##0.000000" sourceLinked="0"/>
              <c:spPr>
                <a:solidFill>
                  <a:sysClr val="window" lastClr="FFFFFF"/>
                </a:solidFill>
                <a:ln>
                  <a:solidFill>
                    <a:schemeClr val="tx1"/>
                  </a:solidFill>
                </a:ln>
              </c:spPr>
              <c:txPr>
                <a:bodyPr/>
                <a:lstStyle/>
                <a:p>
                  <a:pPr>
                    <a:defRPr sz="1800"/>
                  </a:pPr>
                  <a:endParaRPr lang="en-US"/>
                </a:p>
              </c:txPr>
            </c:trendlineLbl>
          </c:trendline>
          <c:xVal>
            <c:numRef>
              <c:f>('Waterfowl nutrient load'!$C$7:$C$8,'Waterfowl nutrient load'!$C$10:$C$14)</c:f>
              <c:numCache>
                <c:formatCode>General</c:formatCode>
                <c:ptCount val="7"/>
                <c:pt idx="0">
                  <c:v>99</c:v>
                </c:pt>
                <c:pt idx="1">
                  <c:v>1600</c:v>
                </c:pt>
                <c:pt idx="2">
                  <c:v>283</c:v>
                </c:pt>
                <c:pt idx="3">
                  <c:v>283</c:v>
                </c:pt>
                <c:pt idx="4">
                  <c:v>1224</c:v>
                </c:pt>
                <c:pt idx="5">
                  <c:v>1224</c:v>
                </c:pt>
                <c:pt idx="6">
                  <c:v>544</c:v>
                </c:pt>
              </c:numCache>
            </c:numRef>
          </c:xVal>
          <c:yVal>
            <c:numRef>
              <c:f>('Waterfowl nutrient load'!$L$7:$L$8,'Waterfowl nutrient load'!$L$10:$L$14)</c:f>
              <c:numCache>
                <c:formatCode>General</c:formatCode>
                <c:ptCount val="7"/>
                <c:pt idx="0">
                  <c:v>0.15</c:v>
                </c:pt>
                <c:pt idx="1">
                  <c:v>0.98</c:v>
                </c:pt>
                <c:pt idx="2">
                  <c:v>0.11399999999999999</c:v>
                </c:pt>
                <c:pt idx="3">
                  <c:v>2.2799999999999997E-2</c:v>
                </c:pt>
                <c:pt idx="4">
                  <c:v>0.45899999999999996</c:v>
                </c:pt>
                <c:pt idx="6">
                  <c:v>0.1373328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4C8-4AF2-A586-8DD892147127}"/>
            </c:ext>
          </c:extLst>
        </c:ser>
        <c:ser>
          <c:idx val="1"/>
          <c:order val="1"/>
          <c:tx>
            <c:v>Outlier great black-backed gull</c:v>
          </c:tx>
          <c:spPr>
            <a:ln w="28575">
              <a:noFill/>
            </a:ln>
          </c:spPr>
          <c:marker>
            <c:symbol val="square"/>
            <c:size val="12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xVal>
            <c:numRef>
              <c:f>'Waterfowl nutrient load'!$C$9</c:f>
              <c:numCache>
                <c:formatCode>General</c:formatCode>
                <c:ptCount val="1"/>
                <c:pt idx="0">
                  <c:v>1600</c:v>
                </c:pt>
              </c:numCache>
            </c:numRef>
          </c:xVal>
          <c:yVal>
            <c:numRef>
              <c:f>'Waterfowl nutrient load'!$L$9</c:f>
              <c:numCache>
                <c:formatCode>General</c:formatCode>
                <c:ptCount val="1"/>
                <c:pt idx="0">
                  <c:v>3.0539999999999998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4C8-4AF2-A586-8DD892147127}"/>
            </c:ext>
          </c:extLst>
        </c:ser>
        <c:ser>
          <c:idx val="2"/>
          <c:order val="2"/>
          <c:tx>
            <c:v>Canada goose</c:v>
          </c:tx>
          <c:spPr>
            <a:ln w="28575">
              <a:noFill/>
            </a:ln>
          </c:spPr>
          <c:marker>
            <c:symbol val="triangle"/>
            <c:size val="14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xVal>
            <c:numRef>
              <c:f>'Waterfowl nutrient load'!$C$15</c:f>
              <c:numCache>
                <c:formatCode>General</c:formatCode>
                <c:ptCount val="1"/>
                <c:pt idx="0">
                  <c:v>2560</c:v>
                </c:pt>
              </c:numCache>
            </c:numRef>
          </c:xVal>
          <c:yVal>
            <c:numRef>
              <c:f>'Waterfowl nutrient load'!$L$15</c:f>
              <c:numCache>
                <c:formatCode>General</c:formatCode>
                <c:ptCount val="1"/>
                <c:pt idx="0">
                  <c:v>0.29399999999999998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4C8-4AF2-A586-8DD892147127}"/>
            </c:ext>
          </c:extLst>
        </c:ser>
        <c:ser>
          <c:idx val="3"/>
          <c:order val="3"/>
          <c:tx>
            <c:v>Predicted Ring-billed gull</c:v>
          </c:tx>
          <c:spPr>
            <a:ln w="28575">
              <a:noFill/>
            </a:ln>
          </c:spPr>
          <c:marker>
            <c:symbol val="circle"/>
            <c:size val="13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'Waterfowl nutrient load'!$C$18</c:f>
              <c:numCache>
                <c:formatCode>General</c:formatCode>
                <c:ptCount val="1"/>
                <c:pt idx="0">
                  <c:v>544</c:v>
                </c:pt>
              </c:numCache>
            </c:numRef>
          </c:xVal>
          <c:yVal>
            <c:numRef>
              <c:f>'Waterfowl nutrient load'!$L$18</c:f>
              <c:numCache>
                <c:formatCode>General</c:formatCode>
                <c:ptCount val="1"/>
                <c:pt idx="0">
                  <c:v>0.23961100000000002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4C8-4AF2-A586-8DD8921471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70003656"/>
        <c:axId val="470004080"/>
      </c:scatterChart>
      <c:valAx>
        <c:axId val="470003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Bird Weight (g)</a:t>
                </a:r>
              </a:p>
            </c:rich>
          </c:tx>
          <c:overlay val="0"/>
        </c:title>
        <c:numFmt formatCode="#,##0" sourceLinked="0"/>
        <c:majorTickMark val="out"/>
        <c:minorTickMark val="out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470004080"/>
        <c:crosses val="autoZero"/>
        <c:crossBetween val="midCat"/>
        <c:majorUnit val="1000"/>
        <c:minorUnit val="500"/>
      </c:valAx>
      <c:valAx>
        <c:axId val="470004080"/>
        <c:scaling>
          <c:orientation val="minMax"/>
          <c:max val="3.5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TP excretion (g/day)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470003656"/>
        <c:crosses val="autoZero"/>
        <c:crossBetween val="midCat"/>
        <c:majorUnit val="1"/>
      </c:valAx>
      <c:spPr>
        <a:ln w="38100">
          <a:solidFill>
            <a:srgbClr val="000000"/>
          </a:solidFill>
        </a:ln>
      </c:spPr>
    </c:plotArea>
    <c:legend>
      <c:legendPos val="r"/>
      <c:legendEntry>
        <c:idx val="4"/>
        <c:delete val="1"/>
      </c:legendEntry>
      <c:layout>
        <c:manualLayout>
          <c:xMode val="edge"/>
          <c:yMode val="edge"/>
          <c:x val="0.13071039236458543"/>
          <c:y val="0.24885326361358107"/>
          <c:w val="0.38768466200688007"/>
          <c:h val="0.20898307390269424"/>
        </c:manualLayout>
      </c:layout>
      <c:overlay val="1"/>
      <c:spPr>
        <a:solidFill>
          <a:schemeClr val="bg1"/>
        </a:solidFill>
        <a:ln w="25400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400"/>
      </a:pPr>
      <a:endParaRPr lang="en-US"/>
    </a:p>
  </c:txPr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400"/>
            </a:pPr>
            <a:r>
              <a:rPr lang="en-US" sz="2400"/>
              <a:t>Reported waterfowl total</a:t>
            </a:r>
            <a:r>
              <a:rPr lang="en-US" sz="2400" baseline="0"/>
              <a:t> nitrogen</a:t>
            </a:r>
            <a:r>
              <a:rPr lang="en-US" sz="2400"/>
              <a:t> excretion rates</a:t>
            </a:r>
          </a:p>
        </c:rich>
      </c:tx>
      <c:layout>
        <c:manualLayout>
          <c:xMode val="edge"/>
          <c:yMode val="edge"/>
          <c:x val="0.17710505207426241"/>
          <c:y val="2.4189435660783482E-2"/>
        </c:manualLayout>
      </c:layout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Gulls</c:v>
          </c:tx>
          <c:spPr>
            <a:ln w="28575">
              <a:noFill/>
            </a:ln>
          </c:spPr>
          <c:marker>
            <c:symbol val="diamond"/>
            <c:size val="14"/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trendline>
            <c:spPr>
              <a:ln w="25400">
                <a:solidFill>
                  <a:srgbClr val="0000FF"/>
                </a:solidFill>
              </a:ln>
            </c:spPr>
            <c:trendlineType val="linear"/>
            <c:dispRSqr val="1"/>
            <c:dispEq val="1"/>
            <c:trendlineLbl>
              <c:layout>
                <c:manualLayout>
                  <c:x val="0.2862753713411228"/>
                  <c:y val="-6.48408616073817E-2"/>
                </c:manualLayout>
              </c:layout>
              <c:numFmt formatCode="#,##0.000000" sourceLinked="0"/>
              <c:spPr>
                <a:solidFill>
                  <a:schemeClr val="bg1"/>
                </a:solidFill>
                <a:ln>
                  <a:solidFill>
                    <a:schemeClr val="tx1"/>
                  </a:solidFill>
                </a:ln>
              </c:spPr>
              <c:txPr>
                <a:bodyPr/>
                <a:lstStyle/>
                <a:p>
                  <a:pPr>
                    <a:defRPr sz="1800"/>
                  </a:pPr>
                  <a:endParaRPr lang="en-US"/>
                </a:p>
              </c:txPr>
            </c:trendlineLbl>
          </c:trendline>
          <c:xVal>
            <c:numRef>
              <c:f>'Waterfowl nutrient load'!$C$7:$C$14</c:f>
              <c:numCache>
                <c:formatCode>General</c:formatCode>
                <c:ptCount val="8"/>
                <c:pt idx="0">
                  <c:v>99</c:v>
                </c:pt>
                <c:pt idx="1">
                  <c:v>1600</c:v>
                </c:pt>
                <c:pt idx="2">
                  <c:v>1600</c:v>
                </c:pt>
                <c:pt idx="3">
                  <c:v>283</c:v>
                </c:pt>
                <c:pt idx="4">
                  <c:v>283</c:v>
                </c:pt>
                <c:pt idx="5">
                  <c:v>1224</c:v>
                </c:pt>
                <c:pt idx="6">
                  <c:v>1224</c:v>
                </c:pt>
                <c:pt idx="7">
                  <c:v>544</c:v>
                </c:pt>
              </c:numCache>
            </c:numRef>
          </c:xVal>
          <c:yVal>
            <c:numRef>
              <c:f>'Waterfowl nutrient load'!$M$7:$M$14</c:f>
              <c:numCache>
                <c:formatCode>General</c:formatCode>
                <c:ptCount val="8"/>
                <c:pt idx="0">
                  <c:v>0.32</c:v>
                </c:pt>
                <c:pt idx="1">
                  <c:v>2.13</c:v>
                </c:pt>
                <c:pt idx="5">
                  <c:v>0.40800000000000003</c:v>
                </c:pt>
                <c:pt idx="6">
                  <c:v>1.08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EE8-441A-8607-016F7DC197DD}"/>
            </c:ext>
          </c:extLst>
        </c:ser>
        <c:ser>
          <c:idx val="1"/>
          <c:order val="1"/>
          <c:tx>
            <c:v>Canada goose</c:v>
          </c:tx>
          <c:spPr>
            <a:ln w="28575">
              <a:noFill/>
            </a:ln>
          </c:spPr>
          <c:marker>
            <c:symbol val="triangle"/>
            <c:size val="14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xVal>
            <c:numRef>
              <c:f>'Waterfowl nutrient load'!$C$15</c:f>
              <c:numCache>
                <c:formatCode>General</c:formatCode>
                <c:ptCount val="1"/>
                <c:pt idx="0">
                  <c:v>2560</c:v>
                </c:pt>
              </c:numCache>
            </c:numRef>
          </c:xVal>
          <c:yVal>
            <c:numRef>
              <c:f>'Waterfowl nutrient load'!$M$15</c:f>
              <c:numCache>
                <c:formatCode>General</c:formatCode>
                <c:ptCount val="1"/>
                <c:pt idx="0">
                  <c:v>0.94199999999999995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EE8-441A-8607-016F7DC197DD}"/>
            </c:ext>
          </c:extLst>
        </c:ser>
        <c:ser>
          <c:idx val="2"/>
          <c:order val="2"/>
          <c:tx>
            <c:v>Predicted Ring-billed gull</c:v>
          </c:tx>
          <c:spPr>
            <a:ln w="28575">
              <a:noFill/>
            </a:ln>
          </c:spPr>
          <c:marker>
            <c:symbol val="circle"/>
            <c:size val="1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xVal>
            <c:numRef>
              <c:f>'Waterfowl nutrient load'!$C$18</c:f>
              <c:numCache>
                <c:formatCode>General</c:formatCode>
                <c:ptCount val="1"/>
                <c:pt idx="0">
                  <c:v>544</c:v>
                </c:pt>
              </c:numCache>
            </c:numRef>
          </c:xVal>
          <c:yVal>
            <c:numRef>
              <c:f>'Waterfowl nutrient load'!$M$18</c:f>
              <c:numCache>
                <c:formatCode>General</c:formatCode>
                <c:ptCount val="1"/>
                <c:pt idx="0">
                  <c:v>0.52608500000000002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EE8-441A-8607-016F7DC19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69994752"/>
        <c:axId val="469994328"/>
      </c:scatterChart>
      <c:valAx>
        <c:axId val="4699947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Bird Weight (g)</a:t>
                </a:r>
              </a:p>
            </c:rich>
          </c:tx>
          <c:overlay val="0"/>
        </c:title>
        <c:numFmt formatCode="#,##0" sourceLinked="0"/>
        <c:majorTickMark val="out"/>
        <c:minorTickMark val="out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469994328"/>
        <c:crosses val="autoZero"/>
        <c:crossBetween val="midCat"/>
        <c:majorUnit val="1000"/>
        <c:minorUnit val="500"/>
      </c:valAx>
      <c:valAx>
        <c:axId val="469994328"/>
        <c:scaling>
          <c:orientation val="minMax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TNexcretion (g/day)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469994752"/>
        <c:crosses val="autoZero"/>
        <c:crossBetween val="midCat"/>
      </c:valAx>
      <c:spPr>
        <a:ln w="38100">
          <a:solidFill>
            <a:srgbClr val="000000"/>
          </a:solidFill>
        </a:ln>
      </c:spPr>
    </c:plotArea>
    <c:legend>
      <c:legendPos val="r"/>
      <c:legendEntry>
        <c:idx val="3"/>
        <c:delete val="1"/>
      </c:legendEntry>
      <c:layout>
        <c:manualLayout>
          <c:xMode val="edge"/>
          <c:yMode val="edge"/>
          <c:x val="0.12539663566965617"/>
          <c:y val="0.1231250211300441"/>
          <c:w val="0.33821696554651387"/>
          <c:h val="0.15320769535151743"/>
        </c:manualLayout>
      </c:layout>
      <c:overlay val="1"/>
      <c:spPr>
        <a:solidFill>
          <a:schemeClr val="bg1"/>
        </a:solidFill>
        <a:ln w="31750">
          <a:solidFill>
            <a:schemeClr val="tx1"/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sz="1800"/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00"/>
            </a:pPr>
            <a:r>
              <a:rPr lang="en-US" sz="2200"/>
              <a:t>Comparison of maximum total phosphorus load to Lake Weir from a range of gull populations to external load</a:t>
            </a:r>
          </a:p>
        </c:rich>
      </c:tx>
      <c:layout>
        <c:manualLayout>
          <c:xMode val="edge"/>
          <c:yMode val="edge"/>
          <c:x val="0.18527699459518657"/>
          <c:y val="2.0157863050652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invertIfNegative val="0"/>
          <c:cat>
            <c:strRef>
              <c:f>('Waterfowl nutrient load'!$B$23:$B$25,'Waterfowl nutrient load'!$B$29)</c:f>
              <c:strCache>
                <c:ptCount val="4"/>
                <c:pt idx="0">
                  <c:v>1,000</c:v>
                </c:pt>
                <c:pt idx="1">
                  <c:v>5,000</c:v>
                </c:pt>
                <c:pt idx="2">
                  <c:v>10,000</c:v>
                </c:pt>
                <c:pt idx="3">
                  <c:v>External</c:v>
                </c:pt>
              </c:strCache>
            </c:strRef>
          </c:cat>
          <c:val>
            <c:numRef>
              <c:f>('Waterfowl nutrient load'!$C$23:$C$25,'Waterfowl nutrient load'!$C$29)</c:f>
              <c:numCache>
                <c:formatCode>General</c:formatCode>
                <c:ptCount val="4"/>
                <c:pt idx="0">
                  <c:v>87.458015000000017</c:v>
                </c:pt>
                <c:pt idx="1">
                  <c:v>437.290075</c:v>
                </c:pt>
                <c:pt idx="2">
                  <c:v>874.58015</c:v>
                </c:pt>
                <c:pt idx="3" formatCode="#,##0">
                  <c:v>1867.8537470165127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7B0-4C89-80D6-A0BCBDCAA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69993480"/>
        <c:axId val="469993056"/>
      </c:barChart>
      <c:catAx>
        <c:axId val="4699934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Number of gulls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469993056"/>
        <c:crosses val="autoZero"/>
        <c:auto val="1"/>
        <c:lblAlgn val="ctr"/>
        <c:lblOffset val="100"/>
        <c:noMultiLvlLbl val="0"/>
      </c:catAx>
      <c:valAx>
        <c:axId val="469993056"/>
        <c:scaling>
          <c:orientation val="minMax"/>
        </c:scaling>
        <c:delete val="0"/>
        <c:axPos val="l"/>
        <c:majorGridlines>
          <c:spPr>
            <a:ln w="12700"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TP load (kg/year)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469993480"/>
        <c:crosses val="autoZero"/>
        <c:crossBetween val="between"/>
        <c:majorUnit val="400"/>
      </c:valAx>
      <c:spPr>
        <a:ln w="38100">
          <a:solidFill>
            <a:schemeClr val="tx1"/>
          </a:solidFill>
        </a:ln>
      </c:spPr>
    </c:plotArea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00"/>
            </a:pPr>
            <a:r>
              <a:rPr lang="en-US" sz="2200"/>
              <a:t>Comparison of maximum total nitrogen load to Lake Weir from a range of gull populations to external load</a:t>
            </a:r>
          </a:p>
        </c:rich>
      </c:tx>
      <c:layout>
        <c:manualLayout>
          <c:xMode val="edge"/>
          <c:yMode val="edge"/>
          <c:x val="0.17271351761564338"/>
          <c:y val="1.612629044052232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788799696811226"/>
          <c:y val="0.14633592745454918"/>
          <c:w val="0.82600971001695178"/>
          <c:h val="0.71828037238398634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0000FF"/>
            </a:solidFill>
          </c:spPr>
          <c:invertIfNegative val="0"/>
          <c:cat>
            <c:strRef>
              <c:f>('Waterfowl nutrient load'!$B$23:$B$25,'Waterfowl nutrient load'!$B$29)</c:f>
              <c:strCache>
                <c:ptCount val="4"/>
                <c:pt idx="0">
                  <c:v>1,000</c:v>
                </c:pt>
                <c:pt idx="1">
                  <c:v>5,000</c:v>
                </c:pt>
                <c:pt idx="2">
                  <c:v>10,000</c:v>
                </c:pt>
                <c:pt idx="3">
                  <c:v>External</c:v>
                </c:pt>
              </c:strCache>
            </c:strRef>
          </c:cat>
          <c:val>
            <c:numRef>
              <c:f>('Waterfowl nutrient load'!$D$23:$D$25,'Waterfowl nutrient load'!$D$29)</c:f>
              <c:numCache>
                <c:formatCode>General</c:formatCode>
                <c:ptCount val="4"/>
                <c:pt idx="0">
                  <c:v>192.02102500000004</c:v>
                </c:pt>
                <c:pt idx="1">
                  <c:v>960.10512500000016</c:v>
                </c:pt>
                <c:pt idx="2">
                  <c:v>1920.2102500000003</c:v>
                </c:pt>
                <c:pt idx="3" formatCode="#,##0">
                  <c:v>39414.329611849789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7F-4960-BB3A-2313990AF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axId val="469992632"/>
        <c:axId val="469992208"/>
      </c:barChart>
      <c:catAx>
        <c:axId val="4699926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2000"/>
                </a:pPr>
                <a:r>
                  <a:rPr lang="en-US" sz="2000"/>
                  <a:t>Number of gulls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469992208"/>
        <c:crosses val="autoZero"/>
        <c:auto val="1"/>
        <c:lblAlgn val="ctr"/>
        <c:lblOffset val="100"/>
        <c:noMultiLvlLbl val="0"/>
      </c:catAx>
      <c:valAx>
        <c:axId val="469992208"/>
        <c:scaling>
          <c:orientation val="minMax"/>
        </c:scaling>
        <c:delete val="0"/>
        <c:axPos val="l"/>
        <c:majorGridlines>
          <c:spPr>
            <a:ln w="12700">
              <a:prstDash val="sys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2000"/>
                </a:pPr>
                <a:r>
                  <a:rPr lang="en-US" sz="2000"/>
                  <a:t>TN load (kg/year)</a:t>
                </a:r>
              </a:p>
            </c:rich>
          </c:tx>
          <c:overlay val="0"/>
        </c:title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sz="1800"/>
            </a:pPr>
            <a:endParaRPr lang="en-US"/>
          </a:p>
        </c:txPr>
        <c:crossAx val="469992632"/>
        <c:crosses val="autoZero"/>
        <c:crossBetween val="between"/>
        <c:majorUnit val="10000"/>
      </c:valAx>
      <c:spPr>
        <a:ln w="38100">
          <a:solidFill>
            <a:schemeClr val="tx1"/>
          </a:solidFill>
        </a:ln>
      </c:spPr>
    </c:plotArea>
    <c:plotVisOnly val="1"/>
    <c:dispBlanksAs val="gap"/>
    <c:showDLblsOverMax val="0"/>
  </c:chart>
  <c:txPr>
    <a:bodyPr/>
    <a:lstStyle/>
    <a:p>
      <a:pPr>
        <a:defRPr sz="1600"/>
      </a:pPr>
      <a:endParaRPr lang="en-US"/>
    </a:p>
  </c:txPr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Lake Weir.  Annual estimated external total phosphorus loads and hydrologic detention times</a:t>
            </a:r>
          </a:p>
        </c:rich>
      </c:tx>
      <c:layout>
        <c:manualLayout>
          <c:xMode val="edge"/>
          <c:yMode val="edge"/>
          <c:x val="0.12874587851785441"/>
          <c:y val="1.95757925547264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67259786476868"/>
          <c:y val="0.1636125654450262"/>
          <c:w val="0.71797153024911931"/>
          <c:h val="0.67670157068063741"/>
        </c:manualLayout>
      </c:layout>
      <c:barChart>
        <c:barDir val="col"/>
        <c:grouping val="clustered"/>
        <c:varyColors val="0"/>
        <c:ser>
          <c:idx val="1"/>
          <c:order val="0"/>
          <c:tx>
            <c:v>TP load</c:v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Summary!$E$4:$S$4</c:f>
              <c:numCache>
                <c:formatCode>General</c:formatCode>
                <c:ptCount val="1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</c:numCache>
            </c:numRef>
          </c:cat>
          <c:val>
            <c:numRef>
              <c:f>Summary!$E$47:$S$47</c:f>
              <c:numCache>
                <c:formatCode>#,##0</c:formatCode>
                <c:ptCount val="15"/>
                <c:pt idx="0">
                  <c:v>1570.6301585839094</c:v>
                </c:pt>
                <c:pt idx="1">
                  <c:v>1397.9597583184632</c:v>
                </c:pt>
                <c:pt idx="2">
                  <c:v>1123.9409926975775</c:v>
                </c:pt>
                <c:pt idx="3">
                  <c:v>1037.1490299988716</c:v>
                </c:pt>
                <c:pt idx="4">
                  <c:v>807.0753174376822</c:v>
                </c:pt>
                <c:pt idx="5">
                  <c:v>1228.8355224285008</c:v>
                </c:pt>
                <c:pt idx="6">
                  <c:v>1472.9493070259073</c:v>
                </c:pt>
                <c:pt idx="7">
                  <c:v>1164.9700176565657</c:v>
                </c:pt>
                <c:pt idx="8">
                  <c:v>1191.8649961566091</c:v>
                </c:pt>
                <c:pt idx="9">
                  <c:v>1438.5166814242307</c:v>
                </c:pt>
                <c:pt idx="10">
                  <c:v>1393.1178455160884</c:v>
                </c:pt>
                <c:pt idx="11">
                  <c:v>1800.8545132448901</c:v>
                </c:pt>
                <c:pt idx="12">
                  <c:v>1481.9829644146114</c:v>
                </c:pt>
                <c:pt idx="13">
                  <c:v>1979.1537514522909</c:v>
                </c:pt>
                <c:pt idx="14">
                  <c:v>1729.0356544595152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4C-4B9F-A6F6-829CD2170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50"/>
        <c:axId val="470011288"/>
        <c:axId val="470006624"/>
      </c:barChart>
      <c:lineChart>
        <c:grouping val="standard"/>
        <c:varyColors val="0"/>
        <c:ser>
          <c:idx val="0"/>
          <c:order val="1"/>
          <c:tx>
            <c:v>Detention time</c:v>
          </c:tx>
          <c:spPr>
            <a:ln w="25400">
              <a:solidFill>
                <a:srgbClr val="0000FF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0000FF"/>
              </a:solidFill>
              <a:ln>
                <a:solidFill>
                  <a:srgbClr val="0000FF"/>
                </a:solidFill>
                <a:prstDash val="solid"/>
              </a:ln>
            </c:spPr>
          </c:marker>
          <c:val>
            <c:numRef>
              <c:f>Summary!$E$54:$S$54</c:f>
              <c:numCache>
                <c:formatCode>General</c:formatCode>
                <c:ptCount val="15"/>
                <c:pt idx="0">
                  <c:v>17.222366595656524</c:v>
                </c:pt>
                <c:pt idx="1">
                  <c:v>16.534935211110255</c:v>
                </c:pt>
                <c:pt idx="2">
                  <c:v>16.23444650148463</c:v>
                </c:pt>
                <c:pt idx="3">
                  <c:v>16.248978458673989</c:v>
                </c:pt>
                <c:pt idx="4">
                  <c:v>17.07284162317783</c:v>
                </c:pt>
                <c:pt idx="5">
                  <c:v>17.506960203310747</c:v>
                </c:pt>
                <c:pt idx="6">
                  <c:v>16.85151461932233</c:v>
                </c:pt>
                <c:pt idx="7">
                  <c:v>17.506967382086156</c:v>
                </c:pt>
                <c:pt idx="8">
                  <c:v>17.426073055616872</c:v>
                </c:pt>
                <c:pt idx="9">
                  <c:v>15.88234553171589</c:v>
                </c:pt>
                <c:pt idx="10">
                  <c:v>22.153844088567585</c:v>
                </c:pt>
                <c:pt idx="11">
                  <c:v>22.466910000305589</c:v>
                </c:pt>
                <c:pt idx="12">
                  <c:v>24.263462541567371</c:v>
                </c:pt>
                <c:pt idx="13">
                  <c:v>24.464179393997082</c:v>
                </c:pt>
                <c:pt idx="14">
                  <c:v>25.782148668574564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84C-4B9F-A6F6-829CD2170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006200"/>
        <c:axId val="470005776"/>
      </c:lineChart>
      <c:catAx>
        <c:axId val="4700112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0006624"/>
        <c:crossesAt val="0"/>
        <c:auto val="0"/>
        <c:lblAlgn val="ctr"/>
        <c:lblOffset val="100"/>
        <c:tickLblSkip val="2"/>
        <c:tickMarkSkip val="1"/>
        <c:noMultiLvlLbl val="0"/>
      </c:catAx>
      <c:valAx>
        <c:axId val="470006624"/>
        <c:scaling>
          <c:orientation val="minMax"/>
          <c:max val="4000"/>
          <c:min val="0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0011288"/>
        <c:crosses val="autoZero"/>
        <c:crossBetween val="between"/>
        <c:majorUnit val="1000"/>
      </c:valAx>
      <c:catAx>
        <c:axId val="470006200"/>
        <c:scaling>
          <c:orientation val="minMax"/>
        </c:scaling>
        <c:delete val="1"/>
        <c:axPos val="b"/>
        <c:majorTickMark val="out"/>
        <c:minorTickMark val="none"/>
        <c:tickLblPos val="none"/>
        <c:crossAx val="470005776"/>
        <c:crosses val="autoZero"/>
        <c:auto val="0"/>
        <c:lblAlgn val="ctr"/>
        <c:lblOffset val="100"/>
        <c:noMultiLvlLbl val="0"/>
      </c:catAx>
      <c:valAx>
        <c:axId val="470005776"/>
        <c:scaling>
          <c:orientation val="minMax"/>
          <c:max val="120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0006200"/>
        <c:crosses val="max"/>
        <c:crossBetween val="between"/>
        <c:majorUnit val="20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6761565836299444"/>
          <c:y val="0.20287958115183249"/>
          <c:w val="0.24466192170818502"/>
          <c:h val="9.947643979057592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2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Lake Weir.  Estimated annual external total</a:t>
            </a:r>
          </a:p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2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phosphorus loads and mean concentrations</a:t>
            </a:r>
          </a:p>
        </c:rich>
      </c:tx>
      <c:layout>
        <c:manualLayout>
          <c:xMode val="edge"/>
          <c:yMode val="edge"/>
          <c:x val="0.16870148793678374"/>
          <c:y val="1.95757925547264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167259786476868"/>
          <c:y val="0.16623036649214817"/>
          <c:w val="0.7313167259786405"/>
          <c:h val="0.67408376963351391"/>
        </c:manualLayout>
      </c:layout>
      <c:barChart>
        <c:barDir val="col"/>
        <c:grouping val="clustered"/>
        <c:varyColors val="0"/>
        <c:ser>
          <c:idx val="1"/>
          <c:order val="0"/>
          <c:tx>
            <c:v>TP load</c:v>
          </c:tx>
          <c:spPr>
            <a:solidFill>
              <a:srgbClr val="FF99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Summary!$E$4:$S$4</c:f>
              <c:numCache>
                <c:formatCode>General</c:formatCode>
                <c:ptCount val="1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</c:numCache>
            </c:numRef>
          </c:cat>
          <c:val>
            <c:numRef>
              <c:f>Summary!$E$47:$S$47</c:f>
              <c:numCache>
                <c:formatCode>#,##0</c:formatCode>
                <c:ptCount val="15"/>
                <c:pt idx="0">
                  <c:v>1570.6301585839094</c:v>
                </c:pt>
                <c:pt idx="1">
                  <c:v>1397.9597583184632</c:v>
                </c:pt>
                <c:pt idx="2">
                  <c:v>1123.9409926975775</c:v>
                </c:pt>
                <c:pt idx="3">
                  <c:v>1037.1490299988716</c:v>
                </c:pt>
                <c:pt idx="4">
                  <c:v>807.0753174376822</c:v>
                </c:pt>
                <c:pt idx="5">
                  <c:v>1228.8355224285008</c:v>
                </c:pt>
                <c:pt idx="6">
                  <c:v>1472.9493070259073</c:v>
                </c:pt>
                <c:pt idx="7">
                  <c:v>1164.9700176565657</c:v>
                </c:pt>
                <c:pt idx="8">
                  <c:v>1191.8649961566091</c:v>
                </c:pt>
                <c:pt idx="9">
                  <c:v>1438.5166814242307</c:v>
                </c:pt>
                <c:pt idx="10">
                  <c:v>1393.1178455160884</c:v>
                </c:pt>
                <c:pt idx="11">
                  <c:v>1800.8545132448901</c:v>
                </c:pt>
                <c:pt idx="12">
                  <c:v>1481.9829644146114</c:v>
                </c:pt>
                <c:pt idx="13">
                  <c:v>1979.1537514522909</c:v>
                </c:pt>
                <c:pt idx="14">
                  <c:v>1729.0356544595152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41-464C-8433-E0BD72534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50"/>
        <c:axId val="470010016"/>
        <c:axId val="470010440"/>
      </c:barChart>
      <c:lineChart>
        <c:grouping val="standard"/>
        <c:varyColors val="0"/>
        <c:ser>
          <c:idx val="0"/>
          <c:order val="1"/>
          <c:tx>
            <c:v>TP concentration</c:v>
          </c:tx>
          <c:spPr>
            <a:ln w="25400">
              <a:solidFill>
                <a:srgbClr val="FF0000"/>
              </a:solidFill>
              <a:prstDash val="solid"/>
            </a:ln>
          </c:spPr>
          <c:marker>
            <c:symbol val="diamond"/>
            <c:size val="10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val>
            <c:numRef>
              <c:f>Summary!$E$69:$S$69</c:f>
              <c:numCache>
                <c:formatCode>General</c:formatCode>
                <c:ptCount val="15"/>
                <c:pt idx="0">
                  <c:v>14.000000000000004</c:v>
                </c:pt>
                <c:pt idx="1">
                  <c:v>15.400000000000002</c:v>
                </c:pt>
                <c:pt idx="2">
                  <c:v>11.500000000000002</c:v>
                </c:pt>
                <c:pt idx="3">
                  <c:v>6.75</c:v>
                </c:pt>
                <c:pt idx="4">
                  <c:v>14.2</c:v>
                </c:pt>
                <c:pt idx="5">
                  <c:v>21.2</c:v>
                </c:pt>
                <c:pt idx="6">
                  <c:v>16</c:v>
                </c:pt>
                <c:pt idx="7">
                  <c:v>13.624999999999998</c:v>
                </c:pt>
                <c:pt idx="8">
                  <c:v>11.166666666666666</c:v>
                </c:pt>
                <c:pt idx="9">
                  <c:v>12.500000000000002</c:v>
                </c:pt>
                <c:pt idx="10">
                  <c:v>15.416666666666668</c:v>
                </c:pt>
                <c:pt idx="11">
                  <c:v>14.833333333333337</c:v>
                </c:pt>
                <c:pt idx="12">
                  <c:v>12.249999999999998</c:v>
                </c:pt>
                <c:pt idx="13">
                  <c:v>12.181818181818183</c:v>
                </c:pt>
                <c:pt idx="14">
                  <c:v>9.5735318333333339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A441-464C-8433-E0BD725340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002808"/>
        <c:axId val="470002384"/>
      </c:lineChart>
      <c:catAx>
        <c:axId val="47001001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0010440"/>
        <c:crossesAt val="0"/>
        <c:auto val="0"/>
        <c:lblAlgn val="ctr"/>
        <c:lblOffset val="100"/>
        <c:tickLblSkip val="2"/>
        <c:tickMarkSkip val="1"/>
        <c:noMultiLvlLbl val="0"/>
      </c:catAx>
      <c:valAx>
        <c:axId val="470010440"/>
        <c:scaling>
          <c:orientation val="minMax"/>
          <c:max val="4000"/>
          <c:min val="0"/>
        </c:scaling>
        <c:delete val="0"/>
        <c:axPos val="l"/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0010016"/>
        <c:crosses val="autoZero"/>
        <c:crossBetween val="between"/>
        <c:majorUnit val="1000"/>
      </c:valAx>
      <c:catAx>
        <c:axId val="470002808"/>
        <c:scaling>
          <c:orientation val="minMax"/>
        </c:scaling>
        <c:delete val="1"/>
        <c:axPos val="b"/>
        <c:majorTickMark val="out"/>
        <c:minorTickMark val="none"/>
        <c:tickLblPos val="none"/>
        <c:crossAx val="470002384"/>
        <c:crosses val="autoZero"/>
        <c:auto val="0"/>
        <c:lblAlgn val="ctr"/>
        <c:lblOffset val="100"/>
        <c:noMultiLvlLbl val="0"/>
      </c:catAx>
      <c:valAx>
        <c:axId val="470002384"/>
        <c:scaling>
          <c:orientation val="minMax"/>
        </c:scaling>
        <c:delete val="0"/>
        <c:axPos val="r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0002808"/>
        <c:crosses val="max"/>
        <c:crossBetween val="between"/>
        <c:majorUnit val="5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7384341637011826"/>
          <c:y val="0.19502617801047123"/>
          <c:w val="0.24466192170818502"/>
          <c:h val="9.9476439790575924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6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Estimated average annual external total nitrogen loads to Lake Weir</a:t>
            </a:r>
          </a:p>
        </c:rich>
      </c:tx>
      <c:layout>
        <c:manualLayout>
          <c:xMode val="edge"/>
          <c:yMode val="edge"/>
          <c:x val="0.14768484789045541"/>
          <c:y val="1.95757925547264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28113879003559"/>
          <c:y val="0.12827225130890052"/>
          <c:w val="0.76245551601423944"/>
          <c:h val="0.77356020942408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Summary!$B$42</c:f>
              <c:strCache>
                <c:ptCount val="1"/>
                <c:pt idx="0">
                  <c:v>Septic tanks</c:v>
                </c:pt>
              </c:strCache>
            </c:strRef>
          </c:tx>
          <c:spPr>
            <a:pattFill prst="lgConfetti">
              <a:fgClr>
                <a:srgbClr val="008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solidFill>
                  <a:srgbClr val="000000"/>
                </a:solidFill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(Summary!#REF!,Summary!$BH$5)</c:f>
            </c:multiLvlStrRef>
          </c:cat>
          <c:val>
            <c:numRef>
              <c:f>(Summary!#REF!,Summary!$BH$42)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B3-4012-8949-865C1E3A0A90}"/>
            </c:ext>
          </c:extLst>
        </c:ser>
        <c:ser>
          <c:idx val="1"/>
          <c:order val="1"/>
          <c:tx>
            <c:strRef>
              <c:f>Summary!$B$43</c:f>
              <c:strCache>
                <c:ptCount val="1"/>
                <c:pt idx="0">
                  <c:v>Urban-residential runoff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5966785290628913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B3-4012-8949-865C1E3A0A90}"/>
                </c:ext>
              </c:extLst>
            </c:dLbl>
            <c:dLbl>
              <c:idx val="1"/>
              <c:layout>
                <c:manualLayout>
                  <c:x val="4.3001186239620404E-2"/>
                  <c:y val="-7.9987441306934938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5B3-4012-8949-865C1E3A0A90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solidFill>
                  <a:srgbClr val="000000"/>
                </a:solidFill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(Summary!#REF!,Summary!$BH$5)</c:f>
            </c:multiLvlStrRef>
          </c:cat>
          <c:val>
            <c:numRef>
              <c:f>(Summary!#REF!,Summary!$BH$43)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B3-4012-8949-865C1E3A0A90}"/>
            </c:ext>
          </c:extLst>
        </c:ser>
        <c:ser>
          <c:idx val="2"/>
          <c:order val="2"/>
          <c:tx>
            <c:strRef>
              <c:f>Summary!$B$44</c:f>
              <c:strCache>
                <c:ptCount val="1"/>
                <c:pt idx="0">
                  <c:v>Agriculture</c:v>
                </c:pt>
              </c:strCache>
            </c:strRef>
          </c:tx>
          <c:spPr>
            <a:pattFill prst="dkUpDiag">
              <a:fgClr>
                <a:srgbClr val="FF0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solidFill>
                  <a:srgbClr val="000000"/>
                </a:solidFill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(Summary!#REF!,Summary!$BH$5)</c:f>
            </c:multiLvlStrRef>
          </c:cat>
          <c:val>
            <c:numRef>
              <c:f>(Summary!#REF!,Summary!$BH$44)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5B3-4012-8949-865C1E3A0A90}"/>
            </c:ext>
          </c:extLst>
        </c:ser>
        <c:ser>
          <c:idx val="3"/>
          <c:order val="3"/>
          <c:tx>
            <c:strRef>
              <c:f>Summary!$B$45</c:f>
              <c:strCache>
                <c:ptCount val="1"/>
                <c:pt idx="0">
                  <c:v>Natural areas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solidFill>
                  <a:srgbClr val="000000"/>
                </a:solidFill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(Summary!#REF!,Summary!$BH$5)</c:f>
            </c:multiLvlStrRef>
          </c:cat>
          <c:val>
            <c:numRef>
              <c:f>(Summary!#REF!,Summary!$BH$45)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B3-4012-8949-865C1E3A0A90}"/>
            </c:ext>
          </c:extLst>
        </c:ser>
        <c:ser>
          <c:idx val="4"/>
          <c:order val="4"/>
          <c:tx>
            <c:strRef>
              <c:f>Summary!$B$46</c:f>
              <c:strCache>
                <c:ptCount val="1"/>
                <c:pt idx="0">
                  <c:v>Atmospheric</c:v>
                </c:pt>
              </c:strCache>
            </c:strRef>
          </c:tx>
          <c:spPr>
            <a:pattFill prst="diagBrick">
              <a:fgClr>
                <a:srgbClr val="000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7449584816132914E-2"/>
                  <c:y val="-4.1448516579406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5B3-4012-8949-865C1E3A0A90}"/>
                </c:ext>
              </c:extLst>
            </c:dLbl>
            <c:dLbl>
              <c:idx val="1"/>
              <c:layout>
                <c:manualLayout>
                  <c:x val="5.3380782918149523E-2"/>
                  <c:y val="4.36300174520070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5B3-4012-8949-865C1E3A0A90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solidFill>
                  <a:srgbClr val="000000"/>
                </a:solidFill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(Summary!#REF!,Summary!$BH$5)</c:f>
            </c:multiLvlStrRef>
          </c:cat>
          <c:val>
            <c:numRef>
              <c:f>(Summary!#REF!,Summary!$BH$46)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5B3-4012-8949-865C1E3A0A9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470001112"/>
        <c:axId val="470000688"/>
      </c:barChart>
      <c:catAx>
        <c:axId val="470001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00006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70000688"/>
        <c:scaling>
          <c:orientation val="minMax"/>
          <c:max val="3000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0001112"/>
        <c:crosses val="autoZero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608540925267361"/>
          <c:y val="0.32286212914485785"/>
          <c:w val="0.3677342823250298"/>
          <c:h val="0.2582897033158839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Estimated average annual external total phosphorus loads to Lake Weir</a:t>
            </a:r>
          </a:p>
        </c:rich>
      </c:tx>
      <c:layout>
        <c:manualLayout>
          <c:xMode val="edge"/>
          <c:yMode val="edge"/>
          <c:x val="0.14768484789045541"/>
          <c:y val="1.957579255472646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760379596678518"/>
          <c:y val="0.12827225130890052"/>
          <c:w val="0.78766310794780559"/>
          <c:h val="0.77356020942408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Summary!$B$42</c:f>
              <c:strCache>
                <c:ptCount val="1"/>
                <c:pt idx="0">
                  <c:v>Septic tanks</c:v>
                </c:pt>
              </c:strCache>
            </c:strRef>
          </c:tx>
          <c:spPr>
            <a:pattFill prst="lgConfetti">
              <a:fgClr>
                <a:srgbClr val="008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solidFill>
                <a:schemeClr val="bg1"/>
              </a:solidFill>
              <a:ln>
                <a:solidFill>
                  <a:srgbClr val="000000"/>
                </a:solidFill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(Summary!$AA$5,Summary!$AH$5)</c:f>
              <c:strCache>
                <c:ptCount val="2"/>
                <c:pt idx="0">
                  <c:v>1991-2000</c:v>
                </c:pt>
                <c:pt idx="1">
                  <c:v>2001-2010</c:v>
                </c:pt>
              </c:strCache>
            </c:strRef>
          </c:cat>
          <c:val>
            <c:numRef>
              <c:f>(Summary!$AA$42,Summary!$AH$42)</c:f>
              <c:numCache>
                <c:formatCode>#,##0.00</c:formatCode>
                <c:ptCount val="2"/>
                <c:pt idx="0" formatCode="#,##0">
                  <c:v>234.23663999999994</c:v>
                </c:pt>
                <c:pt idx="1">
                  <c:v>329.47996799999999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5F-4389-BB7F-669F8FC6FBEB}"/>
            </c:ext>
          </c:extLst>
        </c:ser>
        <c:ser>
          <c:idx val="1"/>
          <c:order val="1"/>
          <c:tx>
            <c:strRef>
              <c:f>Summary!$B$43</c:f>
              <c:strCache>
                <c:ptCount val="1"/>
                <c:pt idx="0">
                  <c:v>Urban-residential runoff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solidFill>
                  <a:srgbClr val="000000"/>
                </a:solidFill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(Summary!$AA$5,Summary!$AH$5)</c:f>
              <c:strCache>
                <c:ptCount val="2"/>
                <c:pt idx="0">
                  <c:v>1991-2000</c:v>
                </c:pt>
                <c:pt idx="1">
                  <c:v>2001-2010</c:v>
                </c:pt>
              </c:strCache>
            </c:strRef>
          </c:cat>
          <c:val>
            <c:numRef>
              <c:f>(Summary!$AA$43,Summary!$AH$43)</c:f>
              <c:numCache>
                <c:formatCode>#,##0.00</c:formatCode>
                <c:ptCount val="2"/>
                <c:pt idx="0" formatCode="#,##0">
                  <c:v>145.55973317356171</c:v>
                </c:pt>
                <c:pt idx="1">
                  <c:v>154.29918762162885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5F-4389-BB7F-669F8FC6FBEB}"/>
            </c:ext>
          </c:extLst>
        </c:ser>
        <c:ser>
          <c:idx val="2"/>
          <c:order val="2"/>
          <c:tx>
            <c:strRef>
              <c:f>Summary!$B$44</c:f>
              <c:strCache>
                <c:ptCount val="1"/>
                <c:pt idx="0">
                  <c:v>Agriculture</c:v>
                </c:pt>
              </c:strCache>
            </c:strRef>
          </c:tx>
          <c:spPr>
            <a:pattFill prst="dkUpDiag">
              <a:fgClr>
                <a:srgbClr val="FF0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solidFill>
                  <a:srgbClr val="000000"/>
                </a:solidFill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(Summary!$AA$5,Summary!$AH$5)</c:f>
              <c:strCache>
                <c:ptCount val="2"/>
                <c:pt idx="0">
                  <c:v>1991-2000</c:v>
                </c:pt>
                <c:pt idx="1">
                  <c:v>2001-2010</c:v>
                </c:pt>
              </c:strCache>
            </c:strRef>
          </c:cat>
          <c:val>
            <c:numRef>
              <c:f>(Summary!$AA$44,Summary!$AH$44)</c:f>
              <c:numCache>
                <c:formatCode>#,##0.00</c:formatCode>
                <c:ptCount val="2"/>
                <c:pt idx="0" formatCode="#,##0">
                  <c:v>40.10154273974598</c:v>
                </c:pt>
                <c:pt idx="1">
                  <c:v>186.80297229898909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E5F-4389-BB7F-669F8FC6FBEB}"/>
            </c:ext>
          </c:extLst>
        </c:ser>
        <c:ser>
          <c:idx val="3"/>
          <c:order val="3"/>
          <c:tx>
            <c:strRef>
              <c:f>Summary!$B$45</c:f>
              <c:strCache>
                <c:ptCount val="1"/>
                <c:pt idx="0">
                  <c:v>Natural areas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" sourceLinked="0"/>
            <c:spPr>
              <a:solidFill>
                <a:sysClr val="window" lastClr="FFFFFF"/>
              </a:solidFill>
              <a:ln>
                <a:solidFill>
                  <a:srgbClr val="000000"/>
                </a:solidFill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(Summary!$AA$5,Summary!$AH$5)</c:f>
              <c:strCache>
                <c:ptCount val="2"/>
                <c:pt idx="0">
                  <c:v>1991-2000</c:v>
                </c:pt>
                <c:pt idx="1">
                  <c:v>2001-2010</c:v>
                </c:pt>
              </c:strCache>
            </c:strRef>
          </c:cat>
          <c:val>
            <c:numRef>
              <c:f>(Summary!$AA$45,Summary!$AH$45)</c:f>
              <c:numCache>
                <c:formatCode>#,##0.00</c:formatCode>
                <c:ptCount val="2"/>
                <c:pt idx="0" formatCode="#,##0">
                  <c:v>126.97335781038892</c:v>
                </c:pt>
                <c:pt idx="1">
                  <c:v>394.34474839635595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E5F-4389-BB7F-669F8FC6FBEB}"/>
            </c:ext>
          </c:extLst>
        </c:ser>
        <c:ser>
          <c:idx val="4"/>
          <c:order val="4"/>
          <c:tx>
            <c:strRef>
              <c:f>Summary!$B$46</c:f>
              <c:strCache>
                <c:ptCount val="1"/>
                <c:pt idx="0">
                  <c:v>Atmospheric</c:v>
                </c:pt>
              </c:strCache>
            </c:strRef>
          </c:tx>
          <c:spPr>
            <a:pattFill prst="diagBrick">
              <a:fgClr>
                <a:srgbClr val="000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7449584816132914E-2"/>
                  <c:y val="-4.14485165794066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5F-4389-BB7F-669F8FC6FBEB}"/>
                </c:ext>
              </c:extLst>
            </c:dLbl>
            <c:dLbl>
              <c:idx val="1"/>
              <c:layout>
                <c:manualLayout>
                  <c:x val="5.3380782918149523E-2"/>
                  <c:y val="4.363001745200702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5F-4389-BB7F-669F8FC6FBEB}"/>
                </c:ext>
              </c:extLst>
            </c:dLbl>
            <c:numFmt formatCode="#,##0" sourceLinked="0"/>
            <c:spPr>
              <a:solidFill>
                <a:sysClr val="window" lastClr="FFFFFF"/>
              </a:solidFill>
              <a:ln>
                <a:solidFill>
                  <a:srgbClr val="000000"/>
                </a:solidFill>
              </a:ln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(Summary!$AA$5,Summary!$AH$5)</c:f>
              <c:strCache>
                <c:ptCount val="2"/>
                <c:pt idx="0">
                  <c:v>1991-2000</c:v>
                </c:pt>
                <c:pt idx="1">
                  <c:v>2001-2010</c:v>
                </c:pt>
              </c:strCache>
            </c:strRef>
          </c:cat>
          <c:val>
            <c:numRef>
              <c:f>(Summary!$AA$46,Summary!$AH$46)</c:f>
              <c:numCache>
                <c:formatCode>#,##0.00</c:formatCode>
                <c:ptCount val="2"/>
                <c:pt idx="0" formatCode="#,##0">
                  <c:v>696.51790444913513</c:v>
                </c:pt>
                <c:pt idx="1">
                  <c:v>746.26824392772482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E5F-4389-BB7F-669F8FC6FB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50"/>
        <c:overlap val="100"/>
        <c:axId val="469999840"/>
        <c:axId val="469999416"/>
      </c:barChart>
      <c:lineChart>
        <c:grouping val="standard"/>
        <c:varyColors val="0"/>
        <c:ser>
          <c:idx val="5"/>
          <c:order val="5"/>
          <c:tx>
            <c:v>PLRG</c:v>
          </c:tx>
          <c:spPr>
            <a:ln w="63500">
              <a:solidFill>
                <a:srgbClr val="0000FF"/>
              </a:solidFill>
              <a:bevel/>
              <a:headEnd type="none"/>
              <a:tailEnd type="none"/>
            </a:ln>
          </c:spPr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E5F-4389-BB7F-669F8FC6FBEB}"/>
                </c:ext>
              </c:extLst>
            </c:dLbl>
            <c:dLbl>
              <c:idx val="1"/>
              <c:layout>
                <c:manualLayout>
                  <c:x val="-0.21945432977461446"/>
                  <c:y val="-2.61780104712045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E5F-4389-BB7F-669F8FC6FBE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(Summary!$AA$5,Summary!$AH$5)</c:f>
              <c:strCache>
                <c:ptCount val="2"/>
                <c:pt idx="0">
                  <c:v>1991-2000</c:v>
                </c:pt>
                <c:pt idx="1">
                  <c:v>2001-2010</c:v>
                </c:pt>
              </c:strCache>
            </c:strRef>
          </c:cat>
          <c:val>
            <c:numRef>
              <c:f>(Summary!$AA$49,Summary!$AH$49)</c:f>
              <c:numCache>
                <c:formatCode>General</c:formatCode>
                <c:ptCount val="2"/>
                <c:pt idx="0">
                  <c:v>1230</c:v>
                </c:pt>
                <c:pt idx="1">
                  <c:v>1230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1E5F-4389-BB7F-669F8FC6FBE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69999840"/>
        <c:axId val="469999416"/>
      </c:lineChart>
      <c:catAx>
        <c:axId val="4699998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9999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69999416"/>
        <c:scaling>
          <c:orientation val="minMax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9999840"/>
        <c:crosses val="autoZero"/>
        <c:crossBetween val="between"/>
        <c:majorUnit val="500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4608540925267361"/>
          <c:y val="0.30759162303665127"/>
          <c:w val="0.3677342823250298"/>
          <c:h val="0.2582897033158839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8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Lake Weir estimated annual external total nitrogen loads, and annual average concentrations of TN </a:t>
            </a:r>
            <a:endParaRPr lang="en-US" sz="1800" b="1" i="1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11209765927835542"/>
          <c:y val="1.95757925547264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396204033216"/>
          <c:y val="0.12827225130890052"/>
          <c:w val="0.7891459074733137"/>
          <c:h val="0.77356020942408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Summary!$B$42</c:f>
              <c:strCache>
                <c:ptCount val="1"/>
                <c:pt idx="0">
                  <c:v>Septic tanks</c:v>
                </c:pt>
              </c:strCache>
            </c:strRef>
          </c:tx>
          <c:spPr>
            <a:pattFill prst="lgConfetti">
              <a:fgClr>
                <a:srgbClr val="008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(Summary!$E$4:$T$4,Summary!$U$4:$Z$4)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(Summary!$AL$34:$BA$34,Summary!$BB$34:$BG$34)</c:f>
              <c:numCache>
                <c:formatCode>#,##0</c:formatCode>
                <c:ptCount val="22"/>
                <c:pt idx="0">
                  <c:v>4134.7515000000003</c:v>
                </c:pt>
                <c:pt idx="1">
                  <c:v>4134.7515000000003</c:v>
                </c:pt>
                <c:pt idx="2">
                  <c:v>4134.7515000000003</c:v>
                </c:pt>
                <c:pt idx="3">
                  <c:v>4134.7515000000003</c:v>
                </c:pt>
                <c:pt idx="4">
                  <c:v>4134.7515000000003</c:v>
                </c:pt>
                <c:pt idx="5">
                  <c:v>4134.7515000000003</c:v>
                </c:pt>
                <c:pt idx="6">
                  <c:v>4134.7515000000003</c:v>
                </c:pt>
                <c:pt idx="7">
                  <c:v>4134.7515000000003</c:v>
                </c:pt>
                <c:pt idx="8">
                  <c:v>4134.7515000000003</c:v>
                </c:pt>
                <c:pt idx="9">
                  <c:v>4134.7515000000003</c:v>
                </c:pt>
                <c:pt idx="10">
                  <c:v>5023.210500000001</c:v>
                </c:pt>
                <c:pt idx="11">
                  <c:v>5023.210500000001</c:v>
                </c:pt>
                <c:pt idx="12">
                  <c:v>5023.210500000001</c:v>
                </c:pt>
                <c:pt idx="13">
                  <c:v>5023.210500000001</c:v>
                </c:pt>
                <c:pt idx="14">
                  <c:v>5023.210500000001</c:v>
                </c:pt>
                <c:pt idx="15">
                  <c:v>5023.210500000001</c:v>
                </c:pt>
                <c:pt idx="16">
                  <c:v>7005.1575000000003</c:v>
                </c:pt>
                <c:pt idx="17">
                  <c:v>7005.1575000000003</c:v>
                </c:pt>
                <c:pt idx="18">
                  <c:v>7005.1575000000003</c:v>
                </c:pt>
                <c:pt idx="19">
                  <c:v>7005.1575000000003</c:v>
                </c:pt>
                <c:pt idx="20">
                  <c:v>7005.1575000000003</c:v>
                </c:pt>
                <c:pt idx="21">
                  <c:v>7005.1575000000003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77-4278-9C14-D76D739C0DC0}"/>
            </c:ext>
          </c:extLst>
        </c:ser>
        <c:ser>
          <c:idx val="1"/>
          <c:order val="1"/>
          <c:tx>
            <c:strRef>
              <c:f>Summary!$B$43</c:f>
              <c:strCache>
                <c:ptCount val="1"/>
                <c:pt idx="0">
                  <c:v>Urban-residential runoff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(Summary!$E$4:$T$4,Summary!$U$4:$Z$4)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(Summary!$AL$33:$BA$33,Summary!$BB$33:$BG$33)</c:f>
              <c:numCache>
                <c:formatCode>#,##0</c:formatCode>
                <c:ptCount val="22"/>
                <c:pt idx="0">
                  <c:v>1354.0049140808269</c:v>
                </c:pt>
                <c:pt idx="1">
                  <c:v>1873.1332073490046</c:v>
                </c:pt>
                <c:pt idx="2">
                  <c:v>1751.2578098982258</c:v>
                </c:pt>
                <c:pt idx="3">
                  <c:v>2445.5869332151328</c:v>
                </c:pt>
                <c:pt idx="4">
                  <c:v>2018.1675621707507</c:v>
                </c:pt>
                <c:pt idx="5">
                  <c:v>1500.3980027186758</c:v>
                </c:pt>
                <c:pt idx="6">
                  <c:v>1774.4024123820284</c:v>
                </c:pt>
                <c:pt idx="7">
                  <c:v>1560.5715201349417</c:v>
                </c:pt>
                <c:pt idx="8">
                  <c:v>1453.8351618608508</c:v>
                </c:pt>
                <c:pt idx="9">
                  <c:v>695.08831511478741</c:v>
                </c:pt>
                <c:pt idx="10">
                  <c:v>1166.9913286647825</c:v>
                </c:pt>
                <c:pt idx="11">
                  <c:v>1682.3406017175607</c:v>
                </c:pt>
                <c:pt idx="12">
                  <c:v>1276.6122990777208</c:v>
                </c:pt>
                <c:pt idx="13">
                  <c:v>1591.0355729462487</c:v>
                </c:pt>
                <c:pt idx="14">
                  <c:v>1519.1172108364262</c:v>
                </c:pt>
                <c:pt idx="15">
                  <c:v>969.89581982814616</c:v>
                </c:pt>
                <c:pt idx="16">
                  <c:v>1164.1273113940269</c:v>
                </c:pt>
                <c:pt idx="17">
                  <c:v>1398.3843311782241</c:v>
                </c:pt>
                <c:pt idx="18">
                  <c:v>1687.6843051015321</c:v>
                </c:pt>
                <c:pt idx="19">
                  <c:v>1279.0042519471556</c:v>
                </c:pt>
                <c:pt idx="20">
                  <c:v>1365.8397207360852</c:v>
                </c:pt>
                <c:pt idx="21">
                  <c:v>1525.3494097410708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77-4278-9C14-D76D739C0DC0}"/>
            </c:ext>
          </c:extLst>
        </c:ser>
        <c:ser>
          <c:idx val="2"/>
          <c:order val="2"/>
          <c:tx>
            <c:strRef>
              <c:f>Summary!$B$44</c:f>
              <c:strCache>
                <c:ptCount val="1"/>
                <c:pt idx="0">
                  <c:v>Agriculture</c:v>
                </c:pt>
              </c:strCache>
            </c:strRef>
          </c:tx>
          <c:spPr>
            <a:pattFill prst="dkUpDiag">
              <a:fgClr>
                <a:srgbClr val="FF0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(Summary!$E$4:$T$4,Summary!$U$4:$Z$4)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(Summary!$AL$36:$BA$36,Summary!$BB$36:$BG$36)</c:f>
              <c:numCache>
                <c:formatCode>#,##0</c:formatCode>
                <c:ptCount val="22"/>
                <c:pt idx="0">
                  <c:v>304.10981399724699</c:v>
                </c:pt>
                <c:pt idx="1">
                  <c:v>420.70614763290899</c:v>
                </c:pt>
                <c:pt idx="2">
                  <c:v>393.33290543551442</c:v>
                </c:pt>
                <c:pt idx="3">
                  <c:v>549.27938565055729</c:v>
                </c:pt>
                <c:pt idx="4">
                  <c:v>453.28089696311622</c:v>
                </c:pt>
                <c:pt idx="5">
                  <c:v>336.98973525392955</c:v>
                </c:pt>
                <c:pt idx="6">
                  <c:v>398.53118845738044</c:v>
                </c:pt>
                <c:pt idx="7">
                  <c:v>350.50472105547163</c:v>
                </c:pt>
                <c:pt idx="8">
                  <c:v>326.53171052654568</c:v>
                </c:pt>
                <c:pt idx="9">
                  <c:v>171.0312437050687</c:v>
                </c:pt>
                <c:pt idx="10">
                  <c:v>755.80041535169983</c:v>
                </c:pt>
                <c:pt idx="11">
                  <c:v>1782.2819993500245</c:v>
                </c:pt>
                <c:pt idx="12">
                  <c:v>448.02262730399389</c:v>
                </c:pt>
                <c:pt idx="13">
                  <c:v>1821.8945626197865</c:v>
                </c:pt>
                <c:pt idx="14">
                  <c:v>614.63815279483811</c:v>
                </c:pt>
                <c:pt idx="15">
                  <c:v>464.05510573334089</c:v>
                </c:pt>
                <c:pt idx="16">
                  <c:v>471.66128969474642</c:v>
                </c:pt>
                <c:pt idx="17">
                  <c:v>1182.1596936887142</c:v>
                </c:pt>
                <c:pt idx="18">
                  <c:v>1616.7461516457672</c:v>
                </c:pt>
                <c:pt idx="19">
                  <c:v>387.17619231556728</c:v>
                </c:pt>
                <c:pt idx="20">
                  <c:v>1256.763367909776</c:v>
                </c:pt>
                <c:pt idx="21">
                  <c:v>1149.9099160850294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B77-4278-9C14-D76D739C0DC0}"/>
            </c:ext>
          </c:extLst>
        </c:ser>
        <c:ser>
          <c:idx val="3"/>
          <c:order val="3"/>
          <c:tx>
            <c:strRef>
              <c:f>Summary!$B$45</c:f>
              <c:strCache>
                <c:ptCount val="1"/>
                <c:pt idx="0">
                  <c:v>Natural areas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(Summary!$E$4:$T$4,Summary!$U$4:$Z$4)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(Summary!$AL$37:$BA$37,Summary!$BB$37:$BG$37)</c:f>
              <c:numCache>
                <c:formatCode>#,##0</c:formatCode>
                <c:ptCount val="22"/>
                <c:pt idx="0">
                  <c:v>2714.4406498414701</c:v>
                </c:pt>
                <c:pt idx="1">
                  <c:v>3755.1628267521583</c:v>
                </c:pt>
                <c:pt idx="2">
                  <c:v>3510.8331868700452</c:v>
                </c:pt>
                <c:pt idx="3">
                  <c:v>4902.7891370296902</c:v>
                </c:pt>
                <c:pt idx="4">
                  <c:v>4045.9203744224583</c:v>
                </c:pt>
                <c:pt idx="5">
                  <c:v>3007.922118425492</c:v>
                </c:pt>
                <c:pt idx="6">
                  <c:v>3557.2323167056297</c:v>
                </c:pt>
                <c:pt idx="7">
                  <c:v>3128.5549462830904</c:v>
                </c:pt>
                <c:pt idx="8">
                  <c:v>2914.5752873452061</c:v>
                </c:pt>
                <c:pt idx="9">
                  <c:v>6572.7518538329869</c:v>
                </c:pt>
                <c:pt idx="10">
                  <c:v>10651.475797734101</c:v>
                </c:pt>
                <c:pt idx="11">
                  <c:v>14788.240069495549</c:v>
                </c:pt>
                <c:pt idx="12">
                  <c:v>11962.041321809742</c:v>
                </c:pt>
                <c:pt idx="13">
                  <c:v>13874.049279402881</c:v>
                </c:pt>
                <c:pt idx="14">
                  <c:v>14167.632793083145</c:v>
                </c:pt>
                <c:pt idx="15">
                  <c:v>8307.4907035607866</c:v>
                </c:pt>
                <c:pt idx="16">
                  <c:v>10051.842194880388</c:v>
                </c:pt>
                <c:pt idx="17">
                  <c:v>11492.414070584882</c:v>
                </c:pt>
                <c:pt idx="18">
                  <c:v>13690.282327133738</c:v>
                </c:pt>
                <c:pt idx="19">
                  <c:v>11167.67901890591</c:v>
                </c:pt>
                <c:pt idx="20">
                  <c:v>11128.380206873337</c:v>
                </c:pt>
                <c:pt idx="21">
                  <c:v>12667.860794883592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B77-4278-9C14-D76D739C0DC0}"/>
            </c:ext>
          </c:extLst>
        </c:ser>
        <c:ser>
          <c:idx val="4"/>
          <c:order val="4"/>
          <c:tx>
            <c:strRef>
              <c:f>Summary!$B$46</c:f>
              <c:strCache>
                <c:ptCount val="1"/>
                <c:pt idx="0">
                  <c:v>Atmospheric</c:v>
                </c:pt>
              </c:strCache>
            </c:strRef>
          </c:tx>
          <c:spPr>
            <a:pattFill prst="diagBrick">
              <a:fgClr>
                <a:srgbClr val="000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(Summary!$E$4:$T$4,Summary!$U$4:$Z$4)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(Summary!$AL$38:$BA$38,Summary!$BB$38:$BG$38)</c:f>
              <c:numCache>
                <c:formatCode>#,##0</c:formatCode>
                <c:ptCount val="22"/>
                <c:pt idx="0">
                  <c:v>13934.189797489849</c:v>
                </c:pt>
                <c:pt idx="1">
                  <c:v>15162.53343207201</c:v>
                </c:pt>
                <c:pt idx="2">
                  <c:v>16496.828816628265</c:v>
                </c:pt>
                <c:pt idx="3">
                  <c:v>13203.27872052177</c:v>
                </c:pt>
                <c:pt idx="4">
                  <c:v>14492.626502395358</c:v>
                </c:pt>
                <c:pt idx="5">
                  <c:v>8170.7974332805252</c:v>
                </c:pt>
                <c:pt idx="6">
                  <c:v>14355.998415694346</c:v>
                </c:pt>
                <c:pt idx="7">
                  <c:v>11006.716817735729</c:v>
                </c:pt>
                <c:pt idx="8">
                  <c:v>13163.967707384309</c:v>
                </c:pt>
                <c:pt idx="9">
                  <c:v>16459.662530818809</c:v>
                </c:pt>
                <c:pt idx="10">
                  <c:v>19444.313845762808</c:v>
                </c:pt>
                <c:pt idx="11">
                  <c:v>17448.708932761438</c:v>
                </c:pt>
                <c:pt idx="12">
                  <c:v>18590.881359875199</c:v>
                </c:pt>
                <c:pt idx="13">
                  <c:v>21057.119162185321</c:v>
                </c:pt>
                <c:pt idx="14">
                  <c:v>19907.502198000839</c:v>
                </c:pt>
                <c:pt idx="15">
                  <c:v>13860.789153044097</c:v>
                </c:pt>
                <c:pt idx="16">
                  <c:v>23089.066306296027</c:v>
                </c:pt>
                <c:pt idx="17">
                  <c:v>18983.164238993788</c:v>
                </c:pt>
                <c:pt idx="18">
                  <c:v>18971.301241060792</c:v>
                </c:pt>
                <c:pt idx="19">
                  <c:v>15689.278085647895</c:v>
                </c:pt>
                <c:pt idx="20">
                  <c:v>13958.677525156811</c:v>
                </c:pt>
                <c:pt idx="21">
                  <c:v>25996.000106173597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B77-4278-9C14-D76D739C0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70051144"/>
        <c:axId val="469998992"/>
      </c:barChart>
      <c:lineChart>
        <c:grouping val="standard"/>
        <c:varyColors val="0"/>
        <c:ser>
          <c:idx val="6"/>
          <c:order val="5"/>
          <c:tx>
            <c:v>TN concentration</c:v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1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(Summary!$E$71:$T$71,Summary!$U$71:$Z$71)</c:f>
              <c:numCache>
                <c:formatCode>General</c:formatCode>
                <c:ptCount val="22"/>
                <c:pt idx="0">
                  <c:v>1.0094999999999998</c:v>
                </c:pt>
                <c:pt idx="1">
                  <c:v>1.0623333333333334</c:v>
                </c:pt>
                <c:pt idx="2">
                  <c:v>0.99749999999999994</c:v>
                </c:pt>
                <c:pt idx="3">
                  <c:v>0.89160000000000006</c:v>
                </c:pt>
                <c:pt idx="4">
                  <c:v>0.7349</c:v>
                </c:pt>
                <c:pt idx="5">
                  <c:v>0.74099999999999999</c:v>
                </c:pt>
                <c:pt idx="6">
                  <c:v>0.77880000000000016</c:v>
                </c:pt>
                <c:pt idx="7">
                  <c:v>0.85012500000000002</c:v>
                </c:pt>
                <c:pt idx="8">
                  <c:v>0.82518181818181813</c:v>
                </c:pt>
                <c:pt idx="9">
                  <c:v>0.87378571428571417</c:v>
                </c:pt>
                <c:pt idx="10">
                  <c:v>0.82058333333333311</c:v>
                </c:pt>
                <c:pt idx="11">
                  <c:v>0.88109090909090915</c:v>
                </c:pt>
                <c:pt idx="12">
                  <c:v>0.80983333333333352</c:v>
                </c:pt>
                <c:pt idx="13">
                  <c:v>0.87699999999999989</c:v>
                </c:pt>
                <c:pt idx="14">
                  <c:v>0.70967587799999998</c:v>
                </c:pt>
                <c:pt idx="15">
                  <c:v>0.84831714371428568</c:v>
                </c:pt>
                <c:pt idx="16">
                  <c:v>0.84808647090909095</c:v>
                </c:pt>
                <c:pt idx="17">
                  <c:v>0.89973333333333327</c:v>
                </c:pt>
                <c:pt idx="18">
                  <c:v>1.0535863636363638</c:v>
                </c:pt>
                <c:pt idx="19">
                  <c:v>0.99155000000000004</c:v>
                </c:pt>
                <c:pt idx="20">
                  <c:v>0.96550000000000014</c:v>
                </c:pt>
                <c:pt idx="21">
                  <c:v>0.91888333333333316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6B77-4278-9C14-D76D739C0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998568"/>
        <c:axId val="469998144"/>
      </c:lineChart>
      <c:catAx>
        <c:axId val="470051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9998992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469998992"/>
        <c:scaling>
          <c:orientation val="minMax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General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0051144"/>
        <c:crosses val="autoZero"/>
        <c:crossBetween val="between"/>
        <c:majorUnit val="10000"/>
        <c:dispUnits>
          <c:builtInUnit val="thousands"/>
        </c:dispUnits>
      </c:valAx>
      <c:catAx>
        <c:axId val="469998568"/>
        <c:scaling>
          <c:orientation val="minMax"/>
        </c:scaling>
        <c:delete val="1"/>
        <c:axPos val="b"/>
        <c:majorTickMark val="out"/>
        <c:minorTickMark val="none"/>
        <c:tickLblPos val="none"/>
        <c:crossAx val="469998144"/>
        <c:crosses val="autoZero"/>
        <c:auto val="1"/>
        <c:lblAlgn val="ctr"/>
        <c:lblOffset val="100"/>
        <c:noMultiLvlLbl val="0"/>
      </c:catAx>
      <c:valAx>
        <c:axId val="469998144"/>
        <c:scaling>
          <c:orientation val="minMax"/>
        </c:scaling>
        <c:delete val="0"/>
        <c:axPos val="r"/>
        <c:title>
          <c:tx>
            <c:rich>
              <a:bodyPr/>
              <a:lstStyle/>
              <a:p>
                <a:pPr>
                  <a:defRPr sz="1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Concentration (</a:t>
                </a:r>
                <a:r>
                  <a:rPr lang="en-US" sz="1800" b="1" i="0" u="none" strike="noStrike" baseline="0">
                    <a:solidFill>
                      <a:srgbClr val="000000"/>
                    </a:solidFill>
                    <a:latin typeface="Arial" pitchFamily="34" charset="0"/>
                    <a:cs typeface="Arial" pitchFamily="34" charset="0"/>
                  </a:rPr>
                  <a:t>m</a:t>
                </a:r>
                <a:r>
                  <a:rPr lang="en-US" sz="1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g/L)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9998568"/>
        <c:crosses val="max"/>
        <c:crossBetween val="between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24970344009490075"/>
          <c:y val="0.13089005235602094"/>
          <c:w val="0.26100237247924413"/>
          <c:h val="0.1938677495156037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Lake Weir estimated annual external total phosphorus loads, and concentrations of TP and chlorophyll-</a:t>
            </a:r>
            <a:r>
              <a:rPr lang="en-US" sz="18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</a:t>
            </a:r>
          </a:p>
        </c:rich>
      </c:tx>
      <c:layout>
        <c:manualLayout>
          <c:xMode val="edge"/>
          <c:yMode val="edge"/>
          <c:x val="0.11209765927835542"/>
          <c:y val="1.95757925547264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39620403321597"/>
          <c:y val="0.12827225130890052"/>
          <c:w val="0.79507710557532629"/>
          <c:h val="0.77356020942408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Summary!$B$42</c:f>
              <c:strCache>
                <c:ptCount val="1"/>
                <c:pt idx="0">
                  <c:v>Septic tanks</c:v>
                </c:pt>
              </c:strCache>
            </c:strRef>
          </c:tx>
          <c:spPr>
            <a:pattFill prst="lgConfetti">
              <a:fgClr>
                <a:srgbClr val="008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Summary!$E$4:$Z$4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(Summary!$E$42:$T$42,Summary!$U$42:$Z$42)</c:f>
              <c:numCache>
                <c:formatCode>#,##0</c:formatCode>
                <c:ptCount val="22"/>
                <c:pt idx="0">
                  <c:v>234.23663999999994</c:v>
                </c:pt>
                <c:pt idx="1">
                  <c:v>234.23663999999994</c:v>
                </c:pt>
                <c:pt idx="2">
                  <c:v>234.23663999999994</c:v>
                </c:pt>
                <c:pt idx="3">
                  <c:v>234.23663999999994</c:v>
                </c:pt>
                <c:pt idx="4">
                  <c:v>234.23663999999994</c:v>
                </c:pt>
                <c:pt idx="5">
                  <c:v>234.23663999999994</c:v>
                </c:pt>
                <c:pt idx="6">
                  <c:v>234.23663999999994</c:v>
                </c:pt>
                <c:pt idx="7">
                  <c:v>234.23663999999994</c:v>
                </c:pt>
                <c:pt idx="8">
                  <c:v>234.23663999999994</c:v>
                </c:pt>
                <c:pt idx="9">
                  <c:v>234.23663999999994</c:v>
                </c:pt>
                <c:pt idx="10">
                  <c:v>284.56847999999991</c:v>
                </c:pt>
                <c:pt idx="11">
                  <c:v>284.56847999999991</c:v>
                </c:pt>
                <c:pt idx="12">
                  <c:v>284.56847999999991</c:v>
                </c:pt>
                <c:pt idx="13">
                  <c:v>284.56847999999991</c:v>
                </c:pt>
                <c:pt idx="14">
                  <c:v>284.56847999999991</c:v>
                </c:pt>
                <c:pt idx="15">
                  <c:v>284.56847999999991</c:v>
                </c:pt>
                <c:pt idx="16">
                  <c:v>396.84719999999993</c:v>
                </c:pt>
                <c:pt idx="17">
                  <c:v>396.84719999999993</c:v>
                </c:pt>
                <c:pt idx="18">
                  <c:v>396.84719999999993</c:v>
                </c:pt>
                <c:pt idx="19">
                  <c:v>396.84719999999993</c:v>
                </c:pt>
                <c:pt idx="20">
                  <c:v>396.84719999999999</c:v>
                </c:pt>
                <c:pt idx="21">
                  <c:v>396.84719999999999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70-4C9D-A2BD-32C9CD7D95F5}"/>
            </c:ext>
          </c:extLst>
        </c:ser>
        <c:ser>
          <c:idx val="1"/>
          <c:order val="1"/>
          <c:tx>
            <c:strRef>
              <c:f>Summary!$B$43</c:f>
              <c:strCache>
                <c:ptCount val="1"/>
                <c:pt idx="0">
                  <c:v>Urban-residential runoff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Summary!$E$4:$Z$4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(Summary!$E$43:$T$43,Summary!$U$43:$Z$43)</c:f>
              <c:numCache>
                <c:formatCode>#,##0</c:formatCode>
                <c:ptCount val="22"/>
                <c:pt idx="0">
                  <c:v>118.39274137052305</c:v>
                </c:pt>
                <c:pt idx="1">
                  <c:v>163.78476404626321</c:v>
                </c:pt>
                <c:pt idx="2">
                  <c:v>153.12810965766735</c:v>
                </c:pt>
                <c:pt idx="3">
                  <c:v>213.83950550860854</c:v>
                </c:pt>
                <c:pt idx="4">
                  <c:v>176.46641289530615</c:v>
                </c:pt>
                <c:pt idx="5">
                  <c:v>131.19319645107109</c:v>
                </c:pt>
                <c:pt idx="6">
                  <c:v>155.15184894213562</c:v>
                </c:pt>
                <c:pt idx="7">
                  <c:v>136.45470444910876</c:v>
                </c:pt>
                <c:pt idx="8">
                  <c:v>127.12179145258953</c:v>
                </c:pt>
                <c:pt idx="9">
                  <c:v>80.064256962344018</c:v>
                </c:pt>
                <c:pt idx="10">
                  <c:v>133.29626961095897</c:v>
                </c:pt>
                <c:pt idx="11">
                  <c:v>190.49848344821814</c:v>
                </c:pt>
                <c:pt idx="12">
                  <c:v>146.7262373736551</c:v>
                </c:pt>
                <c:pt idx="13">
                  <c:v>179.83249588542159</c:v>
                </c:pt>
                <c:pt idx="14">
                  <c:v>174.40273986546899</c:v>
                </c:pt>
                <c:pt idx="15">
                  <c:v>107.58574116117165</c:v>
                </c:pt>
                <c:pt idx="16">
                  <c:v>129.35652229196057</c:v>
                </c:pt>
                <c:pt idx="17">
                  <c:v>153.75898236844307</c:v>
                </c:pt>
                <c:pt idx="18">
                  <c:v>185.06637889551439</c:v>
                </c:pt>
                <c:pt idx="19">
                  <c:v>142.46802531547624</c:v>
                </c:pt>
                <c:pt idx="20">
                  <c:v>149.9105022843828</c:v>
                </c:pt>
                <c:pt idx="21">
                  <c:v>168.08852132196421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770-4C9D-A2BD-32C9CD7D95F5}"/>
            </c:ext>
          </c:extLst>
        </c:ser>
        <c:ser>
          <c:idx val="2"/>
          <c:order val="2"/>
          <c:tx>
            <c:strRef>
              <c:f>Summary!$B$44</c:f>
              <c:strCache>
                <c:ptCount val="1"/>
                <c:pt idx="0">
                  <c:v>Agriculture</c:v>
                </c:pt>
              </c:strCache>
            </c:strRef>
          </c:tx>
          <c:spPr>
            <a:pattFill prst="dkUpDiag">
              <a:fgClr>
                <a:srgbClr val="FF0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Summary!$E$4:$Z$4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(Summary!$E$44:$T$44,Summary!$U$44:$Z$44)</c:f>
              <c:numCache>
                <c:formatCode>#,##0</c:formatCode>
                <c:ptCount val="22"/>
                <c:pt idx="0">
                  <c:v>31.686402560547947</c:v>
                </c:pt>
                <c:pt idx="1">
                  <c:v>43.83503504334243</c:v>
                </c:pt>
                <c:pt idx="2">
                  <c:v>40.982908831914486</c:v>
                </c:pt>
                <c:pt idx="3">
                  <c:v>57.23158849484409</c:v>
                </c:pt>
                <c:pt idx="4">
                  <c:v>47.22912682558011</c:v>
                </c:pt>
                <c:pt idx="5">
                  <c:v>35.112291411039926</c:v>
                </c:pt>
                <c:pt idx="6">
                  <c:v>41.524538469871509</c:v>
                </c:pt>
                <c:pt idx="7">
                  <c:v>36.520471157293137</c:v>
                </c:pt>
                <c:pt idx="8">
                  <c:v>34.022628512153503</c:v>
                </c:pt>
                <c:pt idx="9">
                  <c:v>32.870436090872687</c:v>
                </c:pt>
                <c:pt idx="10">
                  <c:v>143.5375999461493</c:v>
                </c:pt>
                <c:pt idx="11">
                  <c:v>337.51596450216505</c:v>
                </c:pt>
                <c:pt idx="12">
                  <c:v>85.614043343939116</c:v>
                </c:pt>
                <c:pt idx="13">
                  <c:v>344.90133157721283</c:v>
                </c:pt>
                <c:pt idx="14">
                  <c:v>117.24345677627858</c:v>
                </c:pt>
                <c:pt idx="15">
                  <c:v>94.576407206019852</c:v>
                </c:pt>
                <c:pt idx="16">
                  <c:v>96.195932052657952</c:v>
                </c:pt>
                <c:pt idx="17">
                  <c:v>240.51214382603871</c:v>
                </c:pt>
                <c:pt idx="18">
                  <c:v>328.84199105330345</c:v>
                </c:pt>
                <c:pt idx="19">
                  <c:v>79.090852706125901</c:v>
                </c:pt>
                <c:pt idx="20">
                  <c:v>255.64339671810703</c:v>
                </c:pt>
                <c:pt idx="21">
                  <c:v>234.0150895029924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70-4C9D-A2BD-32C9CD7D95F5}"/>
            </c:ext>
          </c:extLst>
        </c:ser>
        <c:ser>
          <c:idx val="3"/>
          <c:order val="3"/>
          <c:tx>
            <c:strRef>
              <c:f>Summary!$B$45</c:f>
              <c:strCache>
                <c:ptCount val="1"/>
                <c:pt idx="0">
                  <c:v>Natural areas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Summary!$E$4:$Z$4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(Summary!$E$45:$T$45,Summary!$U$45:$Z$45)</c:f>
              <c:numCache>
                <c:formatCode>#,##0</c:formatCode>
                <c:ptCount val="22"/>
                <c:pt idx="0">
                  <c:v>90.655852929345599</c:v>
                </c:pt>
                <c:pt idx="1">
                  <c:v>125.41349502987703</c:v>
                </c:pt>
                <c:pt idx="2">
                  <c:v>117.25346695900116</c:v>
                </c:pt>
                <c:pt idx="3">
                  <c:v>163.74148057947579</c:v>
                </c:pt>
                <c:pt idx="4">
                  <c:v>135.12410464708682</c:v>
                </c:pt>
                <c:pt idx="5">
                  <c:v>100.45743501771996</c:v>
                </c:pt>
                <c:pt idx="6">
                  <c:v>118.80308739025654</c:v>
                </c:pt>
                <c:pt idx="7">
                  <c:v>104.48628416619856</c:v>
                </c:pt>
                <c:pt idx="8">
                  <c:v>97.339873176635308</c:v>
                </c:pt>
                <c:pt idx="9">
                  <c:v>216.4584982082925</c:v>
                </c:pt>
                <c:pt idx="10">
                  <c:v>350.86145297994972</c:v>
                </c:pt>
                <c:pt idx="11">
                  <c:v>487.24898779212845</c:v>
                </c:pt>
                <c:pt idx="12">
                  <c:v>393.96510541612946</c:v>
                </c:pt>
                <c:pt idx="13">
                  <c:v>457.1527484319422</c:v>
                </c:pt>
                <c:pt idx="14">
                  <c:v>466.61935009525928</c:v>
                </c:pt>
                <c:pt idx="15">
                  <c:v>273.69268663731674</c:v>
                </c:pt>
                <c:pt idx="16">
                  <c:v>324.11168447040342</c:v>
                </c:pt>
                <c:pt idx="17">
                  <c:v>370.74826414302476</c:v>
                </c:pt>
                <c:pt idx="18">
                  <c:v>451.16111534485589</c:v>
                </c:pt>
                <c:pt idx="19">
                  <c:v>367.88608865254969</c:v>
                </c:pt>
                <c:pt idx="20">
                  <c:v>366.72521358856835</c:v>
                </c:pt>
                <c:pt idx="21">
                  <c:v>417.41424127557781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770-4C9D-A2BD-32C9CD7D95F5}"/>
            </c:ext>
          </c:extLst>
        </c:ser>
        <c:ser>
          <c:idx val="4"/>
          <c:order val="4"/>
          <c:tx>
            <c:strRef>
              <c:f>Summary!$B$46</c:f>
              <c:strCache>
                <c:ptCount val="1"/>
                <c:pt idx="0">
                  <c:v>Atmospheric</c:v>
                </c:pt>
              </c:strCache>
            </c:strRef>
          </c:tx>
          <c:spPr>
            <a:pattFill prst="diagBrick">
              <a:fgClr>
                <a:srgbClr val="000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Summary!$E$4:$Z$4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(Summary!$E$46:$T$46,Summary!$U$46:$Z$46)</c:f>
              <c:numCache>
                <c:formatCode>#,##0</c:formatCode>
                <c:ptCount val="22"/>
                <c:pt idx="0">
                  <c:v>1095.6585217234929</c:v>
                </c:pt>
                <c:pt idx="1">
                  <c:v>830.68982419898066</c:v>
                </c:pt>
                <c:pt idx="2">
                  <c:v>578.33986724899455</c:v>
                </c:pt>
                <c:pt idx="3">
                  <c:v>368.09981541594328</c:v>
                </c:pt>
                <c:pt idx="4">
                  <c:v>214.01903306970914</c:v>
                </c:pt>
                <c:pt idx="5">
                  <c:v>727.83595954866996</c:v>
                </c:pt>
                <c:pt idx="6">
                  <c:v>923.23319222364353</c:v>
                </c:pt>
                <c:pt idx="7">
                  <c:v>653.27191788396522</c:v>
                </c:pt>
                <c:pt idx="8">
                  <c:v>699.14406301523081</c:v>
                </c:pt>
                <c:pt idx="9">
                  <c:v>874.88685016272166</c:v>
                </c:pt>
                <c:pt idx="10">
                  <c:v>480.85404297903051</c:v>
                </c:pt>
                <c:pt idx="11">
                  <c:v>501.0225975023784</c:v>
                </c:pt>
                <c:pt idx="12">
                  <c:v>571.10909828088779</c:v>
                </c:pt>
                <c:pt idx="13">
                  <c:v>712.69869555771425</c:v>
                </c:pt>
                <c:pt idx="14">
                  <c:v>686.20162772250831</c:v>
                </c:pt>
                <c:pt idx="15">
                  <c:v>483.5030703012726</c:v>
                </c:pt>
                <c:pt idx="16">
                  <c:v>1017.6182450642475</c:v>
                </c:pt>
                <c:pt idx="17">
                  <c:v>948.55571845397753</c:v>
                </c:pt>
                <c:pt idx="18">
                  <c:v>1036.5976624824257</c:v>
                </c:pt>
                <c:pt idx="19">
                  <c:v>1024.521680932806</c:v>
                </c:pt>
                <c:pt idx="20">
                  <c:v>790.5778006431683</c:v>
                </c:pt>
                <c:pt idx="21">
                  <c:v>1707.2213740134002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770-4C9D-A2BD-32C9CD7D9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70008744"/>
        <c:axId val="469997720"/>
      </c:barChart>
      <c:lineChart>
        <c:grouping val="standard"/>
        <c:varyColors val="0"/>
        <c:ser>
          <c:idx val="5"/>
          <c:order val="5"/>
          <c:tx>
            <c:v>PLRG</c:v>
          </c:tx>
          <c:spPr>
            <a:ln w="63500">
              <a:solidFill>
                <a:srgbClr val="0000FF"/>
              </a:solidFill>
              <a:bevel/>
              <a:headEnd type="none"/>
              <a:tailEnd type="none"/>
            </a:ln>
          </c:spPr>
          <c:marker>
            <c:symbol val="none"/>
          </c:marker>
          <c:val>
            <c:numRef>
              <c:f>(Summary!$E$49:$T$49,Summary!$U$49:$Z$49)</c:f>
              <c:numCache>
                <c:formatCode>General</c:formatCode>
                <c:ptCount val="22"/>
                <c:pt idx="0">
                  <c:v>1230</c:v>
                </c:pt>
                <c:pt idx="1">
                  <c:v>1230</c:v>
                </c:pt>
                <c:pt idx="2">
                  <c:v>1230</c:v>
                </c:pt>
                <c:pt idx="3">
                  <c:v>1230</c:v>
                </c:pt>
                <c:pt idx="4">
                  <c:v>1230</c:v>
                </c:pt>
                <c:pt idx="5">
                  <c:v>1230</c:v>
                </c:pt>
                <c:pt idx="6">
                  <c:v>1230</c:v>
                </c:pt>
                <c:pt idx="7">
                  <c:v>1230</c:v>
                </c:pt>
                <c:pt idx="8">
                  <c:v>1230</c:v>
                </c:pt>
                <c:pt idx="9">
                  <c:v>1230</c:v>
                </c:pt>
                <c:pt idx="10">
                  <c:v>1230</c:v>
                </c:pt>
                <c:pt idx="11">
                  <c:v>1230</c:v>
                </c:pt>
                <c:pt idx="12">
                  <c:v>1230</c:v>
                </c:pt>
                <c:pt idx="13">
                  <c:v>1230</c:v>
                </c:pt>
                <c:pt idx="14">
                  <c:v>1230</c:v>
                </c:pt>
                <c:pt idx="15">
                  <c:v>1230</c:v>
                </c:pt>
                <c:pt idx="16">
                  <c:v>1230</c:v>
                </c:pt>
                <c:pt idx="17">
                  <c:v>1230</c:v>
                </c:pt>
                <c:pt idx="18">
                  <c:v>1230</c:v>
                </c:pt>
                <c:pt idx="19">
                  <c:v>1230</c:v>
                </c:pt>
                <c:pt idx="20">
                  <c:v>1230</c:v>
                </c:pt>
                <c:pt idx="21">
                  <c:v>1230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770-4C9D-A2BD-32C9CD7D9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0008744"/>
        <c:axId val="469997720"/>
      </c:lineChart>
      <c:lineChart>
        <c:grouping val="standard"/>
        <c:varyColors val="0"/>
        <c:ser>
          <c:idx val="6"/>
          <c:order val="6"/>
          <c:tx>
            <c:v>TP concentration</c:v>
          </c:tx>
          <c:spPr>
            <a:ln>
              <a:solidFill>
                <a:srgbClr val="FF0000"/>
              </a:solidFill>
            </a:ln>
          </c:spPr>
          <c:marker>
            <c:symbol val="diamond"/>
            <c:size val="10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val>
            <c:numRef>
              <c:f>(Summary!$E$69:$T$69,Summary!$U$69:$Z$69)</c:f>
              <c:numCache>
                <c:formatCode>General</c:formatCode>
                <c:ptCount val="22"/>
                <c:pt idx="0">
                  <c:v>14.000000000000004</c:v>
                </c:pt>
                <c:pt idx="1">
                  <c:v>15.400000000000002</c:v>
                </c:pt>
                <c:pt idx="2">
                  <c:v>11.500000000000002</c:v>
                </c:pt>
                <c:pt idx="3">
                  <c:v>6.75</c:v>
                </c:pt>
                <c:pt idx="4">
                  <c:v>14.2</c:v>
                </c:pt>
                <c:pt idx="5">
                  <c:v>21.2</c:v>
                </c:pt>
                <c:pt idx="6">
                  <c:v>16</c:v>
                </c:pt>
                <c:pt idx="7">
                  <c:v>13.624999999999998</c:v>
                </c:pt>
                <c:pt idx="8">
                  <c:v>11.166666666666666</c:v>
                </c:pt>
                <c:pt idx="9">
                  <c:v>12.500000000000002</c:v>
                </c:pt>
                <c:pt idx="10">
                  <c:v>15.416666666666668</c:v>
                </c:pt>
                <c:pt idx="11">
                  <c:v>14.833333333333337</c:v>
                </c:pt>
                <c:pt idx="12">
                  <c:v>12.249999999999998</c:v>
                </c:pt>
                <c:pt idx="13">
                  <c:v>12.181818181818183</c:v>
                </c:pt>
                <c:pt idx="14">
                  <c:v>9.5735318333333339</c:v>
                </c:pt>
                <c:pt idx="15">
                  <c:v>13.555405714285715</c:v>
                </c:pt>
                <c:pt idx="16">
                  <c:v>12.664425636363635</c:v>
                </c:pt>
                <c:pt idx="17">
                  <c:v>16.308333333333337</c:v>
                </c:pt>
                <c:pt idx="18">
                  <c:v>12.83636363636364</c:v>
                </c:pt>
                <c:pt idx="19">
                  <c:v>15.316666666666668</c:v>
                </c:pt>
                <c:pt idx="20">
                  <c:v>16.34</c:v>
                </c:pt>
                <c:pt idx="21">
                  <c:v>17.083333333333332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F770-4C9D-A2BD-32C9CD7D95F5}"/>
            </c:ext>
          </c:extLst>
        </c:ser>
        <c:ser>
          <c:idx val="7"/>
          <c:order val="7"/>
          <c:tx>
            <c:v>Chlorophyll-a</c:v>
          </c:tx>
          <c:spPr>
            <a:ln>
              <a:solidFill>
                <a:srgbClr val="00B050"/>
              </a:solidFill>
            </a:ln>
          </c:spPr>
          <c:marker>
            <c:symbol val="triangle"/>
            <c:size val="10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val>
            <c:numRef>
              <c:f>(Summary!$E$74:$T$74,Summary!$U$74:$Z$74)</c:f>
              <c:numCache>
                <c:formatCode>0.00</c:formatCode>
                <c:ptCount val="22"/>
                <c:pt idx="0">
                  <c:v>12.426833333333333</c:v>
                </c:pt>
                <c:pt idx="1">
                  <c:v>10.507899999999999</c:v>
                </c:pt>
                <c:pt idx="2">
                  <c:v>7.8278750000000006</c:v>
                </c:pt>
                <c:pt idx="3">
                  <c:v>9.66</c:v>
                </c:pt>
                <c:pt idx="4">
                  <c:v>8.3870000000000005</c:v>
                </c:pt>
                <c:pt idx="5">
                  <c:v>14.01</c:v>
                </c:pt>
                <c:pt idx="6">
                  <c:v>12.316666666666668</c:v>
                </c:pt>
                <c:pt idx="7">
                  <c:v>15.38</c:v>
                </c:pt>
                <c:pt idx="8">
                  <c:v>10.722222222222221</c:v>
                </c:pt>
                <c:pt idx="9">
                  <c:v>13.083333333333334</c:v>
                </c:pt>
                <c:pt idx="10">
                  <c:v>11.777777777777779</c:v>
                </c:pt>
                <c:pt idx="11">
                  <c:v>11.527777777777777</c:v>
                </c:pt>
                <c:pt idx="12">
                  <c:v>12.166666666666664</c:v>
                </c:pt>
                <c:pt idx="13">
                  <c:v>10.948499999999999</c:v>
                </c:pt>
                <c:pt idx="14">
                  <c:v>9.6175003964166663</c:v>
                </c:pt>
                <c:pt idx="15" formatCode="#,##0.00">
                  <c:v>10.51097594967143</c:v>
                </c:pt>
                <c:pt idx="16" formatCode="#,##0.00">
                  <c:v>10.126673078750001</c:v>
                </c:pt>
                <c:pt idx="17" formatCode="#,##0.00">
                  <c:v>13.125293288659094</c:v>
                </c:pt>
                <c:pt idx="18" formatCode="#,##0.00">
                  <c:v>14.388524827312226</c:v>
                </c:pt>
                <c:pt idx="19" formatCode="#,##0.00">
                  <c:v>16.54424914618598</c:v>
                </c:pt>
                <c:pt idx="20" formatCode="#,##0.00">
                  <c:v>15.120571707709772</c:v>
                </c:pt>
                <c:pt idx="21" formatCode="#,##0.00">
                  <c:v>11.28778900459085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F770-4C9D-A2BD-32C9CD7D95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997296"/>
        <c:axId val="469996872"/>
      </c:lineChart>
      <c:catAx>
        <c:axId val="470008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9997720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469997720"/>
        <c:scaling>
          <c:orientation val="minMax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0008744"/>
        <c:crosses val="autoZero"/>
        <c:crossBetween val="between"/>
        <c:majorUnit val="500"/>
        <c:dispUnits>
          <c:builtInUnit val="thousands"/>
        </c:dispUnits>
      </c:valAx>
      <c:catAx>
        <c:axId val="469997296"/>
        <c:scaling>
          <c:orientation val="minMax"/>
        </c:scaling>
        <c:delete val="1"/>
        <c:axPos val="b"/>
        <c:majorTickMark val="out"/>
        <c:minorTickMark val="none"/>
        <c:tickLblPos val="none"/>
        <c:crossAx val="469996872"/>
        <c:crosses val="autoZero"/>
        <c:auto val="1"/>
        <c:lblAlgn val="ctr"/>
        <c:lblOffset val="100"/>
        <c:noMultiLvlLbl val="0"/>
      </c:catAx>
      <c:valAx>
        <c:axId val="469996872"/>
        <c:scaling>
          <c:orientation val="minMax"/>
          <c:max val="24"/>
        </c:scaling>
        <c:delete val="0"/>
        <c:axPos val="r"/>
        <c:title>
          <c:tx>
            <c:rich>
              <a:bodyPr/>
              <a:lstStyle/>
              <a:p>
                <a:pPr>
                  <a:defRPr sz="1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Concentration (</a:t>
                </a:r>
                <a:r>
                  <a:rPr lang="en-US" sz="1800" b="1" i="0" u="none" strike="noStrike" baseline="0">
                    <a:solidFill>
                      <a:srgbClr val="000000"/>
                    </a:solidFill>
                    <a:latin typeface="Symbol"/>
                  </a:rPr>
                  <a:t>m</a:t>
                </a:r>
                <a:r>
                  <a:rPr lang="en-US" sz="1800" b="1" i="0" u="none" strike="noStrike" baseline="0">
                    <a:solidFill>
                      <a:srgbClr val="000000"/>
                    </a:solidFill>
                    <a:latin typeface="Arial"/>
                    <a:cs typeface="Arial"/>
                  </a:rPr>
                  <a:t>g/L)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6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9997296"/>
        <c:crosses val="max"/>
        <c:crossBetween val="between"/>
        <c:majorUnit val="6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38908659549229291"/>
          <c:y val="0.13089005235602094"/>
          <c:w val="0.26100237247924407"/>
          <c:h val="0.250586772203215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2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Estimated annual external phosphorus load to Lake Weir</a:t>
            </a:r>
          </a:p>
        </c:rich>
      </c:tx>
      <c:layout>
        <c:manualLayout>
          <c:xMode val="edge"/>
          <c:yMode val="edge"/>
          <c:x val="0.13429528493102294"/>
          <c:y val="1.95757925547264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811387900355614"/>
          <c:y val="0.11125654450261822"/>
          <c:w val="0.79715302491103157"/>
          <c:h val="0.712041884816753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Summary!$B$42</c:f>
              <c:strCache>
                <c:ptCount val="1"/>
                <c:pt idx="0">
                  <c:v>Septic tanks</c:v>
                </c:pt>
              </c:strCache>
            </c:strRef>
          </c:tx>
          <c:spPr>
            <a:pattFill prst="lgConfetti">
              <a:fgClr>
                <a:srgbClr val="008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Summary!$E$4:$S$4</c:f>
              <c:numCache>
                <c:formatCode>General</c:formatCode>
                <c:ptCount val="1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</c:numCache>
            </c:numRef>
          </c:cat>
          <c:val>
            <c:numRef>
              <c:f>Summary!$E$42:$S$42</c:f>
              <c:numCache>
                <c:formatCode>#,##0</c:formatCode>
                <c:ptCount val="15"/>
                <c:pt idx="0">
                  <c:v>234.23663999999994</c:v>
                </c:pt>
                <c:pt idx="1">
                  <c:v>234.23663999999994</c:v>
                </c:pt>
                <c:pt idx="2">
                  <c:v>234.23663999999994</c:v>
                </c:pt>
                <c:pt idx="3">
                  <c:v>234.23663999999994</c:v>
                </c:pt>
                <c:pt idx="4">
                  <c:v>234.23663999999994</c:v>
                </c:pt>
                <c:pt idx="5">
                  <c:v>234.23663999999994</c:v>
                </c:pt>
                <c:pt idx="6">
                  <c:v>234.23663999999994</c:v>
                </c:pt>
                <c:pt idx="7">
                  <c:v>234.23663999999994</c:v>
                </c:pt>
                <c:pt idx="8">
                  <c:v>234.23663999999994</c:v>
                </c:pt>
                <c:pt idx="9">
                  <c:v>234.23663999999994</c:v>
                </c:pt>
                <c:pt idx="10">
                  <c:v>284.56847999999991</c:v>
                </c:pt>
                <c:pt idx="11">
                  <c:v>284.56847999999991</c:v>
                </c:pt>
                <c:pt idx="12">
                  <c:v>284.56847999999991</c:v>
                </c:pt>
                <c:pt idx="13">
                  <c:v>284.56847999999991</c:v>
                </c:pt>
                <c:pt idx="14">
                  <c:v>284.56847999999991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5D-4CC0-90D0-079C23EB91ED}"/>
            </c:ext>
          </c:extLst>
        </c:ser>
        <c:ser>
          <c:idx val="1"/>
          <c:order val="1"/>
          <c:tx>
            <c:strRef>
              <c:f>Summary!$B$43</c:f>
              <c:strCache>
                <c:ptCount val="1"/>
                <c:pt idx="0">
                  <c:v>Urban-residential runoff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Summary!$E$4:$S$4</c:f>
              <c:numCache>
                <c:formatCode>General</c:formatCode>
                <c:ptCount val="1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</c:numCache>
            </c:numRef>
          </c:cat>
          <c:val>
            <c:numRef>
              <c:f>Summary!$E$43:$S$43</c:f>
              <c:numCache>
                <c:formatCode>#,##0</c:formatCode>
                <c:ptCount val="15"/>
                <c:pt idx="0">
                  <c:v>118.39274137052305</c:v>
                </c:pt>
                <c:pt idx="1">
                  <c:v>163.78476404626321</c:v>
                </c:pt>
                <c:pt idx="2">
                  <c:v>153.12810965766735</c:v>
                </c:pt>
                <c:pt idx="3">
                  <c:v>213.83950550860854</c:v>
                </c:pt>
                <c:pt idx="4">
                  <c:v>176.46641289530615</c:v>
                </c:pt>
                <c:pt idx="5">
                  <c:v>131.19319645107109</c:v>
                </c:pt>
                <c:pt idx="6">
                  <c:v>155.15184894213562</c:v>
                </c:pt>
                <c:pt idx="7">
                  <c:v>136.45470444910876</c:v>
                </c:pt>
                <c:pt idx="8">
                  <c:v>127.12179145258953</c:v>
                </c:pt>
                <c:pt idx="9">
                  <c:v>80.064256962344018</c:v>
                </c:pt>
                <c:pt idx="10">
                  <c:v>133.29626961095897</c:v>
                </c:pt>
                <c:pt idx="11">
                  <c:v>190.49848344821814</c:v>
                </c:pt>
                <c:pt idx="12">
                  <c:v>146.7262373736551</c:v>
                </c:pt>
                <c:pt idx="13">
                  <c:v>179.83249588542159</c:v>
                </c:pt>
                <c:pt idx="14">
                  <c:v>174.40273986546899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25D-4CC0-90D0-079C23EB91ED}"/>
            </c:ext>
          </c:extLst>
        </c:ser>
        <c:ser>
          <c:idx val="2"/>
          <c:order val="2"/>
          <c:tx>
            <c:strRef>
              <c:f>Summary!$B$44</c:f>
              <c:strCache>
                <c:ptCount val="1"/>
                <c:pt idx="0">
                  <c:v>Agriculture</c:v>
                </c:pt>
              </c:strCache>
            </c:strRef>
          </c:tx>
          <c:spPr>
            <a:pattFill prst="dkUpDiag">
              <a:fgClr>
                <a:srgbClr val="FF0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Summary!$E$4:$S$4</c:f>
              <c:numCache>
                <c:formatCode>General</c:formatCode>
                <c:ptCount val="1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</c:numCache>
            </c:numRef>
          </c:cat>
          <c:val>
            <c:numRef>
              <c:f>Summary!$E$44:$S$44</c:f>
              <c:numCache>
                <c:formatCode>#,##0</c:formatCode>
                <c:ptCount val="15"/>
                <c:pt idx="0">
                  <c:v>31.686402560547947</c:v>
                </c:pt>
                <c:pt idx="1">
                  <c:v>43.83503504334243</c:v>
                </c:pt>
                <c:pt idx="2">
                  <c:v>40.982908831914486</c:v>
                </c:pt>
                <c:pt idx="3">
                  <c:v>57.23158849484409</c:v>
                </c:pt>
                <c:pt idx="4">
                  <c:v>47.22912682558011</c:v>
                </c:pt>
                <c:pt idx="5">
                  <c:v>35.112291411039926</c:v>
                </c:pt>
                <c:pt idx="6">
                  <c:v>41.524538469871509</c:v>
                </c:pt>
                <c:pt idx="7">
                  <c:v>36.520471157293137</c:v>
                </c:pt>
                <c:pt idx="8">
                  <c:v>34.022628512153503</c:v>
                </c:pt>
                <c:pt idx="9">
                  <c:v>32.870436090872687</c:v>
                </c:pt>
                <c:pt idx="10">
                  <c:v>143.5375999461493</c:v>
                </c:pt>
                <c:pt idx="11">
                  <c:v>337.51596450216505</c:v>
                </c:pt>
                <c:pt idx="12">
                  <c:v>85.614043343939116</c:v>
                </c:pt>
                <c:pt idx="13">
                  <c:v>344.90133157721283</c:v>
                </c:pt>
                <c:pt idx="14">
                  <c:v>117.24345677627858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25D-4CC0-90D0-079C23EB91ED}"/>
            </c:ext>
          </c:extLst>
        </c:ser>
        <c:ser>
          <c:idx val="3"/>
          <c:order val="3"/>
          <c:tx>
            <c:strRef>
              <c:f>Summary!$B$45</c:f>
              <c:strCache>
                <c:ptCount val="1"/>
                <c:pt idx="0">
                  <c:v>Natural areas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Summary!$E$4:$S$4</c:f>
              <c:numCache>
                <c:formatCode>General</c:formatCode>
                <c:ptCount val="1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</c:numCache>
            </c:numRef>
          </c:cat>
          <c:val>
            <c:numRef>
              <c:f>Summary!$E$45:$S$45</c:f>
              <c:numCache>
                <c:formatCode>#,##0</c:formatCode>
                <c:ptCount val="15"/>
                <c:pt idx="0">
                  <c:v>90.655852929345599</c:v>
                </c:pt>
                <c:pt idx="1">
                  <c:v>125.41349502987703</c:v>
                </c:pt>
                <c:pt idx="2">
                  <c:v>117.25346695900116</c:v>
                </c:pt>
                <c:pt idx="3">
                  <c:v>163.74148057947579</c:v>
                </c:pt>
                <c:pt idx="4">
                  <c:v>135.12410464708682</c:v>
                </c:pt>
                <c:pt idx="5">
                  <c:v>100.45743501771996</c:v>
                </c:pt>
                <c:pt idx="6">
                  <c:v>118.80308739025654</c:v>
                </c:pt>
                <c:pt idx="7">
                  <c:v>104.48628416619856</c:v>
                </c:pt>
                <c:pt idx="8">
                  <c:v>97.339873176635308</c:v>
                </c:pt>
                <c:pt idx="9">
                  <c:v>216.4584982082925</c:v>
                </c:pt>
                <c:pt idx="10">
                  <c:v>350.86145297994972</c:v>
                </c:pt>
                <c:pt idx="11">
                  <c:v>487.24898779212845</c:v>
                </c:pt>
                <c:pt idx="12">
                  <c:v>393.96510541612946</c:v>
                </c:pt>
                <c:pt idx="13">
                  <c:v>457.1527484319422</c:v>
                </c:pt>
                <c:pt idx="14">
                  <c:v>466.61935009525928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25D-4CC0-90D0-079C23EB91ED}"/>
            </c:ext>
          </c:extLst>
        </c:ser>
        <c:ser>
          <c:idx val="4"/>
          <c:order val="4"/>
          <c:tx>
            <c:strRef>
              <c:f>Summary!$B$46</c:f>
              <c:strCache>
                <c:ptCount val="1"/>
                <c:pt idx="0">
                  <c:v>Atmospheric</c:v>
                </c:pt>
              </c:strCache>
            </c:strRef>
          </c:tx>
          <c:spPr>
            <a:pattFill prst="diagBrick">
              <a:fgClr>
                <a:srgbClr val="000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Summary!$E$4:$S$4</c:f>
              <c:numCache>
                <c:formatCode>General</c:formatCode>
                <c:ptCount val="15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</c:numCache>
            </c:numRef>
          </c:cat>
          <c:val>
            <c:numRef>
              <c:f>Summary!$E$46:$S$46</c:f>
              <c:numCache>
                <c:formatCode>#,##0</c:formatCode>
                <c:ptCount val="15"/>
                <c:pt idx="0">
                  <c:v>1095.6585217234929</c:v>
                </c:pt>
                <c:pt idx="1">
                  <c:v>830.68982419898066</c:v>
                </c:pt>
                <c:pt idx="2">
                  <c:v>578.33986724899455</c:v>
                </c:pt>
                <c:pt idx="3">
                  <c:v>368.09981541594328</c:v>
                </c:pt>
                <c:pt idx="4">
                  <c:v>214.01903306970914</c:v>
                </c:pt>
                <c:pt idx="5">
                  <c:v>727.83595954866996</c:v>
                </c:pt>
                <c:pt idx="6">
                  <c:v>923.23319222364353</c:v>
                </c:pt>
                <c:pt idx="7">
                  <c:v>653.27191788396522</c:v>
                </c:pt>
                <c:pt idx="8">
                  <c:v>699.14406301523081</c:v>
                </c:pt>
                <c:pt idx="9">
                  <c:v>874.88685016272166</c:v>
                </c:pt>
                <c:pt idx="10">
                  <c:v>480.85404297903051</c:v>
                </c:pt>
                <c:pt idx="11">
                  <c:v>501.0225975023784</c:v>
                </c:pt>
                <c:pt idx="12">
                  <c:v>571.10909828088779</c:v>
                </c:pt>
                <c:pt idx="13">
                  <c:v>712.69869555771425</c:v>
                </c:pt>
                <c:pt idx="14">
                  <c:v>686.20162772250831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25D-4CC0-90D0-079C23EB9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70050296"/>
        <c:axId val="469996024"/>
      </c:barChart>
      <c:catAx>
        <c:axId val="470050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640000" vert="horz"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9996024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469996024"/>
        <c:scaling>
          <c:orientation val="minMax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70050296"/>
        <c:crosses val="autoZero"/>
        <c:crossBetween val="between"/>
        <c:majorUnit val="1000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8540925266903965"/>
          <c:y val="0.13089005235602094"/>
          <c:w val="0.3113879003558796"/>
          <c:h val="0.2369109947644004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Estimated annual external total phosphorus loads to Lake Weir</a:t>
            </a:r>
          </a:p>
        </c:rich>
      </c:tx>
      <c:layout>
        <c:manualLayout>
          <c:xMode val="edge"/>
          <c:yMode val="edge"/>
          <c:x val="0.11209765927835542"/>
          <c:y val="1.95757925547264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74139976275342"/>
          <c:y val="0.12827225130890052"/>
          <c:w val="0.79952550415183876"/>
          <c:h val="0.77356020942408465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Summary!$B$42</c:f>
              <c:strCache>
                <c:ptCount val="1"/>
                <c:pt idx="0">
                  <c:v>Septic tanks</c:v>
                </c:pt>
              </c:strCache>
            </c:strRef>
          </c:tx>
          <c:spPr>
            <a:pattFill prst="lgConfetti">
              <a:fgClr>
                <a:srgbClr val="0080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Summary!$E$4:$Z$4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(Summary!$E$42:$T$42,Summary!$U$42:$Z$42)</c:f>
              <c:numCache>
                <c:formatCode>#,##0</c:formatCode>
                <c:ptCount val="22"/>
                <c:pt idx="0">
                  <c:v>234.23663999999994</c:v>
                </c:pt>
                <c:pt idx="1">
                  <c:v>234.23663999999994</c:v>
                </c:pt>
                <c:pt idx="2">
                  <c:v>234.23663999999994</c:v>
                </c:pt>
                <c:pt idx="3">
                  <c:v>234.23663999999994</c:v>
                </c:pt>
                <c:pt idx="4">
                  <c:v>234.23663999999994</c:v>
                </c:pt>
                <c:pt idx="5">
                  <c:v>234.23663999999994</c:v>
                </c:pt>
                <c:pt idx="6">
                  <c:v>234.23663999999994</c:v>
                </c:pt>
                <c:pt idx="7">
                  <c:v>234.23663999999994</c:v>
                </c:pt>
                <c:pt idx="8">
                  <c:v>234.23663999999994</c:v>
                </c:pt>
                <c:pt idx="9">
                  <c:v>234.23663999999994</c:v>
                </c:pt>
                <c:pt idx="10">
                  <c:v>284.56847999999991</c:v>
                </c:pt>
                <c:pt idx="11">
                  <c:v>284.56847999999991</c:v>
                </c:pt>
                <c:pt idx="12">
                  <c:v>284.56847999999991</c:v>
                </c:pt>
                <c:pt idx="13">
                  <c:v>284.56847999999991</c:v>
                </c:pt>
                <c:pt idx="14">
                  <c:v>284.56847999999991</c:v>
                </c:pt>
                <c:pt idx="15">
                  <c:v>284.56847999999991</c:v>
                </c:pt>
                <c:pt idx="16">
                  <c:v>396.84719999999993</c:v>
                </c:pt>
                <c:pt idx="17">
                  <c:v>396.84719999999993</c:v>
                </c:pt>
                <c:pt idx="18">
                  <c:v>396.84719999999993</c:v>
                </c:pt>
                <c:pt idx="19">
                  <c:v>396.84719999999993</c:v>
                </c:pt>
                <c:pt idx="20">
                  <c:v>396.84719999999999</c:v>
                </c:pt>
                <c:pt idx="21">
                  <c:v>396.84719999999999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82-4D66-8993-7331633B06D8}"/>
            </c:ext>
          </c:extLst>
        </c:ser>
        <c:ser>
          <c:idx val="1"/>
          <c:order val="1"/>
          <c:tx>
            <c:strRef>
              <c:f>Summary!$B$43</c:f>
              <c:strCache>
                <c:ptCount val="1"/>
                <c:pt idx="0">
                  <c:v>Urban-residential runoff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Summary!$E$4:$Z$4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(Summary!$E$43:$T$43,Summary!$U$43:$Z$43)</c:f>
              <c:numCache>
                <c:formatCode>#,##0</c:formatCode>
                <c:ptCount val="22"/>
                <c:pt idx="0">
                  <c:v>118.39274137052305</c:v>
                </c:pt>
                <c:pt idx="1">
                  <c:v>163.78476404626321</c:v>
                </c:pt>
                <c:pt idx="2">
                  <c:v>153.12810965766735</c:v>
                </c:pt>
                <c:pt idx="3">
                  <c:v>213.83950550860854</c:v>
                </c:pt>
                <c:pt idx="4">
                  <c:v>176.46641289530615</c:v>
                </c:pt>
                <c:pt idx="5">
                  <c:v>131.19319645107109</c:v>
                </c:pt>
                <c:pt idx="6">
                  <c:v>155.15184894213562</c:v>
                </c:pt>
                <c:pt idx="7">
                  <c:v>136.45470444910876</c:v>
                </c:pt>
                <c:pt idx="8">
                  <c:v>127.12179145258953</c:v>
                </c:pt>
                <c:pt idx="9">
                  <c:v>80.064256962344018</c:v>
                </c:pt>
                <c:pt idx="10">
                  <c:v>133.29626961095897</c:v>
                </c:pt>
                <c:pt idx="11">
                  <c:v>190.49848344821814</c:v>
                </c:pt>
                <c:pt idx="12">
                  <c:v>146.7262373736551</c:v>
                </c:pt>
                <c:pt idx="13">
                  <c:v>179.83249588542159</c:v>
                </c:pt>
                <c:pt idx="14">
                  <c:v>174.40273986546899</c:v>
                </c:pt>
                <c:pt idx="15">
                  <c:v>107.58574116117165</c:v>
                </c:pt>
                <c:pt idx="16">
                  <c:v>129.35652229196057</c:v>
                </c:pt>
                <c:pt idx="17">
                  <c:v>153.75898236844307</c:v>
                </c:pt>
                <c:pt idx="18">
                  <c:v>185.06637889551439</c:v>
                </c:pt>
                <c:pt idx="19">
                  <c:v>142.46802531547624</c:v>
                </c:pt>
                <c:pt idx="20">
                  <c:v>149.9105022843828</c:v>
                </c:pt>
                <c:pt idx="21">
                  <c:v>168.08852132196421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082-4D66-8993-7331633B06D8}"/>
            </c:ext>
          </c:extLst>
        </c:ser>
        <c:ser>
          <c:idx val="2"/>
          <c:order val="2"/>
          <c:tx>
            <c:strRef>
              <c:f>Summary!$B$44</c:f>
              <c:strCache>
                <c:ptCount val="1"/>
                <c:pt idx="0">
                  <c:v>Agriculture</c:v>
                </c:pt>
              </c:strCache>
            </c:strRef>
          </c:tx>
          <c:spPr>
            <a:pattFill prst="dkUpDiag">
              <a:fgClr>
                <a:srgbClr val="FF0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Summary!$E$4:$Z$4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(Summary!$E$44:$T$44,Summary!$U$44:$Z$44)</c:f>
              <c:numCache>
                <c:formatCode>#,##0</c:formatCode>
                <c:ptCount val="22"/>
                <c:pt idx="0">
                  <c:v>31.686402560547947</c:v>
                </c:pt>
                <c:pt idx="1">
                  <c:v>43.83503504334243</c:v>
                </c:pt>
                <c:pt idx="2">
                  <c:v>40.982908831914486</c:v>
                </c:pt>
                <c:pt idx="3">
                  <c:v>57.23158849484409</c:v>
                </c:pt>
                <c:pt idx="4">
                  <c:v>47.22912682558011</c:v>
                </c:pt>
                <c:pt idx="5">
                  <c:v>35.112291411039926</c:v>
                </c:pt>
                <c:pt idx="6">
                  <c:v>41.524538469871509</c:v>
                </c:pt>
                <c:pt idx="7">
                  <c:v>36.520471157293137</c:v>
                </c:pt>
                <c:pt idx="8">
                  <c:v>34.022628512153503</c:v>
                </c:pt>
                <c:pt idx="9">
                  <c:v>32.870436090872687</c:v>
                </c:pt>
                <c:pt idx="10">
                  <c:v>143.5375999461493</c:v>
                </c:pt>
                <c:pt idx="11">
                  <c:v>337.51596450216505</c:v>
                </c:pt>
                <c:pt idx="12">
                  <c:v>85.614043343939116</c:v>
                </c:pt>
                <c:pt idx="13">
                  <c:v>344.90133157721283</c:v>
                </c:pt>
                <c:pt idx="14">
                  <c:v>117.24345677627858</c:v>
                </c:pt>
                <c:pt idx="15">
                  <c:v>94.576407206019852</c:v>
                </c:pt>
                <c:pt idx="16">
                  <c:v>96.195932052657952</c:v>
                </c:pt>
                <c:pt idx="17">
                  <c:v>240.51214382603871</c:v>
                </c:pt>
                <c:pt idx="18">
                  <c:v>328.84199105330345</c:v>
                </c:pt>
                <c:pt idx="19">
                  <c:v>79.090852706125901</c:v>
                </c:pt>
                <c:pt idx="20">
                  <c:v>255.64339671810703</c:v>
                </c:pt>
                <c:pt idx="21">
                  <c:v>234.0150895029924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082-4D66-8993-7331633B06D8}"/>
            </c:ext>
          </c:extLst>
        </c:ser>
        <c:ser>
          <c:idx val="3"/>
          <c:order val="3"/>
          <c:tx>
            <c:strRef>
              <c:f>Summary!$B$45</c:f>
              <c:strCache>
                <c:ptCount val="1"/>
                <c:pt idx="0">
                  <c:v>Natural areas</c:v>
                </c:pt>
              </c:strCache>
            </c:strRef>
          </c:tx>
          <c:spPr>
            <a:solidFill>
              <a:srgbClr val="FFFF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Summary!$E$4:$Z$4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(Summary!$E$45:$T$45,Summary!$U$45:$Z$45)</c:f>
              <c:numCache>
                <c:formatCode>#,##0</c:formatCode>
                <c:ptCount val="22"/>
                <c:pt idx="0">
                  <c:v>90.655852929345599</c:v>
                </c:pt>
                <c:pt idx="1">
                  <c:v>125.41349502987703</c:v>
                </c:pt>
                <c:pt idx="2">
                  <c:v>117.25346695900116</c:v>
                </c:pt>
                <c:pt idx="3">
                  <c:v>163.74148057947579</c:v>
                </c:pt>
                <c:pt idx="4">
                  <c:v>135.12410464708682</c:v>
                </c:pt>
                <c:pt idx="5">
                  <c:v>100.45743501771996</c:v>
                </c:pt>
                <c:pt idx="6">
                  <c:v>118.80308739025654</c:v>
                </c:pt>
                <c:pt idx="7">
                  <c:v>104.48628416619856</c:v>
                </c:pt>
                <c:pt idx="8">
                  <c:v>97.339873176635308</c:v>
                </c:pt>
                <c:pt idx="9">
                  <c:v>216.4584982082925</c:v>
                </c:pt>
                <c:pt idx="10">
                  <c:v>350.86145297994972</c:v>
                </c:pt>
                <c:pt idx="11">
                  <c:v>487.24898779212845</c:v>
                </c:pt>
                <c:pt idx="12">
                  <c:v>393.96510541612946</c:v>
                </c:pt>
                <c:pt idx="13">
                  <c:v>457.1527484319422</c:v>
                </c:pt>
                <c:pt idx="14">
                  <c:v>466.61935009525928</c:v>
                </c:pt>
                <c:pt idx="15">
                  <c:v>273.69268663731674</c:v>
                </c:pt>
                <c:pt idx="16">
                  <c:v>324.11168447040342</c:v>
                </c:pt>
                <c:pt idx="17">
                  <c:v>370.74826414302476</c:v>
                </c:pt>
                <c:pt idx="18">
                  <c:v>451.16111534485589</c:v>
                </c:pt>
                <c:pt idx="19">
                  <c:v>367.88608865254969</c:v>
                </c:pt>
                <c:pt idx="20">
                  <c:v>366.72521358856835</c:v>
                </c:pt>
                <c:pt idx="21">
                  <c:v>417.41424127557781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082-4D66-8993-7331633B06D8}"/>
            </c:ext>
          </c:extLst>
        </c:ser>
        <c:ser>
          <c:idx val="4"/>
          <c:order val="4"/>
          <c:tx>
            <c:strRef>
              <c:f>Summary!$B$46</c:f>
              <c:strCache>
                <c:ptCount val="1"/>
                <c:pt idx="0">
                  <c:v>Atmospheric</c:v>
                </c:pt>
              </c:strCache>
            </c:strRef>
          </c:tx>
          <c:spPr>
            <a:pattFill prst="diagBrick">
              <a:fgClr>
                <a:srgbClr val="0000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numRef>
              <c:f>Summary!$E$4:$Z$4</c:f>
              <c:numCache>
                <c:formatCode>General</c:formatCode>
                <c:ptCount val="22"/>
                <c:pt idx="0">
                  <c:v>1991</c:v>
                </c:pt>
                <c:pt idx="1">
                  <c:v>1992</c:v>
                </c:pt>
                <c:pt idx="2">
                  <c:v>1993</c:v>
                </c:pt>
                <c:pt idx="3">
                  <c:v>1994</c:v>
                </c:pt>
                <c:pt idx="4">
                  <c:v>1995</c:v>
                </c:pt>
                <c:pt idx="5">
                  <c:v>1996</c:v>
                </c:pt>
                <c:pt idx="6">
                  <c:v>1997</c:v>
                </c:pt>
                <c:pt idx="7">
                  <c:v>1998</c:v>
                </c:pt>
                <c:pt idx="8">
                  <c:v>1999</c:v>
                </c:pt>
                <c:pt idx="9">
                  <c:v>2000</c:v>
                </c:pt>
                <c:pt idx="10">
                  <c:v>2001</c:v>
                </c:pt>
                <c:pt idx="11">
                  <c:v>2002</c:v>
                </c:pt>
                <c:pt idx="12">
                  <c:v>2003</c:v>
                </c:pt>
                <c:pt idx="13">
                  <c:v>2004</c:v>
                </c:pt>
                <c:pt idx="14">
                  <c:v>2005</c:v>
                </c:pt>
                <c:pt idx="15">
                  <c:v>2006</c:v>
                </c:pt>
                <c:pt idx="16">
                  <c:v>2007</c:v>
                </c:pt>
                <c:pt idx="17">
                  <c:v>2008</c:v>
                </c:pt>
                <c:pt idx="18">
                  <c:v>2009</c:v>
                </c:pt>
                <c:pt idx="19">
                  <c:v>2010</c:v>
                </c:pt>
                <c:pt idx="20">
                  <c:v>2011</c:v>
                </c:pt>
                <c:pt idx="21">
                  <c:v>2012</c:v>
                </c:pt>
              </c:numCache>
            </c:numRef>
          </c:cat>
          <c:val>
            <c:numRef>
              <c:f>(Summary!$E$46:$T$46,Summary!$U$46:$Z$46)</c:f>
              <c:numCache>
                <c:formatCode>#,##0</c:formatCode>
                <c:ptCount val="22"/>
                <c:pt idx="0">
                  <c:v>1095.6585217234929</c:v>
                </c:pt>
                <c:pt idx="1">
                  <c:v>830.68982419898066</c:v>
                </c:pt>
                <c:pt idx="2">
                  <c:v>578.33986724899455</c:v>
                </c:pt>
                <c:pt idx="3">
                  <c:v>368.09981541594328</c:v>
                </c:pt>
                <c:pt idx="4">
                  <c:v>214.01903306970914</c:v>
                </c:pt>
                <c:pt idx="5">
                  <c:v>727.83595954866996</c:v>
                </c:pt>
                <c:pt idx="6">
                  <c:v>923.23319222364353</c:v>
                </c:pt>
                <c:pt idx="7">
                  <c:v>653.27191788396522</c:v>
                </c:pt>
                <c:pt idx="8">
                  <c:v>699.14406301523081</c:v>
                </c:pt>
                <c:pt idx="9">
                  <c:v>874.88685016272166</c:v>
                </c:pt>
                <c:pt idx="10">
                  <c:v>480.85404297903051</c:v>
                </c:pt>
                <c:pt idx="11">
                  <c:v>501.0225975023784</c:v>
                </c:pt>
                <c:pt idx="12">
                  <c:v>571.10909828088779</c:v>
                </c:pt>
                <c:pt idx="13">
                  <c:v>712.69869555771425</c:v>
                </c:pt>
                <c:pt idx="14">
                  <c:v>686.20162772250831</c:v>
                </c:pt>
                <c:pt idx="15">
                  <c:v>483.5030703012726</c:v>
                </c:pt>
                <c:pt idx="16">
                  <c:v>1017.6182450642475</c:v>
                </c:pt>
                <c:pt idx="17">
                  <c:v>948.55571845397753</c:v>
                </c:pt>
                <c:pt idx="18">
                  <c:v>1036.5976624824257</c:v>
                </c:pt>
                <c:pt idx="19">
                  <c:v>1024.521680932806</c:v>
                </c:pt>
                <c:pt idx="20">
                  <c:v>790.5778006431683</c:v>
                </c:pt>
                <c:pt idx="21">
                  <c:v>1707.2213740134002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082-4D66-8993-7331633B0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69995600"/>
        <c:axId val="469995176"/>
      </c:barChart>
      <c:lineChart>
        <c:grouping val="standard"/>
        <c:varyColors val="0"/>
        <c:ser>
          <c:idx val="5"/>
          <c:order val="5"/>
          <c:tx>
            <c:v>PLRG</c:v>
          </c:tx>
          <c:spPr>
            <a:ln w="63500">
              <a:solidFill>
                <a:srgbClr val="0000FF"/>
              </a:solidFill>
              <a:bevel/>
              <a:headEnd type="none"/>
              <a:tailEnd type="none"/>
            </a:ln>
          </c:spPr>
          <c:marker>
            <c:symbol val="none"/>
          </c:marker>
          <c:val>
            <c:numRef>
              <c:f>(Summary!$E$49:$T$49,Summary!$U$49:$Z$49)</c:f>
              <c:numCache>
                <c:formatCode>General</c:formatCode>
                <c:ptCount val="22"/>
                <c:pt idx="0">
                  <c:v>1230</c:v>
                </c:pt>
                <c:pt idx="1">
                  <c:v>1230</c:v>
                </c:pt>
                <c:pt idx="2">
                  <c:v>1230</c:v>
                </c:pt>
                <c:pt idx="3">
                  <c:v>1230</c:v>
                </c:pt>
                <c:pt idx="4">
                  <c:v>1230</c:v>
                </c:pt>
                <c:pt idx="5">
                  <c:v>1230</c:v>
                </c:pt>
                <c:pt idx="6">
                  <c:v>1230</c:v>
                </c:pt>
                <c:pt idx="7">
                  <c:v>1230</c:v>
                </c:pt>
                <c:pt idx="8">
                  <c:v>1230</c:v>
                </c:pt>
                <c:pt idx="9">
                  <c:v>1230</c:v>
                </c:pt>
                <c:pt idx="10">
                  <c:v>1230</c:v>
                </c:pt>
                <c:pt idx="11">
                  <c:v>1230</c:v>
                </c:pt>
                <c:pt idx="12">
                  <c:v>1230</c:v>
                </c:pt>
                <c:pt idx="13">
                  <c:v>1230</c:v>
                </c:pt>
                <c:pt idx="14">
                  <c:v>1230</c:v>
                </c:pt>
                <c:pt idx="15">
                  <c:v>1230</c:v>
                </c:pt>
                <c:pt idx="16">
                  <c:v>1230</c:v>
                </c:pt>
                <c:pt idx="17">
                  <c:v>1230</c:v>
                </c:pt>
                <c:pt idx="18">
                  <c:v>1230</c:v>
                </c:pt>
                <c:pt idx="19">
                  <c:v>1230</c:v>
                </c:pt>
                <c:pt idx="20">
                  <c:v>1230</c:v>
                </c:pt>
                <c:pt idx="21">
                  <c:v>1230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082-4D66-8993-7331633B06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9995600"/>
        <c:axId val="469995176"/>
      </c:lineChart>
      <c:catAx>
        <c:axId val="46999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9995176"/>
        <c:crosses val="autoZero"/>
        <c:auto val="1"/>
        <c:lblAlgn val="ctr"/>
        <c:lblOffset val="100"/>
        <c:tickLblSkip val="2"/>
        <c:tickMarkSkip val="1"/>
        <c:noMultiLvlLbl val="0"/>
      </c:catAx>
      <c:valAx>
        <c:axId val="469995176"/>
        <c:scaling>
          <c:orientation val="minMax"/>
          <c:min val="0"/>
        </c:scaling>
        <c:delete val="0"/>
        <c:axPos val="l"/>
        <c:majorGridlines>
          <c:spPr>
            <a:ln w="12700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469995600"/>
        <c:crosses val="autoZero"/>
        <c:crossBetween val="between"/>
        <c:majorUnit val="500"/>
      </c:valAx>
      <c:spPr>
        <a:noFill/>
        <a:ln w="254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41132858837486086"/>
          <c:y val="0.13743455497382201"/>
          <c:w val="0.25800711743772226"/>
          <c:h val="0.23429319371727986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  <a:effectLst>
          <a:outerShdw dist="35921" dir="2700000" algn="br">
            <a:srgbClr val="000000"/>
          </a:outerShdw>
        </a:effectLst>
      </c:spPr>
      <c:txPr>
        <a:bodyPr/>
        <a:lstStyle/>
        <a:p>
          <a:pPr>
            <a:defRPr sz="108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chart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chart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chart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chart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chart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chart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2.bin"/></Relationships>
</file>

<file path=xl/chart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3.bin"/></Relationships>
</file>

<file path=xl/chart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chart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5.bin"/></Relationships>
</file>

<file path=xl/chart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6.bin"/></Relationships>
</file>

<file path=xl/chart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7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zoomScale="87" workbookViewId="0" zoomToFit="1"/>
  </sheetViews>
  <pageMargins left="0.75" right="0.75" top="1" bottom="1" header="0.5" footer="0.5"/>
  <pageSetup orientation="landscape" r:id="rId1"/>
  <headerFooter alignWithMargins="0"/>
  <drawing r:id="rId2"/>
</chartsheet>
</file>

<file path=xl/chartsheets/sheet10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100-000000000000}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300-000000000000}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400-000000000000}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500-000000000000}">
  <sheetPr/>
  <sheetViews>
    <sheetView zoomScale="79" workbookViewId="0" zoomToFit="1"/>
  </sheetViews>
  <pageMargins left="0.7" right="0.7" top="0.75" bottom="0.75" header="0.3" footer="0.3"/>
  <drawing r:id="rId1"/>
</chartsheet>
</file>

<file path=xl/chartsheets/sheet1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2600-000000000000}">
  <sheetPr/>
  <sheetViews>
    <sheetView zoomScale="108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100-000000000000}">
  <sheetPr/>
  <sheetViews>
    <sheetView zoomScale="60" workbookViewId="0" zoomToFit="1"/>
  </sheetViews>
  <pageMargins left="0.75" right="0.75" top="1" bottom="1" header="0.5" footer="0.5"/>
  <headerFooter alignWithMargins="0">
    <oddHeader>&amp;A</oddHeader>
    <oddFooter>Page &amp;P</oddFooter>
  </headerFooter>
  <drawing r:id="rId1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200-000000000000}">
  <sheetPr/>
  <sheetViews>
    <sheetView zoomScale="60" workbookViewId="0" zoomToFit="1"/>
  </sheetViews>
  <pageMargins left="0.75" right="0.75" top="1" bottom="1" header="0.5" footer="0.5"/>
  <headerFooter alignWithMargins="0">
    <oddHeader>&amp;A</oddHeader>
    <oddFooter>Page &amp;P</oddFooter>
  </headerFooter>
  <drawing r:id="rId1"/>
</chartsheet>
</file>

<file path=xl/chartsheets/sheet4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300-000000000000}">
  <sheetPr/>
  <sheetViews>
    <sheetView zoomScale="85" workbookViewId="0" zoomToFit="1"/>
  </sheetViews>
  <pageMargins left="0.75" right="0.75" top="1" bottom="1" header="0.5" footer="0.5"/>
  <pageSetup orientation="landscape" r:id="rId1"/>
  <headerFooter alignWithMargins="0"/>
  <drawing r:id="rId2"/>
</chartsheet>
</file>

<file path=xl/chartsheets/sheet5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400-000000000000}">
  <sheetPr/>
  <sheetViews>
    <sheetView zoomScale="87" workbookViewId="0" zoomToFit="1"/>
  </sheetViews>
  <pageMargins left="0.75" right="0.75" top="1" bottom="1" header="0.5" footer="0.5"/>
  <pageSetup orientation="landscape" r:id="rId1"/>
  <headerFooter alignWithMargins="0"/>
  <drawing r:id="rId2"/>
</chartsheet>
</file>

<file path=xl/chartsheets/sheet6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87" workbookViewId="0" zoomToFit="1"/>
  </sheetViews>
  <pageMargins left="0.75" right="0.75" top="1" bottom="1" header="0.5" footer="0.5"/>
  <pageSetup orientation="landscape" r:id="rId1"/>
  <headerFooter alignWithMargins="0"/>
  <drawing r:id="rId2"/>
</chartsheet>
</file>

<file path=xl/chartsheets/sheet7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87" workbookViewId="0" zoomToFit="1"/>
  </sheetViews>
  <pageMargins left="0.75" right="0.75" top="1" bottom="1" header="0.5" footer="0.5"/>
  <pageSetup orientation="landscape" r:id="rId1"/>
  <headerFooter alignWithMargins="0"/>
  <drawing r:id="rId2"/>
</chartsheet>
</file>

<file path=xl/chartsheets/sheet8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87" workbookViewId="0" zoomToFit="1"/>
  </sheetViews>
  <pageMargins left="0.75" right="0.75" top="1" bottom="1" header="0.5" footer="0.5"/>
  <pageSetup orientation="landscape" r:id="rId1"/>
  <headerFooter alignWithMargins="0"/>
  <drawing r:id="rId2"/>
</chartsheet>
</file>

<file path=xl/chartsheets/sheet9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800-000000000000}">
  <sheetPr/>
  <sheetViews>
    <sheetView zoomScale="87" workbookViewId="0" zoomToFit="1"/>
  </sheetViews>
  <pageMargins left="0.75" right="0.75" top="1" bottom="1" header="0.5" footer="0.5"/>
  <pageSetup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539655" cy="581572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0.1731</cdr:y>
    </cdr:from>
    <cdr:to>
      <cdr:x>0.048</cdr:x>
      <cdr:y>0.85879</cdr:y>
    </cdr:to>
    <cdr:sp macro="" textlink="">
      <cdr:nvSpPr>
        <cdr:cNvPr id="3082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963975"/>
          <a:ext cx="429101" cy="40299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45720" tIns="41148" rIns="45720" bIns="4114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2000" b="1" i="0" strike="noStrike">
              <a:solidFill>
                <a:srgbClr val="000000"/>
              </a:solidFill>
              <a:latin typeface="Arial"/>
              <a:cs typeface="Arial"/>
            </a:rPr>
            <a:t>Total phosphorus load (kg/year)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8539655" cy="581572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0.1731</cdr:y>
    </cdr:from>
    <cdr:to>
      <cdr:x>0.048</cdr:x>
      <cdr:y>0.85879</cdr:y>
    </cdr:to>
    <cdr:sp macro="" textlink="">
      <cdr:nvSpPr>
        <cdr:cNvPr id="3082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963975"/>
          <a:ext cx="429101" cy="40299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45720" tIns="41148" rIns="45720" bIns="4114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800" b="1" i="0" strike="noStrike">
              <a:solidFill>
                <a:srgbClr val="000000"/>
              </a:solidFill>
              <a:latin typeface="Arial"/>
              <a:cs typeface="Arial"/>
            </a:rPr>
            <a:t>TN load (metric tons/year)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8539655" cy="581572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0.1731</cdr:y>
    </cdr:from>
    <cdr:to>
      <cdr:x>0.048</cdr:x>
      <cdr:y>0.85879</cdr:y>
    </cdr:to>
    <cdr:sp macro="" textlink="">
      <cdr:nvSpPr>
        <cdr:cNvPr id="3082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963975"/>
          <a:ext cx="429101" cy="40299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45720" tIns="41148" rIns="45720" bIns="4114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800" b="1" i="0" strike="noStrike">
              <a:solidFill>
                <a:srgbClr val="000000"/>
              </a:solidFill>
              <a:latin typeface="Arial"/>
              <a:cs typeface="Arial"/>
            </a:rPr>
            <a:t>TP load (metric tons/year)</a:t>
          </a: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8539655" cy="581572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0.17316</cdr:y>
    </cdr:from>
    <cdr:to>
      <cdr:x>0.05075</cdr:x>
      <cdr:y>0.77091</cdr:y>
    </cdr:to>
    <cdr:sp macro="" textlink="">
      <cdr:nvSpPr>
        <cdr:cNvPr id="717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-11476" y="976045"/>
          <a:ext cx="429101" cy="35339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45720" tIns="41148" rIns="45720" bIns="4114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800" b="1" i="0" strike="noStrike">
              <a:solidFill>
                <a:srgbClr val="000000"/>
              </a:solidFill>
              <a:latin typeface="Arial"/>
              <a:cs typeface="Arial"/>
            </a:rPr>
            <a:t>Phosphorus load (kg/year)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8539655" cy="581572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0.1731</cdr:y>
    </cdr:from>
    <cdr:to>
      <cdr:x>0.048</cdr:x>
      <cdr:y>0.85879</cdr:y>
    </cdr:to>
    <cdr:sp macro="" textlink="">
      <cdr:nvSpPr>
        <cdr:cNvPr id="3082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963975"/>
          <a:ext cx="429101" cy="40299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45720" tIns="41148" rIns="45720" bIns="4114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2000" b="1" i="0" strike="noStrike">
              <a:solidFill>
                <a:srgbClr val="000000"/>
              </a:solidFill>
              <a:latin typeface="Arial"/>
              <a:cs typeface="Arial"/>
            </a:rPr>
            <a:t>Total phosphorus load (kg/year)</a:t>
          </a:r>
        </a:p>
      </cdr:txBody>
    </cdr:sp>
  </cdr:relSizeAnchor>
</c:userShapes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8661400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0.94015</cdr:x>
      <cdr:y>0.33117</cdr:y>
    </cdr:from>
    <cdr:to>
      <cdr:x>0.9709</cdr:x>
      <cdr:y>0.70717</cdr:y>
    </cdr:to>
    <cdr:sp macro="" textlink="">
      <cdr:nvSpPr>
        <cdr:cNvPr id="9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068402" y="1846066"/>
          <a:ext cx="266042" cy="227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32004" rIns="36576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rial"/>
              <a:cs typeface="Arial"/>
            </a:rPr>
            <a:t>Concentration (</a:t>
          </a:r>
          <a:r>
            <a:rPr lang="en-US" sz="1800" b="1" i="0" strike="noStrike">
              <a:solidFill>
                <a:srgbClr val="000000"/>
              </a:solidFill>
              <a:latin typeface="Symbol"/>
            </a:rPr>
            <a:t>m</a:t>
          </a:r>
          <a:r>
            <a:rPr lang="en-US" sz="1600" b="1" i="0" strike="noStrike">
              <a:solidFill>
                <a:srgbClr val="000000"/>
              </a:solidFill>
              <a:latin typeface="Arial"/>
              <a:cs typeface="Arial"/>
            </a:rPr>
            <a:t>g/L)</a:t>
          </a:r>
        </a:p>
      </cdr:txBody>
    </cdr:sp>
  </cdr:relSizeAnchor>
  <cdr:relSizeAnchor xmlns:cdr="http://schemas.openxmlformats.org/drawingml/2006/chartDrawing">
    <cdr:from>
      <cdr:x>0.004</cdr:x>
      <cdr:y>0.251</cdr:y>
    </cdr:from>
    <cdr:to>
      <cdr:x>0.03875</cdr:x>
      <cdr:y>0.753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4328" y="1361906"/>
          <a:ext cx="296080" cy="30391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36576" tIns="32004" rIns="36576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rial"/>
              <a:cs typeface="Arial"/>
            </a:rPr>
            <a:t>Secchi  transparency (m)</a:t>
          </a:r>
        </a:p>
      </cdr:txBody>
    </cdr:sp>
  </cdr:relSizeAnchor>
</c:userShapes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8675783" cy="630027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8675783" cy="630027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8675783" cy="6300271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0.2625</cdr:x>
      <cdr:y>0.42014</cdr:y>
    </cdr:from>
    <cdr:to>
      <cdr:x>0.4625</cdr:x>
      <cdr:y>0.75347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00150" y="11525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0.4207</cdr:x>
      <cdr:y>0.58874</cdr:y>
    </cdr:from>
    <cdr:to>
      <cdr:x>0.48798</cdr:x>
      <cdr:y>0.64812</cdr:y>
    </cdr:to>
    <cdr:sp macro="" textlink="">
      <cdr:nvSpPr>
        <cdr:cNvPr id="3" name="TextBox 5"/>
        <cdr:cNvSpPr txBox="1"/>
      </cdr:nvSpPr>
      <cdr:spPr>
        <a:xfrm xmlns:a="http://schemas.openxmlformats.org/drawingml/2006/main">
          <a:off x="3649902" y="3709222"/>
          <a:ext cx="583686" cy="37414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800"/>
            <a:t>31%</a:t>
          </a:r>
        </a:p>
      </cdr:txBody>
    </cdr:sp>
  </cdr:relSizeAnchor>
  <cdr:relSizeAnchor xmlns:cdr="http://schemas.openxmlformats.org/drawingml/2006/chartDrawing">
    <cdr:from>
      <cdr:x>0.2625</cdr:x>
      <cdr:y>0.42014</cdr:y>
    </cdr:from>
    <cdr:to>
      <cdr:x>0.4625</cdr:x>
      <cdr:y>0.75347</cdr:y>
    </cdr:to>
    <cdr:sp macro="" textlink="">
      <cdr:nvSpPr>
        <cdr:cNvPr id="4" name="TextBox 1"/>
        <cdr:cNvSpPr txBox="1"/>
      </cdr:nvSpPr>
      <cdr:spPr>
        <a:xfrm xmlns:a="http://schemas.openxmlformats.org/drawingml/2006/main">
          <a:off x="1200150" y="11525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0.63711</cdr:x>
      <cdr:y>0.3861</cdr:y>
    </cdr:from>
    <cdr:to>
      <cdr:x>0.70439</cdr:x>
      <cdr:y>0.44548</cdr:y>
    </cdr:to>
    <cdr:sp macro="" textlink="">
      <cdr:nvSpPr>
        <cdr:cNvPr id="5" name="TextBox 5"/>
        <cdr:cNvSpPr txBox="1"/>
      </cdr:nvSpPr>
      <cdr:spPr>
        <a:xfrm xmlns:a="http://schemas.openxmlformats.org/drawingml/2006/main">
          <a:off x="5527428" y="2432535"/>
          <a:ext cx="583686" cy="37414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800"/>
            <a:t>62%</a:t>
          </a:r>
        </a:p>
      </cdr:txBody>
    </cdr:sp>
  </cdr:relSizeAnchor>
  <cdr:relSizeAnchor xmlns:cdr="http://schemas.openxmlformats.org/drawingml/2006/chartDrawing">
    <cdr:from>
      <cdr:x>0.21693</cdr:x>
      <cdr:y>0.75046</cdr:y>
    </cdr:from>
    <cdr:to>
      <cdr:x>0.27072</cdr:x>
      <cdr:y>0.80984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1882038" y="4728101"/>
          <a:ext cx="466666" cy="3741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US" sz="1800"/>
            <a:t>6%</a:t>
          </a:r>
        </a:p>
      </cdr:txBody>
    </cdr:sp>
  </cdr:relSizeAnchor>
</c:userShapes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8651875" cy="628826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0.2625</cdr:x>
      <cdr:y>0.42014</cdr:y>
    </cdr:from>
    <cdr:to>
      <cdr:x>0.4625</cdr:x>
      <cdr:y>0.75347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1200150" y="1152525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 sz="1100"/>
        </a:p>
      </cdr:txBody>
    </cdr:sp>
  </cdr:relSizeAnchor>
  <cdr:relSizeAnchor xmlns:cdr="http://schemas.openxmlformats.org/drawingml/2006/chartDrawing">
    <cdr:from>
      <cdr:x>0.23264</cdr:x>
      <cdr:y>0.773</cdr:y>
    </cdr:from>
    <cdr:to>
      <cdr:x>0.29968</cdr:x>
      <cdr:y>0.83238</cdr:y>
    </cdr:to>
    <cdr:sp macro="" textlink="">
      <cdr:nvSpPr>
        <cdr:cNvPr id="3" name="TextBox 5"/>
        <cdr:cNvSpPr txBox="1"/>
      </cdr:nvSpPr>
      <cdr:spPr>
        <a:xfrm xmlns:a="http://schemas.openxmlformats.org/drawingml/2006/main">
          <a:off x="2018334" y="4870109"/>
          <a:ext cx="581634" cy="374141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800"/>
            <a:t>&lt;1%</a:t>
          </a:r>
        </a:p>
      </cdr:txBody>
    </cdr:sp>
  </cdr:relSizeAnchor>
  <cdr:relSizeAnchor xmlns:cdr="http://schemas.openxmlformats.org/drawingml/2006/chartDrawing">
    <cdr:from>
      <cdr:x>0.44094</cdr:x>
      <cdr:y>0.75382</cdr:y>
    </cdr:from>
    <cdr:to>
      <cdr:x>0.49473</cdr:x>
      <cdr:y>0.8132</cdr:y>
    </cdr:to>
    <cdr:sp macro="" textlink="">
      <cdr:nvSpPr>
        <cdr:cNvPr id="4" name="TextBox 5"/>
        <cdr:cNvSpPr txBox="1"/>
      </cdr:nvSpPr>
      <cdr:spPr>
        <a:xfrm xmlns:a="http://schemas.openxmlformats.org/drawingml/2006/main">
          <a:off x="3825500" y="4749270"/>
          <a:ext cx="466666" cy="3741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US" sz="1800"/>
            <a:t>3%</a:t>
          </a:r>
        </a:p>
      </cdr:txBody>
    </cdr:sp>
  </cdr:relSizeAnchor>
  <cdr:relSizeAnchor xmlns:cdr="http://schemas.openxmlformats.org/drawingml/2006/chartDrawing">
    <cdr:from>
      <cdr:x>0.64772</cdr:x>
      <cdr:y>0.729</cdr:y>
    </cdr:from>
    <cdr:to>
      <cdr:x>0.70151</cdr:x>
      <cdr:y>0.78838</cdr:y>
    </cdr:to>
    <cdr:sp macro="" textlink="">
      <cdr:nvSpPr>
        <cdr:cNvPr id="5" name="TextBox 5"/>
        <cdr:cNvSpPr txBox="1"/>
      </cdr:nvSpPr>
      <cdr:spPr>
        <a:xfrm xmlns:a="http://schemas.openxmlformats.org/drawingml/2006/main">
          <a:off x="5619478" y="4592898"/>
          <a:ext cx="466666" cy="3741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ysClr val="windowText" lastClr="000000"/>
              </a:solidFill>
              <a:latin typeface="Calibri"/>
            </a:defRPr>
          </a:lvl1pPr>
          <a:lvl2pPr marL="457200" indent="0">
            <a:defRPr sz="1100">
              <a:solidFill>
                <a:sysClr val="windowText" lastClr="000000"/>
              </a:solidFill>
              <a:latin typeface="Calibri"/>
            </a:defRPr>
          </a:lvl2pPr>
          <a:lvl3pPr marL="914400" indent="0">
            <a:defRPr sz="1100">
              <a:solidFill>
                <a:sysClr val="windowText" lastClr="000000"/>
              </a:solidFill>
              <a:latin typeface="Calibri"/>
            </a:defRPr>
          </a:lvl3pPr>
          <a:lvl4pPr marL="1371600" indent="0">
            <a:defRPr sz="1100">
              <a:solidFill>
                <a:sysClr val="windowText" lastClr="000000"/>
              </a:solidFill>
              <a:latin typeface="Calibri"/>
            </a:defRPr>
          </a:lvl4pPr>
          <a:lvl5pPr marL="1828800" indent="0">
            <a:defRPr sz="1100">
              <a:solidFill>
                <a:sysClr val="windowText" lastClr="000000"/>
              </a:solidFill>
              <a:latin typeface="Calibri"/>
            </a:defRPr>
          </a:lvl5pPr>
          <a:lvl6pPr marL="2286000" indent="0">
            <a:defRPr sz="1100">
              <a:solidFill>
                <a:sysClr val="windowText" lastClr="000000"/>
              </a:solidFill>
              <a:latin typeface="Calibri"/>
            </a:defRPr>
          </a:lvl6pPr>
          <a:lvl7pPr marL="2743200" indent="0">
            <a:defRPr sz="1100">
              <a:solidFill>
                <a:sysClr val="windowText" lastClr="000000"/>
              </a:solidFill>
              <a:latin typeface="Calibri"/>
            </a:defRPr>
          </a:lvl7pPr>
          <a:lvl8pPr marL="3200400" indent="0">
            <a:defRPr sz="1100">
              <a:solidFill>
                <a:sysClr val="windowText" lastClr="000000"/>
              </a:solidFill>
              <a:latin typeface="Calibri"/>
            </a:defRPr>
          </a:lvl8pPr>
          <a:lvl9pPr marL="3657600" indent="0">
            <a:defRPr sz="1100">
              <a:solidFill>
                <a:sysClr val="windowText" lastClr="000000"/>
              </a:solidFill>
              <a:latin typeface="Calibri"/>
            </a:defRPr>
          </a:lvl9pPr>
        </a:lstStyle>
        <a:p xmlns:a="http://schemas.openxmlformats.org/drawingml/2006/main">
          <a:r>
            <a:rPr lang="en-US" sz="1800"/>
            <a:t>7%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564880" cy="58216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0.21995</cdr:y>
    </cdr:from>
    <cdr:to>
      <cdr:x>0.045</cdr:x>
      <cdr:y>0.74945</cdr:y>
    </cdr:to>
    <cdr:sp macro="" textlink="">
      <cdr:nvSpPr>
        <cdr:cNvPr id="102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1225834"/>
          <a:ext cx="381900" cy="31719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vert="vert270" wrap="square" lIns="36576" tIns="32004" rIns="36576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rial"/>
              <a:cs typeface="Arial"/>
            </a:rPr>
            <a:t>Phosphorus load (kg/year)</a:t>
          </a:r>
        </a:p>
      </cdr:txBody>
    </cdr:sp>
  </cdr:relSizeAnchor>
  <cdr:relSizeAnchor xmlns:cdr="http://schemas.openxmlformats.org/drawingml/2006/chartDrawing">
    <cdr:from>
      <cdr:x>0.9215</cdr:x>
      <cdr:y>0.28873</cdr:y>
    </cdr:from>
    <cdr:to>
      <cdr:x>0.97875</cdr:x>
      <cdr:y>0.71798</cdr:y>
    </cdr:to>
    <cdr:sp macro="" textlink="">
      <cdr:nvSpPr>
        <cdr:cNvPr id="102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16918" y="1637664"/>
          <a:ext cx="484884" cy="25720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vert="vert270" wrap="square" lIns="36576" tIns="32004" rIns="36576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rial"/>
              <a:cs typeface="Arial"/>
            </a:rPr>
            <a:t>Detention time (years)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8564880" cy="58216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0.24525</cdr:y>
    </cdr:from>
    <cdr:to>
      <cdr:x>0.045</cdr:x>
      <cdr:y>0.7725</cdr:y>
    </cdr:to>
    <cdr:sp macro="" textlink="">
      <cdr:nvSpPr>
        <cdr:cNvPr id="11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1361906"/>
          <a:ext cx="381900" cy="31719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vert="vert270" wrap="square" lIns="36576" tIns="32004" rIns="36576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rial"/>
              <a:cs typeface="Arial"/>
            </a:rPr>
            <a:t>Phosphorus load (kg/year)</a:t>
          </a:r>
        </a:p>
      </cdr:txBody>
    </cdr:sp>
  </cdr:relSizeAnchor>
  <cdr:relSizeAnchor xmlns:cdr="http://schemas.openxmlformats.org/drawingml/2006/chartDrawing">
    <cdr:from>
      <cdr:x>0.92975</cdr:x>
      <cdr:y>0.287</cdr:y>
    </cdr:from>
    <cdr:to>
      <cdr:x>0.9735</cdr:x>
      <cdr:y>0.656</cdr:y>
    </cdr:to>
    <cdr:sp macro="" textlink="">
      <cdr:nvSpPr>
        <cdr:cNvPr id="112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989865" y="1614435"/>
          <a:ext cx="371173" cy="221875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25400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vert="vert270" wrap="square" lIns="36576" tIns="32004" rIns="36576" bIns="32004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1600" b="1" i="0" strike="noStrike">
              <a:solidFill>
                <a:srgbClr val="000000"/>
              </a:solidFill>
              <a:latin typeface="Arial"/>
              <a:cs typeface="Arial"/>
            </a:rPr>
            <a:t>Concentration (</a:t>
          </a:r>
          <a:r>
            <a:rPr lang="en-US" sz="1800" b="1" i="0" strike="noStrike">
              <a:solidFill>
                <a:srgbClr val="000000"/>
              </a:solidFill>
              <a:latin typeface="Symbol"/>
            </a:rPr>
            <a:t>m</a:t>
          </a:r>
          <a:r>
            <a:rPr lang="en-US" sz="1600" b="1" i="0" strike="noStrike">
              <a:solidFill>
                <a:srgbClr val="000000"/>
              </a:solidFill>
              <a:latin typeface="Arial"/>
              <a:cs typeface="Arial"/>
            </a:rPr>
            <a:t>g/L)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8564880" cy="582168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0.1731</cdr:y>
    </cdr:from>
    <cdr:to>
      <cdr:x>0.048</cdr:x>
      <cdr:y>0.85879</cdr:y>
    </cdr:to>
    <cdr:sp macro="" textlink="">
      <cdr:nvSpPr>
        <cdr:cNvPr id="3082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963975"/>
          <a:ext cx="429101" cy="40299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vertOverflow="clip" vert="vert270" wrap="square" lIns="45720" tIns="41148" rIns="45720" bIns="4114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en-US" sz="2000" b="1" i="0" strike="noStrike">
              <a:solidFill>
                <a:srgbClr val="000000"/>
              </a:solidFill>
              <a:latin typeface="Arial"/>
              <a:cs typeface="Arial"/>
            </a:rPr>
            <a:t>Total nitrogen load (kg/year)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8539655" cy="581572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9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E193"/>
  <sheetViews>
    <sheetView defaultGridColor="0" colorId="11" zoomScale="75" workbookViewId="0">
      <pane xSplit="3" ySplit="11" topLeftCell="D171" activePane="bottomRight" state="frozen"/>
      <selection pane="topRight" activeCell="D1" sqref="D1"/>
      <selection pane="bottomLeft" activeCell="A14" sqref="A14"/>
      <selection pane="bottomRight" activeCell="D183" sqref="D183"/>
    </sheetView>
  </sheetViews>
  <sheetFormatPr defaultRowHeight="12.75" x14ac:dyDescent="0.2"/>
  <cols>
    <col min="2" max="2" width="26.42578125" bestFit="1" customWidth="1"/>
    <col min="4" max="4" width="16.7109375" style="80" customWidth="1"/>
    <col min="6" max="6" width="15.5703125" style="80" customWidth="1"/>
    <col min="8" max="8" width="12" bestFit="1" customWidth="1"/>
    <col min="10" max="10" width="15.7109375" style="108" bestFit="1" customWidth="1"/>
    <col min="11" max="12" width="12" bestFit="1" customWidth="1"/>
    <col min="13" max="14" width="12" customWidth="1"/>
    <col min="16" max="16" width="11.5703125" customWidth="1"/>
    <col min="17" max="17" width="14.42578125" bestFit="1" customWidth="1"/>
    <col min="18" max="18" width="11.42578125" customWidth="1"/>
    <col min="19" max="19" width="13.42578125" customWidth="1"/>
    <col min="20" max="20" width="11.7109375" customWidth="1"/>
    <col min="21" max="21" width="10.85546875" customWidth="1"/>
    <col min="22" max="22" width="10.85546875" style="186" customWidth="1"/>
    <col min="24" max="24" width="40" bestFit="1" customWidth="1"/>
    <col min="28" max="28" width="6.85546875" bestFit="1" customWidth="1"/>
    <col min="29" max="29" width="40" bestFit="1" customWidth="1"/>
  </cols>
  <sheetData>
    <row r="1" spans="1:31" ht="15" x14ac:dyDescent="0.25">
      <c r="A1" s="15" t="s">
        <v>32</v>
      </c>
      <c r="B1" s="16"/>
      <c r="Q1" s="204" t="s">
        <v>737</v>
      </c>
      <c r="R1" s="204">
        <f>AVERAGE(Stormwater!AF6:AO6)</f>
        <v>1.1922451148832665</v>
      </c>
      <c r="W1" s="20"/>
      <c r="X1" s="20"/>
      <c r="Y1" s="250" t="s">
        <v>740</v>
      </c>
      <c r="Z1" s="20"/>
      <c r="AA1" s="20"/>
      <c r="AB1" s="20"/>
      <c r="AC1" s="20"/>
      <c r="AD1" s="250" t="s">
        <v>741</v>
      </c>
      <c r="AE1" s="20"/>
    </row>
    <row r="2" spans="1:31" ht="26.25" x14ac:dyDescent="0.25">
      <c r="A2" s="15"/>
      <c r="B2" s="16"/>
      <c r="P2" s="99" t="s">
        <v>650</v>
      </c>
      <c r="Q2" s="26" t="s">
        <v>650</v>
      </c>
      <c r="R2" s="26"/>
      <c r="S2" s="28" t="s">
        <v>650</v>
      </c>
      <c r="T2" s="124" t="s">
        <v>650</v>
      </c>
      <c r="U2" s="124"/>
      <c r="V2" s="187" t="s">
        <v>651</v>
      </c>
      <c r="W2" s="20"/>
      <c r="X2" s="20"/>
      <c r="Y2" s="251" t="s">
        <v>742</v>
      </c>
      <c r="Z2" s="252"/>
      <c r="AA2" s="20"/>
      <c r="AB2" s="20"/>
      <c r="AC2" s="20"/>
      <c r="AD2" s="33" t="s">
        <v>742</v>
      </c>
      <c r="AE2" s="36"/>
    </row>
    <row r="3" spans="1:31" ht="105.75" customHeight="1" x14ac:dyDescent="0.25">
      <c r="B3" s="16"/>
      <c r="D3" s="177" t="s">
        <v>33</v>
      </c>
      <c r="F3" s="175" t="s">
        <v>34</v>
      </c>
      <c r="P3" s="99" t="s">
        <v>534</v>
      </c>
      <c r="Q3" s="26" t="s">
        <v>738</v>
      </c>
      <c r="R3" s="125"/>
      <c r="S3" s="28" t="s">
        <v>536</v>
      </c>
      <c r="T3" s="124" t="s">
        <v>739</v>
      </c>
      <c r="U3" s="131"/>
      <c r="V3" s="192" t="s">
        <v>651</v>
      </c>
      <c r="W3" s="20"/>
      <c r="X3" s="20"/>
      <c r="Y3" s="253" t="s">
        <v>743</v>
      </c>
      <c r="Z3" s="254"/>
      <c r="AA3" s="20"/>
      <c r="AB3" s="20"/>
      <c r="AC3" s="20"/>
      <c r="AD3" s="124" t="s">
        <v>744</v>
      </c>
      <c r="AE3" s="131"/>
    </row>
    <row r="4" spans="1:31" ht="15.75" x14ac:dyDescent="0.25">
      <c r="D4" s="178"/>
      <c r="F4" s="176"/>
      <c r="P4" s="101" t="s">
        <v>40</v>
      </c>
      <c r="Q4" s="27" t="s">
        <v>40</v>
      </c>
      <c r="R4" s="126"/>
      <c r="S4" s="30" t="s">
        <v>40</v>
      </c>
      <c r="T4" s="132" t="s">
        <v>40</v>
      </c>
      <c r="U4" s="133"/>
      <c r="V4" s="188"/>
      <c r="W4" s="20"/>
      <c r="X4" s="20"/>
      <c r="Y4" s="252"/>
      <c r="Z4" s="255"/>
      <c r="AB4" s="20"/>
      <c r="AC4" s="20"/>
      <c r="AD4" s="36"/>
      <c r="AE4" s="256"/>
    </row>
    <row r="5" spans="1:31" ht="15.75" x14ac:dyDescent="0.25">
      <c r="A5" s="1"/>
      <c r="B5" s="2"/>
      <c r="C5" s="3"/>
      <c r="D5" s="83" t="s">
        <v>524</v>
      </c>
      <c r="F5" s="90" t="s">
        <v>524</v>
      </c>
      <c r="P5" s="103" t="s">
        <v>524</v>
      </c>
      <c r="Q5" s="93" t="s">
        <v>524</v>
      </c>
      <c r="R5" s="127"/>
      <c r="S5" s="90" t="s">
        <v>524</v>
      </c>
      <c r="T5" s="134" t="s">
        <v>524</v>
      </c>
      <c r="U5" s="135"/>
      <c r="V5" s="189"/>
      <c r="W5" s="20"/>
      <c r="X5" s="20"/>
      <c r="Y5" s="257" t="s">
        <v>524</v>
      </c>
      <c r="Z5" s="258"/>
      <c r="AB5" s="20"/>
      <c r="AC5" s="20"/>
      <c r="AD5" s="259" t="s">
        <v>524</v>
      </c>
      <c r="AE5" s="260"/>
    </row>
    <row r="6" spans="1:31" ht="39" x14ac:dyDescent="0.25">
      <c r="A6" s="1"/>
      <c r="B6" s="2" t="s">
        <v>0</v>
      </c>
      <c r="C6" s="3"/>
      <c r="D6" s="84">
        <v>86</v>
      </c>
      <c r="F6" s="72">
        <v>86</v>
      </c>
      <c r="H6" s="17" t="s">
        <v>35</v>
      </c>
      <c r="I6" s="18"/>
      <c r="J6" s="146"/>
      <c r="K6" s="22" t="s">
        <v>38</v>
      </c>
      <c r="L6" s="22" t="s">
        <v>39</v>
      </c>
      <c r="M6" s="196" t="s">
        <v>659</v>
      </c>
      <c r="N6" s="196" t="s">
        <v>660</v>
      </c>
      <c r="P6" s="105">
        <v>86</v>
      </c>
      <c r="Q6" s="78">
        <v>86</v>
      </c>
      <c r="R6" s="128" t="s">
        <v>42</v>
      </c>
      <c r="S6" s="72">
        <v>86</v>
      </c>
      <c r="T6" s="136">
        <v>86</v>
      </c>
      <c r="U6" s="137" t="s">
        <v>42</v>
      </c>
      <c r="V6" s="190"/>
      <c r="W6" s="20"/>
      <c r="X6" s="20"/>
      <c r="Y6" s="261">
        <v>86</v>
      </c>
      <c r="Z6" s="261" t="s">
        <v>42</v>
      </c>
      <c r="AB6" s="20"/>
      <c r="AC6" s="20"/>
      <c r="AD6" s="137">
        <v>86</v>
      </c>
      <c r="AE6" s="137" t="s">
        <v>42</v>
      </c>
    </row>
    <row r="7" spans="1:31" ht="26.25" x14ac:dyDescent="0.25">
      <c r="A7" s="1"/>
      <c r="B7" s="2" t="s">
        <v>1</v>
      </c>
      <c r="C7" s="2"/>
      <c r="D7" s="85">
        <v>33</v>
      </c>
      <c r="F7" s="91">
        <v>33</v>
      </c>
      <c r="H7" s="21" t="s">
        <v>36</v>
      </c>
      <c r="I7" s="21" t="s">
        <v>37</v>
      </c>
      <c r="J7" s="148" t="s">
        <v>538</v>
      </c>
      <c r="K7" s="22"/>
      <c r="L7" s="22"/>
      <c r="M7" s="22"/>
      <c r="N7" s="22"/>
      <c r="P7" s="107">
        <v>33</v>
      </c>
      <c r="Q7" s="94">
        <v>33</v>
      </c>
      <c r="R7" s="129"/>
      <c r="S7" s="91">
        <v>33</v>
      </c>
      <c r="T7" s="138">
        <v>33</v>
      </c>
      <c r="U7" s="139"/>
      <c r="W7" s="20"/>
      <c r="X7" s="20"/>
      <c r="Y7" s="20"/>
      <c r="Z7" s="20"/>
      <c r="AB7" s="20"/>
      <c r="AC7" s="20"/>
      <c r="AD7" s="20"/>
      <c r="AE7" s="20"/>
    </row>
    <row r="8" spans="1:31" ht="15.75" x14ac:dyDescent="0.25">
      <c r="A8" s="1"/>
      <c r="B8" s="2" t="s">
        <v>2</v>
      </c>
      <c r="C8" s="2"/>
      <c r="D8" s="85">
        <v>6.0513536026726937</v>
      </c>
      <c r="F8" s="91"/>
      <c r="H8" s="21"/>
      <c r="I8" s="21"/>
      <c r="J8" s="145"/>
      <c r="K8" s="22"/>
      <c r="L8" s="22"/>
      <c r="M8" s="22"/>
      <c r="N8" s="22"/>
      <c r="P8" s="107">
        <v>6.0513536026726937</v>
      </c>
      <c r="Q8" s="94">
        <v>6.0513536026726937</v>
      </c>
      <c r="R8" s="129"/>
      <c r="S8" s="91">
        <v>6.0513536026726937</v>
      </c>
      <c r="T8" s="138">
        <v>6.0513536026726937</v>
      </c>
      <c r="U8" s="139"/>
      <c r="W8" s="20"/>
      <c r="X8" s="38"/>
      <c r="Y8" s="20"/>
      <c r="Z8" s="20"/>
      <c r="AB8" s="20"/>
      <c r="AC8" s="38"/>
      <c r="AD8" s="20"/>
      <c r="AE8" s="20"/>
    </row>
    <row r="9" spans="1:31" ht="15.75" x14ac:dyDescent="0.25">
      <c r="A9" s="1"/>
      <c r="B9" s="2" t="s">
        <v>3</v>
      </c>
      <c r="C9" s="2"/>
      <c r="D9" s="86">
        <v>0.1652522833169642</v>
      </c>
      <c r="F9" s="91"/>
      <c r="H9" s="21"/>
      <c r="I9" s="21"/>
      <c r="J9" s="145"/>
      <c r="K9" s="20"/>
      <c r="L9" s="20"/>
      <c r="M9" s="20"/>
      <c r="N9" s="20"/>
      <c r="P9" s="109">
        <v>0.1652522833169642</v>
      </c>
      <c r="Q9" s="95">
        <v>0.1652522833169642</v>
      </c>
      <c r="R9" s="129"/>
      <c r="S9" s="92">
        <v>0.1652522833169642</v>
      </c>
      <c r="T9" s="140">
        <v>0.1652522833169642</v>
      </c>
      <c r="U9" s="139"/>
      <c r="W9" s="20"/>
      <c r="X9" s="15"/>
      <c r="Y9" s="20"/>
      <c r="Z9" s="38"/>
      <c r="AB9" s="16"/>
      <c r="AC9" s="15"/>
      <c r="AD9" s="20"/>
      <c r="AE9" s="38"/>
    </row>
    <row r="10" spans="1:31" ht="15.75" x14ac:dyDescent="0.25">
      <c r="A10" s="1"/>
      <c r="B10" s="2" t="s">
        <v>4</v>
      </c>
      <c r="C10" s="2"/>
      <c r="D10" s="85">
        <v>551.77112031249987</v>
      </c>
      <c r="F10" s="174"/>
      <c r="H10" s="20"/>
      <c r="I10" s="20"/>
      <c r="J10" s="145"/>
      <c r="K10" s="20"/>
      <c r="L10" s="20"/>
      <c r="M10" s="20"/>
      <c r="N10" s="20"/>
      <c r="P10" s="107">
        <v>551.77112031249987</v>
      </c>
      <c r="Q10" s="94">
        <v>551.77112031249987</v>
      </c>
      <c r="R10" s="129"/>
      <c r="S10" s="91">
        <v>551.77112031249987</v>
      </c>
      <c r="T10" s="138">
        <v>551.77112031249987</v>
      </c>
      <c r="U10" s="139"/>
      <c r="W10" s="20"/>
      <c r="X10" s="15"/>
      <c r="Y10" s="20"/>
      <c r="Z10" s="38"/>
      <c r="AB10" s="16"/>
      <c r="AC10" s="15"/>
      <c r="AD10" s="20"/>
      <c r="AE10" s="38"/>
    </row>
    <row r="11" spans="1:31" ht="27" x14ac:dyDescent="0.25">
      <c r="A11" s="1"/>
      <c r="B11" s="2" t="s">
        <v>5</v>
      </c>
      <c r="C11" s="4" t="s">
        <v>6</v>
      </c>
      <c r="D11" s="85"/>
      <c r="F11" s="174"/>
      <c r="H11" s="20"/>
      <c r="I11" s="20"/>
      <c r="J11" s="147"/>
      <c r="K11" s="20"/>
      <c r="L11" s="20"/>
      <c r="M11" s="20"/>
      <c r="N11" s="20"/>
      <c r="P11" s="107"/>
      <c r="Q11" s="130"/>
      <c r="R11" s="129"/>
      <c r="S11" s="91"/>
      <c r="T11" s="138"/>
      <c r="U11" s="139"/>
      <c r="W11" s="20"/>
      <c r="X11" s="38" t="s">
        <v>5</v>
      </c>
      <c r="Y11" s="20"/>
      <c r="Z11" s="20"/>
      <c r="AB11" s="20"/>
      <c r="AC11" s="38" t="s">
        <v>5</v>
      </c>
      <c r="AD11" s="20"/>
      <c r="AE11" s="20"/>
    </row>
    <row r="12" spans="1:31" ht="15" x14ac:dyDescent="0.25">
      <c r="A12" s="1">
        <v>1</v>
      </c>
      <c r="B12" s="2" t="s">
        <v>7</v>
      </c>
      <c r="C12" s="3" t="s">
        <v>8</v>
      </c>
      <c r="D12" s="14">
        <v>444.834</v>
      </c>
      <c r="F12" s="89">
        <v>0.68700000000001182</v>
      </c>
      <c r="H12" s="20">
        <v>0.36775204520040022</v>
      </c>
      <c r="I12" s="20">
        <v>0.57913019816794442</v>
      </c>
      <c r="J12" s="147">
        <v>5.0553467481858454E-2</v>
      </c>
      <c r="K12" s="197">
        <v>0.17699999999999999</v>
      </c>
      <c r="L12" s="197">
        <v>1.77</v>
      </c>
      <c r="M12" s="197">
        <v>0.50078889239507718</v>
      </c>
      <c r="N12" s="197">
        <v>0.75268470790377973</v>
      </c>
      <c r="P12" s="20">
        <f t="shared" ref="P12:P17" si="0">IF(F12&gt;0,((D12-F12)*$J12*$K12*10)+(F12*$H$12*$J12*$K12*10),(D12*$J12*$K12*10))</f>
        <v>39.764719172962664</v>
      </c>
      <c r="Q12" s="20">
        <f t="shared" ref="Q12:Q17" si="1">(P12*(EXP(1.01-0.34*LN(Q$10))*(1-$M12)+(1*$M12)))*$R$1</f>
        <v>31.338084237259586</v>
      </c>
      <c r="R12" s="20">
        <f t="shared" ref="R12:R17" si="2">SUM(Q12:Q12)</f>
        <v>31.338084237259586</v>
      </c>
      <c r="S12" s="20">
        <f t="shared" ref="S12:S17" si="3">IF(F12&gt;0,((D12-F12)*$J12*$L12*10)+(F12*$I$12*$J12*$L12)*10,(D12*$J12*$L12*10))</f>
        <v>397.777131187799</v>
      </c>
      <c r="T12" s="20">
        <f t="shared" ref="T12:T17" si="4">(S12*(EXP(1.01-0.34*LN(T$10))*(1-$N12)+(1*$N12)))*$R$1</f>
        <v>394.60309345100762</v>
      </c>
      <c r="U12" s="20">
        <f t="shared" ref="U12:U17" si="5">SUM(T12:T12)</f>
        <v>394.60309345100762</v>
      </c>
      <c r="W12" s="16">
        <v>1</v>
      </c>
      <c r="X12" s="15" t="s">
        <v>7</v>
      </c>
      <c r="Y12" s="20">
        <f>SUM(Q12:Q17)</f>
        <v>37.695059904908099</v>
      </c>
      <c r="Z12" s="38">
        <f t="shared" ref="Z12:Z29" si="6">SUM(Y12:Y12)</f>
        <v>37.695059904908099</v>
      </c>
      <c r="AB12" s="16">
        <v>1</v>
      </c>
      <c r="AC12" s="15" t="s">
        <v>7</v>
      </c>
      <c r="AD12" s="20">
        <f>SUM(T12:T17)</f>
        <v>475.41655672896354</v>
      </c>
      <c r="AE12" s="38">
        <f t="shared" ref="AE12:AE29" si="7">SUM(AD12:AD12)</f>
        <v>475.41655672896354</v>
      </c>
    </row>
    <row r="13" spans="1:31" ht="15" x14ac:dyDescent="0.25">
      <c r="A13" s="1"/>
      <c r="B13" s="2"/>
      <c r="C13" s="1" t="s">
        <v>9</v>
      </c>
      <c r="D13" s="14">
        <v>16.209</v>
      </c>
      <c r="F13" s="89">
        <v>-30.886999999999997</v>
      </c>
      <c r="H13" s="20"/>
      <c r="I13" s="20"/>
      <c r="J13" s="147">
        <v>5.6106934963716916E-2</v>
      </c>
      <c r="K13" s="197">
        <v>0.17699999999999999</v>
      </c>
      <c r="L13" s="197">
        <v>1.77</v>
      </c>
      <c r="M13" s="197">
        <v>0.50078889239507718</v>
      </c>
      <c r="N13" s="197">
        <v>0.75268470790377973</v>
      </c>
      <c r="P13" s="20">
        <f t="shared" si="0"/>
        <v>1.6097040366235906</v>
      </c>
      <c r="Q13" s="20">
        <f t="shared" si="1"/>
        <v>1.2685878775441251</v>
      </c>
      <c r="R13" s="20">
        <f t="shared" si="2"/>
        <v>1.2685878775441251</v>
      </c>
      <c r="S13" s="20">
        <f t="shared" si="3"/>
        <v>16.097040366235909</v>
      </c>
      <c r="T13" s="20">
        <f t="shared" si="4"/>
        <v>15.968595039526152</v>
      </c>
      <c r="U13" s="20">
        <f t="shared" si="5"/>
        <v>15.968595039526152</v>
      </c>
      <c r="W13" s="16">
        <v>2</v>
      </c>
      <c r="X13" s="15" t="s">
        <v>16</v>
      </c>
      <c r="Y13" s="20">
        <f>SUM(Q21:Q26)</f>
        <v>78.5369398077179</v>
      </c>
      <c r="Z13" s="38">
        <f t="shared" si="6"/>
        <v>78.5369398077179</v>
      </c>
      <c r="AB13" s="16">
        <v>2</v>
      </c>
      <c r="AC13" s="15" t="s">
        <v>16</v>
      </c>
      <c r="AD13" s="20">
        <f>SUM(T21:T26)</f>
        <v>912.63165497830948</v>
      </c>
      <c r="AE13" s="38">
        <f t="shared" si="7"/>
        <v>912.63165497830948</v>
      </c>
    </row>
    <row r="14" spans="1:31" ht="15" x14ac:dyDescent="0.25">
      <c r="A14" s="1"/>
      <c r="B14" s="2"/>
      <c r="C14" s="1" t="s">
        <v>10</v>
      </c>
      <c r="D14" s="14">
        <v>51.008000000000003</v>
      </c>
      <c r="F14" s="89">
        <v>-32.291999999999994</v>
      </c>
      <c r="H14" s="20"/>
      <c r="I14" s="20"/>
      <c r="J14" s="147">
        <v>6.1660402445575364E-2</v>
      </c>
      <c r="K14" s="197">
        <v>0.17699999999999999</v>
      </c>
      <c r="L14" s="197">
        <v>1.77</v>
      </c>
      <c r="M14" s="197">
        <v>0.50078889239507718</v>
      </c>
      <c r="N14" s="197">
        <v>0.75268470790377973</v>
      </c>
      <c r="P14" s="20">
        <f t="shared" si="0"/>
        <v>5.5669576400607177</v>
      </c>
      <c r="Q14" s="20">
        <f t="shared" si="1"/>
        <v>4.3872505853907349</v>
      </c>
      <c r="R14" s="20">
        <f t="shared" si="2"/>
        <v>4.3872505853907349</v>
      </c>
      <c r="S14" s="20">
        <f t="shared" si="3"/>
        <v>55.669576400607177</v>
      </c>
      <c r="T14" s="20">
        <f t="shared" si="4"/>
        <v>55.225364497929199</v>
      </c>
      <c r="U14" s="20">
        <f t="shared" si="5"/>
        <v>55.225364497929199</v>
      </c>
      <c r="W14" s="16">
        <v>3</v>
      </c>
      <c r="X14" s="15" t="s">
        <v>17</v>
      </c>
      <c r="Y14" s="20">
        <f>SUM(Q30:Q35)</f>
        <v>5.7841380860059637</v>
      </c>
      <c r="Z14" s="38">
        <f t="shared" si="6"/>
        <v>5.7841380860059637</v>
      </c>
      <c r="AB14" s="16">
        <v>3</v>
      </c>
      <c r="AC14" s="15" t="s">
        <v>17</v>
      </c>
      <c r="AD14" s="20">
        <f>SUM(T30:T35)</f>
        <v>41.085038899352071</v>
      </c>
      <c r="AE14" s="38">
        <f t="shared" si="7"/>
        <v>41.085038899352071</v>
      </c>
    </row>
    <row r="15" spans="1:31" ht="15" x14ac:dyDescent="0.25">
      <c r="A15" s="1"/>
      <c r="B15" s="2"/>
      <c r="C15" s="1" t="s">
        <v>11</v>
      </c>
      <c r="D15" s="14">
        <v>8.1329999999999991</v>
      </c>
      <c r="F15" s="89">
        <v>3.1819999999999995</v>
      </c>
      <c r="H15" s="20"/>
      <c r="I15" s="20"/>
      <c r="J15" s="147">
        <v>6.721386992743382E-2</v>
      </c>
      <c r="K15" s="197">
        <v>0.17699999999999999</v>
      </c>
      <c r="L15" s="197">
        <v>1.77</v>
      </c>
      <c r="M15" s="197">
        <v>0.50078889239507718</v>
      </c>
      <c r="N15" s="197">
        <v>0.75268470790377973</v>
      </c>
      <c r="P15" s="20">
        <f t="shared" si="0"/>
        <v>0.72822874120175984</v>
      </c>
      <c r="Q15" s="20">
        <f t="shared" si="1"/>
        <v>0.57390808008751659</v>
      </c>
      <c r="R15" s="20">
        <f t="shared" si="2"/>
        <v>0.57390808008751659</v>
      </c>
      <c r="S15" s="20">
        <f t="shared" si="3"/>
        <v>8.0824761625835055</v>
      </c>
      <c r="T15" s="20">
        <f t="shared" si="4"/>
        <v>8.0179825496144748</v>
      </c>
      <c r="U15" s="20">
        <f t="shared" si="5"/>
        <v>8.0179825496144748</v>
      </c>
      <c r="W15" s="16">
        <v>4</v>
      </c>
      <c r="X15" s="15" t="s">
        <v>18</v>
      </c>
      <c r="Y15" s="20">
        <f>SUM(Q39:Q44)</f>
        <v>10.788020403815553</v>
      </c>
      <c r="Z15" s="38">
        <f t="shared" si="6"/>
        <v>10.788020403815553</v>
      </c>
      <c r="AB15" s="16">
        <v>4</v>
      </c>
      <c r="AC15" s="15" t="s">
        <v>18</v>
      </c>
      <c r="AD15" s="20">
        <f>SUM(T39:T44)</f>
        <v>89.507033199024576</v>
      </c>
      <c r="AE15" s="38">
        <f t="shared" si="7"/>
        <v>89.507033199024576</v>
      </c>
    </row>
    <row r="16" spans="1:31" ht="15" x14ac:dyDescent="0.25">
      <c r="A16" s="5"/>
      <c r="B16" s="6"/>
      <c r="C16" s="5" t="s">
        <v>12</v>
      </c>
      <c r="D16" s="14">
        <v>1.357</v>
      </c>
      <c r="F16" s="89">
        <v>-1.0649999999999999</v>
      </c>
      <c r="H16" s="20"/>
      <c r="I16" s="20"/>
      <c r="J16" s="147">
        <v>6.7213869927433834E-2</v>
      </c>
      <c r="K16" s="197">
        <v>0.17699999999999999</v>
      </c>
      <c r="L16" s="197">
        <v>1.77</v>
      </c>
      <c r="M16" s="197">
        <v>0.50078889239507718</v>
      </c>
      <c r="N16" s="197">
        <v>0.75268470790377973</v>
      </c>
      <c r="P16" s="20">
        <f t="shared" si="0"/>
        <v>0.16144032204000405</v>
      </c>
      <c r="Q16" s="20">
        <f t="shared" si="1"/>
        <v>0.12722912462613087</v>
      </c>
      <c r="R16" s="20">
        <f t="shared" si="2"/>
        <v>0.12722912462613087</v>
      </c>
      <c r="S16" s="20">
        <f t="shared" si="3"/>
        <v>1.6144032204000405</v>
      </c>
      <c r="T16" s="20">
        <f t="shared" si="4"/>
        <v>1.6015211908860612</v>
      </c>
      <c r="U16" s="20">
        <f t="shared" si="5"/>
        <v>1.6015211908860612</v>
      </c>
      <c r="W16" s="16">
        <v>5</v>
      </c>
      <c r="X16" s="15" t="s">
        <v>19</v>
      </c>
      <c r="Y16" s="20">
        <f>SUM(Q48:Q53)</f>
        <v>9.9797293385199364</v>
      </c>
      <c r="Z16" s="38">
        <f t="shared" si="6"/>
        <v>9.9797293385199364</v>
      </c>
      <c r="AB16" s="16">
        <v>5</v>
      </c>
      <c r="AC16" s="15" t="s">
        <v>19</v>
      </c>
      <c r="AD16" s="20">
        <f>SUM(T48:T53)</f>
        <v>79.706489490425909</v>
      </c>
      <c r="AE16" s="38">
        <f t="shared" si="7"/>
        <v>79.706489490425909</v>
      </c>
    </row>
    <row r="17" spans="1:31" ht="15" x14ac:dyDescent="0.25">
      <c r="A17" s="5"/>
      <c r="B17" s="6"/>
      <c r="C17" s="5" t="s">
        <v>13</v>
      </c>
      <c r="D17" s="14">
        <v>0</v>
      </c>
      <c r="F17" s="89">
        <v>0</v>
      </c>
      <c r="H17" s="20"/>
      <c r="I17" s="20"/>
      <c r="J17" s="147"/>
      <c r="K17" s="197">
        <v>0.17699999999999999</v>
      </c>
      <c r="L17" s="197">
        <v>1.77</v>
      </c>
      <c r="M17" s="197">
        <v>0.50078889239507718</v>
      </c>
      <c r="N17" s="197">
        <v>0.75268470790377973</v>
      </c>
      <c r="P17" s="20">
        <f t="shared" si="0"/>
        <v>0</v>
      </c>
      <c r="Q17" s="20">
        <f t="shared" si="1"/>
        <v>0</v>
      </c>
      <c r="R17" s="20">
        <f t="shared" si="2"/>
        <v>0</v>
      </c>
      <c r="S17" s="20">
        <f t="shared" si="3"/>
        <v>0</v>
      </c>
      <c r="T17" s="20">
        <f t="shared" si="4"/>
        <v>0</v>
      </c>
      <c r="U17" s="20">
        <f t="shared" si="5"/>
        <v>0</v>
      </c>
      <c r="W17" s="16">
        <v>6</v>
      </c>
      <c r="X17" s="15" t="s">
        <v>20</v>
      </c>
      <c r="Y17" s="20">
        <f>SUM(Q57:Q62)</f>
        <v>1.715608001027479</v>
      </c>
      <c r="Z17" s="38">
        <f t="shared" si="6"/>
        <v>1.715608001027479</v>
      </c>
      <c r="AB17" s="16">
        <v>6</v>
      </c>
      <c r="AC17" s="15" t="s">
        <v>20</v>
      </c>
      <c r="AD17" s="20">
        <f>SUM(T57:T62)</f>
        <v>15.8038243343444</v>
      </c>
      <c r="AE17" s="38">
        <f t="shared" si="7"/>
        <v>15.8038243343444</v>
      </c>
    </row>
    <row r="18" spans="1:31" ht="15" x14ac:dyDescent="0.25">
      <c r="A18" s="7"/>
      <c r="B18" s="8" t="s">
        <v>14</v>
      </c>
      <c r="C18" s="7"/>
      <c r="D18" s="14">
        <f>SUM(D12:D17)</f>
        <v>521.54100000000005</v>
      </c>
      <c r="F18" s="14">
        <v>-60.375</v>
      </c>
      <c r="H18" s="20"/>
      <c r="I18" s="20"/>
      <c r="J18" s="147"/>
      <c r="K18" s="197"/>
      <c r="L18" s="197"/>
      <c r="M18" s="197"/>
      <c r="N18" s="197"/>
      <c r="W18" s="47">
        <v>7</v>
      </c>
      <c r="X18" s="44" t="s">
        <v>21</v>
      </c>
      <c r="Y18" s="20">
        <f>SUM(Q66:Q71)</f>
        <v>0.16000380257772182</v>
      </c>
      <c r="Z18" s="38">
        <f t="shared" si="6"/>
        <v>0.16000380257772182</v>
      </c>
      <c r="AB18" s="47">
        <v>7</v>
      </c>
      <c r="AC18" s="44" t="s">
        <v>21</v>
      </c>
      <c r="AD18" s="20">
        <f>SUM(T66:T71)</f>
        <v>1.5277194288032949</v>
      </c>
      <c r="AE18" s="38">
        <f t="shared" si="7"/>
        <v>1.5277194288032949</v>
      </c>
    </row>
    <row r="19" spans="1:31" ht="15" x14ac:dyDescent="0.25">
      <c r="A19" s="5"/>
      <c r="B19" s="9" t="s">
        <v>15</v>
      </c>
      <c r="C19" s="5"/>
      <c r="D19" s="14">
        <f>SUM(D18)</f>
        <v>521.54100000000005</v>
      </c>
      <c r="F19" s="14">
        <v>-60.375</v>
      </c>
      <c r="H19" s="20"/>
      <c r="I19" s="20"/>
      <c r="J19" s="147"/>
      <c r="K19" s="197"/>
      <c r="L19" s="197"/>
      <c r="M19" s="197"/>
      <c r="N19" s="197"/>
      <c r="W19" s="16">
        <v>8</v>
      </c>
      <c r="X19" s="15" t="s">
        <v>22</v>
      </c>
      <c r="Y19" s="20">
        <f>SUM(Q75:Q80)</f>
        <v>2.3457314292295348</v>
      </c>
      <c r="Z19" s="38">
        <f t="shared" si="6"/>
        <v>2.3457314292295348</v>
      </c>
      <c r="AB19" s="16">
        <v>8</v>
      </c>
      <c r="AC19" s="15" t="s">
        <v>22</v>
      </c>
      <c r="AD19" s="20">
        <f>SUM(T75:T80)</f>
        <v>65.554861251755241</v>
      </c>
      <c r="AE19" s="38">
        <f t="shared" si="7"/>
        <v>65.554861251755241</v>
      </c>
    </row>
    <row r="20" spans="1:31" ht="15.75" x14ac:dyDescent="0.25">
      <c r="A20" s="1"/>
      <c r="B20" s="2"/>
      <c r="C20" s="1"/>
      <c r="D20" s="87"/>
      <c r="F20" s="87"/>
      <c r="H20" s="20"/>
      <c r="I20" s="20"/>
      <c r="J20" s="147"/>
      <c r="K20" s="197"/>
      <c r="L20" s="197"/>
      <c r="M20" s="197"/>
      <c r="N20" s="197"/>
      <c r="W20" s="16">
        <v>9</v>
      </c>
      <c r="X20" s="15" t="s">
        <v>23</v>
      </c>
      <c r="Y20" s="20">
        <f>SUM(Q84:Q89)</f>
        <v>15.86189542851017</v>
      </c>
      <c r="Z20" s="38">
        <f t="shared" si="6"/>
        <v>15.86189542851017</v>
      </c>
      <c r="AB20" s="16">
        <v>9</v>
      </c>
      <c r="AC20" s="15" t="s">
        <v>23</v>
      </c>
      <c r="AD20" s="20">
        <f>SUM(T84:T89)</f>
        <v>134.5216243201632</v>
      </c>
      <c r="AE20" s="38">
        <f t="shared" si="7"/>
        <v>134.5216243201632</v>
      </c>
    </row>
    <row r="21" spans="1:31" ht="15" x14ac:dyDescent="0.25">
      <c r="A21" s="1">
        <v>2</v>
      </c>
      <c r="B21" s="2" t="s">
        <v>16</v>
      </c>
      <c r="C21" s="1" t="s">
        <v>8</v>
      </c>
      <c r="D21" s="14">
        <v>295.98599999999999</v>
      </c>
      <c r="F21" s="89">
        <v>152.404</v>
      </c>
      <c r="H21" s="20"/>
      <c r="I21" s="20"/>
      <c r="J21" s="147">
        <v>0.1399688919574523</v>
      </c>
      <c r="K21" s="197">
        <v>0.3</v>
      </c>
      <c r="L21" s="197">
        <v>2.29</v>
      </c>
      <c r="M21" s="197">
        <v>0.50078889239507718</v>
      </c>
      <c r="N21" s="197">
        <v>0.75268470790377973</v>
      </c>
      <c r="P21" s="20">
        <f t="shared" ref="P21:P26" si="8">IF(F21&gt;0,((D21-F21)*$J21*$K21*10)+(F21*$H$12*$J21*$K21*10),(D21*$J21*$K21*10))</f>
        <v>83.82550054129311</v>
      </c>
      <c r="Q21" s="20">
        <f t="shared" ref="Q21:Q26" si="9">(P21*(EXP(1.01-0.34*LN(Q$10))*(1-$M21)+(1*$M21)))*$R$1</f>
        <v>66.061842050669597</v>
      </c>
      <c r="R21" s="20">
        <f t="shared" ref="R21:R26" si="10">SUM(Q21:Q21)</f>
        <v>66.061842050669597</v>
      </c>
      <c r="S21" s="20">
        <f t="shared" ref="S21:S26" si="11">IF(F21&gt;0,((D21-F21)*$J21*$L21*10)+(F21*$I$12*$J21*$L21)*10,(D21*$J21*$L21*10))</f>
        <v>743.12593095521345</v>
      </c>
      <c r="T21" s="20">
        <f t="shared" ref="T21:T26" si="12">(S21*(EXP(1.01-0.34*LN(T$10))*(1-$N21)+(1*$N21)))*$R$1</f>
        <v>737.19620407273339</v>
      </c>
      <c r="U21" s="20">
        <f t="shared" ref="U21:U26" si="13">SUM(T21:T21)</f>
        <v>737.19620407273339</v>
      </c>
      <c r="W21" s="16">
        <v>10</v>
      </c>
      <c r="X21" s="15" t="s">
        <v>24</v>
      </c>
      <c r="Y21" s="20">
        <f>SUM(Q93:Q98)</f>
        <v>19.460375365869144</v>
      </c>
      <c r="Z21" s="38">
        <f t="shared" si="6"/>
        <v>19.460375365869144</v>
      </c>
      <c r="AB21" s="16">
        <v>10</v>
      </c>
      <c r="AC21" s="15" t="s">
        <v>24</v>
      </c>
      <c r="AD21" s="20">
        <f>SUM(T93:T98)</f>
        <v>171.28138342572834</v>
      </c>
      <c r="AE21" s="38">
        <f t="shared" si="7"/>
        <v>171.28138342572834</v>
      </c>
    </row>
    <row r="22" spans="1:31" ht="15" x14ac:dyDescent="0.25">
      <c r="A22" s="1"/>
      <c r="B22" s="2"/>
      <c r="C22" s="1" t="s">
        <v>9</v>
      </c>
      <c r="D22" s="14">
        <v>38.436999999999998</v>
      </c>
      <c r="F22" s="89">
        <v>37.177999999999997</v>
      </c>
      <c r="H22" s="20"/>
      <c r="I22" s="20"/>
      <c r="J22" s="147">
        <v>0.14493778391490458</v>
      </c>
      <c r="K22" s="197">
        <v>0.3</v>
      </c>
      <c r="L22" s="197">
        <v>2.29</v>
      </c>
      <c r="M22" s="197">
        <v>0.50078889239507718</v>
      </c>
      <c r="N22" s="197">
        <v>0.75268470790377973</v>
      </c>
      <c r="P22" s="20">
        <f t="shared" si="8"/>
        <v>6.492322309965747</v>
      </c>
      <c r="Q22" s="20">
        <f t="shared" si="9"/>
        <v>5.1165190570108026</v>
      </c>
      <c r="R22" s="20">
        <f t="shared" si="10"/>
        <v>5.1165190570108026</v>
      </c>
      <c r="S22" s="20">
        <f t="shared" si="11"/>
        <v>75.641401400149135</v>
      </c>
      <c r="T22" s="20">
        <f t="shared" si="12"/>
        <v>75.037825569153199</v>
      </c>
      <c r="U22" s="20">
        <f t="shared" si="13"/>
        <v>75.037825569153199</v>
      </c>
      <c r="W22" s="16">
        <v>11</v>
      </c>
      <c r="X22" s="15" t="s">
        <v>25</v>
      </c>
      <c r="Y22" s="20">
        <f>SUM(Q102:Q107)</f>
        <v>3.8035924089716562</v>
      </c>
      <c r="Z22" s="38">
        <f t="shared" si="6"/>
        <v>3.8035924089716562</v>
      </c>
      <c r="AB22" s="16">
        <v>11</v>
      </c>
      <c r="AC22" s="15" t="s">
        <v>25</v>
      </c>
      <c r="AD22" s="20">
        <f>SUM(T102:T107)</f>
        <v>69.822552808995127</v>
      </c>
      <c r="AE22" s="38">
        <f t="shared" si="7"/>
        <v>69.822552808995127</v>
      </c>
    </row>
    <row r="23" spans="1:31" ht="15" x14ac:dyDescent="0.25">
      <c r="A23" s="1"/>
      <c r="B23" s="2"/>
      <c r="C23" s="1" t="s">
        <v>10</v>
      </c>
      <c r="D23" s="14">
        <v>40.880000000000003</v>
      </c>
      <c r="F23" s="89">
        <v>37.138000000000005</v>
      </c>
      <c r="H23" s="20"/>
      <c r="I23" s="20"/>
      <c r="J23" s="147">
        <v>0.14990667587235693</v>
      </c>
      <c r="K23" s="197">
        <v>0.3</v>
      </c>
      <c r="L23" s="197">
        <v>2.29</v>
      </c>
      <c r="M23" s="197">
        <v>0.50078889239507718</v>
      </c>
      <c r="N23" s="197">
        <v>0.75268470790377973</v>
      </c>
      <c r="P23" s="20">
        <f t="shared" si="8"/>
        <v>7.8249375539916128</v>
      </c>
      <c r="Q23" s="20">
        <f t="shared" si="9"/>
        <v>6.1667366781007544</v>
      </c>
      <c r="R23" s="20">
        <f t="shared" si="10"/>
        <v>6.1667366781007544</v>
      </c>
      <c r="S23" s="20">
        <f t="shared" si="11"/>
        <v>86.678885841709047</v>
      </c>
      <c r="T23" s="20">
        <f t="shared" si="12"/>
        <v>85.987237094021921</v>
      </c>
      <c r="U23" s="20">
        <f t="shared" si="13"/>
        <v>85.987237094021921</v>
      </c>
      <c r="W23" s="16">
        <v>12</v>
      </c>
      <c r="X23" s="15" t="s">
        <v>26</v>
      </c>
      <c r="Y23" s="20">
        <f>SUM(Q111:Q116)</f>
        <v>0</v>
      </c>
      <c r="Z23" s="38">
        <f t="shared" si="6"/>
        <v>0</v>
      </c>
      <c r="AB23" s="16">
        <v>12</v>
      </c>
      <c r="AC23" s="15" t="s">
        <v>26</v>
      </c>
      <c r="AD23" s="20">
        <f>SUM(T111:T116)</f>
        <v>0</v>
      </c>
      <c r="AE23" s="38">
        <f t="shared" si="7"/>
        <v>0</v>
      </c>
    </row>
    <row r="24" spans="1:31" ht="15" x14ac:dyDescent="0.25">
      <c r="A24" s="1"/>
      <c r="B24" s="2"/>
      <c r="C24" s="1" t="s">
        <v>11</v>
      </c>
      <c r="D24" s="14">
        <v>0.22600000000000001</v>
      </c>
      <c r="F24" s="89">
        <v>-0.32500000000000001</v>
      </c>
      <c r="H24" s="20"/>
      <c r="I24" s="20"/>
      <c r="J24" s="147">
        <v>0.15487556782980921</v>
      </c>
      <c r="K24" s="197">
        <v>0.3</v>
      </c>
      <c r="L24" s="197">
        <v>2.29</v>
      </c>
      <c r="M24" s="197">
        <v>0.50078889239507718</v>
      </c>
      <c r="N24" s="197">
        <v>0.75268470790377973</v>
      </c>
      <c r="P24" s="20">
        <f t="shared" si="8"/>
        <v>0.10500563498861065</v>
      </c>
      <c r="Q24" s="20">
        <f t="shared" si="9"/>
        <v>8.2753644514543714E-2</v>
      </c>
      <c r="R24" s="20">
        <f t="shared" si="10"/>
        <v>8.2753644514543714E-2</v>
      </c>
      <c r="S24" s="20">
        <f t="shared" si="11"/>
        <v>0.80154301374639469</v>
      </c>
      <c r="T24" s="20">
        <f t="shared" si="12"/>
        <v>0.79514715140585357</v>
      </c>
      <c r="U24" s="20">
        <f t="shared" si="13"/>
        <v>0.79514715140585357</v>
      </c>
      <c r="W24" s="16">
        <v>13</v>
      </c>
      <c r="X24" s="15" t="s">
        <v>27</v>
      </c>
      <c r="Y24" s="20">
        <f>SUM(Q120:Q125)</f>
        <v>0.2183302571840543</v>
      </c>
      <c r="Z24" s="38">
        <f t="shared" si="6"/>
        <v>0.2183302571840543</v>
      </c>
      <c r="AB24" s="16">
        <v>13</v>
      </c>
      <c r="AC24" s="15" t="s">
        <v>27</v>
      </c>
      <c r="AD24" s="20">
        <f>SUM(T120:T125)</f>
        <v>1.9797965787223413</v>
      </c>
      <c r="AE24" s="38">
        <f t="shared" si="7"/>
        <v>1.9797965787223413</v>
      </c>
    </row>
    <row r="25" spans="1:31" ht="15" x14ac:dyDescent="0.25">
      <c r="A25" s="1"/>
      <c r="B25" s="2"/>
      <c r="C25" s="1" t="s">
        <v>12</v>
      </c>
      <c r="D25" s="14">
        <v>5.5439999999999996</v>
      </c>
      <c r="F25" s="89">
        <v>3.9779999999999998</v>
      </c>
      <c r="H25" s="20"/>
      <c r="I25" s="20"/>
      <c r="J25" s="147">
        <v>0.15487556782980921</v>
      </c>
      <c r="K25" s="197">
        <v>0.3</v>
      </c>
      <c r="L25" s="197">
        <v>2.29</v>
      </c>
      <c r="M25" s="197">
        <v>0.50078889239507718</v>
      </c>
      <c r="N25" s="197">
        <v>0.75268470790377973</v>
      </c>
      <c r="P25" s="20">
        <f t="shared" si="8"/>
        <v>1.4073160162660865</v>
      </c>
      <c r="Q25" s="20">
        <f t="shared" si="9"/>
        <v>1.1090883774222149</v>
      </c>
      <c r="R25" s="20">
        <f t="shared" si="10"/>
        <v>1.1090883774222149</v>
      </c>
      <c r="S25" s="20">
        <f t="shared" si="11"/>
        <v>13.724756930418469</v>
      </c>
      <c r="T25" s="20">
        <f t="shared" si="12"/>
        <v>13.615241090995134</v>
      </c>
      <c r="U25" s="20">
        <f t="shared" si="13"/>
        <v>13.615241090995134</v>
      </c>
      <c r="V25" s="191"/>
      <c r="W25" s="16">
        <v>14</v>
      </c>
      <c r="X25" s="15" t="s">
        <v>28</v>
      </c>
      <c r="Y25" s="20">
        <f>SUM(Q129:Q134)</f>
        <v>2.9346702498077137</v>
      </c>
      <c r="Z25" s="38">
        <f t="shared" si="6"/>
        <v>2.9346702498077137</v>
      </c>
      <c r="AA25" s="20"/>
      <c r="AB25" s="16">
        <v>14</v>
      </c>
      <c r="AC25" s="15" t="s">
        <v>28</v>
      </c>
      <c r="AD25" s="20">
        <f>SUM(T129:T134)</f>
        <v>81.727276194089953</v>
      </c>
      <c r="AE25" s="38">
        <f t="shared" si="7"/>
        <v>81.727276194089953</v>
      </c>
    </row>
    <row r="26" spans="1:31" ht="15" x14ac:dyDescent="0.25">
      <c r="A26" s="1"/>
      <c r="B26" s="2"/>
      <c r="C26" s="1" t="s">
        <v>13</v>
      </c>
      <c r="D26" s="14">
        <v>0</v>
      </c>
      <c r="F26" s="89">
        <v>0</v>
      </c>
      <c r="H26" s="20"/>
      <c r="I26" s="20"/>
      <c r="J26" s="147"/>
      <c r="K26" s="197">
        <v>0.3</v>
      </c>
      <c r="L26" s="197">
        <v>2.29</v>
      </c>
      <c r="M26" s="197">
        <v>0.50078889239507718</v>
      </c>
      <c r="N26" s="197">
        <v>0.75268470790377973</v>
      </c>
      <c r="P26" s="20">
        <f t="shared" si="8"/>
        <v>0</v>
      </c>
      <c r="Q26" s="20">
        <f t="shared" si="9"/>
        <v>0</v>
      </c>
      <c r="R26" s="20">
        <f t="shared" si="10"/>
        <v>0</v>
      </c>
      <c r="S26" s="20">
        <f t="shared" si="11"/>
        <v>0</v>
      </c>
      <c r="T26" s="20">
        <f t="shared" si="12"/>
        <v>0</v>
      </c>
      <c r="U26" s="20">
        <f t="shared" si="13"/>
        <v>0</v>
      </c>
      <c r="V26" s="191"/>
      <c r="W26" s="16">
        <v>15</v>
      </c>
      <c r="X26" s="15" t="s">
        <v>29</v>
      </c>
      <c r="Y26" s="20">
        <f>SUM(Q138:Q143)</f>
        <v>6.7637833386272073</v>
      </c>
      <c r="Z26" s="38">
        <f t="shared" si="6"/>
        <v>6.7637833386272073</v>
      </c>
      <c r="AA26" s="20"/>
      <c r="AB26" s="16">
        <v>15</v>
      </c>
      <c r="AC26" s="15" t="s">
        <v>29</v>
      </c>
      <c r="AD26" s="20">
        <f>SUM(T138:T143)</f>
        <v>388.40200983127625</v>
      </c>
      <c r="AE26" s="38">
        <f t="shared" si="7"/>
        <v>388.40200983127625</v>
      </c>
    </row>
    <row r="27" spans="1:31" ht="15" x14ac:dyDescent="0.25">
      <c r="A27" s="7"/>
      <c r="B27" s="8" t="s">
        <v>14</v>
      </c>
      <c r="C27" s="7"/>
      <c r="D27" s="14">
        <f>SUM(D21:D26)</f>
        <v>381.07299999999998</v>
      </c>
      <c r="F27" s="14">
        <v>230.37300000000002</v>
      </c>
      <c r="H27" s="20"/>
      <c r="I27" s="20"/>
      <c r="J27" s="147"/>
      <c r="K27" s="197"/>
      <c r="L27" s="197"/>
      <c r="M27" s="197"/>
      <c r="N27" s="197"/>
      <c r="W27" s="16">
        <v>16</v>
      </c>
      <c r="X27" s="15" t="s">
        <v>30</v>
      </c>
      <c r="Y27" s="20">
        <f>SUM(Q147:Q152)</f>
        <v>102.86659412142744</v>
      </c>
      <c r="Z27" s="38">
        <f t="shared" si="6"/>
        <v>102.86659412142744</v>
      </c>
      <c r="AA27" s="20"/>
      <c r="AB27" s="16">
        <v>16</v>
      </c>
      <c r="AC27" s="15" t="s">
        <v>30</v>
      </c>
      <c r="AD27" s="20">
        <f>SUM(T147:T152)</f>
        <v>2900.3220569577734</v>
      </c>
      <c r="AE27" s="38">
        <f t="shared" si="7"/>
        <v>2900.3220569577734</v>
      </c>
    </row>
    <row r="28" spans="1:31" ht="15" x14ac:dyDescent="0.25">
      <c r="A28" s="5"/>
      <c r="B28" s="9" t="s">
        <v>15</v>
      </c>
      <c r="C28" s="5"/>
      <c r="D28" s="14">
        <f>SUM(D27)</f>
        <v>381.07299999999998</v>
      </c>
      <c r="F28" s="14">
        <v>230.37300000000002</v>
      </c>
      <c r="H28" s="20"/>
      <c r="I28" s="20"/>
      <c r="J28" s="147"/>
      <c r="K28" s="197"/>
      <c r="L28" s="197"/>
      <c r="M28" s="197"/>
      <c r="N28" s="197"/>
      <c r="W28" s="16">
        <v>17</v>
      </c>
      <c r="X28" s="15" t="s">
        <v>52</v>
      </c>
      <c r="Y28" s="20">
        <f>SUM(Q156:Q161)</f>
        <v>0</v>
      </c>
      <c r="Z28" s="38">
        <f t="shared" si="6"/>
        <v>0</v>
      </c>
      <c r="AA28" s="20"/>
      <c r="AB28" s="16">
        <v>17</v>
      </c>
      <c r="AC28" s="15" t="s">
        <v>52</v>
      </c>
      <c r="AD28" s="20">
        <f>SUM(T156:T161)</f>
        <v>0</v>
      </c>
      <c r="AE28" s="38">
        <f t="shared" si="7"/>
        <v>0</v>
      </c>
    </row>
    <row r="29" spans="1:31" ht="15.75" x14ac:dyDescent="0.25">
      <c r="A29" s="1"/>
      <c r="B29" s="2"/>
      <c r="C29" s="1"/>
      <c r="D29" s="87"/>
      <c r="F29" s="87"/>
      <c r="H29" s="20"/>
      <c r="I29" s="20"/>
      <c r="J29" s="147"/>
      <c r="K29" s="197"/>
      <c r="L29" s="197"/>
      <c r="M29" s="197"/>
      <c r="N29" s="197"/>
      <c r="W29" s="16">
        <v>18</v>
      </c>
      <c r="X29" s="15" t="s">
        <v>745</v>
      </c>
      <c r="Y29" s="20">
        <f>SUM(Q165:Q170)</f>
        <v>0</v>
      </c>
      <c r="Z29" s="38">
        <f t="shared" si="6"/>
        <v>0</v>
      </c>
      <c r="AA29" s="20"/>
      <c r="AB29" s="16">
        <v>18</v>
      </c>
      <c r="AC29" s="15" t="s">
        <v>745</v>
      </c>
      <c r="AD29" s="20">
        <f>SUM(T165:T170)</f>
        <v>0</v>
      </c>
      <c r="AE29" s="38">
        <f t="shared" si="7"/>
        <v>0</v>
      </c>
    </row>
    <row r="30" spans="1:31" ht="15" x14ac:dyDescent="0.25">
      <c r="A30" s="1">
        <v>3</v>
      </c>
      <c r="B30" s="2" t="s">
        <v>17</v>
      </c>
      <c r="C30" s="1" t="s">
        <v>8</v>
      </c>
      <c r="D30" s="14">
        <v>9.0350000000000001</v>
      </c>
      <c r="F30" s="89">
        <v>4.3769999999999998</v>
      </c>
      <c r="H30" s="20"/>
      <c r="I30" s="20"/>
      <c r="J30" s="147">
        <v>0.22938431643304619</v>
      </c>
      <c r="K30" s="197">
        <v>0.49</v>
      </c>
      <c r="L30" s="197">
        <v>2.42</v>
      </c>
      <c r="M30" s="197">
        <v>0.50078889239507718</v>
      </c>
      <c r="N30" s="197">
        <v>0.75268470790377973</v>
      </c>
      <c r="P30" s="20">
        <f t="shared" ref="P30:P35" si="14">IF(F30&gt;0,((D30-F30)*$J30*$K30*10)+(F30*$H$12*$J30*$K30*10),(D30*$J30*$K30*10))</f>
        <v>7.044733782227504</v>
      </c>
      <c r="Q30" s="20">
        <f t="shared" ref="Q30:Q35" si="15">(P30*(EXP(1.01-0.34*LN(Q$10))*(1-$M30)+(1*$M30)))*$R$1</f>
        <v>5.5518677181208815</v>
      </c>
      <c r="R30" s="20">
        <f t="shared" ref="R30:R35" si="16">SUM(Q30:Q30)</f>
        <v>5.5518677181208815</v>
      </c>
      <c r="S30" s="20">
        <f t="shared" ref="S30:S35" si="17">IF(F30&gt;0,((D30-F30)*$J30*$L30*10)+(F30*$I$12*$J30*$L30)*10,(D30*$J30*$L30*10))</f>
        <v>39.928248899653056</v>
      </c>
      <c r="T30" s="20">
        <f t="shared" ref="T30:T35" si="18">(S30*(EXP(1.01-0.34*LN(T$10))*(1-$N30)+(1*$N30)))*$R$1</f>
        <v>39.609643935126662</v>
      </c>
      <c r="U30" s="20">
        <f t="shared" ref="U30:U35" si="19">SUM(T30:T30)</f>
        <v>39.609643935126662</v>
      </c>
      <c r="V30" s="191"/>
      <c r="W30" s="38" t="s">
        <v>42</v>
      </c>
      <c r="X30" s="262" t="s">
        <v>748</v>
      </c>
      <c r="Y30" s="38">
        <f>SUM(Y12:Y27)</f>
        <v>298.91447194419959</v>
      </c>
      <c r="Z30" s="38">
        <f>SUM(Z12:Z27)</f>
        <v>298.91447194419959</v>
      </c>
      <c r="AA30" s="20"/>
      <c r="AB30" s="38" t="s">
        <v>42</v>
      </c>
      <c r="AC30" s="262" t="s">
        <v>748</v>
      </c>
      <c r="AD30" s="38">
        <f>SUM(AD12:AD27)</f>
        <v>5429.2898784277277</v>
      </c>
      <c r="AE30" s="38">
        <f>SUM(AE12:AE27)</f>
        <v>5429.2898784277277</v>
      </c>
    </row>
    <row r="31" spans="1:31" ht="15" x14ac:dyDescent="0.25">
      <c r="A31" s="1"/>
      <c r="B31" s="2"/>
      <c r="C31" s="1" t="s">
        <v>9</v>
      </c>
      <c r="D31" s="14">
        <v>0</v>
      </c>
      <c r="F31" s="89">
        <v>0</v>
      </c>
      <c r="H31" s="20"/>
      <c r="I31" s="20"/>
      <c r="J31" s="147"/>
      <c r="K31" s="197">
        <v>0.49</v>
      </c>
      <c r="L31" s="197">
        <v>2.42</v>
      </c>
      <c r="M31" s="197">
        <v>0.50078889239507718</v>
      </c>
      <c r="N31" s="197">
        <v>0.75268470790377973</v>
      </c>
      <c r="P31" s="20">
        <f t="shared" si="14"/>
        <v>0</v>
      </c>
      <c r="Q31" s="20">
        <f t="shared" si="15"/>
        <v>0</v>
      </c>
      <c r="R31" s="20">
        <f t="shared" si="16"/>
        <v>0</v>
      </c>
      <c r="S31" s="20">
        <f t="shared" si="17"/>
        <v>0</v>
      </c>
      <c r="T31" s="20">
        <f t="shared" si="18"/>
        <v>0</v>
      </c>
      <c r="U31" s="20">
        <f t="shared" si="19"/>
        <v>0</v>
      </c>
      <c r="V31" s="191"/>
      <c r="W31" s="20"/>
      <c r="X31" s="20"/>
      <c r="Y31" s="20"/>
      <c r="Z31" s="20"/>
      <c r="AA31" s="20"/>
      <c r="AB31" s="20"/>
      <c r="AC31" s="20"/>
      <c r="AD31" s="20"/>
      <c r="AE31" s="20"/>
    </row>
    <row r="32" spans="1:31" ht="15" x14ac:dyDescent="0.25">
      <c r="A32" s="1"/>
      <c r="B32" s="2"/>
      <c r="C32" s="1" t="s">
        <v>10</v>
      </c>
      <c r="D32" s="14">
        <v>0.26900000000000002</v>
      </c>
      <c r="F32" s="89">
        <v>2.6000000000000023E-2</v>
      </c>
      <c r="H32" s="20"/>
      <c r="I32" s="20"/>
      <c r="J32" s="147">
        <v>0.23815294929913844</v>
      </c>
      <c r="K32" s="197">
        <v>0.49</v>
      </c>
      <c r="L32" s="197">
        <v>2.42</v>
      </c>
      <c r="M32" s="197">
        <v>0.50078889239507718</v>
      </c>
      <c r="N32" s="197">
        <v>0.75268470790377973</v>
      </c>
      <c r="P32" s="20">
        <f t="shared" si="14"/>
        <v>0.29472656596441293</v>
      </c>
      <c r="Q32" s="20">
        <f t="shared" si="15"/>
        <v>0.23227036788508215</v>
      </c>
      <c r="R32" s="20">
        <f t="shared" si="16"/>
        <v>0.23227036788508215</v>
      </c>
      <c r="S32" s="20">
        <f t="shared" si="17"/>
        <v>1.487262482171527</v>
      </c>
      <c r="T32" s="20">
        <f t="shared" si="18"/>
        <v>1.4753949642254092</v>
      </c>
      <c r="U32" s="20">
        <f t="shared" si="19"/>
        <v>1.4753949642254092</v>
      </c>
      <c r="V32" s="191"/>
      <c r="W32" s="20"/>
      <c r="X32" s="20"/>
      <c r="Y32" s="20"/>
      <c r="Z32" s="20"/>
      <c r="AA32" s="20"/>
      <c r="AB32" s="20"/>
      <c r="AC32" s="20"/>
      <c r="AD32" s="20"/>
      <c r="AE32" s="20"/>
    </row>
    <row r="33" spans="1:31" ht="15" x14ac:dyDescent="0.25">
      <c r="A33" s="1"/>
      <c r="B33" s="2"/>
      <c r="C33" s="1" t="s">
        <v>11</v>
      </c>
      <c r="D33" s="14">
        <v>0</v>
      </c>
      <c r="F33" s="89">
        <v>0</v>
      </c>
      <c r="H33" s="20"/>
      <c r="I33" s="20"/>
      <c r="J33" s="147"/>
      <c r="K33" s="197">
        <v>0.49</v>
      </c>
      <c r="L33" s="197">
        <v>2.42</v>
      </c>
      <c r="M33" s="197">
        <v>0.50078889239507718</v>
      </c>
      <c r="N33" s="197">
        <v>0.75268470790377973</v>
      </c>
      <c r="P33" s="20">
        <f t="shared" si="14"/>
        <v>0</v>
      </c>
      <c r="Q33" s="20">
        <f t="shared" si="15"/>
        <v>0</v>
      </c>
      <c r="R33" s="20">
        <f t="shared" si="16"/>
        <v>0</v>
      </c>
      <c r="S33" s="20">
        <f t="shared" si="17"/>
        <v>0</v>
      </c>
      <c r="T33" s="20">
        <f t="shared" si="18"/>
        <v>0</v>
      </c>
      <c r="U33" s="20">
        <f t="shared" si="19"/>
        <v>0</v>
      </c>
      <c r="V33" s="191"/>
      <c r="W33" s="20"/>
      <c r="X33" s="20"/>
      <c r="Y33" s="20"/>
      <c r="Z33" s="20"/>
      <c r="AA33" s="20"/>
      <c r="AB33" s="20"/>
      <c r="AC33" s="20"/>
      <c r="AD33" s="20"/>
      <c r="AE33" s="20"/>
    </row>
    <row r="34" spans="1:31" ht="15" x14ac:dyDescent="0.25">
      <c r="A34" s="1"/>
      <c r="B34" s="2"/>
      <c r="C34" s="1" t="s">
        <v>12</v>
      </c>
      <c r="D34" s="14">
        <v>0</v>
      </c>
      <c r="F34" s="89">
        <v>0</v>
      </c>
      <c r="H34" s="20"/>
      <c r="I34" s="20"/>
      <c r="J34" s="147"/>
      <c r="K34" s="197">
        <v>0.49</v>
      </c>
      <c r="L34" s="197">
        <v>2.42</v>
      </c>
      <c r="M34" s="197">
        <v>0.50078889239507718</v>
      </c>
      <c r="N34" s="197">
        <v>0.75268470790377973</v>
      </c>
      <c r="P34" s="20">
        <f t="shared" si="14"/>
        <v>0</v>
      </c>
      <c r="Q34" s="20">
        <f t="shared" si="15"/>
        <v>0</v>
      </c>
      <c r="R34" s="20">
        <f t="shared" si="16"/>
        <v>0</v>
      </c>
      <c r="S34" s="20">
        <f t="shared" si="17"/>
        <v>0</v>
      </c>
      <c r="T34" s="20">
        <f t="shared" si="18"/>
        <v>0</v>
      </c>
      <c r="U34" s="20">
        <f t="shared" si="19"/>
        <v>0</v>
      </c>
      <c r="V34" s="191"/>
      <c r="W34" s="20"/>
      <c r="X34" s="20"/>
      <c r="Y34" s="223" t="s">
        <v>650</v>
      </c>
      <c r="Z34" s="201"/>
      <c r="AA34" s="20"/>
      <c r="AB34" s="20"/>
      <c r="AC34" s="20"/>
      <c r="AD34" s="122" t="s">
        <v>650</v>
      </c>
      <c r="AE34" s="123"/>
    </row>
    <row r="35" spans="1:31" ht="105" customHeight="1" x14ac:dyDescent="0.25">
      <c r="A35" s="1"/>
      <c r="B35" s="2"/>
      <c r="C35" s="1" t="s">
        <v>13</v>
      </c>
      <c r="D35" s="14">
        <v>0</v>
      </c>
      <c r="F35" s="89">
        <v>0</v>
      </c>
      <c r="H35" s="20"/>
      <c r="I35" s="20"/>
      <c r="J35" s="147"/>
      <c r="K35" s="197">
        <v>0.49</v>
      </c>
      <c r="L35" s="197">
        <v>2.42</v>
      </c>
      <c r="M35" s="197">
        <v>0.50078889239507718</v>
      </c>
      <c r="N35" s="197">
        <v>0.75268470790377973</v>
      </c>
      <c r="P35" s="20">
        <f t="shared" si="14"/>
        <v>0</v>
      </c>
      <c r="Q35" s="20">
        <f t="shared" si="15"/>
        <v>0</v>
      </c>
      <c r="R35" s="20">
        <f t="shared" si="16"/>
        <v>0</v>
      </c>
      <c r="S35" s="20">
        <f t="shared" si="17"/>
        <v>0</v>
      </c>
      <c r="T35" s="20">
        <f t="shared" si="18"/>
        <v>0</v>
      </c>
      <c r="U35" s="20">
        <f t="shared" si="19"/>
        <v>0</v>
      </c>
      <c r="V35" s="191"/>
      <c r="W35" s="20"/>
      <c r="X35" s="20"/>
      <c r="Y35" s="25" t="s">
        <v>743</v>
      </c>
      <c r="Z35" s="17"/>
      <c r="AA35" s="20"/>
      <c r="AB35" s="20"/>
      <c r="AC35" s="20"/>
      <c r="AD35" s="28" t="s">
        <v>746</v>
      </c>
      <c r="AE35" s="29"/>
    </row>
    <row r="36" spans="1:31" ht="15" x14ac:dyDescent="0.25">
      <c r="A36" s="7"/>
      <c r="B36" s="8" t="s">
        <v>14</v>
      </c>
      <c r="C36" s="7"/>
      <c r="D36" s="14">
        <f>SUM(D30:D35)</f>
        <v>9.3040000000000003</v>
      </c>
      <c r="F36" s="14">
        <v>4.4029999999999996</v>
      </c>
      <c r="H36" s="20"/>
      <c r="I36" s="20"/>
      <c r="J36" s="147"/>
      <c r="K36" s="197"/>
      <c r="L36" s="197"/>
      <c r="M36" s="197"/>
      <c r="N36" s="197"/>
      <c r="W36" s="20"/>
      <c r="X36" s="20"/>
      <c r="Y36" s="201"/>
      <c r="Z36" s="263"/>
      <c r="AA36" s="20"/>
      <c r="AB36" s="20"/>
      <c r="AC36" s="20"/>
      <c r="AD36" s="123"/>
      <c r="AE36" s="264"/>
    </row>
    <row r="37" spans="1:31" ht="15.75" x14ac:dyDescent="0.25">
      <c r="A37" s="5"/>
      <c r="B37" s="9" t="s">
        <v>15</v>
      </c>
      <c r="C37" s="5"/>
      <c r="D37" s="14">
        <f>SUM(D36)</f>
        <v>9.3040000000000003</v>
      </c>
      <c r="F37" s="14">
        <v>4.4029999999999996</v>
      </c>
      <c r="H37" s="20"/>
      <c r="I37" s="20"/>
      <c r="J37" s="147"/>
      <c r="K37" s="197"/>
      <c r="L37" s="197"/>
      <c r="M37" s="197"/>
      <c r="N37" s="197"/>
      <c r="W37" s="20"/>
      <c r="X37" s="20"/>
      <c r="Y37" s="265" t="s">
        <v>524</v>
      </c>
      <c r="Z37" s="266"/>
      <c r="AA37" s="20"/>
      <c r="AB37" s="20"/>
      <c r="AC37" s="20"/>
      <c r="AD37" s="267" t="s">
        <v>524</v>
      </c>
      <c r="AE37" s="268"/>
    </row>
    <row r="38" spans="1:31" ht="15.75" x14ac:dyDescent="0.25">
      <c r="A38" s="1"/>
      <c r="B38" s="2"/>
      <c r="C38" s="1"/>
      <c r="D38" s="87"/>
      <c r="F38" s="87"/>
      <c r="H38" s="20"/>
      <c r="I38" s="20"/>
      <c r="J38" s="147"/>
      <c r="K38" s="197"/>
      <c r="L38" s="197"/>
      <c r="M38" s="197"/>
      <c r="N38" s="197"/>
      <c r="W38" s="20"/>
      <c r="X38" s="20"/>
      <c r="Y38" s="24">
        <v>86</v>
      </c>
      <c r="Z38" s="24" t="s">
        <v>42</v>
      </c>
      <c r="AA38" s="20"/>
      <c r="AB38" s="20"/>
      <c r="AC38" s="20"/>
      <c r="AD38" s="32">
        <v>86</v>
      </c>
      <c r="AE38" s="32" t="s">
        <v>42</v>
      </c>
    </row>
    <row r="39" spans="1:31" ht="15" x14ac:dyDescent="0.25">
      <c r="A39" s="1">
        <v>4</v>
      </c>
      <c r="B39" s="2" t="s">
        <v>18</v>
      </c>
      <c r="C39" s="1" t="s">
        <v>8</v>
      </c>
      <c r="D39" s="14">
        <v>22.667999999999999</v>
      </c>
      <c r="F39" s="89">
        <v>4.1389999999999993</v>
      </c>
      <c r="H39" s="20"/>
      <c r="I39" s="20"/>
      <c r="J39" s="147">
        <v>0.36350745314643695</v>
      </c>
      <c r="K39" s="197">
        <v>0.19500000000000001</v>
      </c>
      <c r="L39" s="197">
        <v>1.22</v>
      </c>
      <c r="M39" s="197">
        <v>0.4144562334217507</v>
      </c>
      <c r="N39" s="197">
        <v>0.6566321730950142</v>
      </c>
      <c r="P39" s="20">
        <f t="shared" ref="P39:P44" si="20">IF(F39&gt;0,((D39-F39)*$J39*$K39*10)+(F39*$H$12*$J39*$K39*10),(D39*$J39*$K39*10))</f>
        <v>14.213030600748292</v>
      </c>
      <c r="Q39" s="20">
        <f t="shared" ref="Q39:Q44" si="21">(P39*(EXP(1.01-0.34*LN(Q$10))*(1-$M39)+(1*$M39)))*$R$1</f>
        <v>10.207704760032403</v>
      </c>
      <c r="R39" s="20">
        <f t="shared" ref="R39:R44" si="22">SUM(Q39:Q39)</f>
        <v>10.207704760032403</v>
      </c>
      <c r="S39" s="20">
        <f t="shared" ref="S39:S44" si="23">IF(F39&gt;0,((D39-F39)*$J39*$L39*10)+(F39*$I$12*$J39*$L39)*10,(D39*$J39*$L39*10))</f>
        <v>92.802523176370983</v>
      </c>
      <c r="T39" s="20">
        <f t="shared" ref="T39:T44" si="24">(S39*(EXP(1.01-0.34*LN(T$10))*(1-$N39)+(1*$N39)))*$R$1</f>
        <v>84.845372343482694</v>
      </c>
      <c r="U39" s="20">
        <f t="shared" ref="U39:U44" si="25">SUM(T39:T39)</f>
        <v>84.845372343482694</v>
      </c>
      <c r="V39" s="191"/>
      <c r="W39" s="20"/>
      <c r="X39" s="20"/>
      <c r="Y39" s="20"/>
      <c r="Z39" s="20"/>
      <c r="AA39" s="20"/>
      <c r="AB39" s="20"/>
      <c r="AC39" s="20"/>
      <c r="AD39" s="20"/>
      <c r="AE39" s="20"/>
    </row>
    <row r="40" spans="1:31" ht="15" x14ac:dyDescent="0.25">
      <c r="A40" s="1"/>
      <c r="B40" s="2"/>
      <c r="C40" s="1" t="s">
        <v>9</v>
      </c>
      <c r="D40" s="14">
        <v>0.09</v>
      </c>
      <c r="F40" s="89">
        <v>4.5999999999999999E-2</v>
      </c>
      <c r="H40" s="20"/>
      <c r="I40" s="20"/>
      <c r="J40" s="147">
        <v>0.36701490629287387</v>
      </c>
      <c r="K40" s="197">
        <v>0.19500000000000001</v>
      </c>
      <c r="L40" s="197">
        <v>1.22</v>
      </c>
      <c r="M40" s="197">
        <v>0.4144562334217507</v>
      </c>
      <c r="N40" s="197">
        <v>0.6566321730950142</v>
      </c>
      <c r="P40" s="20">
        <f t="shared" si="20"/>
        <v>4.3596731231947496E-2</v>
      </c>
      <c r="Q40" s="20">
        <f t="shared" si="21"/>
        <v>3.1310884597319733E-2</v>
      </c>
      <c r="R40" s="20">
        <f t="shared" si="22"/>
        <v>3.1310884597319733E-2</v>
      </c>
      <c r="S40" s="20">
        <f t="shared" si="23"/>
        <v>0.31629633362721876</v>
      </c>
      <c r="T40" s="20">
        <f t="shared" si="24"/>
        <v>0.28917619132485772</v>
      </c>
      <c r="U40" s="20">
        <f t="shared" si="25"/>
        <v>0.28917619132485772</v>
      </c>
      <c r="V40" s="191"/>
      <c r="W40" s="20"/>
      <c r="X40" s="38" t="s">
        <v>5</v>
      </c>
      <c r="Y40" s="20"/>
      <c r="Z40" s="20"/>
      <c r="AA40" s="20"/>
      <c r="AB40" s="20"/>
      <c r="AC40" s="38" t="s">
        <v>5</v>
      </c>
      <c r="AD40" s="20"/>
      <c r="AE40" s="20"/>
    </row>
    <row r="41" spans="1:31" ht="15" x14ac:dyDescent="0.25">
      <c r="A41" s="1"/>
      <c r="B41" s="2"/>
      <c r="C41" s="1" t="s">
        <v>10</v>
      </c>
      <c r="D41" s="14">
        <v>1.0580000000000001</v>
      </c>
      <c r="F41" s="89">
        <v>-6.6000000000000059E-2</v>
      </c>
      <c r="H41" s="20"/>
      <c r="I41" s="20"/>
      <c r="J41" s="147">
        <v>0.37052235943931078</v>
      </c>
      <c r="K41" s="197">
        <v>0.19500000000000001</v>
      </c>
      <c r="L41" s="197">
        <v>1.22</v>
      </c>
      <c r="M41" s="197">
        <v>0.4144562334217507</v>
      </c>
      <c r="N41" s="197">
        <v>0.6566321730950142</v>
      </c>
      <c r="P41" s="20">
        <f t="shared" si="20"/>
        <v>0.76442467975924222</v>
      </c>
      <c r="Q41" s="20">
        <f t="shared" si="21"/>
        <v>0.54900475918583103</v>
      </c>
      <c r="R41" s="20">
        <f t="shared" si="22"/>
        <v>0.54900475918583103</v>
      </c>
      <c r="S41" s="20">
        <f t="shared" si="23"/>
        <v>4.7825544066988481</v>
      </c>
      <c r="T41" s="20">
        <f t="shared" si="24"/>
        <v>4.3724846642170307</v>
      </c>
      <c r="U41" s="20">
        <f t="shared" si="25"/>
        <v>4.3724846642170307</v>
      </c>
      <c r="V41" s="191"/>
      <c r="W41" s="16">
        <v>1</v>
      </c>
      <c r="X41" s="15" t="s">
        <v>7</v>
      </c>
      <c r="Y41" s="46">
        <f>SUM(Stormwater!X12:X17)</f>
        <v>37.695059904908099</v>
      </c>
      <c r="Z41" s="38">
        <f t="shared" ref="Z41:Z58" si="26">SUM(Y41:Y41)</f>
        <v>37.695059904908099</v>
      </c>
      <c r="AA41" s="20"/>
      <c r="AB41" s="16">
        <v>1</v>
      </c>
      <c r="AC41" s="15" t="s">
        <v>7</v>
      </c>
      <c r="AD41" s="46">
        <f>SUM(Stormwater!AC12:AC17)</f>
        <v>475.41655672896354</v>
      </c>
      <c r="AE41" s="38">
        <f t="shared" ref="AE41:AE58" si="27">SUM(AD41:AD41)</f>
        <v>475.41655672896354</v>
      </c>
    </row>
    <row r="42" spans="1:31" ht="15" x14ac:dyDescent="0.25">
      <c r="A42" s="1"/>
      <c r="B42" s="2"/>
      <c r="C42" s="1" t="s">
        <v>11</v>
      </c>
      <c r="D42" s="14">
        <v>0</v>
      </c>
      <c r="F42" s="89">
        <v>0</v>
      </c>
      <c r="H42" s="20"/>
      <c r="I42" s="20"/>
      <c r="J42" s="147"/>
      <c r="K42" s="197">
        <v>0.19500000000000001</v>
      </c>
      <c r="L42" s="197">
        <v>1.22</v>
      </c>
      <c r="M42" s="197">
        <v>0.4144562334217507</v>
      </c>
      <c r="N42" s="197">
        <v>0.6566321730950142</v>
      </c>
      <c r="P42" s="20">
        <f t="shared" si="20"/>
        <v>0</v>
      </c>
      <c r="Q42" s="20">
        <f t="shared" si="21"/>
        <v>0</v>
      </c>
      <c r="R42" s="20">
        <f t="shared" si="22"/>
        <v>0</v>
      </c>
      <c r="S42" s="20">
        <f t="shared" si="23"/>
        <v>0</v>
      </c>
      <c r="T42" s="20">
        <f t="shared" si="24"/>
        <v>0</v>
      </c>
      <c r="U42" s="20">
        <f t="shared" si="25"/>
        <v>0</v>
      </c>
      <c r="V42" s="191"/>
      <c r="W42" s="16">
        <v>2</v>
      </c>
      <c r="X42" s="15" t="s">
        <v>16</v>
      </c>
      <c r="Y42" s="46">
        <f>SUM(Stormwater!X21:X26)</f>
        <v>78.5369398077179</v>
      </c>
      <c r="Z42" s="38">
        <f t="shared" si="26"/>
        <v>78.5369398077179</v>
      </c>
      <c r="AA42" s="20"/>
      <c r="AB42" s="16">
        <v>2</v>
      </c>
      <c r="AC42" s="15" t="s">
        <v>16</v>
      </c>
      <c r="AD42" s="46">
        <f>SUM(Stormwater!AC21:AC26)</f>
        <v>912.63165497830948</v>
      </c>
      <c r="AE42" s="38">
        <f t="shared" si="27"/>
        <v>912.63165497830948</v>
      </c>
    </row>
    <row r="43" spans="1:31" ht="15" x14ac:dyDescent="0.25">
      <c r="A43" s="1"/>
      <c r="B43" s="2"/>
      <c r="C43" s="1" t="s">
        <v>12</v>
      </c>
      <c r="D43" s="14">
        <v>0</v>
      </c>
      <c r="F43" s="89">
        <v>0</v>
      </c>
      <c r="H43" s="20"/>
      <c r="I43" s="20"/>
      <c r="J43" s="147"/>
      <c r="K43" s="197">
        <v>0.19500000000000001</v>
      </c>
      <c r="L43" s="197">
        <v>1.22</v>
      </c>
      <c r="M43" s="197">
        <v>0.4144562334217507</v>
      </c>
      <c r="N43" s="197">
        <v>0.6566321730950142</v>
      </c>
      <c r="P43" s="20">
        <f t="shared" si="20"/>
        <v>0</v>
      </c>
      <c r="Q43" s="20">
        <f t="shared" si="21"/>
        <v>0</v>
      </c>
      <c r="R43" s="20">
        <f t="shared" si="22"/>
        <v>0</v>
      </c>
      <c r="S43" s="20">
        <f t="shared" si="23"/>
        <v>0</v>
      </c>
      <c r="T43" s="20">
        <f t="shared" si="24"/>
        <v>0</v>
      </c>
      <c r="U43" s="20">
        <f t="shared" si="25"/>
        <v>0</v>
      </c>
      <c r="V43" s="191"/>
      <c r="W43" s="16">
        <v>3</v>
      </c>
      <c r="X43" s="15" t="s">
        <v>17</v>
      </c>
      <c r="Y43" s="46">
        <f>SUM(Stormwater!X30:X35)</f>
        <v>5.7841380860059637</v>
      </c>
      <c r="Z43" s="38">
        <f t="shared" si="26"/>
        <v>5.7841380860059637</v>
      </c>
      <c r="AA43" s="20"/>
      <c r="AB43" s="16">
        <v>3</v>
      </c>
      <c r="AC43" s="15" t="s">
        <v>17</v>
      </c>
      <c r="AD43" s="46">
        <f>SUM(Stormwater!AC30:AC35)</f>
        <v>41.085038899352071</v>
      </c>
      <c r="AE43" s="38">
        <f t="shared" si="27"/>
        <v>41.085038899352071</v>
      </c>
    </row>
    <row r="44" spans="1:31" ht="15" x14ac:dyDescent="0.25">
      <c r="A44" s="1"/>
      <c r="B44" s="2"/>
      <c r="C44" s="1" t="s">
        <v>13</v>
      </c>
      <c r="D44" s="14">
        <v>0</v>
      </c>
      <c r="F44" s="89">
        <v>0</v>
      </c>
      <c r="H44" s="20"/>
      <c r="I44" s="20"/>
      <c r="J44" s="147"/>
      <c r="K44" s="197">
        <v>0.19500000000000001</v>
      </c>
      <c r="L44" s="197">
        <v>1.22</v>
      </c>
      <c r="M44" s="197">
        <v>0.4144562334217507</v>
      </c>
      <c r="N44" s="197">
        <v>0.6566321730950142</v>
      </c>
      <c r="P44" s="20">
        <f t="shared" si="20"/>
        <v>0</v>
      </c>
      <c r="Q44" s="20">
        <f t="shared" si="21"/>
        <v>0</v>
      </c>
      <c r="R44" s="20">
        <f t="shared" si="22"/>
        <v>0</v>
      </c>
      <c r="S44" s="20">
        <f t="shared" si="23"/>
        <v>0</v>
      </c>
      <c r="T44" s="20">
        <f t="shared" si="24"/>
        <v>0</v>
      </c>
      <c r="U44" s="20">
        <f t="shared" si="25"/>
        <v>0</v>
      </c>
      <c r="V44" s="191"/>
      <c r="W44" s="16">
        <v>4</v>
      </c>
      <c r="X44" s="15" t="s">
        <v>18</v>
      </c>
      <c r="Y44" s="46">
        <f>SUM(Stormwater!X39:X44)</f>
        <v>10.788020403815553</v>
      </c>
      <c r="Z44" s="38">
        <f t="shared" si="26"/>
        <v>10.788020403815553</v>
      </c>
      <c r="AA44" s="20"/>
      <c r="AB44" s="16">
        <v>4</v>
      </c>
      <c r="AC44" s="15" t="s">
        <v>18</v>
      </c>
      <c r="AD44" s="46">
        <f>SUM(Stormwater!AC39:AC44)</f>
        <v>89.507033199024576</v>
      </c>
      <c r="AE44" s="38">
        <f t="shared" si="27"/>
        <v>89.507033199024576</v>
      </c>
    </row>
    <row r="45" spans="1:31" ht="15" x14ac:dyDescent="0.25">
      <c r="A45" s="7"/>
      <c r="B45" s="8" t="s">
        <v>14</v>
      </c>
      <c r="C45" s="7"/>
      <c r="D45" s="14">
        <f>SUM(D39:D44)</f>
        <v>23.815999999999999</v>
      </c>
      <c r="F45" s="14">
        <v>4.1189999999999998</v>
      </c>
      <c r="H45" s="20"/>
      <c r="I45" s="20"/>
      <c r="J45" s="147"/>
      <c r="K45" s="197"/>
      <c r="L45" s="197"/>
      <c r="M45" s="197"/>
      <c r="N45" s="197"/>
      <c r="W45" s="16">
        <v>5</v>
      </c>
      <c r="X45" s="15" t="s">
        <v>19</v>
      </c>
      <c r="Y45" s="46">
        <f>SUM(Stormwater!X48:X53)</f>
        <v>9.9797293385199364</v>
      </c>
      <c r="Z45" s="38">
        <f t="shared" si="26"/>
        <v>9.9797293385199364</v>
      </c>
      <c r="AA45" s="20"/>
      <c r="AB45" s="16">
        <v>5</v>
      </c>
      <c r="AC45" s="15" t="s">
        <v>19</v>
      </c>
      <c r="AD45" s="46">
        <f>SUM(Stormwater!AC48:AC53)</f>
        <v>79.706489490425909</v>
      </c>
      <c r="AE45" s="38">
        <f t="shared" si="27"/>
        <v>79.706489490425909</v>
      </c>
    </row>
    <row r="46" spans="1:31" ht="15" x14ac:dyDescent="0.25">
      <c r="A46" s="10"/>
      <c r="B46" s="9" t="s">
        <v>15</v>
      </c>
      <c r="C46" s="5"/>
      <c r="D46" s="14">
        <f>SUM(D45)</f>
        <v>23.815999999999999</v>
      </c>
      <c r="F46" s="14">
        <v>4.1189999999999998</v>
      </c>
      <c r="H46" s="20"/>
      <c r="I46" s="20"/>
      <c r="J46" s="147"/>
      <c r="K46" s="197"/>
      <c r="L46" s="197"/>
      <c r="M46" s="197"/>
      <c r="N46" s="197"/>
      <c r="W46" s="16">
        <v>6</v>
      </c>
      <c r="X46" s="15" t="s">
        <v>20</v>
      </c>
      <c r="Y46" s="46">
        <f>SUM(Stormwater!X57:X62)</f>
        <v>1.715608001027479</v>
      </c>
      <c r="Z46" s="38">
        <f t="shared" si="26"/>
        <v>1.715608001027479</v>
      </c>
      <c r="AA46" s="20"/>
      <c r="AB46" s="16">
        <v>6</v>
      </c>
      <c r="AC46" s="15" t="s">
        <v>20</v>
      </c>
      <c r="AD46" s="46">
        <f>SUM(Stormwater!AC57:AC62)</f>
        <v>15.8038243343444</v>
      </c>
      <c r="AE46" s="38">
        <f t="shared" si="27"/>
        <v>15.8038243343444</v>
      </c>
    </row>
    <row r="47" spans="1:31" ht="15.75" x14ac:dyDescent="0.25">
      <c r="A47" s="1"/>
      <c r="B47" s="2"/>
      <c r="C47" s="1"/>
      <c r="D47" s="87"/>
      <c r="F47" s="87"/>
      <c r="H47" s="20"/>
      <c r="I47" s="20"/>
      <c r="J47" s="147"/>
      <c r="K47" s="197"/>
      <c r="L47" s="197"/>
      <c r="M47" s="197"/>
      <c r="N47" s="197"/>
      <c r="W47" s="47">
        <v>7</v>
      </c>
      <c r="X47" s="44" t="s">
        <v>21</v>
      </c>
      <c r="Y47" s="46">
        <f>SUM(Stormwater!X66:X71)</f>
        <v>0.16000380257772182</v>
      </c>
      <c r="Z47" s="38">
        <f t="shared" si="26"/>
        <v>0.16000380257772182</v>
      </c>
      <c r="AA47" s="20"/>
      <c r="AB47" s="47">
        <v>7</v>
      </c>
      <c r="AC47" s="44" t="s">
        <v>21</v>
      </c>
      <c r="AD47" s="46">
        <f>SUM(Stormwater!AC66:AC71)</f>
        <v>1.5277194288032949</v>
      </c>
      <c r="AE47" s="38">
        <f t="shared" si="27"/>
        <v>1.5277194288032949</v>
      </c>
    </row>
    <row r="48" spans="1:31" ht="15" x14ac:dyDescent="0.25">
      <c r="A48" s="1">
        <v>5</v>
      </c>
      <c r="B48" s="2" t="s">
        <v>19</v>
      </c>
      <c r="C48" s="1" t="s">
        <v>8</v>
      </c>
      <c r="D48" s="14">
        <v>3.9990000000000001</v>
      </c>
      <c r="F48" s="89">
        <v>0.44</v>
      </c>
      <c r="H48" s="20"/>
      <c r="I48" s="20"/>
      <c r="J48" s="147">
        <v>0.40821516538423386</v>
      </c>
      <c r="K48" s="197">
        <v>0.43</v>
      </c>
      <c r="L48" s="197">
        <v>2.83</v>
      </c>
      <c r="M48" s="197">
        <v>0.76744186046511631</v>
      </c>
      <c r="N48" s="197">
        <v>0.76744186046511631</v>
      </c>
      <c r="P48" s="20">
        <f t="shared" ref="P48:P53" si="28">IF(F48&gt;0,((D48-F48)*$J48*$K48*10)+(F48*$H$12*$J48*$K48*10),(D48*$J48*$K48*10))</f>
        <v>6.5312331785036415</v>
      </c>
      <c r="Q48" s="20">
        <f t="shared" ref="Q48:Q53" si="29">(P48*(EXP(1.01-0.34*LN(Q$10))*(1-$M48)+(1*$M48)))*$R$1</f>
        <v>6.5571480628854184</v>
      </c>
      <c r="R48" s="20">
        <f t="shared" ref="R48:R53" si="30">SUM(Q48:Q48)</f>
        <v>6.5571480628854184</v>
      </c>
      <c r="S48" s="20">
        <f t="shared" ref="S48:S53" si="31">IF(F48&gt;0,((D48-F48)*$J48*$L48*10)+(F48*$I$12*$J48*$L48)*10,(D48*$J48*$L48*10))</f>
        <v>44.059082946230106</v>
      </c>
      <c r="T48" s="20">
        <f t="shared" ref="T48:T53" si="32">(S48*(EXP(1.01-0.34*LN(T$10))*(1-$N48)+(1*$N48)))*$R$1</f>
        <v>44.233902311779126</v>
      </c>
      <c r="U48" s="20">
        <f t="shared" ref="U48:U53" si="33">SUM(T48:T48)</f>
        <v>44.233902311779126</v>
      </c>
      <c r="V48" s="191"/>
      <c r="W48" s="16">
        <v>8</v>
      </c>
      <c r="X48" s="15" t="s">
        <v>22</v>
      </c>
      <c r="Y48" s="46">
        <f>SUM(Stormwater!X75:X80)</f>
        <v>2.3457314292295348</v>
      </c>
      <c r="Z48" s="38">
        <f t="shared" si="26"/>
        <v>2.3457314292295348</v>
      </c>
      <c r="AA48" s="20"/>
      <c r="AB48" s="16">
        <v>8</v>
      </c>
      <c r="AC48" s="15" t="s">
        <v>22</v>
      </c>
      <c r="AD48" s="46">
        <f>SUM(Stormwater!AC75:AC80)</f>
        <v>65.554861251755241</v>
      </c>
      <c r="AE48" s="38">
        <f t="shared" si="27"/>
        <v>65.554861251755241</v>
      </c>
    </row>
    <row r="49" spans="1:31" ht="15" x14ac:dyDescent="0.25">
      <c r="A49" s="1"/>
      <c r="B49" s="2"/>
      <c r="C49" s="1" t="s">
        <v>9</v>
      </c>
      <c r="D49" s="14">
        <v>3.4609999999999999</v>
      </c>
      <c r="F49" s="89">
        <v>3.4609999999999999</v>
      </c>
      <c r="H49" s="20"/>
      <c r="I49" s="20"/>
      <c r="J49" s="147">
        <v>0.41143033076846774</v>
      </c>
      <c r="K49" s="197">
        <v>0.43</v>
      </c>
      <c r="L49" s="197">
        <v>2.83</v>
      </c>
      <c r="M49" s="197">
        <v>0.76744186046511631</v>
      </c>
      <c r="N49" s="197">
        <v>0.76744186046511631</v>
      </c>
      <c r="P49" s="20">
        <f t="shared" si="28"/>
        <v>2.2517566624868821</v>
      </c>
      <c r="Q49" s="20">
        <f t="shared" si="29"/>
        <v>2.2606912713072052</v>
      </c>
      <c r="R49" s="20">
        <f t="shared" si="30"/>
        <v>2.2606912713072052</v>
      </c>
      <c r="S49" s="20">
        <f t="shared" si="31"/>
        <v>23.337834249197297</v>
      </c>
      <c r="T49" s="20">
        <f t="shared" si="32"/>
        <v>23.430435027604599</v>
      </c>
      <c r="U49" s="20">
        <f t="shared" si="33"/>
        <v>23.430435027604599</v>
      </c>
      <c r="V49" s="191"/>
      <c r="W49" s="16">
        <v>9</v>
      </c>
      <c r="X49" s="15" t="s">
        <v>23</v>
      </c>
      <c r="Y49" s="46">
        <f>SUM(Stormwater!X84:X89)</f>
        <v>15.86189542851017</v>
      </c>
      <c r="Z49" s="38">
        <f t="shared" si="26"/>
        <v>15.86189542851017</v>
      </c>
      <c r="AA49" s="20"/>
      <c r="AB49" s="16">
        <v>9</v>
      </c>
      <c r="AC49" s="15" t="s">
        <v>23</v>
      </c>
      <c r="AD49" s="46">
        <f>SUM(Stormwater!AC84:AC89)</f>
        <v>134.5216243201632</v>
      </c>
      <c r="AE49" s="38">
        <f t="shared" si="27"/>
        <v>134.5216243201632</v>
      </c>
    </row>
    <row r="50" spans="1:31" ht="15" x14ac:dyDescent="0.25">
      <c r="A50" s="1"/>
      <c r="B50" s="2"/>
      <c r="C50" s="1" t="s">
        <v>10</v>
      </c>
      <c r="D50" s="14">
        <v>1.7649999999999999</v>
      </c>
      <c r="F50" s="89">
        <v>1.7649999999999999</v>
      </c>
      <c r="H50" s="20"/>
      <c r="I50" s="20"/>
      <c r="J50" s="147">
        <v>0.41464549615270158</v>
      </c>
      <c r="K50" s="197">
        <v>0.43</v>
      </c>
      <c r="L50" s="197">
        <v>2.83</v>
      </c>
      <c r="M50" s="197">
        <v>0.76744186046511631</v>
      </c>
      <c r="N50" s="197">
        <v>0.76744186046511631</v>
      </c>
      <c r="P50" s="20">
        <f t="shared" si="28"/>
        <v>1.1572980315919545</v>
      </c>
      <c r="Q50" s="20">
        <f t="shared" si="29"/>
        <v>1.1618900043273139</v>
      </c>
      <c r="R50" s="20">
        <f t="shared" si="30"/>
        <v>1.1618900043273139</v>
      </c>
      <c r="S50" s="20">
        <f t="shared" si="31"/>
        <v>11.994559664535988</v>
      </c>
      <c r="T50" s="20">
        <f t="shared" si="32"/>
        <v>12.042152151042188</v>
      </c>
      <c r="U50" s="20">
        <f t="shared" si="33"/>
        <v>12.042152151042188</v>
      </c>
      <c r="V50" s="191"/>
      <c r="W50" s="16">
        <v>10</v>
      </c>
      <c r="X50" s="15" t="s">
        <v>24</v>
      </c>
      <c r="Y50" s="46">
        <f>SUM(Stormwater!X93:X98)</f>
        <v>19.460375365869144</v>
      </c>
      <c r="Z50" s="38">
        <f t="shared" si="26"/>
        <v>19.460375365869144</v>
      </c>
      <c r="AA50" s="20"/>
      <c r="AB50" s="16">
        <v>10</v>
      </c>
      <c r="AC50" s="15" t="s">
        <v>24</v>
      </c>
      <c r="AD50" s="46">
        <f>SUM(Stormwater!AC93:AC98)</f>
        <v>171.28138342572834</v>
      </c>
      <c r="AE50" s="38">
        <f t="shared" si="27"/>
        <v>171.28138342572834</v>
      </c>
    </row>
    <row r="51" spans="1:31" ht="15" x14ac:dyDescent="0.25">
      <c r="A51" s="1"/>
      <c r="B51" s="2"/>
      <c r="C51" s="1" t="s">
        <v>11</v>
      </c>
      <c r="D51" s="14">
        <v>0</v>
      </c>
      <c r="F51" s="89">
        <v>0</v>
      </c>
      <c r="H51" s="20"/>
      <c r="I51" s="20"/>
      <c r="J51" s="147"/>
      <c r="K51" s="197">
        <v>0.43</v>
      </c>
      <c r="L51" s="197">
        <v>2.83</v>
      </c>
      <c r="M51" s="197">
        <v>0.76744186046511631</v>
      </c>
      <c r="N51" s="197">
        <v>0.76744186046511631</v>
      </c>
      <c r="P51" s="20">
        <f t="shared" si="28"/>
        <v>0</v>
      </c>
      <c r="Q51" s="20">
        <f t="shared" si="29"/>
        <v>0</v>
      </c>
      <c r="R51" s="20">
        <f t="shared" si="30"/>
        <v>0</v>
      </c>
      <c r="S51" s="20">
        <f t="shared" si="31"/>
        <v>0</v>
      </c>
      <c r="T51" s="20">
        <f t="shared" si="32"/>
        <v>0</v>
      </c>
      <c r="U51" s="20">
        <f t="shared" si="33"/>
        <v>0</v>
      </c>
      <c r="V51" s="191"/>
      <c r="W51" s="16">
        <v>11</v>
      </c>
      <c r="X51" s="15" t="s">
        <v>25</v>
      </c>
      <c r="Y51" s="46">
        <f>SUM(Stormwater!X102:X107)</f>
        <v>3.8035924089716562</v>
      </c>
      <c r="Z51" s="38">
        <f t="shared" si="26"/>
        <v>3.8035924089716562</v>
      </c>
      <c r="AA51" s="20"/>
      <c r="AB51" s="16">
        <v>11</v>
      </c>
      <c r="AC51" s="15" t="s">
        <v>25</v>
      </c>
      <c r="AD51" s="46">
        <f>SUM(Stormwater!AC102:AC107)</f>
        <v>69.822552808995127</v>
      </c>
      <c r="AE51" s="38">
        <f t="shared" si="27"/>
        <v>69.822552808995127</v>
      </c>
    </row>
    <row r="52" spans="1:31" ht="15" x14ac:dyDescent="0.25">
      <c r="A52" s="1"/>
      <c r="B52" s="2"/>
      <c r="C52" s="1" t="s">
        <v>12</v>
      </c>
      <c r="D52" s="14">
        <v>0</v>
      </c>
      <c r="F52" s="89">
        <v>0</v>
      </c>
      <c r="H52" s="20"/>
      <c r="I52" s="20"/>
      <c r="J52" s="147"/>
      <c r="K52" s="197">
        <v>0.43</v>
      </c>
      <c r="L52" s="197">
        <v>2.83</v>
      </c>
      <c r="M52" s="197">
        <v>0.76744186046511631</v>
      </c>
      <c r="N52" s="197">
        <v>0.76744186046511631</v>
      </c>
      <c r="P52" s="20">
        <f t="shared" si="28"/>
        <v>0</v>
      </c>
      <c r="Q52" s="20">
        <f t="shared" si="29"/>
        <v>0</v>
      </c>
      <c r="R52" s="20">
        <f t="shared" si="30"/>
        <v>0</v>
      </c>
      <c r="S52" s="20">
        <f t="shared" si="31"/>
        <v>0</v>
      </c>
      <c r="T52" s="20">
        <f t="shared" si="32"/>
        <v>0</v>
      </c>
      <c r="U52" s="20">
        <f t="shared" si="33"/>
        <v>0</v>
      </c>
      <c r="V52" s="191"/>
      <c r="W52" s="16">
        <v>12</v>
      </c>
      <c r="X52" s="15" t="s">
        <v>26</v>
      </c>
      <c r="Y52" s="46">
        <f>SUM(Stormwater!X111:X116)</f>
        <v>0</v>
      </c>
      <c r="Z52" s="38">
        <f t="shared" si="26"/>
        <v>0</v>
      </c>
      <c r="AA52" s="20"/>
      <c r="AB52" s="16">
        <v>12</v>
      </c>
      <c r="AC52" s="15" t="s">
        <v>26</v>
      </c>
      <c r="AD52" s="46">
        <f>SUM(Stormwater!AC111:AC116)</f>
        <v>0</v>
      </c>
      <c r="AE52" s="38">
        <f t="shared" si="27"/>
        <v>0</v>
      </c>
    </row>
    <row r="53" spans="1:31" ht="15" x14ac:dyDescent="0.25">
      <c r="A53" s="1"/>
      <c r="B53" s="2"/>
      <c r="C53" s="1" t="s">
        <v>13</v>
      </c>
      <c r="D53" s="14">
        <v>0</v>
      </c>
      <c r="F53" s="89">
        <v>0</v>
      </c>
      <c r="H53" s="20"/>
      <c r="I53" s="20"/>
      <c r="J53" s="147"/>
      <c r="K53" s="197">
        <v>0.43</v>
      </c>
      <c r="L53" s="197">
        <v>2.83</v>
      </c>
      <c r="M53" s="197">
        <v>0.76744186046511631</v>
      </c>
      <c r="N53" s="197">
        <v>0.76744186046511631</v>
      </c>
      <c r="P53" s="20">
        <f t="shared" si="28"/>
        <v>0</v>
      </c>
      <c r="Q53" s="20">
        <f t="shared" si="29"/>
        <v>0</v>
      </c>
      <c r="R53" s="20">
        <f t="shared" si="30"/>
        <v>0</v>
      </c>
      <c r="S53" s="20">
        <f t="shared" si="31"/>
        <v>0</v>
      </c>
      <c r="T53" s="20">
        <f t="shared" si="32"/>
        <v>0</v>
      </c>
      <c r="U53" s="20">
        <f t="shared" si="33"/>
        <v>0</v>
      </c>
      <c r="V53" s="191"/>
      <c r="W53" s="16">
        <v>13</v>
      </c>
      <c r="X53" s="15" t="s">
        <v>27</v>
      </c>
      <c r="Y53" s="46">
        <f>SUM(Stormwater!X120:X125)</f>
        <v>0.2183302571840543</v>
      </c>
      <c r="Z53" s="38">
        <f t="shared" si="26"/>
        <v>0.2183302571840543</v>
      </c>
      <c r="AA53" s="20"/>
      <c r="AB53" s="16">
        <v>13</v>
      </c>
      <c r="AC53" s="15" t="s">
        <v>27</v>
      </c>
      <c r="AD53" s="46">
        <f>SUM(Stormwater!AC120:AC125)</f>
        <v>1.9797965787223413</v>
      </c>
      <c r="AE53" s="38">
        <f t="shared" si="27"/>
        <v>1.9797965787223413</v>
      </c>
    </row>
    <row r="54" spans="1:31" ht="15" x14ac:dyDescent="0.25">
      <c r="A54" s="7"/>
      <c r="B54" s="8" t="s">
        <v>14</v>
      </c>
      <c r="C54" s="7"/>
      <c r="D54" s="14">
        <f>SUM(D48:D53)</f>
        <v>9.2249999999999996</v>
      </c>
      <c r="F54" s="14">
        <v>5.6659999999999995</v>
      </c>
      <c r="H54" s="20"/>
      <c r="I54" s="20"/>
      <c r="J54" s="147"/>
      <c r="K54" s="197"/>
      <c r="L54" s="197"/>
      <c r="M54" s="197"/>
      <c r="N54" s="197"/>
      <c r="W54" s="16">
        <v>14</v>
      </c>
      <c r="X54" s="15" t="s">
        <v>28</v>
      </c>
      <c r="Y54" s="46">
        <f>SUM(Stormwater!X129:X134)</f>
        <v>2.9346702498077137</v>
      </c>
      <c r="Z54" s="38">
        <f t="shared" si="26"/>
        <v>2.9346702498077137</v>
      </c>
      <c r="AA54" s="20"/>
      <c r="AB54" s="16">
        <v>14</v>
      </c>
      <c r="AC54" s="15" t="s">
        <v>28</v>
      </c>
      <c r="AD54" s="46">
        <f>SUM(Stormwater!AC129:AC134)</f>
        <v>81.727276194089953</v>
      </c>
      <c r="AE54" s="38">
        <f t="shared" si="27"/>
        <v>81.727276194089953</v>
      </c>
    </row>
    <row r="55" spans="1:31" ht="15" x14ac:dyDescent="0.25">
      <c r="A55" s="10"/>
      <c r="B55" s="9" t="s">
        <v>15</v>
      </c>
      <c r="C55" s="5"/>
      <c r="D55" s="14">
        <f>SUM(D54)</f>
        <v>9.2249999999999996</v>
      </c>
      <c r="F55" s="14">
        <v>5.6659999999999995</v>
      </c>
      <c r="H55" s="20"/>
      <c r="I55" s="20"/>
      <c r="J55" s="147"/>
      <c r="K55" s="197"/>
      <c r="L55" s="197"/>
      <c r="M55" s="197"/>
      <c r="N55" s="197"/>
      <c r="W55" s="16">
        <v>15</v>
      </c>
      <c r="X55" s="15" t="s">
        <v>29</v>
      </c>
      <c r="Y55" s="46">
        <f>SUM(Stormwater!X138:X143)</f>
        <v>6.7637833386272073</v>
      </c>
      <c r="Z55" s="38">
        <f t="shared" si="26"/>
        <v>6.7637833386272073</v>
      </c>
      <c r="AA55" s="20"/>
      <c r="AB55" s="16">
        <v>15</v>
      </c>
      <c r="AC55" s="15" t="s">
        <v>29</v>
      </c>
      <c r="AD55" s="46">
        <f>SUM(Stormwater!AC138:AC143)</f>
        <v>388.40200983127625</v>
      </c>
      <c r="AE55" s="38">
        <f t="shared" si="27"/>
        <v>388.40200983127625</v>
      </c>
    </row>
    <row r="56" spans="1:31" ht="15.75" x14ac:dyDescent="0.25">
      <c r="A56" s="1"/>
      <c r="B56" s="2"/>
      <c r="C56" s="1"/>
      <c r="D56" s="87"/>
      <c r="F56" s="87"/>
      <c r="H56" s="20"/>
      <c r="I56" s="20"/>
      <c r="J56" s="147"/>
      <c r="K56" s="197"/>
      <c r="L56" s="197"/>
      <c r="M56" s="197"/>
      <c r="N56" s="197"/>
      <c r="W56" s="16">
        <v>16</v>
      </c>
      <c r="X56" s="15" t="s">
        <v>30</v>
      </c>
      <c r="Y56" s="46">
        <f>SUM(Stormwater!X147:X152)</f>
        <v>102.86659412142744</v>
      </c>
      <c r="Z56" s="38">
        <f t="shared" si="26"/>
        <v>102.86659412142744</v>
      </c>
      <c r="AA56" s="20"/>
      <c r="AB56" s="16">
        <v>16</v>
      </c>
      <c r="AC56" s="15" t="s">
        <v>30</v>
      </c>
      <c r="AD56" s="46">
        <f>SUM(Stormwater!AC147:AC152)</f>
        <v>2900.3220569577734</v>
      </c>
      <c r="AE56" s="38">
        <f t="shared" si="27"/>
        <v>2900.3220569577734</v>
      </c>
    </row>
    <row r="57" spans="1:31" ht="15" x14ac:dyDescent="0.25">
      <c r="A57" s="1">
        <v>6</v>
      </c>
      <c r="B57" s="2" t="s">
        <v>20</v>
      </c>
      <c r="C57" s="1" t="s">
        <v>8</v>
      </c>
      <c r="D57" s="14">
        <v>3.0409999999999999</v>
      </c>
      <c r="F57" s="89">
        <v>3.0409999999999999</v>
      </c>
      <c r="H57" s="20"/>
      <c r="I57" s="20"/>
      <c r="J57" s="147">
        <v>0.45292287762203071</v>
      </c>
      <c r="K57" s="197">
        <v>0.33900000000000002</v>
      </c>
      <c r="L57" s="197">
        <v>1.9830000000000001</v>
      </c>
      <c r="M57" s="197">
        <v>0.76146788990825687</v>
      </c>
      <c r="N57" s="197">
        <v>0.76146788990825687</v>
      </c>
      <c r="P57" s="20">
        <f t="shared" ref="P57:P62" si="34">IF(F57&gt;0,((D57-F57)*$J57*$K57*10)+(F57*$H$12*$J57*$K57*10),(D57*$J57*$K57*10))</f>
        <v>1.7170995442025156</v>
      </c>
      <c r="Q57" s="20">
        <f t="shared" ref="Q57:Q62" si="35">(P57*(EXP(1.01-0.34*LN(Q$10))*(1-$M57)+(1*$M57)))*$R$1</f>
        <v>1.715608001027479</v>
      </c>
      <c r="R57" s="20">
        <f t="shared" ref="R57:R62" si="36">SUM(Q57:Q57)</f>
        <v>1.715608001027479</v>
      </c>
      <c r="S57" s="20">
        <f t="shared" ref="S57:S62" si="37">IF(F57&gt;0,((D57-F57)*$J57*$L57*10)+(F57*$I$12*$J57*$L57)*10,(D57*$J57*$L57*10))</f>
        <v>15.817564120071241</v>
      </c>
      <c r="T57" s="20">
        <f t="shared" ref="T57:T62" si="38">(S57*(EXP(1.01-0.34*LN(T$10))*(1-$N57)+(1*$N57)))*$R$1</f>
        <v>15.8038243343444</v>
      </c>
      <c r="U57" s="20">
        <f t="shared" ref="U57:U62" si="39">SUM(T57:T57)</f>
        <v>15.8038243343444</v>
      </c>
      <c r="V57" s="191"/>
      <c r="W57" s="16">
        <v>17</v>
      </c>
      <c r="X57" s="15" t="s">
        <v>52</v>
      </c>
      <c r="Y57" s="46">
        <f>SUM(Stormwater!X156:X161)</f>
        <v>0</v>
      </c>
      <c r="Z57" s="38">
        <f t="shared" si="26"/>
        <v>0</v>
      </c>
      <c r="AA57" s="20"/>
      <c r="AB57" s="16">
        <v>17</v>
      </c>
      <c r="AC57" s="15" t="s">
        <v>52</v>
      </c>
      <c r="AD57" s="46">
        <f>SUM(Stormwater!AC156:AC161)</f>
        <v>0</v>
      </c>
      <c r="AE57" s="38">
        <f t="shared" si="27"/>
        <v>0</v>
      </c>
    </row>
    <row r="58" spans="1:31" ht="15" x14ac:dyDescent="0.25">
      <c r="A58" s="1"/>
      <c r="B58" s="2"/>
      <c r="C58" s="1" t="s">
        <v>9</v>
      </c>
      <c r="D58" s="14">
        <v>0</v>
      </c>
      <c r="F58" s="89">
        <v>0</v>
      </c>
      <c r="H58" s="20"/>
      <c r="I58" s="20"/>
      <c r="J58" s="147"/>
      <c r="K58" s="197">
        <v>0.33900000000000002</v>
      </c>
      <c r="L58" s="197">
        <v>1.9830000000000001</v>
      </c>
      <c r="M58" s="197">
        <v>0.76146788990825687</v>
      </c>
      <c r="N58" s="197">
        <v>0.76146788990825687</v>
      </c>
      <c r="P58" s="20">
        <f t="shared" si="34"/>
        <v>0</v>
      </c>
      <c r="Q58" s="20">
        <f t="shared" si="35"/>
        <v>0</v>
      </c>
      <c r="R58" s="20">
        <f t="shared" si="36"/>
        <v>0</v>
      </c>
      <c r="S58" s="20">
        <f t="shared" si="37"/>
        <v>0</v>
      </c>
      <c r="T58" s="20">
        <f t="shared" si="38"/>
        <v>0</v>
      </c>
      <c r="U58" s="20">
        <f t="shared" si="39"/>
        <v>0</v>
      </c>
      <c r="V58" s="191"/>
      <c r="W58" s="16">
        <v>18</v>
      </c>
      <c r="X58" s="15" t="s">
        <v>745</v>
      </c>
      <c r="Y58" s="46">
        <f>SUM(Stormwater!X165:X170)</f>
        <v>0</v>
      </c>
      <c r="Z58" s="38">
        <f t="shared" si="26"/>
        <v>0</v>
      </c>
      <c r="AA58" s="20"/>
      <c r="AB58" s="16">
        <v>18</v>
      </c>
      <c r="AC58" s="15" t="s">
        <v>745</v>
      </c>
      <c r="AD58" s="46">
        <f>SUM(Stormwater!AC165:AC170)</f>
        <v>0</v>
      </c>
      <c r="AE58" s="38">
        <f t="shared" si="27"/>
        <v>0</v>
      </c>
    </row>
    <row r="59" spans="1:31" ht="15" x14ac:dyDescent="0.25">
      <c r="A59" s="1"/>
      <c r="B59" s="2"/>
      <c r="C59" s="1" t="s">
        <v>10</v>
      </c>
      <c r="D59" s="14">
        <v>0</v>
      </c>
      <c r="F59" s="89">
        <v>0</v>
      </c>
      <c r="H59" s="20"/>
      <c r="I59" s="20"/>
      <c r="J59" s="147"/>
      <c r="K59" s="197">
        <v>0.33900000000000002</v>
      </c>
      <c r="L59" s="197">
        <v>1.9830000000000001</v>
      </c>
      <c r="M59" s="197">
        <v>0.76146788990825687</v>
      </c>
      <c r="N59" s="197">
        <v>0.76146788990825687</v>
      </c>
      <c r="P59" s="20">
        <f t="shared" si="34"/>
        <v>0</v>
      </c>
      <c r="Q59" s="20">
        <f t="shared" si="35"/>
        <v>0</v>
      </c>
      <c r="R59" s="20">
        <f t="shared" si="36"/>
        <v>0</v>
      </c>
      <c r="S59" s="20">
        <f t="shared" si="37"/>
        <v>0</v>
      </c>
      <c r="T59" s="20">
        <f t="shared" si="38"/>
        <v>0</v>
      </c>
      <c r="U59" s="20">
        <f t="shared" si="39"/>
        <v>0</v>
      </c>
      <c r="V59" s="191"/>
      <c r="W59" s="38" t="s">
        <v>42</v>
      </c>
      <c r="X59" s="262" t="s">
        <v>748</v>
      </c>
      <c r="Y59" s="269">
        <f>SUM(Y41:Y56)</f>
        <v>298.91447194419959</v>
      </c>
      <c r="Z59" s="269">
        <f>SUM(Z41:Z56)</f>
        <v>298.91447194419959</v>
      </c>
      <c r="AA59" s="20"/>
      <c r="AB59" s="38" t="s">
        <v>42</v>
      </c>
      <c r="AC59" s="262" t="s">
        <v>748</v>
      </c>
      <c r="AD59" s="269">
        <f>SUM(AD41:AD56)</f>
        <v>5429.2898784277277</v>
      </c>
      <c r="AE59" s="269">
        <f>SUM(AE41:AE56)</f>
        <v>5429.2898784277277</v>
      </c>
    </row>
    <row r="60" spans="1:31" ht="15" x14ac:dyDescent="0.25">
      <c r="A60" s="1"/>
      <c r="B60" s="2"/>
      <c r="C60" s="1" t="s">
        <v>11</v>
      </c>
      <c r="D60" s="14">
        <v>0</v>
      </c>
      <c r="F60" s="89">
        <v>0</v>
      </c>
      <c r="H60" s="20"/>
      <c r="I60" s="20"/>
      <c r="J60" s="147"/>
      <c r="K60" s="197">
        <v>0.33900000000000002</v>
      </c>
      <c r="L60" s="197">
        <v>1.9830000000000001</v>
      </c>
      <c r="M60" s="197">
        <v>0.76146788990825687</v>
      </c>
      <c r="N60" s="197">
        <v>0.76146788990825687</v>
      </c>
      <c r="P60" s="20">
        <f t="shared" si="34"/>
        <v>0</v>
      </c>
      <c r="Q60" s="20">
        <f t="shared" si="35"/>
        <v>0</v>
      </c>
      <c r="R60" s="20">
        <f t="shared" si="36"/>
        <v>0</v>
      </c>
      <c r="S60" s="20">
        <f t="shared" si="37"/>
        <v>0</v>
      </c>
      <c r="T60" s="20">
        <f t="shared" si="38"/>
        <v>0</v>
      </c>
      <c r="U60" s="20">
        <f t="shared" si="39"/>
        <v>0</v>
      </c>
      <c r="V60" s="191"/>
      <c r="W60" s="20"/>
      <c r="X60" s="20"/>
      <c r="Y60" s="20"/>
      <c r="Z60" s="20"/>
      <c r="AA60" s="20"/>
      <c r="AB60" s="20"/>
      <c r="AC60" s="20"/>
      <c r="AD60" s="20"/>
      <c r="AE60" s="20"/>
    </row>
    <row r="61" spans="1:31" ht="15" x14ac:dyDescent="0.25">
      <c r="A61" s="1"/>
      <c r="B61" s="2"/>
      <c r="C61" s="1" t="s">
        <v>12</v>
      </c>
      <c r="D61" s="14">
        <v>0</v>
      </c>
      <c r="F61" s="89">
        <v>0</v>
      </c>
      <c r="H61" s="20"/>
      <c r="I61" s="20"/>
      <c r="J61" s="147"/>
      <c r="K61" s="197">
        <v>0.33900000000000002</v>
      </c>
      <c r="L61" s="197">
        <v>1.9830000000000001</v>
      </c>
      <c r="M61" s="197">
        <v>0.76146788990825687</v>
      </c>
      <c r="N61" s="197">
        <v>0.76146788990825687</v>
      </c>
      <c r="P61" s="20">
        <f t="shared" si="34"/>
        <v>0</v>
      </c>
      <c r="Q61" s="20">
        <f t="shared" si="35"/>
        <v>0</v>
      </c>
      <c r="R61" s="20">
        <f t="shared" si="36"/>
        <v>0</v>
      </c>
      <c r="S61" s="20">
        <f t="shared" si="37"/>
        <v>0</v>
      </c>
      <c r="T61" s="20">
        <f t="shared" si="38"/>
        <v>0</v>
      </c>
      <c r="U61" s="20">
        <f t="shared" si="39"/>
        <v>0</v>
      </c>
      <c r="V61" s="191"/>
      <c r="W61" s="20"/>
      <c r="X61" s="20"/>
      <c r="Y61" s="20"/>
      <c r="Z61" s="20"/>
      <c r="AA61" s="20"/>
      <c r="AB61" s="20"/>
      <c r="AC61" s="20"/>
      <c r="AD61" s="20"/>
      <c r="AE61" s="20"/>
    </row>
    <row r="62" spans="1:31" ht="15" x14ac:dyDescent="0.25">
      <c r="A62" s="1"/>
      <c r="B62" s="2"/>
      <c r="C62" s="1" t="s">
        <v>13</v>
      </c>
      <c r="D62" s="14">
        <v>0</v>
      </c>
      <c r="F62" s="89">
        <v>0</v>
      </c>
      <c r="H62" s="20"/>
      <c r="I62" s="20"/>
      <c r="J62" s="147"/>
      <c r="K62" s="197">
        <v>0.33900000000000002</v>
      </c>
      <c r="L62" s="197">
        <v>1.9830000000000001</v>
      </c>
      <c r="M62" s="197">
        <v>0.76146788990825687</v>
      </c>
      <c r="N62" s="197">
        <v>0.76146788990825687</v>
      </c>
      <c r="P62" s="20">
        <f t="shared" si="34"/>
        <v>0</v>
      </c>
      <c r="Q62" s="20">
        <f t="shared" si="35"/>
        <v>0</v>
      </c>
      <c r="R62" s="20">
        <f t="shared" si="36"/>
        <v>0</v>
      </c>
      <c r="S62" s="20">
        <f t="shared" si="37"/>
        <v>0</v>
      </c>
      <c r="T62" s="20">
        <f t="shared" si="38"/>
        <v>0</v>
      </c>
      <c r="U62" s="20">
        <f t="shared" si="39"/>
        <v>0</v>
      </c>
      <c r="V62" s="191"/>
      <c r="W62" s="20"/>
      <c r="X62" s="20"/>
      <c r="Y62" s="151" t="s">
        <v>747</v>
      </c>
      <c r="Z62" s="270"/>
      <c r="AA62" s="20"/>
      <c r="AB62" s="20"/>
      <c r="AC62" s="20"/>
      <c r="AD62" s="271" t="s">
        <v>747</v>
      </c>
      <c r="AE62" s="272"/>
    </row>
    <row r="63" spans="1:31" ht="106.5" customHeight="1" x14ac:dyDescent="0.25">
      <c r="A63" s="7"/>
      <c r="B63" s="8" t="s">
        <v>14</v>
      </c>
      <c r="C63" s="7"/>
      <c r="D63" s="14">
        <f>SUM(D57:D62)</f>
        <v>3.0409999999999999</v>
      </c>
      <c r="F63" s="14">
        <v>3.0409999999999999</v>
      </c>
      <c r="H63" s="20"/>
      <c r="I63" s="20"/>
      <c r="J63" s="147"/>
      <c r="K63" s="197"/>
      <c r="L63" s="197"/>
      <c r="M63" s="197"/>
      <c r="N63" s="197"/>
      <c r="W63" s="20"/>
      <c r="X63" s="20"/>
      <c r="Y63" s="111" t="s">
        <v>743</v>
      </c>
      <c r="Z63" s="112"/>
      <c r="AA63" s="20"/>
      <c r="AB63" s="20"/>
      <c r="AC63" s="20"/>
      <c r="AD63" s="273" t="s">
        <v>744</v>
      </c>
      <c r="AE63" s="274"/>
    </row>
    <row r="64" spans="1:31" ht="15" x14ac:dyDescent="0.25">
      <c r="A64" s="10"/>
      <c r="B64" s="9" t="s">
        <v>15</v>
      </c>
      <c r="C64" s="5"/>
      <c r="D64" s="14">
        <f>SUM(D63)</f>
        <v>3.0409999999999999</v>
      </c>
      <c r="F64" s="14">
        <v>3.0409999999999999</v>
      </c>
      <c r="H64" s="20"/>
      <c r="I64" s="20"/>
      <c r="J64" s="147"/>
      <c r="K64" s="197"/>
      <c r="L64" s="197"/>
      <c r="M64" s="197"/>
      <c r="N64" s="197"/>
      <c r="W64" s="20"/>
      <c r="X64" s="20"/>
      <c r="Y64" s="270"/>
      <c r="Z64" s="275"/>
      <c r="AA64" s="20"/>
      <c r="AB64" s="20"/>
      <c r="AC64" s="20"/>
      <c r="AD64" s="272"/>
      <c r="AE64" s="276"/>
    </row>
    <row r="65" spans="1:31" ht="15.75" x14ac:dyDescent="0.25">
      <c r="A65" s="3"/>
      <c r="B65" s="11"/>
      <c r="C65" s="3"/>
      <c r="D65" s="87"/>
      <c r="F65" s="87"/>
      <c r="H65" s="20"/>
      <c r="I65" s="20"/>
      <c r="J65" s="147"/>
      <c r="K65" s="197"/>
      <c r="L65" s="197"/>
      <c r="M65" s="197"/>
      <c r="N65" s="197"/>
      <c r="W65" s="20"/>
      <c r="X65" s="20"/>
      <c r="Y65" s="277" t="s">
        <v>524</v>
      </c>
      <c r="Z65" s="278"/>
      <c r="AA65" s="20"/>
      <c r="AB65" s="20"/>
      <c r="AC65" s="20"/>
      <c r="AD65" s="279" t="s">
        <v>524</v>
      </c>
      <c r="AE65" s="280"/>
    </row>
    <row r="66" spans="1:31" ht="15.75" x14ac:dyDescent="0.25">
      <c r="A66" s="3">
        <v>7</v>
      </c>
      <c r="B66" s="11" t="s">
        <v>21</v>
      </c>
      <c r="C66" s="3" t="s">
        <v>8</v>
      </c>
      <c r="D66" s="14">
        <v>9.7569999999999997</v>
      </c>
      <c r="F66" s="89">
        <v>0.42900000000000027</v>
      </c>
      <c r="H66" s="20"/>
      <c r="I66" s="20"/>
      <c r="J66" s="147">
        <v>1.478729769162092E-2</v>
      </c>
      <c r="K66" s="197">
        <v>0.15</v>
      </c>
      <c r="L66" s="197">
        <v>1.18</v>
      </c>
      <c r="M66" s="197">
        <v>0.46666666666666673</v>
      </c>
      <c r="N66" s="197">
        <v>0.6566321730950142</v>
      </c>
      <c r="P66" s="20">
        <f t="shared" ref="P66:P71" si="40">IF(F66&gt;0,((D66-F66)*$J66*$K66*10)+(F66*$H$12*$J66*$K66*10),(D66*$J66*$K66*10))</f>
        <v>0.21040326024776332</v>
      </c>
      <c r="Q66" s="20">
        <f t="shared" ref="Q66:Q71" si="41">(P66*(EXP(1.01-0.34*LN(Q$10))*(1-$M66)+(1*$M66)))*$R$1</f>
        <v>0.16000380257772182</v>
      </c>
      <c r="R66" s="20">
        <f t="shared" ref="R66:R71" si="42">SUM(Q66:Q66)</f>
        <v>0.16000380257772182</v>
      </c>
      <c r="S66" s="20">
        <f t="shared" ref="S66:S71" si="43">IF(F66&gt;0,((D66-F66)*$J66*$L66*10)+(F66*$I$12*$J66*$L66)*10,(D66*$J66*$L66*10))</f>
        <v>1.6709952915823394</v>
      </c>
      <c r="T66" s="20">
        <f t="shared" ref="T66:T71" si="44">(S66*(EXP(1.01-0.34*LN(T$10))*(1-$N66)+(1*$N66)))*$R$1</f>
        <v>1.5277194288032949</v>
      </c>
      <c r="U66" s="20">
        <f t="shared" ref="U66:U71" si="45">SUM(T66:T66)</f>
        <v>1.5277194288032949</v>
      </c>
      <c r="V66" s="191"/>
      <c r="W66" s="20"/>
      <c r="X66" s="20"/>
      <c r="Y66" s="118">
        <v>86</v>
      </c>
      <c r="Z66" s="118" t="s">
        <v>42</v>
      </c>
      <c r="AA66" s="20"/>
      <c r="AB66" s="20"/>
      <c r="AC66" s="20"/>
      <c r="AD66" s="281">
        <v>86</v>
      </c>
      <c r="AE66" s="281" t="s">
        <v>42</v>
      </c>
    </row>
    <row r="67" spans="1:31" ht="15" x14ac:dyDescent="0.25">
      <c r="A67" s="3"/>
      <c r="B67" s="11"/>
      <c r="C67" s="3" t="s">
        <v>9</v>
      </c>
      <c r="D67" s="14">
        <v>0</v>
      </c>
      <c r="F67" s="89">
        <v>0</v>
      </c>
      <c r="H67" s="20"/>
      <c r="I67" s="20"/>
      <c r="J67" s="147"/>
      <c r="K67" s="197">
        <v>0.15</v>
      </c>
      <c r="L67" s="197">
        <v>1.18</v>
      </c>
      <c r="M67" s="197">
        <v>0.46666666666666673</v>
      </c>
      <c r="N67" s="197">
        <v>0.6566321730950142</v>
      </c>
      <c r="P67" s="20">
        <f t="shared" si="40"/>
        <v>0</v>
      </c>
      <c r="Q67" s="20">
        <f t="shared" si="41"/>
        <v>0</v>
      </c>
      <c r="R67" s="20">
        <f t="shared" si="42"/>
        <v>0</v>
      </c>
      <c r="S67" s="20">
        <f t="shared" si="43"/>
        <v>0</v>
      </c>
      <c r="T67" s="20">
        <f t="shared" si="44"/>
        <v>0</v>
      </c>
      <c r="U67" s="20">
        <f t="shared" si="45"/>
        <v>0</v>
      </c>
      <c r="V67" s="191"/>
      <c r="W67" s="20"/>
      <c r="X67" s="20"/>
      <c r="Y67" s="20"/>
      <c r="Z67" s="20"/>
      <c r="AA67" s="20"/>
      <c r="AB67" s="20"/>
      <c r="AC67" s="20"/>
      <c r="AD67" s="20"/>
      <c r="AE67" s="20"/>
    </row>
    <row r="68" spans="1:31" ht="15" x14ac:dyDescent="0.25">
      <c r="A68" s="3"/>
      <c r="B68" s="11"/>
      <c r="C68" s="3" t="s">
        <v>10</v>
      </c>
      <c r="D68" s="14">
        <v>0</v>
      </c>
      <c r="F68" s="89">
        <v>0</v>
      </c>
      <c r="H68" s="20"/>
      <c r="I68" s="20"/>
      <c r="J68" s="147"/>
      <c r="K68" s="197">
        <v>0.15</v>
      </c>
      <c r="L68" s="197">
        <v>1.18</v>
      </c>
      <c r="M68" s="197">
        <v>0.46666666666666673</v>
      </c>
      <c r="N68" s="197">
        <v>0.6566321730950142</v>
      </c>
      <c r="P68" s="20">
        <f t="shared" si="40"/>
        <v>0</v>
      </c>
      <c r="Q68" s="20">
        <f t="shared" si="41"/>
        <v>0</v>
      </c>
      <c r="R68" s="20">
        <f t="shared" si="42"/>
        <v>0</v>
      </c>
      <c r="S68" s="20">
        <f t="shared" si="43"/>
        <v>0</v>
      </c>
      <c r="T68" s="20">
        <f t="shared" si="44"/>
        <v>0</v>
      </c>
      <c r="U68" s="20">
        <f t="shared" si="45"/>
        <v>0</v>
      </c>
      <c r="V68" s="191"/>
      <c r="W68" s="20"/>
      <c r="X68" s="38" t="s">
        <v>5</v>
      </c>
      <c r="Y68" s="20"/>
      <c r="Z68" s="20"/>
      <c r="AA68" s="20"/>
      <c r="AB68" s="20"/>
      <c r="AC68" s="38" t="s">
        <v>5</v>
      </c>
      <c r="AD68" s="20"/>
      <c r="AE68" s="20"/>
    </row>
    <row r="69" spans="1:31" ht="15" x14ac:dyDescent="0.25">
      <c r="A69" s="3"/>
      <c r="B69" s="11"/>
      <c r="C69" s="3" t="s">
        <v>11</v>
      </c>
      <c r="D69" s="14">
        <v>0</v>
      </c>
      <c r="F69" s="89">
        <v>0</v>
      </c>
      <c r="H69" s="20"/>
      <c r="I69" s="20"/>
      <c r="J69" s="147"/>
      <c r="K69" s="197">
        <v>0.15</v>
      </c>
      <c r="L69" s="197">
        <v>1.18</v>
      </c>
      <c r="M69" s="197">
        <v>0.46666666666666673</v>
      </c>
      <c r="N69" s="197">
        <v>0.6566321730950142</v>
      </c>
      <c r="P69" s="20">
        <f t="shared" si="40"/>
        <v>0</v>
      </c>
      <c r="Q69" s="20">
        <f t="shared" si="41"/>
        <v>0</v>
      </c>
      <c r="R69" s="20">
        <f t="shared" si="42"/>
        <v>0</v>
      </c>
      <c r="S69" s="20">
        <f t="shared" si="43"/>
        <v>0</v>
      </c>
      <c r="T69" s="20">
        <f t="shared" si="44"/>
        <v>0</v>
      </c>
      <c r="U69" s="20">
        <f t="shared" si="45"/>
        <v>0</v>
      </c>
      <c r="V69" s="191"/>
      <c r="W69" s="20"/>
      <c r="X69" s="15" t="s">
        <v>7</v>
      </c>
      <c r="Y69" s="46">
        <f t="shared" ref="Y69:Y86" si="46">Y12-Y41</f>
        <v>0</v>
      </c>
      <c r="Z69" s="269">
        <f t="shared" ref="Z69:Z86" si="47">SUM(Y69:Y69)</f>
        <v>0</v>
      </c>
      <c r="AA69" s="20"/>
      <c r="AB69" s="16">
        <v>1</v>
      </c>
      <c r="AC69" s="15" t="s">
        <v>7</v>
      </c>
      <c r="AD69" s="46">
        <f t="shared" ref="AD69:AD84" si="48">AD12-AD41</f>
        <v>0</v>
      </c>
      <c r="AE69" s="269">
        <f t="shared" ref="AE69:AE86" si="49">SUM(AD69:AD69)</f>
        <v>0</v>
      </c>
    </row>
    <row r="70" spans="1:31" ht="15" x14ac:dyDescent="0.25">
      <c r="A70" s="3"/>
      <c r="B70" s="12"/>
      <c r="C70" s="3" t="s">
        <v>12</v>
      </c>
      <c r="D70" s="14">
        <v>0</v>
      </c>
      <c r="F70" s="89">
        <v>0</v>
      </c>
      <c r="H70" s="20"/>
      <c r="I70" s="20"/>
      <c r="J70" s="147"/>
      <c r="K70" s="197">
        <v>0.15</v>
      </c>
      <c r="L70" s="197">
        <v>1.18</v>
      </c>
      <c r="M70" s="197">
        <v>0.46666666666666673</v>
      </c>
      <c r="N70" s="197">
        <v>0.6566321730950142</v>
      </c>
      <c r="P70" s="20">
        <f t="shared" si="40"/>
        <v>0</v>
      </c>
      <c r="Q70" s="20">
        <f t="shared" si="41"/>
        <v>0</v>
      </c>
      <c r="R70" s="20">
        <f t="shared" si="42"/>
        <v>0</v>
      </c>
      <c r="S70" s="20">
        <f t="shared" si="43"/>
        <v>0</v>
      </c>
      <c r="T70" s="20">
        <f t="shared" si="44"/>
        <v>0</v>
      </c>
      <c r="U70" s="20">
        <f t="shared" si="45"/>
        <v>0</v>
      </c>
      <c r="V70" s="191"/>
      <c r="W70" s="20"/>
      <c r="X70" s="15" t="s">
        <v>16</v>
      </c>
      <c r="Y70" s="46">
        <f t="shared" si="46"/>
        <v>0</v>
      </c>
      <c r="Z70" s="269">
        <f t="shared" si="47"/>
        <v>0</v>
      </c>
      <c r="AA70" s="20"/>
      <c r="AB70" s="16">
        <v>2</v>
      </c>
      <c r="AC70" s="15" t="s">
        <v>16</v>
      </c>
      <c r="AD70" s="46">
        <f t="shared" si="48"/>
        <v>0</v>
      </c>
      <c r="AE70" s="269">
        <f t="shared" si="49"/>
        <v>0</v>
      </c>
    </row>
    <row r="71" spans="1:31" ht="15" x14ac:dyDescent="0.25">
      <c r="A71" s="3"/>
      <c r="B71" s="12"/>
      <c r="C71" s="3" t="s">
        <v>13</v>
      </c>
      <c r="D71" s="14">
        <v>0</v>
      </c>
      <c r="F71" s="89">
        <v>0</v>
      </c>
      <c r="H71" s="20"/>
      <c r="I71" s="20"/>
      <c r="J71" s="147"/>
      <c r="K71" s="197">
        <v>0.15</v>
      </c>
      <c r="L71" s="197">
        <v>1.18</v>
      </c>
      <c r="M71" s="197">
        <v>0.46666666666666673</v>
      </c>
      <c r="N71" s="197">
        <v>0.6566321730950142</v>
      </c>
      <c r="P71" s="20">
        <f t="shared" si="40"/>
        <v>0</v>
      </c>
      <c r="Q71" s="20">
        <f t="shared" si="41"/>
        <v>0</v>
      </c>
      <c r="R71" s="20">
        <f t="shared" si="42"/>
        <v>0</v>
      </c>
      <c r="S71" s="20">
        <f t="shared" si="43"/>
        <v>0</v>
      </c>
      <c r="T71" s="20">
        <f t="shared" si="44"/>
        <v>0</v>
      </c>
      <c r="U71" s="20">
        <f t="shared" si="45"/>
        <v>0</v>
      </c>
      <c r="V71" s="191"/>
      <c r="W71" s="20"/>
      <c r="X71" s="15" t="s">
        <v>17</v>
      </c>
      <c r="Y71" s="46">
        <f t="shared" si="46"/>
        <v>0</v>
      </c>
      <c r="Z71" s="269">
        <f t="shared" si="47"/>
        <v>0</v>
      </c>
      <c r="AA71" s="20"/>
      <c r="AB71" s="16">
        <v>3</v>
      </c>
      <c r="AC71" s="15" t="s">
        <v>17</v>
      </c>
      <c r="AD71" s="46">
        <f t="shared" si="48"/>
        <v>0</v>
      </c>
      <c r="AE71" s="269">
        <f t="shared" si="49"/>
        <v>0</v>
      </c>
    </row>
    <row r="72" spans="1:31" ht="15" x14ac:dyDescent="0.25">
      <c r="A72" s="7"/>
      <c r="B72" s="8" t="s">
        <v>14</v>
      </c>
      <c r="C72" s="7"/>
      <c r="D72" s="14">
        <f>SUM(D66:D71)</f>
        <v>9.7569999999999997</v>
      </c>
      <c r="F72" s="14">
        <v>0.42900000000000027</v>
      </c>
      <c r="H72" s="20"/>
      <c r="I72" s="20"/>
      <c r="J72" s="147"/>
      <c r="K72" s="197"/>
      <c r="L72" s="197"/>
      <c r="M72" s="197"/>
      <c r="N72" s="197"/>
      <c r="W72" s="20"/>
      <c r="X72" s="15" t="s">
        <v>18</v>
      </c>
      <c r="Y72" s="46">
        <f t="shared" si="46"/>
        <v>0</v>
      </c>
      <c r="Z72" s="269">
        <f t="shared" si="47"/>
        <v>0</v>
      </c>
      <c r="AA72" s="20"/>
      <c r="AB72" s="16">
        <v>4</v>
      </c>
      <c r="AC72" s="15" t="s">
        <v>18</v>
      </c>
      <c r="AD72" s="46">
        <f t="shared" si="48"/>
        <v>0</v>
      </c>
      <c r="AE72" s="269">
        <f t="shared" si="49"/>
        <v>0</v>
      </c>
    </row>
    <row r="73" spans="1:31" ht="15" x14ac:dyDescent="0.25">
      <c r="A73" s="10"/>
      <c r="B73" s="9" t="s">
        <v>15</v>
      </c>
      <c r="C73" s="5"/>
      <c r="D73" s="14">
        <f>SUM(D72)</f>
        <v>9.7569999999999997</v>
      </c>
      <c r="F73" s="14">
        <v>0.42900000000000027</v>
      </c>
      <c r="H73" s="20"/>
      <c r="I73" s="20"/>
      <c r="J73" s="147"/>
      <c r="K73" s="197"/>
      <c r="L73" s="197"/>
      <c r="M73" s="197"/>
      <c r="N73" s="197"/>
      <c r="W73" s="20"/>
      <c r="X73" s="15" t="s">
        <v>19</v>
      </c>
      <c r="Y73" s="46">
        <f t="shared" si="46"/>
        <v>0</v>
      </c>
      <c r="Z73" s="269">
        <f t="shared" si="47"/>
        <v>0</v>
      </c>
      <c r="AA73" s="20"/>
      <c r="AB73" s="16">
        <v>5</v>
      </c>
      <c r="AC73" s="15" t="s">
        <v>19</v>
      </c>
      <c r="AD73" s="46">
        <f t="shared" si="48"/>
        <v>0</v>
      </c>
      <c r="AE73" s="269">
        <f t="shared" si="49"/>
        <v>0</v>
      </c>
    </row>
    <row r="74" spans="1:31" ht="15.75" x14ac:dyDescent="0.25">
      <c r="A74" s="1"/>
      <c r="B74" s="2"/>
      <c r="C74" s="1"/>
      <c r="D74" s="87"/>
      <c r="F74" s="87"/>
      <c r="H74" s="20"/>
      <c r="I74" s="20"/>
      <c r="J74" s="147"/>
      <c r="K74" s="197"/>
      <c r="L74" s="197"/>
      <c r="M74" s="197"/>
      <c r="N74" s="197"/>
      <c r="W74" s="20"/>
      <c r="X74" s="15" t="s">
        <v>20</v>
      </c>
      <c r="Y74" s="46">
        <f t="shared" si="46"/>
        <v>0</v>
      </c>
      <c r="Z74" s="269">
        <f t="shared" si="47"/>
        <v>0</v>
      </c>
      <c r="AA74" s="20"/>
      <c r="AB74" s="16">
        <v>6</v>
      </c>
      <c r="AC74" s="15" t="s">
        <v>20</v>
      </c>
      <c r="AD74" s="46">
        <f t="shared" si="48"/>
        <v>0</v>
      </c>
      <c r="AE74" s="269">
        <f t="shared" si="49"/>
        <v>0</v>
      </c>
    </row>
    <row r="75" spans="1:31" ht="15" x14ac:dyDescent="0.25">
      <c r="A75" s="1">
        <v>8</v>
      </c>
      <c r="B75" s="2" t="s">
        <v>22</v>
      </c>
      <c r="C75" s="1" t="s">
        <v>8</v>
      </c>
      <c r="D75" s="14">
        <v>251.14400000000001</v>
      </c>
      <c r="F75" s="89">
        <v>-21.846000000000004</v>
      </c>
      <c r="H75" s="20"/>
      <c r="I75" s="20"/>
      <c r="J75" s="147">
        <v>1.4787297691620918E-2</v>
      </c>
      <c r="K75" s="197">
        <v>5.6499999999999995E-2</v>
      </c>
      <c r="L75" s="197">
        <v>1.25</v>
      </c>
      <c r="M75" s="197">
        <v>0.50078889239507718</v>
      </c>
      <c r="N75" s="197">
        <v>0.75268470790377973</v>
      </c>
      <c r="P75" s="20">
        <f t="shared" ref="P75:P80" si="50">IF(F75&gt;0,((D75-F75)*$J75*$K75*10)+(F75*$H$12*$J75*$K75*10),(D75*$J75*$K75*10))</f>
        <v>2.0982637166774105</v>
      </c>
      <c r="Q75" s="20">
        <f t="shared" ref="Q75:Q80" si="51">(P75*(EXP(1.01-0.34*LN(Q$10))*(1-$M75)+(1*$M75)))*$R$1</f>
        <v>1.6536157295417653</v>
      </c>
      <c r="R75" s="20">
        <f t="shared" ref="R75:R80" si="52">SUM(Q75:Q75)</f>
        <v>1.6536157295417653</v>
      </c>
      <c r="S75" s="20">
        <f t="shared" ref="S75:S80" si="53">IF(F75&gt;0,((D75-F75)*$J75*$L75*10)+(F75*$I$12*$J75*$L75)*10,(D75*$J75*$L75*10))</f>
        <v>46.421763643305539</v>
      </c>
      <c r="T75" s="20">
        <f t="shared" ref="T75:T80" si="54">(S75*(EXP(1.01-0.34*LN(T$10))*(1-$N75)+(1*$N75)))*$R$1</f>
        <v>46.051344084060695</v>
      </c>
      <c r="U75" s="20">
        <f t="shared" ref="U75:U80" si="55">SUM(T75:T75)</f>
        <v>46.051344084060695</v>
      </c>
      <c r="V75" s="191"/>
      <c r="W75" s="20"/>
      <c r="X75" s="44" t="s">
        <v>21</v>
      </c>
      <c r="Y75" s="46">
        <f t="shared" si="46"/>
        <v>0</v>
      </c>
      <c r="Z75" s="269">
        <f t="shared" si="47"/>
        <v>0</v>
      </c>
      <c r="AA75" s="20"/>
      <c r="AB75" s="47">
        <v>7</v>
      </c>
      <c r="AC75" s="44" t="s">
        <v>21</v>
      </c>
      <c r="AD75" s="46">
        <f t="shared" si="48"/>
        <v>0</v>
      </c>
      <c r="AE75" s="269">
        <f t="shared" si="49"/>
        <v>0</v>
      </c>
    </row>
    <row r="76" spans="1:31" ht="15" x14ac:dyDescent="0.25">
      <c r="A76" s="1"/>
      <c r="B76" s="2"/>
      <c r="C76" s="1" t="s">
        <v>9</v>
      </c>
      <c r="D76" s="14">
        <v>18.739000000000001</v>
      </c>
      <c r="F76" s="89">
        <v>-10.103999999999999</v>
      </c>
      <c r="H76" s="20"/>
      <c r="I76" s="20"/>
      <c r="J76" s="147">
        <v>2.0574595383241835E-2</v>
      </c>
      <c r="K76" s="197">
        <v>5.6499999999999995E-2</v>
      </c>
      <c r="L76" s="197">
        <v>1.25</v>
      </c>
      <c r="M76" s="197">
        <v>0.50078889239507718</v>
      </c>
      <c r="N76" s="197">
        <v>0.75268470790377973</v>
      </c>
      <c r="P76" s="20">
        <f t="shared" si="50"/>
        <v>0.21783424873091134</v>
      </c>
      <c r="Q76" s="20">
        <f t="shared" si="51"/>
        <v>0.17167248200085425</v>
      </c>
      <c r="R76" s="20">
        <f t="shared" si="52"/>
        <v>0.17167248200085425</v>
      </c>
      <c r="S76" s="20">
        <f t="shared" si="53"/>
        <v>4.8193417860821093</v>
      </c>
      <c r="T76" s="20">
        <f t="shared" si="54"/>
        <v>4.7808861497567063</v>
      </c>
      <c r="U76" s="20">
        <f t="shared" si="55"/>
        <v>4.7808861497567063</v>
      </c>
      <c r="V76" s="191"/>
      <c r="W76" s="20"/>
      <c r="X76" s="15" t="s">
        <v>22</v>
      </c>
      <c r="Y76" s="46">
        <f t="shared" si="46"/>
        <v>0</v>
      </c>
      <c r="Z76" s="269">
        <f t="shared" si="47"/>
        <v>0</v>
      </c>
      <c r="AA76" s="20"/>
      <c r="AB76" s="16">
        <v>8</v>
      </c>
      <c r="AC76" s="15" t="s">
        <v>22</v>
      </c>
      <c r="AD76" s="46">
        <f t="shared" si="48"/>
        <v>0</v>
      </c>
      <c r="AE76" s="269">
        <f t="shared" si="49"/>
        <v>0</v>
      </c>
    </row>
    <row r="77" spans="1:31" ht="15" x14ac:dyDescent="0.25">
      <c r="A77" s="1"/>
      <c r="B77" s="2"/>
      <c r="C77" s="1" t="s">
        <v>10</v>
      </c>
      <c r="D77" s="14">
        <v>15.917999999999999</v>
      </c>
      <c r="F77" s="89">
        <v>-3.4690000000000012</v>
      </c>
      <c r="H77" s="20"/>
      <c r="I77" s="20"/>
      <c r="J77" s="147">
        <v>2.6361893074862756E-2</v>
      </c>
      <c r="K77" s="197">
        <v>5.6499999999999995E-2</v>
      </c>
      <c r="L77" s="197">
        <v>1.25</v>
      </c>
      <c r="M77" s="197">
        <v>0.50078889239507718</v>
      </c>
      <c r="N77" s="197">
        <v>0.75268470790377973</v>
      </c>
      <c r="P77" s="20">
        <f t="shared" si="50"/>
        <v>0.23709016689060086</v>
      </c>
      <c r="Q77" s="20">
        <f t="shared" si="51"/>
        <v>0.18684783336519703</v>
      </c>
      <c r="R77" s="20">
        <f t="shared" si="52"/>
        <v>0.18684783336519703</v>
      </c>
      <c r="S77" s="20">
        <f t="shared" si="53"/>
        <v>5.2453576745708164</v>
      </c>
      <c r="T77" s="20">
        <f t="shared" si="54"/>
        <v>5.2035026711111136</v>
      </c>
      <c r="U77" s="20">
        <f t="shared" si="55"/>
        <v>5.2035026711111136</v>
      </c>
      <c r="V77" s="191"/>
      <c r="W77" s="20"/>
      <c r="X77" s="15" t="s">
        <v>23</v>
      </c>
      <c r="Y77" s="46">
        <f t="shared" si="46"/>
        <v>0</v>
      </c>
      <c r="Z77" s="269">
        <f t="shared" si="47"/>
        <v>0</v>
      </c>
      <c r="AA77" s="20"/>
      <c r="AB77" s="16">
        <v>9</v>
      </c>
      <c r="AC77" s="15" t="s">
        <v>23</v>
      </c>
      <c r="AD77" s="46">
        <f t="shared" si="48"/>
        <v>0</v>
      </c>
      <c r="AE77" s="269">
        <f t="shared" si="49"/>
        <v>0</v>
      </c>
    </row>
    <row r="78" spans="1:31" ht="15" x14ac:dyDescent="0.25">
      <c r="A78" s="1"/>
      <c r="B78" s="2"/>
      <c r="C78" s="1" t="s">
        <v>11</v>
      </c>
      <c r="D78" s="14">
        <v>8.202</v>
      </c>
      <c r="F78" s="89">
        <v>-4.5530000000000008</v>
      </c>
      <c r="H78" s="20"/>
      <c r="I78" s="20"/>
      <c r="J78" s="147">
        <v>3.2149190766483669E-2</v>
      </c>
      <c r="K78" s="197">
        <v>5.6499999999999995E-2</v>
      </c>
      <c r="L78" s="197">
        <v>1.25</v>
      </c>
      <c r="M78" s="197">
        <v>0.50078889239507718</v>
      </c>
      <c r="N78" s="197">
        <v>0.75268470790377973</v>
      </c>
      <c r="P78" s="20">
        <f t="shared" si="50"/>
        <v>0.14898352940668497</v>
      </c>
      <c r="Q78" s="20">
        <f t="shared" si="51"/>
        <v>0.11741208014579528</v>
      </c>
      <c r="R78" s="20">
        <f t="shared" si="52"/>
        <v>0.11741208014579528</v>
      </c>
      <c r="S78" s="20">
        <f t="shared" si="53"/>
        <v>3.2960957833337385</v>
      </c>
      <c r="T78" s="20">
        <f t="shared" si="54"/>
        <v>3.2697947932060756</v>
      </c>
      <c r="U78" s="20">
        <f t="shared" si="55"/>
        <v>3.2697947932060756</v>
      </c>
      <c r="V78" s="191"/>
      <c r="W78" s="20"/>
      <c r="X78" s="15" t="s">
        <v>24</v>
      </c>
      <c r="Y78" s="46">
        <f t="shared" si="46"/>
        <v>0</v>
      </c>
      <c r="Z78" s="269">
        <f t="shared" si="47"/>
        <v>0</v>
      </c>
      <c r="AA78" s="20"/>
      <c r="AB78" s="16">
        <v>10</v>
      </c>
      <c r="AC78" s="15" t="s">
        <v>24</v>
      </c>
      <c r="AD78" s="46">
        <f t="shared" si="48"/>
        <v>0</v>
      </c>
      <c r="AE78" s="269">
        <f t="shared" si="49"/>
        <v>0</v>
      </c>
    </row>
    <row r="79" spans="1:31" ht="15" x14ac:dyDescent="0.25">
      <c r="A79" s="1"/>
      <c r="B79" s="13"/>
      <c r="C79" s="1" t="s">
        <v>12</v>
      </c>
      <c r="D79" s="14">
        <v>16.818999999999999</v>
      </c>
      <c r="F79" s="89">
        <v>2.7159999999999993</v>
      </c>
      <c r="H79" s="20"/>
      <c r="I79" s="20"/>
      <c r="J79" s="147">
        <v>3.2149190766483676E-2</v>
      </c>
      <c r="K79" s="197">
        <v>5.6499999999999995E-2</v>
      </c>
      <c r="L79" s="197">
        <v>1.25</v>
      </c>
      <c r="M79" s="197">
        <v>0.50078889239507718</v>
      </c>
      <c r="N79" s="197">
        <v>0.75268470790377973</v>
      </c>
      <c r="P79" s="20">
        <f t="shared" si="50"/>
        <v>0.27431378112826488</v>
      </c>
      <c r="Q79" s="20">
        <f t="shared" si="51"/>
        <v>0.21618330417592324</v>
      </c>
      <c r="R79" s="20">
        <f t="shared" si="52"/>
        <v>0.21618330417592324</v>
      </c>
      <c r="S79" s="20">
        <f t="shared" si="53"/>
        <v>6.2996008243496275</v>
      </c>
      <c r="T79" s="20">
        <f t="shared" si="54"/>
        <v>6.2493335536206631</v>
      </c>
      <c r="U79" s="20">
        <f t="shared" si="55"/>
        <v>6.2493335536206631</v>
      </c>
      <c r="V79" s="191"/>
      <c r="W79" s="20"/>
      <c r="X79" s="15" t="s">
        <v>25</v>
      </c>
      <c r="Y79" s="46">
        <f t="shared" si="46"/>
        <v>0</v>
      </c>
      <c r="Z79" s="269">
        <f t="shared" si="47"/>
        <v>0</v>
      </c>
      <c r="AA79" s="20"/>
      <c r="AB79" s="16">
        <v>11</v>
      </c>
      <c r="AC79" s="15" t="s">
        <v>25</v>
      </c>
      <c r="AD79" s="46">
        <f t="shared" si="48"/>
        <v>0</v>
      </c>
      <c r="AE79" s="269">
        <f t="shared" si="49"/>
        <v>0</v>
      </c>
    </row>
    <row r="80" spans="1:31" ht="15" x14ac:dyDescent="0.25">
      <c r="A80" s="1"/>
      <c r="B80" s="13"/>
      <c r="C80" s="1" t="s">
        <v>13</v>
      </c>
      <c r="D80" s="14">
        <v>0</v>
      </c>
      <c r="F80" s="89">
        <v>0</v>
      </c>
      <c r="H80" s="20"/>
      <c r="I80" s="20"/>
      <c r="J80" s="147"/>
      <c r="K80" s="197">
        <v>5.6499999999999995E-2</v>
      </c>
      <c r="L80" s="197">
        <v>1.25</v>
      </c>
      <c r="M80" s="197">
        <v>0.50078889239507718</v>
      </c>
      <c r="N80" s="197">
        <v>0.75268470790377973</v>
      </c>
      <c r="P80" s="20">
        <f t="shared" si="50"/>
        <v>0</v>
      </c>
      <c r="Q80" s="20">
        <f t="shared" si="51"/>
        <v>0</v>
      </c>
      <c r="R80" s="20">
        <f t="shared" si="52"/>
        <v>0</v>
      </c>
      <c r="S80" s="20">
        <f t="shared" si="53"/>
        <v>0</v>
      </c>
      <c r="T80" s="20">
        <f t="shared" si="54"/>
        <v>0</v>
      </c>
      <c r="U80" s="20">
        <f t="shared" si="55"/>
        <v>0</v>
      </c>
      <c r="V80" s="191"/>
      <c r="W80" s="20"/>
      <c r="X80" s="15" t="s">
        <v>26</v>
      </c>
      <c r="Y80" s="46">
        <f t="shared" si="46"/>
        <v>0</v>
      </c>
      <c r="Z80" s="269">
        <f t="shared" si="47"/>
        <v>0</v>
      </c>
      <c r="AA80" s="20"/>
      <c r="AB80" s="16">
        <v>12</v>
      </c>
      <c r="AC80" s="15" t="s">
        <v>26</v>
      </c>
      <c r="AD80" s="46">
        <f t="shared" si="48"/>
        <v>0</v>
      </c>
      <c r="AE80" s="269">
        <f t="shared" si="49"/>
        <v>0</v>
      </c>
    </row>
    <row r="81" spans="1:31" ht="15" x14ac:dyDescent="0.25">
      <c r="A81" s="7"/>
      <c r="B81" s="8" t="s">
        <v>14</v>
      </c>
      <c r="C81" s="7"/>
      <c r="D81" s="14">
        <f>SUM(D75:D80)</f>
        <v>310.822</v>
      </c>
      <c r="F81" s="14">
        <v>-37.256000000000007</v>
      </c>
      <c r="H81" s="20"/>
      <c r="I81" s="20"/>
      <c r="J81" s="147"/>
      <c r="K81" s="197"/>
      <c r="L81" s="197"/>
      <c r="M81" s="197"/>
      <c r="N81" s="197"/>
      <c r="W81" s="20"/>
      <c r="X81" s="15" t="s">
        <v>27</v>
      </c>
      <c r="Y81" s="46">
        <f t="shared" si="46"/>
        <v>0</v>
      </c>
      <c r="Z81" s="269">
        <f t="shared" si="47"/>
        <v>0</v>
      </c>
      <c r="AA81" s="20"/>
      <c r="AB81" s="16">
        <v>13</v>
      </c>
      <c r="AC81" s="15" t="s">
        <v>27</v>
      </c>
      <c r="AD81" s="46">
        <f t="shared" si="48"/>
        <v>0</v>
      </c>
      <c r="AE81" s="269">
        <f t="shared" si="49"/>
        <v>0</v>
      </c>
    </row>
    <row r="82" spans="1:31" ht="15" x14ac:dyDescent="0.25">
      <c r="A82" s="10"/>
      <c r="B82" s="9" t="s">
        <v>15</v>
      </c>
      <c r="C82" s="5"/>
      <c r="D82" s="14">
        <f>SUM(D81)</f>
        <v>310.822</v>
      </c>
      <c r="F82" s="14">
        <v>-37.256000000000007</v>
      </c>
      <c r="H82" s="20"/>
      <c r="I82" s="20"/>
      <c r="J82" s="147"/>
      <c r="K82" s="197"/>
      <c r="L82" s="197"/>
      <c r="M82" s="197"/>
      <c r="N82" s="197"/>
      <c r="W82" s="20"/>
      <c r="X82" s="15" t="s">
        <v>28</v>
      </c>
      <c r="Y82" s="46">
        <f t="shared" si="46"/>
        <v>0</v>
      </c>
      <c r="Z82" s="269">
        <f t="shared" si="47"/>
        <v>0</v>
      </c>
      <c r="AA82" s="20"/>
      <c r="AB82" s="16">
        <v>14</v>
      </c>
      <c r="AC82" s="15" t="s">
        <v>28</v>
      </c>
      <c r="AD82" s="46">
        <f t="shared" si="48"/>
        <v>0</v>
      </c>
      <c r="AE82" s="269">
        <f t="shared" si="49"/>
        <v>0</v>
      </c>
    </row>
    <row r="83" spans="1:31" ht="15.75" x14ac:dyDescent="0.25">
      <c r="A83" s="1"/>
      <c r="B83" s="2"/>
      <c r="C83" s="1"/>
      <c r="D83" s="87"/>
      <c r="F83" s="87"/>
      <c r="H83" s="20"/>
      <c r="I83" s="20"/>
      <c r="J83" s="147"/>
      <c r="K83" s="197"/>
      <c r="L83" s="197"/>
      <c r="M83" s="197"/>
      <c r="N83" s="197"/>
      <c r="W83" s="20"/>
      <c r="X83" s="15" t="s">
        <v>29</v>
      </c>
      <c r="Y83" s="46">
        <f t="shared" si="46"/>
        <v>0</v>
      </c>
      <c r="Z83" s="269">
        <f t="shared" si="47"/>
        <v>0</v>
      </c>
      <c r="AA83" s="20"/>
      <c r="AB83" s="16">
        <v>15</v>
      </c>
      <c r="AC83" s="15" t="s">
        <v>29</v>
      </c>
      <c r="AD83" s="46">
        <f t="shared" si="48"/>
        <v>0</v>
      </c>
      <c r="AE83" s="269">
        <f t="shared" si="49"/>
        <v>0</v>
      </c>
    </row>
    <row r="84" spans="1:31" ht="15" x14ac:dyDescent="0.25">
      <c r="A84" s="1">
        <v>9</v>
      </c>
      <c r="B84" s="2" t="s">
        <v>23</v>
      </c>
      <c r="C84" s="1" t="s">
        <v>8</v>
      </c>
      <c r="D84" s="14">
        <v>334.17899999999997</v>
      </c>
      <c r="F84" s="89">
        <v>154.91499999999999</v>
      </c>
      <c r="H84" s="20"/>
      <c r="I84" s="20"/>
      <c r="J84" s="147">
        <v>1.4787297691620918E-2</v>
      </c>
      <c r="K84" s="197">
        <v>0.38700000000000001</v>
      </c>
      <c r="L84" s="197">
        <v>2.48</v>
      </c>
      <c r="M84" s="197">
        <v>0.72182006204756977</v>
      </c>
      <c r="N84" s="197">
        <v>0.90789473684210531</v>
      </c>
      <c r="P84" s="20">
        <f t="shared" ref="P84:P89" si="56">IF(F84&gt;0,((D84-F84)*$J84*$K84*10)+(F84*$H$12*$J84*$K84*10),(D84*$J84*$K84*10))</f>
        <v>13.518943439327341</v>
      </c>
      <c r="Q84" s="20">
        <f t="shared" ref="Q84:Q89" si="57">(P84*(EXP(1.01-0.34*LN(Q$10))*(1-$M84)+(1*$M84)))*$R$1</f>
        <v>13.073261502772283</v>
      </c>
      <c r="R84" s="20">
        <f t="shared" ref="R84:R89" si="58">SUM(Q84:Q84)</f>
        <v>13.073261502772283</v>
      </c>
      <c r="S84" s="20">
        <f t="shared" ref="S84:S89" si="59">IF(F84&gt;0,((D84-F84)*$J84*$L84*10)+(F84*$I$12*$J84*$L84)*10,(D84*$J84*$L84*10))</f>
        <v>98.64166922941034</v>
      </c>
      <c r="T84" s="20">
        <f t="shared" ref="T84:T89" si="60">(S84*(EXP(1.01-0.34*LN(T$10))*(1-$N84)+(1*$N84)))*$R$1</f>
        <v>110.24956483635977</v>
      </c>
      <c r="U84" s="20">
        <f t="shared" ref="U84:U89" si="61">SUM(T84:T84)</f>
        <v>110.24956483635977</v>
      </c>
      <c r="V84" s="191"/>
      <c r="W84" s="20"/>
      <c r="X84" s="15" t="s">
        <v>30</v>
      </c>
      <c r="Y84" s="46">
        <f t="shared" si="46"/>
        <v>0</v>
      </c>
      <c r="Z84" s="269">
        <f t="shared" si="47"/>
        <v>0</v>
      </c>
      <c r="AA84" s="20"/>
      <c r="AB84" s="16">
        <v>16</v>
      </c>
      <c r="AC84" s="15" t="s">
        <v>30</v>
      </c>
      <c r="AD84" s="46">
        <f t="shared" si="48"/>
        <v>0</v>
      </c>
      <c r="AE84" s="269">
        <f t="shared" si="49"/>
        <v>0</v>
      </c>
    </row>
    <row r="85" spans="1:31" ht="15" x14ac:dyDescent="0.25">
      <c r="A85" s="1"/>
      <c r="B85" s="2"/>
      <c r="C85" s="1" t="s">
        <v>9</v>
      </c>
      <c r="D85" s="14">
        <v>14.295999999999999</v>
      </c>
      <c r="F85" s="89">
        <v>-0.17100000000000115</v>
      </c>
      <c r="H85" s="20"/>
      <c r="I85" s="20"/>
      <c r="J85" s="147">
        <v>2.0574595383241839E-2</v>
      </c>
      <c r="K85" s="197">
        <v>0.38700000000000001</v>
      </c>
      <c r="L85" s="197">
        <v>2.48</v>
      </c>
      <c r="M85" s="197">
        <v>0.72182006204756977</v>
      </c>
      <c r="N85" s="197">
        <v>0.90789473684210531</v>
      </c>
      <c r="P85" s="20">
        <f t="shared" si="56"/>
        <v>1.1383001883674539</v>
      </c>
      <c r="Q85" s="20">
        <f t="shared" si="57"/>
        <v>1.1007735995027668</v>
      </c>
      <c r="R85" s="20">
        <f t="shared" si="58"/>
        <v>1.1007735995027668</v>
      </c>
      <c r="S85" s="20">
        <f t="shared" si="59"/>
        <v>7.2945335068508674</v>
      </c>
      <c r="T85" s="20">
        <f t="shared" si="60"/>
        <v>8.1529352767154197</v>
      </c>
      <c r="U85" s="20">
        <f t="shared" si="61"/>
        <v>8.1529352767154197</v>
      </c>
      <c r="V85" s="191"/>
      <c r="W85" s="20"/>
      <c r="X85" s="15" t="s">
        <v>52</v>
      </c>
      <c r="Y85" s="46">
        <f t="shared" si="46"/>
        <v>0</v>
      </c>
      <c r="Z85" s="269">
        <f t="shared" si="47"/>
        <v>0</v>
      </c>
      <c r="AA85" s="20"/>
      <c r="AB85" s="16">
        <v>17</v>
      </c>
      <c r="AC85" s="15" t="s">
        <v>52</v>
      </c>
      <c r="AD85" s="46">
        <f>AD28-AD57</f>
        <v>0</v>
      </c>
      <c r="AE85" s="269">
        <f t="shared" si="49"/>
        <v>0</v>
      </c>
    </row>
    <row r="86" spans="1:31" ht="15" x14ac:dyDescent="0.25">
      <c r="A86" s="1"/>
      <c r="B86" s="2"/>
      <c r="C86" s="1" t="s">
        <v>10</v>
      </c>
      <c r="D86" s="14">
        <v>22.152999999999999</v>
      </c>
      <c r="F86" s="89">
        <v>15.137999999999998</v>
      </c>
      <c r="H86" s="20"/>
      <c r="I86" s="20"/>
      <c r="J86" s="147">
        <v>2.6361893074862752E-2</v>
      </c>
      <c r="K86" s="197">
        <v>0.38700000000000001</v>
      </c>
      <c r="L86" s="197">
        <v>2.48</v>
      </c>
      <c r="M86" s="197">
        <v>0.72182006204756977</v>
      </c>
      <c r="N86" s="197">
        <v>0.90789473684210531</v>
      </c>
      <c r="P86" s="20">
        <f t="shared" si="56"/>
        <v>1.2836253682149488</v>
      </c>
      <c r="Q86" s="20">
        <f t="shared" si="57"/>
        <v>1.2413078126689288</v>
      </c>
      <c r="R86" s="20">
        <f t="shared" si="58"/>
        <v>1.2413078126689288</v>
      </c>
      <c r="S86" s="20">
        <f t="shared" si="59"/>
        <v>10.317793164653295</v>
      </c>
      <c r="T86" s="20">
        <f t="shared" si="60"/>
        <v>11.531964284069861</v>
      </c>
      <c r="U86" s="20">
        <f t="shared" si="61"/>
        <v>11.531964284069861</v>
      </c>
      <c r="V86" s="191"/>
      <c r="W86" s="20"/>
      <c r="X86" s="15" t="s">
        <v>745</v>
      </c>
      <c r="Y86" s="46">
        <f t="shared" si="46"/>
        <v>0</v>
      </c>
      <c r="Z86" s="269">
        <f t="shared" si="47"/>
        <v>0</v>
      </c>
      <c r="AA86" s="20"/>
      <c r="AB86" s="16">
        <v>18</v>
      </c>
      <c r="AC86" s="15" t="s">
        <v>745</v>
      </c>
      <c r="AD86" s="46">
        <f>AD29-AD58</f>
        <v>0</v>
      </c>
      <c r="AE86" s="269">
        <f t="shared" si="49"/>
        <v>0</v>
      </c>
    </row>
    <row r="87" spans="1:31" ht="15" x14ac:dyDescent="0.25">
      <c r="A87" s="1"/>
      <c r="B87" s="2"/>
      <c r="C87" s="1" t="s">
        <v>11</v>
      </c>
      <c r="D87" s="14">
        <v>6.4550000000000001</v>
      </c>
      <c r="F87" s="89">
        <v>6.1879999999999997</v>
      </c>
      <c r="H87" s="20"/>
      <c r="I87" s="20"/>
      <c r="J87" s="147">
        <v>3.2149190766483676E-2</v>
      </c>
      <c r="K87" s="197">
        <v>0.38700000000000001</v>
      </c>
      <c r="L87" s="197">
        <v>2.48</v>
      </c>
      <c r="M87" s="197">
        <v>0.72182006204756977</v>
      </c>
      <c r="N87" s="197">
        <v>0.90789473684210531</v>
      </c>
      <c r="P87" s="20">
        <f t="shared" si="56"/>
        <v>0.31634977858539659</v>
      </c>
      <c r="Q87" s="20">
        <f t="shared" si="57"/>
        <v>0.30592060691369982</v>
      </c>
      <c r="R87" s="20">
        <f t="shared" si="58"/>
        <v>0.30592060691369982</v>
      </c>
      <c r="S87" s="20">
        <f t="shared" si="59"/>
        <v>3.0701290916501698</v>
      </c>
      <c r="T87" s="20">
        <f t="shared" si="60"/>
        <v>3.4314139145261002</v>
      </c>
      <c r="U87" s="20">
        <f t="shared" si="61"/>
        <v>3.4314139145261002</v>
      </c>
      <c r="V87" s="191"/>
      <c r="W87" s="20"/>
      <c r="X87" s="262" t="s">
        <v>748</v>
      </c>
      <c r="Y87" s="269">
        <f>SUM(Y69:Y84)</f>
        <v>0</v>
      </c>
      <c r="Z87" s="269">
        <f>SUM(Z69:Z84)</f>
        <v>0</v>
      </c>
      <c r="AA87" s="20"/>
      <c r="AB87" s="38" t="s">
        <v>42</v>
      </c>
      <c r="AC87" s="262" t="s">
        <v>748</v>
      </c>
      <c r="AD87" s="269">
        <f>SUM(AD69:AD84)</f>
        <v>0</v>
      </c>
      <c r="AE87" s="269">
        <f>SUM(AE69:AE84)</f>
        <v>0</v>
      </c>
    </row>
    <row r="88" spans="1:31" ht="15" x14ac:dyDescent="0.25">
      <c r="A88" s="1"/>
      <c r="B88" s="2"/>
      <c r="C88" s="1" t="s">
        <v>12</v>
      </c>
      <c r="D88" s="14">
        <v>1.552</v>
      </c>
      <c r="F88" s="89">
        <v>0.60600000000000009</v>
      </c>
      <c r="H88" s="20"/>
      <c r="I88" s="20"/>
      <c r="J88" s="147">
        <v>3.2149190766483676E-2</v>
      </c>
      <c r="K88" s="197">
        <v>0.38700000000000001</v>
      </c>
      <c r="L88" s="197">
        <v>2.48</v>
      </c>
      <c r="M88" s="197">
        <v>0.72182006204756977</v>
      </c>
      <c r="N88" s="197">
        <v>0.90789473684210531</v>
      </c>
      <c r="P88" s="20">
        <f t="shared" si="56"/>
        <v>0.14542620381277044</v>
      </c>
      <c r="Q88" s="20">
        <f t="shared" si="57"/>
        <v>0.14063190665249242</v>
      </c>
      <c r="R88" s="20">
        <f t="shared" si="58"/>
        <v>0.14063190665249242</v>
      </c>
      <c r="S88" s="20">
        <f t="shared" si="59"/>
        <v>1.0340604577632337</v>
      </c>
      <c r="T88" s="20">
        <f t="shared" si="60"/>
        <v>1.1557460084920441</v>
      </c>
      <c r="U88" s="20">
        <f t="shared" si="61"/>
        <v>1.1557460084920441</v>
      </c>
      <c r="V88" s="191"/>
      <c r="W88" s="20"/>
      <c r="X88" s="20"/>
      <c r="Y88" s="20"/>
      <c r="Z88" s="20"/>
      <c r="AA88" s="20"/>
      <c r="AB88" s="20"/>
      <c r="AC88" s="20"/>
      <c r="AD88" s="20"/>
      <c r="AE88" s="20"/>
    </row>
    <row r="89" spans="1:31" ht="15" x14ac:dyDescent="0.25">
      <c r="A89" s="1"/>
      <c r="B89" s="2"/>
      <c r="C89" s="1" t="s">
        <v>13</v>
      </c>
      <c r="D89" s="14">
        <v>0</v>
      </c>
      <c r="F89" s="89">
        <v>0</v>
      </c>
      <c r="H89" s="20"/>
      <c r="I89" s="20"/>
      <c r="J89" s="147"/>
      <c r="K89" s="197">
        <v>0.38700000000000001</v>
      </c>
      <c r="L89" s="197">
        <v>2.48</v>
      </c>
      <c r="M89" s="197">
        <v>0.72182006204756977</v>
      </c>
      <c r="N89" s="197">
        <v>0.90789473684210531</v>
      </c>
      <c r="P89" s="20">
        <f t="shared" si="56"/>
        <v>0</v>
      </c>
      <c r="Q89" s="20">
        <f t="shared" si="57"/>
        <v>0</v>
      </c>
      <c r="R89" s="20">
        <f t="shared" si="58"/>
        <v>0</v>
      </c>
      <c r="S89" s="20">
        <f t="shared" si="59"/>
        <v>0</v>
      </c>
      <c r="T89" s="20">
        <f t="shared" si="60"/>
        <v>0</v>
      </c>
      <c r="U89" s="20">
        <f t="shared" si="61"/>
        <v>0</v>
      </c>
      <c r="V89" s="191"/>
    </row>
    <row r="90" spans="1:31" ht="15" x14ac:dyDescent="0.25">
      <c r="A90" s="7"/>
      <c r="B90" s="8" t="s">
        <v>14</v>
      </c>
      <c r="C90" s="7"/>
      <c r="D90" s="14">
        <f>SUM(D84:D89)</f>
        <v>378.63499999999999</v>
      </c>
      <c r="F90" s="14">
        <v>176.67599999999996</v>
      </c>
      <c r="H90" s="20"/>
      <c r="I90" s="20"/>
      <c r="J90" s="147"/>
      <c r="K90" s="197"/>
      <c r="L90" s="197"/>
      <c r="M90" s="197"/>
      <c r="N90" s="197"/>
    </row>
    <row r="91" spans="1:31" ht="15" x14ac:dyDescent="0.25">
      <c r="A91" s="10"/>
      <c r="B91" s="9" t="s">
        <v>15</v>
      </c>
      <c r="C91" s="5"/>
      <c r="D91" s="14">
        <f>SUM(D90)</f>
        <v>378.63499999999999</v>
      </c>
      <c r="F91" s="14">
        <v>176.67599999999996</v>
      </c>
      <c r="H91" s="20"/>
      <c r="I91" s="20"/>
      <c r="J91" s="147"/>
      <c r="K91" s="197"/>
      <c r="L91" s="197"/>
      <c r="M91" s="197"/>
      <c r="N91" s="197"/>
    </row>
    <row r="92" spans="1:31" ht="15.75" x14ac:dyDescent="0.25">
      <c r="A92" s="1"/>
      <c r="B92" s="2"/>
      <c r="C92" s="1"/>
      <c r="D92" s="87"/>
      <c r="F92" s="87"/>
      <c r="H92" s="20"/>
      <c r="I92" s="20"/>
      <c r="J92" s="147"/>
      <c r="K92" s="197"/>
      <c r="L92" s="197"/>
      <c r="M92" s="197"/>
      <c r="N92" s="197"/>
    </row>
    <row r="93" spans="1:31" ht="15" x14ac:dyDescent="0.25">
      <c r="A93" s="1">
        <v>10</v>
      </c>
      <c r="B93" s="2" t="s">
        <v>24</v>
      </c>
      <c r="C93" s="1" t="s">
        <v>8</v>
      </c>
      <c r="D93" s="14">
        <v>207.20699999999999</v>
      </c>
      <c r="F93" s="89">
        <v>-99.793999999999983</v>
      </c>
      <c r="H93" s="20"/>
      <c r="I93" s="20"/>
      <c r="J93" s="147">
        <v>1.4787297691620922E-2</v>
      </c>
      <c r="K93" s="197">
        <v>0.66599999999999993</v>
      </c>
      <c r="L93" s="197">
        <v>4.5549999999999997</v>
      </c>
      <c r="M93" s="197">
        <v>0.60039794540960334</v>
      </c>
      <c r="N93" s="197">
        <v>0.90789473684210531</v>
      </c>
      <c r="P93" s="20">
        <f t="shared" ref="P93:P98" si="62">IF(F93&gt;0,((D93-F93)*$J93*$K93*10)+(F93*$H$12*$J93*$K93*10),(D93*$J93*$K93*10))</f>
        <v>20.406450407966052</v>
      </c>
      <c r="Q93" s="20">
        <f t="shared" ref="Q93:Q98" si="63">(P93*(EXP(1.01-0.34*LN(Q$10))*(1-$M93)+(1*$M93)))*$R$1</f>
        <v>17.727703307114041</v>
      </c>
      <c r="R93" s="20">
        <f t="shared" ref="R93:R98" si="64">SUM(Q93:Q93)</f>
        <v>17.727703307114041</v>
      </c>
      <c r="S93" s="20">
        <f t="shared" ref="S93:S98" si="65">IF(F93&gt;0,((D93-F93)*$J93*$L93*10)+(F93*$I$12*$J93*$L93)*10,(D93*$J93*$L93*10))</f>
        <v>139.56663905147957</v>
      </c>
      <c r="T93" s="20">
        <f t="shared" ref="T93:T98" si="66">(S93*(EXP(1.01-0.34*LN(T$10))*(1-$N93)+(1*$N93)))*$R$1</f>
        <v>155.99047888487254</v>
      </c>
      <c r="U93" s="20">
        <f t="shared" ref="U93:U98" si="67">SUM(T93:T93)</f>
        <v>155.99047888487254</v>
      </c>
      <c r="V93" s="191"/>
    </row>
    <row r="94" spans="1:31" ht="15" x14ac:dyDescent="0.25">
      <c r="A94" s="1"/>
      <c r="B94" s="2"/>
      <c r="C94" s="1" t="s">
        <v>9</v>
      </c>
      <c r="D94" s="14">
        <v>1.2529999999999999</v>
      </c>
      <c r="F94" s="89">
        <v>-0.998</v>
      </c>
      <c r="H94" s="20"/>
      <c r="I94" s="20"/>
      <c r="J94" s="147">
        <v>2.0574595383241839E-2</v>
      </c>
      <c r="K94" s="197">
        <v>0.66599999999999993</v>
      </c>
      <c r="L94" s="197">
        <v>4.5549999999999997</v>
      </c>
      <c r="M94" s="197">
        <v>0.60039794540960334</v>
      </c>
      <c r="N94" s="197">
        <v>0.90789473684210531</v>
      </c>
      <c r="P94" s="20">
        <f t="shared" si="62"/>
        <v>0.17169458698124543</v>
      </c>
      <c r="Q94" s="20">
        <f t="shared" si="63"/>
        <v>0.14915630286454995</v>
      </c>
      <c r="R94" s="20">
        <f t="shared" si="64"/>
        <v>0.14915630286454995</v>
      </c>
      <c r="S94" s="20">
        <f t="shared" si="65"/>
        <v>1.1742775430924519</v>
      </c>
      <c r="T94" s="20">
        <f t="shared" si="66"/>
        <v>1.312463476484363</v>
      </c>
      <c r="U94" s="20">
        <f t="shared" si="67"/>
        <v>1.312463476484363</v>
      </c>
      <c r="V94" s="191"/>
    </row>
    <row r="95" spans="1:31" ht="15" x14ac:dyDescent="0.25">
      <c r="A95" s="1"/>
      <c r="B95" s="2"/>
      <c r="C95" s="1" t="s">
        <v>10</v>
      </c>
      <c r="D95" s="14">
        <v>10.311</v>
      </c>
      <c r="F95" s="89">
        <v>0.14899999999999913</v>
      </c>
      <c r="H95" s="20"/>
      <c r="I95" s="20"/>
      <c r="J95" s="147">
        <v>2.6361893074862756E-2</v>
      </c>
      <c r="K95" s="197">
        <v>0.66599999999999993</v>
      </c>
      <c r="L95" s="197">
        <v>4.5549999999999997</v>
      </c>
      <c r="M95" s="197">
        <v>0.60039794540960334</v>
      </c>
      <c r="N95" s="197">
        <v>0.90789473684210531</v>
      </c>
      <c r="P95" s="20">
        <f t="shared" si="62"/>
        <v>1.7937648316127084</v>
      </c>
      <c r="Q95" s="20">
        <f t="shared" si="63"/>
        <v>1.5582979941064119</v>
      </c>
      <c r="R95" s="20">
        <f t="shared" si="64"/>
        <v>1.5582979941064119</v>
      </c>
      <c r="S95" s="20">
        <f t="shared" si="65"/>
        <v>12.305985491703188</v>
      </c>
      <c r="T95" s="20">
        <f t="shared" si="66"/>
        <v>13.754121923742952</v>
      </c>
      <c r="U95" s="20">
        <f t="shared" si="67"/>
        <v>13.754121923742952</v>
      </c>
      <c r="V95" s="191"/>
    </row>
    <row r="96" spans="1:31" ht="15" x14ac:dyDescent="0.25">
      <c r="A96" s="1"/>
      <c r="B96" s="2"/>
      <c r="C96" s="1" t="s">
        <v>11</v>
      </c>
      <c r="D96" s="14">
        <v>0.13300000000000001</v>
      </c>
      <c r="F96" s="89">
        <v>-1.8959999999999999</v>
      </c>
      <c r="H96" s="20"/>
      <c r="I96" s="20"/>
      <c r="J96" s="147">
        <v>3.2149190766483676E-2</v>
      </c>
      <c r="K96" s="197">
        <v>0.66599999999999993</v>
      </c>
      <c r="L96" s="197">
        <v>4.5549999999999997</v>
      </c>
      <c r="M96" s="197">
        <v>0.60039794540960334</v>
      </c>
      <c r="N96" s="197">
        <v>0.90789473684210531</v>
      </c>
      <c r="P96" s="20">
        <f t="shared" si="62"/>
        <v>2.8477110197135912E-2</v>
      </c>
      <c r="Q96" s="20">
        <f t="shared" si="63"/>
        <v>2.4738930609007125E-2</v>
      </c>
      <c r="R96" s="20">
        <f t="shared" si="64"/>
        <v>2.4738930609007125E-2</v>
      </c>
      <c r="S96" s="20">
        <f t="shared" si="65"/>
        <v>0.19476462004197309</v>
      </c>
      <c r="T96" s="20">
        <f t="shared" si="66"/>
        <v>0.21768401501000073</v>
      </c>
      <c r="U96" s="20">
        <f t="shared" si="67"/>
        <v>0.21768401501000073</v>
      </c>
      <c r="V96" s="191"/>
    </row>
    <row r="97" spans="1:22" ht="15" x14ac:dyDescent="0.25">
      <c r="A97" s="1"/>
      <c r="B97" s="2"/>
      <c r="C97" s="1" t="s">
        <v>12</v>
      </c>
      <c r="D97" s="14">
        <v>7.0000000000000001E-3</v>
      </c>
      <c r="F97" s="89">
        <v>7.0000000000000001E-3</v>
      </c>
      <c r="H97" s="20"/>
      <c r="I97" s="20"/>
      <c r="J97" s="147">
        <v>3.2149190766483676E-2</v>
      </c>
      <c r="K97" s="197">
        <v>0.66599999999999993</v>
      </c>
      <c r="L97" s="197">
        <v>4.5549999999999997</v>
      </c>
      <c r="M97" s="197">
        <v>0.60039794540960334</v>
      </c>
      <c r="N97" s="197">
        <v>0.90789473684210531</v>
      </c>
      <c r="P97" s="20">
        <f t="shared" si="62"/>
        <v>5.5118502717862636E-4</v>
      </c>
      <c r="Q97" s="20">
        <f t="shared" si="63"/>
        <v>4.7883117513332363E-4</v>
      </c>
      <c r="R97" s="20">
        <f t="shared" si="64"/>
        <v>4.7883117513332363E-4</v>
      </c>
      <c r="S97" s="20">
        <f t="shared" si="65"/>
        <v>5.9365301579480155E-3</v>
      </c>
      <c r="T97" s="20">
        <f t="shared" si="66"/>
        <v>6.6351256184597647E-3</v>
      </c>
      <c r="U97" s="20">
        <f t="shared" si="67"/>
        <v>6.6351256184597647E-3</v>
      </c>
      <c r="V97" s="191"/>
    </row>
    <row r="98" spans="1:22" ht="15" x14ac:dyDescent="0.25">
      <c r="A98" s="1"/>
      <c r="B98" s="2"/>
      <c r="C98" s="1" t="s">
        <v>13</v>
      </c>
      <c r="D98" s="14">
        <v>0</v>
      </c>
      <c r="F98" s="89">
        <v>0</v>
      </c>
      <c r="H98" s="20"/>
      <c r="I98" s="20"/>
      <c r="J98" s="147"/>
      <c r="K98" s="197">
        <v>0.66599999999999993</v>
      </c>
      <c r="L98" s="197">
        <v>4.5549999999999997</v>
      </c>
      <c r="M98" s="197">
        <v>0.60039794540960334</v>
      </c>
      <c r="N98" s="197">
        <v>0.90789473684210531</v>
      </c>
      <c r="P98" s="20">
        <f t="shared" si="62"/>
        <v>0</v>
      </c>
      <c r="Q98" s="20">
        <f t="shared" si="63"/>
        <v>0</v>
      </c>
      <c r="R98" s="20">
        <f t="shared" si="64"/>
        <v>0</v>
      </c>
      <c r="S98" s="20">
        <f t="shared" si="65"/>
        <v>0</v>
      </c>
      <c r="T98" s="20">
        <f t="shared" si="66"/>
        <v>0</v>
      </c>
      <c r="U98" s="20">
        <f t="shared" si="67"/>
        <v>0</v>
      </c>
      <c r="V98" s="191"/>
    </row>
    <row r="99" spans="1:22" ht="15" x14ac:dyDescent="0.25">
      <c r="A99" s="7"/>
      <c r="B99" s="8" t="s">
        <v>14</v>
      </c>
      <c r="C99" s="7"/>
      <c r="D99" s="14">
        <f>SUM(D93:D98)</f>
        <v>218.911</v>
      </c>
      <c r="F99" s="14">
        <v>-102.53199999999998</v>
      </c>
      <c r="H99" s="20"/>
      <c r="I99" s="20"/>
      <c r="J99" s="147"/>
      <c r="K99" s="197"/>
      <c r="L99" s="197"/>
      <c r="M99" s="197"/>
      <c r="N99" s="197"/>
    </row>
    <row r="100" spans="1:22" ht="15" x14ac:dyDescent="0.25">
      <c r="A100" s="10"/>
      <c r="B100" s="9" t="s">
        <v>15</v>
      </c>
      <c r="C100" s="5"/>
      <c r="D100" s="14">
        <f>SUM(D99)</f>
        <v>218.911</v>
      </c>
      <c r="F100" s="14">
        <v>-102.53199999999998</v>
      </c>
      <c r="H100" s="20"/>
      <c r="I100" s="20"/>
      <c r="J100" s="147"/>
      <c r="K100" s="197"/>
      <c r="L100" s="197"/>
      <c r="M100" s="197"/>
      <c r="N100" s="197"/>
    </row>
    <row r="101" spans="1:22" ht="15.75" x14ac:dyDescent="0.25">
      <c r="A101" s="1"/>
      <c r="B101" s="2"/>
      <c r="C101" s="1"/>
      <c r="D101" s="87"/>
      <c r="F101" s="87"/>
      <c r="H101" s="20"/>
      <c r="I101" s="20"/>
      <c r="J101" s="147"/>
      <c r="K101" s="197"/>
      <c r="L101" s="197"/>
      <c r="M101" s="197"/>
      <c r="N101" s="197"/>
    </row>
    <row r="102" spans="1:22" ht="15" x14ac:dyDescent="0.25">
      <c r="A102" s="1">
        <v>11</v>
      </c>
      <c r="B102" s="2" t="s">
        <v>25</v>
      </c>
      <c r="C102" s="1" t="s">
        <v>8</v>
      </c>
      <c r="D102" s="14">
        <v>190.691</v>
      </c>
      <c r="F102" s="89">
        <v>-174.92500000000001</v>
      </c>
      <c r="H102" s="20"/>
      <c r="I102" s="20"/>
      <c r="J102" s="147">
        <v>1.478729769162092E-2</v>
      </c>
      <c r="K102" s="197">
        <v>0.14000000000000001</v>
      </c>
      <c r="L102" s="197">
        <v>2.0499999999999998</v>
      </c>
      <c r="M102" s="197">
        <v>0.62857142857142845</v>
      </c>
      <c r="N102" s="197">
        <v>0.90789473684210531</v>
      </c>
      <c r="P102" s="20">
        <f t="shared" ref="P102:P107" si="68">IF(F102&gt;0,((D102-F102)*$J102*$K102*10)+(F102*$H$12*$J102*$K102*10),(D102*$J102*$K102*10))</f>
        <v>3.9477264177580391</v>
      </c>
      <c r="Q102" s="20">
        <f t="shared" ref="Q102:Q107" si="69">(P102*(EXP(1.01-0.34*LN(Q$10))*(1-$M102)+(1*$M102)))*$R$1</f>
        <v>3.5195536781474748</v>
      </c>
      <c r="R102" s="20">
        <f t="shared" ref="R102:R107" si="70">SUM(Q102:Q102)</f>
        <v>3.5195536781474748</v>
      </c>
      <c r="S102" s="20">
        <f t="shared" ref="S102:S107" si="71">IF(F102&gt;0,((D102-F102)*$J102*$L102*10)+(F102*$I$12*$J102*$L102)*10,(D102*$J102*$L102*10))</f>
        <v>57.805993974314127</v>
      </c>
      <c r="T102" s="20">
        <f t="shared" ref="T102:T107" si="72">(S102*(EXP(1.01-0.34*LN(T$10))*(1-$N102)+(1*$N102)))*$R$1</f>
        <v>64.608453307694134</v>
      </c>
      <c r="U102" s="20">
        <f t="shared" ref="U102:U107" si="73">SUM(T102:T102)</f>
        <v>64.608453307694134</v>
      </c>
      <c r="V102" s="191"/>
    </row>
    <row r="103" spans="1:22" ht="15" x14ac:dyDescent="0.25">
      <c r="A103" s="1"/>
      <c r="B103" s="2"/>
      <c r="C103" s="1" t="s">
        <v>9</v>
      </c>
      <c r="D103" s="14">
        <v>0.626</v>
      </c>
      <c r="F103" s="89">
        <v>-4.3409999999999993</v>
      </c>
      <c r="H103" s="20"/>
      <c r="I103" s="20"/>
      <c r="J103" s="147">
        <v>2.0574595383241839E-2</v>
      </c>
      <c r="K103" s="197">
        <v>0.14000000000000001</v>
      </c>
      <c r="L103" s="197">
        <v>2.0499999999999998</v>
      </c>
      <c r="M103" s="197">
        <v>0.62857142857142845</v>
      </c>
      <c r="N103" s="197">
        <v>0.90789473684210531</v>
      </c>
      <c r="P103" s="20">
        <f t="shared" si="68"/>
        <v>1.803157539387315E-2</v>
      </c>
      <c r="Q103" s="20">
        <f t="shared" si="69"/>
        <v>1.6075860073490402E-2</v>
      </c>
      <c r="R103" s="20">
        <f t="shared" si="70"/>
        <v>1.6075860073490402E-2</v>
      </c>
      <c r="S103" s="20">
        <f t="shared" si="71"/>
        <v>0.26403378255314253</v>
      </c>
      <c r="T103" s="20">
        <f t="shared" si="72"/>
        <v>0.29510459277490486</v>
      </c>
      <c r="U103" s="20">
        <f t="shared" si="73"/>
        <v>0.29510459277490486</v>
      </c>
      <c r="V103" s="191"/>
    </row>
    <row r="104" spans="1:22" ht="15" x14ac:dyDescent="0.25">
      <c r="A104" s="1"/>
      <c r="B104" s="2"/>
      <c r="C104" s="1" t="s">
        <v>10</v>
      </c>
      <c r="D104" s="14">
        <v>7.2670000000000003</v>
      </c>
      <c r="F104" s="89">
        <v>-9.7050000000000001</v>
      </c>
      <c r="H104" s="20"/>
      <c r="I104" s="20"/>
      <c r="J104" s="147">
        <v>2.6361893074862756E-2</v>
      </c>
      <c r="K104" s="197">
        <v>0.14000000000000001</v>
      </c>
      <c r="L104" s="197">
        <v>2.0499999999999998</v>
      </c>
      <c r="M104" s="197">
        <v>0.62857142857142845</v>
      </c>
      <c r="N104" s="197">
        <v>0.90789473684210531</v>
      </c>
      <c r="P104" s="20">
        <f t="shared" si="68"/>
        <v>0.26820062776503872</v>
      </c>
      <c r="Q104" s="20">
        <f t="shared" si="69"/>
        <v>0.23911142922309758</v>
      </c>
      <c r="R104" s="20">
        <f t="shared" si="70"/>
        <v>0.23911142922309758</v>
      </c>
      <c r="S104" s="20">
        <f t="shared" si="71"/>
        <v>3.9272234779880666</v>
      </c>
      <c r="T104" s="20">
        <f t="shared" si="72"/>
        <v>4.3893689436292185</v>
      </c>
      <c r="U104" s="20">
        <f t="shared" si="73"/>
        <v>4.3893689436292185</v>
      </c>
      <c r="V104" s="191"/>
    </row>
    <row r="105" spans="1:22" ht="15" x14ac:dyDescent="0.25">
      <c r="A105" s="1"/>
      <c r="B105" s="2"/>
      <c r="C105" s="1" t="s">
        <v>11</v>
      </c>
      <c r="D105" s="14">
        <v>0.71099999999999997</v>
      </c>
      <c r="F105" s="89">
        <v>-3.1840000000000002</v>
      </c>
      <c r="H105" s="20"/>
      <c r="I105" s="20"/>
      <c r="J105" s="147">
        <v>3.2149190766483669E-2</v>
      </c>
      <c r="K105" s="197">
        <v>0.14000000000000001</v>
      </c>
      <c r="L105" s="197">
        <v>2.0499999999999998</v>
      </c>
      <c r="M105" s="197">
        <v>0.62857142857142845</v>
      </c>
      <c r="N105" s="197">
        <v>0.90789473684210531</v>
      </c>
      <c r="P105" s="20">
        <f t="shared" si="68"/>
        <v>3.2001304488957848E-2</v>
      </c>
      <c r="Q105" s="20">
        <f t="shared" si="69"/>
        <v>2.8530424097522183E-2</v>
      </c>
      <c r="R105" s="20">
        <f t="shared" si="70"/>
        <v>2.8530424097522183E-2</v>
      </c>
      <c r="S105" s="20">
        <f t="shared" si="71"/>
        <v>0.46859053001688267</v>
      </c>
      <c r="T105" s="20">
        <f t="shared" si="72"/>
        <v>0.52373304734585058</v>
      </c>
      <c r="U105" s="20">
        <f t="shared" si="73"/>
        <v>0.52373304734585058</v>
      </c>
      <c r="V105" s="191"/>
    </row>
    <row r="106" spans="1:22" ht="15" x14ac:dyDescent="0.25">
      <c r="A106" s="1"/>
      <c r="B106" s="2"/>
      <c r="C106" s="1" t="s">
        <v>12</v>
      </c>
      <c r="D106" s="14">
        <v>8.0000000000000002E-3</v>
      </c>
      <c r="F106" s="89">
        <v>-0.154</v>
      </c>
      <c r="H106" s="20"/>
      <c r="I106" s="20"/>
      <c r="J106" s="147">
        <v>3.2149190766483676E-2</v>
      </c>
      <c r="K106" s="197">
        <v>0.14000000000000001</v>
      </c>
      <c r="L106" s="197">
        <v>2.0499999999999998</v>
      </c>
      <c r="M106" s="197">
        <v>0.62857142857142845</v>
      </c>
      <c r="N106" s="197">
        <v>0.90789473684210531</v>
      </c>
      <c r="P106" s="20">
        <f t="shared" si="68"/>
        <v>3.6007093658461725E-4</v>
      </c>
      <c r="Q106" s="20">
        <f t="shared" si="69"/>
        <v>3.2101743007057317E-4</v>
      </c>
      <c r="R106" s="20">
        <f t="shared" si="70"/>
        <v>3.2101743007057317E-4</v>
      </c>
      <c r="S106" s="20">
        <f t="shared" si="71"/>
        <v>5.2724672857033233E-3</v>
      </c>
      <c r="T106" s="20">
        <f t="shared" si="72"/>
        <v>5.8929175510081654E-3</v>
      </c>
      <c r="U106" s="20">
        <f t="shared" si="73"/>
        <v>5.8929175510081654E-3</v>
      </c>
      <c r="V106" s="191"/>
    </row>
    <row r="107" spans="1:22" ht="15" x14ac:dyDescent="0.25">
      <c r="A107" s="1"/>
      <c r="B107" s="2"/>
      <c r="C107" s="1" t="s">
        <v>13</v>
      </c>
      <c r="D107" s="14">
        <v>0</v>
      </c>
      <c r="F107" s="89">
        <v>0</v>
      </c>
      <c r="H107" s="20"/>
      <c r="I107" s="20"/>
      <c r="J107" s="147"/>
      <c r="K107" s="197">
        <v>0.14000000000000001</v>
      </c>
      <c r="L107" s="197">
        <v>2.0499999999999998</v>
      </c>
      <c r="M107" s="197">
        <v>0.62857142857142845</v>
      </c>
      <c r="N107" s="197">
        <v>0.90789473684210531</v>
      </c>
      <c r="P107" s="20">
        <f t="shared" si="68"/>
        <v>0</v>
      </c>
      <c r="Q107" s="20">
        <f t="shared" si="69"/>
        <v>0</v>
      </c>
      <c r="R107" s="20">
        <f t="shared" si="70"/>
        <v>0</v>
      </c>
      <c r="S107" s="20">
        <f t="shared" si="71"/>
        <v>0</v>
      </c>
      <c r="T107" s="20">
        <f t="shared" si="72"/>
        <v>0</v>
      </c>
      <c r="U107" s="20">
        <f t="shared" si="73"/>
        <v>0</v>
      </c>
      <c r="V107" s="191"/>
    </row>
    <row r="108" spans="1:22" ht="15" x14ac:dyDescent="0.25">
      <c r="A108" s="7"/>
      <c r="B108" s="8" t="s">
        <v>14</v>
      </c>
      <c r="C108" s="7"/>
      <c r="D108" s="14">
        <f>SUM(D102:D107)</f>
        <v>199.30300000000003</v>
      </c>
      <c r="F108" s="14">
        <v>-192.309</v>
      </c>
      <c r="H108" s="20"/>
      <c r="I108" s="20"/>
      <c r="J108" s="147"/>
      <c r="K108" s="197"/>
      <c r="L108" s="197"/>
      <c r="M108" s="197"/>
      <c r="N108" s="197"/>
    </row>
    <row r="109" spans="1:22" ht="15" x14ac:dyDescent="0.25">
      <c r="A109" s="10"/>
      <c r="B109" s="9" t="s">
        <v>15</v>
      </c>
      <c r="C109" s="5"/>
      <c r="D109" s="14">
        <f>SUM(D108)</f>
        <v>199.30300000000003</v>
      </c>
      <c r="F109" s="14">
        <v>-192.309</v>
      </c>
      <c r="H109" s="20"/>
      <c r="I109" s="20"/>
      <c r="J109" s="147"/>
      <c r="K109" s="197"/>
      <c r="L109" s="197"/>
      <c r="M109" s="197"/>
      <c r="N109" s="197"/>
    </row>
    <row r="110" spans="1:22" ht="15.75" x14ac:dyDescent="0.25">
      <c r="A110" s="1"/>
      <c r="B110" s="2"/>
      <c r="C110" s="1"/>
      <c r="D110" s="87"/>
      <c r="F110" s="87"/>
      <c r="H110" s="20"/>
      <c r="I110" s="20"/>
      <c r="J110" s="147"/>
      <c r="K110" s="197"/>
      <c r="L110" s="197"/>
      <c r="M110" s="197"/>
      <c r="N110" s="197"/>
    </row>
    <row r="111" spans="1:22" ht="15" x14ac:dyDescent="0.25">
      <c r="A111" s="1">
        <v>12</v>
      </c>
      <c r="B111" s="2" t="s">
        <v>26</v>
      </c>
      <c r="C111" s="1" t="s">
        <v>8</v>
      </c>
      <c r="D111" s="14">
        <v>0</v>
      </c>
      <c r="F111" s="89">
        <v>0</v>
      </c>
      <c r="H111" s="20"/>
      <c r="I111" s="20"/>
      <c r="J111" s="147"/>
      <c r="K111" s="197">
        <v>6.531704360902256</v>
      </c>
      <c r="L111" s="197">
        <v>78.227142857142866</v>
      </c>
      <c r="M111" s="197">
        <v>0.5825685654008439</v>
      </c>
      <c r="N111" s="197">
        <v>0.90789473684210531</v>
      </c>
      <c r="P111" s="20">
        <f t="shared" ref="P111:P116" si="74">IF(F111&gt;0,((D111-F111)*$J111*$K111*10)+(F111*$H$12*$J111*$K111*10),(D111*$J111*$K111*10))</f>
        <v>0</v>
      </c>
      <c r="Q111" s="20">
        <f t="shared" ref="Q111:Q116" si="75">(P111*(EXP(1.01-0.34*LN(Q$10))*(1-$M111)+(1*$M111)))*$R$1</f>
        <v>0</v>
      </c>
      <c r="R111" s="20">
        <f t="shared" ref="R111:R116" si="76">SUM(Q111:Q111)</f>
        <v>0</v>
      </c>
      <c r="S111" s="20">
        <f t="shared" ref="S111:S116" si="77">IF(F111&gt;0,((D111-F111)*$J111*$L111*10)+(F111*$I$12*$J111*$L111)*10,(D111*$J111*$L111*10))</f>
        <v>0</v>
      </c>
      <c r="T111" s="20">
        <f t="shared" ref="T111:T116" si="78">(S111*(EXP(1.01-0.34*LN(T$10))*(1-$N111)+(1*$N111)))*$R$1</f>
        <v>0</v>
      </c>
      <c r="U111" s="20">
        <f t="shared" ref="U111:U116" si="79">SUM(T111:T111)</f>
        <v>0</v>
      </c>
      <c r="V111" s="191"/>
    </row>
    <row r="112" spans="1:22" ht="15" x14ac:dyDescent="0.25">
      <c r="A112" s="1"/>
      <c r="B112" s="2"/>
      <c r="C112" s="1" t="s">
        <v>9</v>
      </c>
      <c r="D112" s="14">
        <v>0</v>
      </c>
      <c r="F112" s="89">
        <v>0</v>
      </c>
      <c r="H112" s="20"/>
      <c r="I112" s="20"/>
      <c r="J112" s="147"/>
      <c r="K112" s="197">
        <v>6.531704360902256</v>
      </c>
      <c r="L112" s="197">
        <v>78.227142857142866</v>
      </c>
      <c r="M112" s="197">
        <v>0.5825685654008439</v>
      </c>
      <c r="N112" s="197">
        <v>0.90789473684210531</v>
      </c>
      <c r="P112" s="20">
        <f t="shared" si="74"/>
        <v>0</v>
      </c>
      <c r="Q112" s="20">
        <f t="shared" si="75"/>
        <v>0</v>
      </c>
      <c r="R112" s="20">
        <f t="shared" si="76"/>
        <v>0</v>
      </c>
      <c r="S112" s="20">
        <f t="shared" si="77"/>
        <v>0</v>
      </c>
      <c r="T112" s="20">
        <f t="shared" si="78"/>
        <v>0</v>
      </c>
      <c r="U112" s="20">
        <f t="shared" si="79"/>
        <v>0</v>
      </c>
      <c r="V112" s="191"/>
    </row>
    <row r="113" spans="1:22" ht="15" x14ac:dyDescent="0.25">
      <c r="A113" s="1"/>
      <c r="B113" s="2"/>
      <c r="C113" s="1" t="s">
        <v>10</v>
      </c>
      <c r="D113" s="14">
        <v>0</v>
      </c>
      <c r="F113" s="89">
        <v>0</v>
      </c>
      <c r="H113" s="20"/>
      <c r="I113" s="20"/>
      <c r="J113" s="147"/>
      <c r="K113" s="197">
        <v>6.531704360902256</v>
      </c>
      <c r="L113" s="197">
        <v>78.227142857142866</v>
      </c>
      <c r="M113" s="197">
        <v>0.5825685654008439</v>
      </c>
      <c r="N113" s="197">
        <v>0.90789473684210531</v>
      </c>
      <c r="P113" s="20">
        <f t="shared" si="74"/>
        <v>0</v>
      </c>
      <c r="Q113" s="20">
        <f t="shared" si="75"/>
        <v>0</v>
      </c>
      <c r="R113" s="20">
        <f t="shared" si="76"/>
        <v>0</v>
      </c>
      <c r="S113" s="20">
        <f t="shared" si="77"/>
        <v>0</v>
      </c>
      <c r="T113" s="20">
        <f t="shared" si="78"/>
        <v>0</v>
      </c>
      <c r="U113" s="20">
        <f t="shared" si="79"/>
        <v>0</v>
      </c>
      <c r="V113" s="191"/>
    </row>
    <row r="114" spans="1:22" ht="15" x14ac:dyDescent="0.25">
      <c r="A114" s="1"/>
      <c r="B114" s="2"/>
      <c r="C114" s="1" t="s">
        <v>11</v>
      </c>
      <c r="D114" s="14">
        <v>0</v>
      </c>
      <c r="F114" s="89">
        <v>0</v>
      </c>
      <c r="H114" s="20"/>
      <c r="I114" s="20"/>
      <c r="J114" s="147"/>
      <c r="K114" s="197">
        <v>6.531704360902256</v>
      </c>
      <c r="L114" s="197">
        <v>78.227142857142866</v>
      </c>
      <c r="M114" s="197">
        <v>0.5825685654008439</v>
      </c>
      <c r="N114" s="197">
        <v>0.90789473684210531</v>
      </c>
      <c r="P114" s="20">
        <f t="shared" si="74"/>
        <v>0</v>
      </c>
      <c r="Q114" s="20">
        <f t="shared" si="75"/>
        <v>0</v>
      </c>
      <c r="R114" s="20">
        <f t="shared" si="76"/>
        <v>0</v>
      </c>
      <c r="S114" s="20">
        <f t="shared" si="77"/>
        <v>0</v>
      </c>
      <c r="T114" s="20">
        <f t="shared" si="78"/>
        <v>0</v>
      </c>
      <c r="U114" s="20">
        <f t="shared" si="79"/>
        <v>0</v>
      </c>
      <c r="V114" s="191"/>
    </row>
    <row r="115" spans="1:22" ht="15" x14ac:dyDescent="0.25">
      <c r="A115" s="1"/>
      <c r="B115" s="2"/>
      <c r="C115" s="1" t="s">
        <v>12</v>
      </c>
      <c r="D115" s="14">
        <v>0</v>
      </c>
      <c r="F115" s="89">
        <v>0</v>
      </c>
      <c r="H115" s="20"/>
      <c r="I115" s="20"/>
      <c r="J115" s="147"/>
      <c r="K115" s="197">
        <v>6.531704360902256</v>
      </c>
      <c r="L115" s="197">
        <v>78.227142857142866</v>
      </c>
      <c r="M115" s="197">
        <v>0.5825685654008439</v>
      </c>
      <c r="N115" s="197">
        <v>0.90789473684210531</v>
      </c>
      <c r="P115" s="20">
        <f t="shared" si="74"/>
        <v>0</v>
      </c>
      <c r="Q115" s="20">
        <f t="shared" si="75"/>
        <v>0</v>
      </c>
      <c r="R115" s="20">
        <f t="shared" si="76"/>
        <v>0</v>
      </c>
      <c r="S115" s="20">
        <f t="shared" si="77"/>
        <v>0</v>
      </c>
      <c r="T115" s="20">
        <f t="shared" si="78"/>
        <v>0</v>
      </c>
      <c r="U115" s="20">
        <f t="shared" si="79"/>
        <v>0</v>
      </c>
      <c r="V115" s="191"/>
    </row>
    <row r="116" spans="1:22" ht="15" x14ac:dyDescent="0.25">
      <c r="A116" s="1"/>
      <c r="B116" s="2"/>
      <c r="C116" s="1" t="s">
        <v>13</v>
      </c>
      <c r="D116" s="14">
        <v>0</v>
      </c>
      <c r="F116" s="89">
        <v>0</v>
      </c>
      <c r="H116" s="20"/>
      <c r="I116" s="20"/>
      <c r="J116" s="147"/>
      <c r="K116" s="197">
        <v>6.531704360902256</v>
      </c>
      <c r="L116" s="197">
        <v>78.227142857142866</v>
      </c>
      <c r="M116" s="197">
        <v>0.5825685654008439</v>
      </c>
      <c r="N116" s="197">
        <v>0.90789473684210531</v>
      </c>
      <c r="P116" s="20">
        <f t="shared" si="74"/>
        <v>0</v>
      </c>
      <c r="Q116" s="20">
        <f t="shared" si="75"/>
        <v>0</v>
      </c>
      <c r="R116" s="20">
        <f t="shared" si="76"/>
        <v>0</v>
      </c>
      <c r="S116" s="20">
        <f t="shared" si="77"/>
        <v>0</v>
      </c>
      <c r="T116" s="20">
        <f t="shared" si="78"/>
        <v>0</v>
      </c>
      <c r="U116" s="20">
        <f t="shared" si="79"/>
        <v>0</v>
      </c>
      <c r="V116" s="191"/>
    </row>
    <row r="117" spans="1:22" ht="15" x14ac:dyDescent="0.25">
      <c r="A117" s="7"/>
      <c r="B117" s="8" t="s">
        <v>14</v>
      </c>
      <c r="C117" s="7"/>
      <c r="D117" s="14">
        <f>SUM(D111:D116)</f>
        <v>0</v>
      </c>
      <c r="F117" s="14">
        <v>0</v>
      </c>
      <c r="H117" s="20"/>
      <c r="I117" s="20"/>
      <c r="J117" s="147"/>
      <c r="K117" s="197"/>
      <c r="L117" s="197"/>
      <c r="M117" s="197"/>
      <c r="N117" s="197"/>
    </row>
    <row r="118" spans="1:22" ht="15" x14ac:dyDescent="0.25">
      <c r="A118" s="10"/>
      <c r="B118" s="9" t="s">
        <v>15</v>
      </c>
      <c r="C118" s="5"/>
      <c r="D118" s="14">
        <f>SUM(D117)</f>
        <v>0</v>
      </c>
      <c r="F118" s="14">
        <v>0</v>
      </c>
      <c r="H118" s="20"/>
      <c r="I118" s="20"/>
      <c r="J118" s="147"/>
      <c r="K118" s="197"/>
      <c r="L118" s="197"/>
      <c r="M118" s="197"/>
      <c r="N118" s="197"/>
    </row>
    <row r="119" spans="1:22" ht="15.75" x14ac:dyDescent="0.25">
      <c r="A119" s="1"/>
      <c r="B119" s="2"/>
      <c r="C119" s="1"/>
      <c r="D119" s="87"/>
      <c r="F119" s="87"/>
      <c r="H119" s="20"/>
      <c r="I119" s="20"/>
      <c r="J119" s="147"/>
      <c r="K119" s="197"/>
      <c r="L119" s="197"/>
      <c r="M119" s="197"/>
      <c r="N119" s="197"/>
    </row>
    <row r="120" spans="1:22" ht="15" x14ac:dyDescent="0.25">
      <c r="A120" s="1">
        <v>13</v>
      </c>
      <c r="B120" s="2" t="s">
        <v>27</v>
      </c>
      <c r="C120" s="1" t="s">
        <v>8</v>
      </c>
      <c r="D120" s="14">
        <v>6.2839999999999998</v>
      </c>
      <c r="F120" s="89">
        <v>4.8869999999999996</v>
      </c>
      <c r="H120" s="20"/>
      <c r="I120" s="20"/>
      <c r="J120" s="147">
        <v>1.478729769162092E-2</v>
      </c>
      <c r="K120" s="197">
        <v>0.49226666666666663</v>
      </c>
      <c r="L120" s="197">
        <v>2.8337500000000002</v>
      </c>
      <c r="M120" s="197">
        <v>0.68718466195761863</v>
      </c>
      <c r="N120" s="197">
        <v>0.90789473684210531</v>
      </c>
      <c r="P120" s="20">
        <f t="shared" ref="P120:P125" si="80">IF(F120&gt;0,((D120-F120)*$J120*$K120*10)+(F120*$H$12*$J120*$K120*10),(D120*$J120*$K120*10))</f>
        <v>0.23251550975837845</v>
      </c>
      <c r="Q120" s="20">
        <f t="shared" ref="Q120:Q125" si="81">(P120*(EXP(1.01-0.34*LN(Q$10))*(1-$M120)+(1*$M120)))*$R$1</f>
        <v>0.2183302571840543</v>
      </c>
      <c r="R120" s="20">
        <f t="shared" ref="R120:R125" si="82">SUM(Q120:Q120)</f>
        <v>0.2183302571840543</v>
      </c>
      <c r="S120" s="20">
        <f t="shared" ref="S120:S125" si="83">IF(F120&gt;0,((D120-F120)*$J120*$L120*10)+(F120*$I$12*$J120*$L120)*10,(D120*$J120*$L120*10))</f>
        <v>1.7713488443216205</v>
      </c>
      <c r="T120" s="20">
        <f t="shared" ref="T120:T125" si="84">(S120*(EXP(1.01-0.34*LN(T$10))*(1-$N120)+(1*$N120)))*$R$1</f>
        <v>1.9797965787223413</v>
      </c>
      <c r="U120" s="20">
        <f t="shared" ref="U120:U125" si="85">SUM(T120:T120)</f>
        <v>1.9797965787223413</v>
      </c>
      <c r="V120" s="191"/>
    </row>
    <row r="121" spans="1:22" ht="15" x14ac:dyDescent="0.25">
      <c r="A121" s="1"/>
      <c r="B121" s="2"/>
      <c r="C121" s="1" t="s">
        <v>9</v>
      </c>
      <c r="D121" s="14">
        <v>0</v>
      </c>
      <c r="F121" s="89">
        <v>0</v>
      </c>
      <c r="H121" s="20"/>
      <c r="I121" s="20"/>
      <c r="J121" s="147"/>
      <c r="K121" s="197">
        <v>0.49226666666666663</v>
      </c>
      <c r="L121" s="197">
        <v>2.8337500000000002</v>
      </c>
      <c r="M121" s="197">
        <v>0.68718466195761863</v>
      </c>
      <c r="N121" s="197">
        <v>0.90789473684210531</v>
      </c>
      <c r="P121" s="20">
        <f t="shared" si="80"/>
        <v>0</v>
      </c>
      <c r="Q121" s="20">
        <f t="shared" si="81"/>
        <v>0</v>
      </c>
      <c r="R121" s="20">
        <f t="shared" si="82"/>
        <v>0</v>
      </c>
      <c r="S121" s="20">
        <f t="shared" si="83"/>
        <v>0</v>
      </c>
      <c r="T121" s="20">
        <f t="shared" si="84"/>
        <v>0</v>
      </c>
      <c r="U121" s="20">
        <f t="shared" si="85"/>
        <v>0</v>
      </c>
      <c r="V121" s="191"/>
    </row>
    <row r="122" spans="1:22" ht="15" x14ac:dyDescent="0.25">
      <c r="A122" s="1"/>
      <c r="B122" s="2"/>
      <c r="C122" s="1" t="s">
        <v>10</v>
      </c>
      <c r="D122" s="14">
        <v>0</v>
      </c>
      <c r="F122" s="89">
        <v>0</v>
      </c>
      <c r="H122" s="20"/>
      <c r="I122" s="20"/>
      <c r="J122" s="147"/>
      <c r="K122" s="197">
        <v>0.49226666666666663</v>
      </c>
      <c r="L122" s="197">
        <v>2.8337500000000002</v>
      </c>
      <c r="M122" s="197">
        <v>0.68718466195761863</v>
      </c>
      <c r="N122" s="197">
        <v>0.90789473684210531</v>
      </c>
      <c r="P122" s="20">
        <f t="shared" si="80"/>
        <v>0</v>
      </c>
      <c r="Q122" s="20">
        <f t="shared" si="81"/>
        <v>0</v>
      </c>
      <c r="R122" s="20">
        <f t="shared" si="82"/>
        <v>0</v>
      </c>
      <c r="S122" s="20">
        <f t="shared" si="83"/>
        <v>0</v>
      </c>
      <c r="T122" s="20">
        <f t="shared" si="84"/>
        <v>0</v>
      </c>
      <c r="U122" s="20">
        <f t="shared" si="85"/>
        <v>0</v>
      </c>
      <c r="V122" s="191"/>
    </row>
    <row r="123" spans="1:22" ht="15" x14ac:dyDescent="0.25">
      <c r="A123" s="1"/>
      <c r="B123" s="2"/>
      <c r="C123" s="1" t="s">
        <v>11</v>
      </c>
      <c r="D123" s="14">
        <v>0</v>
      </c>
      <c r="F123" s="89">
        <v>0</v>
      </c>
      <c r="H123" s="20"/>
      <c r="I123" s="20"/>
      <c r="J123" s="147"/>
      <c r="K123" s="197">
        <v>0.49226666666666663</v>
      </c>
      <c r="L123" s="197">
        <v>2.8337500000000002</v>
      </c>
      <c r="M123" s="197">
        <v>0.68718466195761863</v>
      </c>
      <c r="N123" s="197">
        <v>0.90789473684210531</v>
      </c>
      <c r="P123" s="20">
        <f t="shared" si="80"/>
        <v>0</v>
      </c>
      <c r="Q123" s="20">
        <f t="shared" si="81"/>
        <v>0</v>
      </c>
      <c r="R123" s="20">
        <f t="shared" si="82"/>
        <v>0</v>
      </c>
      <c r="S123" s="20">
        <f t="shared" si="83"/>
        <v>0</v>
      </c>
      <c r="T123" s="20">
        <f t="shared" si="84"/>
        <v>0</v>
      </c>
      <c r="U123" s="20">
        <f t="shared" si="85"/>
        <v>0</v>
      </c>
      <c r="V123" s="191"/>
    </row>
    <row r="124" spans="1:22" ht="15" x14ac:dyDescent="0.25">
      <c r="A124" s="1"/>
      <c r="B124" s="2"/>
      <c r="C124" s="1" t="s">
        <v>12</v>
      </c>
      <c r="D124" s="14">
        <v>0</v>
      </c>
      <c r="F124" s="89">
        <v>0</v>
      </c>
      <c r="H124" s="20"/>
      <c r="I124" s="20"/>
      <c r="J124" s="147"/>
      <c r="K124" s="197">
        <v>0.49226666666666663</v>
      </c>
      <c r="L124" s="197">
        <v>2.8337500000000002</v>
      </c>
      <c r="M124" s="197">
        <v>0.68718466195761863</v>
      </c>
      <c r="N124" s="197">
        <v>0.90789473684210531</v>
      </c>
      <c r="P124" s="20">
        <f t="shared" si="80"/>
        <v>0</v>
      </c>
      <c r="Q124" s="20">
        <f t="shared" si="81"/>
        <v>0</v>
      </c>
      <c r="R124" s="20">
        <f t="shared" si="82"/>
        <v>0</v>
      </c>
      <c r="S124" s="20">
        <f t="shared" si="83"/>
        <v>0</v>
      </c>
      <c r="T124" s="20">
        <f t="shared" si="84"/>
        <v>0</v>
      </c>
      <c r="U124" s="20">
        <f t="shared" si="85"/>
        <v>0</v>
      </c>
      <c r="V124" s="191"/>
    </row>
    <row r="125" spans="1:22" ht="15" x14ac:dyDescent="0.25">
      <c r="A125" s="1"/>
      <c r="B125" s="2"/>
      <c r="C125" s="1" t="s">
        <v>13</v>
      </c>
      <c r="D125" s="14">
        <v>0</v>
      </c>
      <c r="F125" s="89">
        <v>0</v>
      </c>
      <c r="H125" s="20"/>
      <c r="I125" s="20"/>
      <c r="J125" s="147"/>
      <c r="K125" s="197">
        <v>0.49226666666666663</v>
      </c>
      <c r="L125" s="197">
        <v>2.8337500000000002</v>
      </c>
      <c r="M125" s="197">
        <v>0.68718466195761863</v>
      </c>
      <c r="N125" s="197">
        <v>0.90789473684210531</v>
      </c>
      <c r="P125" s="20">
        <f t="shared" si="80"/>
        <v>0</v>
      </c>
      <c r="Q125" s="20">
        <f t="shared" si="81"/>
        <v>0</v>
      </c>
      <c r="R125" s="20">
        <f t="shared" si="82"/>
        <v>0</v>
      </c>
      <c r="S125" s="20">
        <f t="shared" si="83"/>
        <v>0</v>
      </c>
      <c r="T125" s="20">
        <f t="shared" si="84"/>
        <v>0</v>
      </c>
      <c r="U125" s="20">
        <f t="shared" si="85"/>
        <v>0</v>
      </c>
      <c r="V125" s="191"/>
    </row>
    <row r="126" spans="1:22" ht="15" x14ac:dyDescent="0.25">
      <c r="A126" s="7"/>
      <c r="B126" s="8" t="s">
        <v>14</v>
      </c>
      <c r="C126" s="7"/>
      <c r="D126" s="14">
        <f>SUM(D120:D125)</f>
        <v>6.2839999999999998</v>
      </c>
      <c r="F126" s="14">
        <v>4.8869999999999996</v>
      </c>
      <c r="H126" s="20"/>
      <c r="I126" s="20"/>
      <c r="J126" s="147"/>
      <c r="K126" s="197"/>
      <c r="L126" s="197"/>
      <c r="M126" s="197"/>
      <c r="N126" s="197"/>
    </row>
    <row r="127" spans="1:22" ht="15" x14ac:dyDescent="0.25">
      <c r="A127" s="10"/>
      <c r="B127" s="9" t="s">
        <v>15</v>
      </c>
      <c r="C127" s="5"/>
      <c r="D127" s="14">
        <f>SUM(D126)</f>
        <v>6.2839999999999998</v>
      </c>
      <c r="F127" s="14">
        <v>4.8869999999999996</v>
      </c>
      <c r="H127" s="20"/>
      <c r="I127" s="20"/>
      <c r="J127" s="147"/>
      <c r="K127" s="197"/>
      <c r="L127" s="197"/>
      <c r="M127" s="197"/>
      <c r="N127" s="197"/>
    </row>
    <row r="128" spans="1:22" ht="15.75" x14ac:dyDescent="0.25">
      <c r="A128" s="1"/>
      <c r="B128" s="2"/>
      <c r="C128" s="1"/>
      <c r="D128" s="87"/>
      <c r="F128" s="87"/>
      <c r="H128" s="20"/>
      <c r="I128" s="20"/>
      <c r="J128" s="147"/>
      <c r="K128" s="197"/>
      <c r="L128" s="197"/>
      <c r="M128" s="197"/>
      <c r="N128" s="197"/>
    </row>
    <row r="129" spans="1:22" ht="15" x14ac:dyDescent="0.25">
      <c r="A129" s="1">
        <v>14</v>
      </c>
      <c r="B129" s="2" t="s">
        <v>28</v>
      </c>
      <c r="C129" s="1" t="s">
        <v>8</v>
      </c>
      <c r="D129" s="14">
        <v>342.017</v>
      </c>
      <c r="F129" s="89">
        <v>-20.305999999999983</v>
      </c>
      <c r="H129" s="20"/>
      <c r="I129" s="20"/>
      <c r="J129" s="147">
        <v>1.4787297691620922E-2</v>
      </c>
      <c r="K129" s="197">
        <v>5.6499999999999995E-2</v>
      </c>
      <c r="L129" s="197">
        <v>1.25</v>
      </c>
      <c r="M129" s="197">
        <v>0.50078889239507718</v>
      </c>
      <c r="N129" s="197">
        <v>0.75268470790377973</v>
      </c>
      <c r="P129" s="20">
        <f t="shared" ref="P129:P134" si="86">D129*$J129*$K129*10</f>
        <v>2.8574915649462387</v>
      </c>
      <c r="Q129" s="20">
        <f t="shared" ref="Q129:Q134" si="87">(P129*(EXP(1.01-0.34*LN(Q$10))*(1-$M129)+(1*$M129)))*$R$1</f>
        <v>2.2519538231878369</v>
      </c>
      <c r="R129" s="20">
        <f t="shared" ref="R129:R134" si="88">SUM(Q129:Q129)</f>
        <v>2.2519538231878369</v>
      </c>
      <c r="S129" s="20">
        <f t="shared" ref="S129:S134" si="89">D129*$J129*$L129*10</f>
        <v>63.218839932438904</v>
      </c>
      <c r="T129" s="20">
        <f t="shared" ref="T129:T134" si="90">(S129*(EXP(1.01-0.34*LN(T$10))*(1-$N129)+(1*$N129)))*$R$1</f>
        <v>62.714389153625781</v>
      </c>
      <c r="U129" s="20">
        <f t="shared" ref="U129:U134" si="91">SUM(T129:T129)</f>
        <v>62.714389153625781</v>
      </c>
      <c r="V129" s="191"/>
    </row>
    <row r="130" spans="1:22" ht="15" x14ac:dyDescent="0.25">
      <c r="A130" s="1"/>
      <c r="B130" s="2"/>
      <c r="C130" s="1" t="s">
        <v>9</v>
      </c>
      <c r="D130" s="14">
        <v>25.527000000000001</v>
      </c>
      <c r="F130" s="89">
        <v>5.2830000000000013</v>
      </c>
      <c r="H130" s="20"/>
      <c r="I130" s="20"/>
      <c r="J130" s="147">
        <v>2.0574595383241839E-2</v>
      </c>
      <c r="K130" s="197">
        <v>5.6499999999999995E-2</v>
      </c>
      <c r="L130" s="197">
        <v>1.25</v>
      </c>
      <c r="M130" s="197">
        <v>0.50078889239507718</v>
      </c>
      <c r="N130" s="197">
        <v>0.75268470790377973</v>
      </c>
      <c r="P130" s="20">
        <f t="shared" si="86"/>
        <v>0.29674234843662817</v>
      </c>
      <c r="Q130" s="20">
        <f t="shared" si="87"/>
        <v>0.23385898116419274</v>
      </c>
      <c r="R130" s="20">
        <f t="shared" si="88"/>
        <v>0.23385898116419274</v>
      </c>
      <c r="S130" s="20">
        <f t="shared" si="89"/>
        <v>6.5650962043501799</v>
      </c>
      <c r="T130" s="20">
        <f t="shared" si="90"/>
        <v>6.5127104298436125</v>
      </c>
      <c r="U130" s="20">
        <f t="shared" si="91"/>
        <v>6.5127104298436125</v>
      </c>
      <c r="V130" s="191"/>
    </row>
    <row r="131" spans="1:22" ht="15" x14ac:dyDescent="0.25">
      <c r="A131" s="1"/>
      <c r="B131" s="2"/>
      <c r="C131" s="1" t="s">
        <v>10</v>
      </c>
      <c r="D131" s="14">
        <v>31.783000000000001</v>
      </c>
      <c r="F131" s="89">
        <v>-2.1749999999999998</v>
      </c>
      <c r="H131" s="20"/>
      <c r="I131" s="20"/>
      <c r="J131" s="147">
        <v>2.6361893074862752E-2</v>
      </c>
      <c r="K131" s="197">
        <v>5.6499999999999995E-2</v>
      </c>
      <c r="L131" s="197">
        <v>1.25</v>
      </c>
      <c r="M131" s="197">
        <v>0.50078889239507718</v>
      </c>
      <c r="N131" s="197">
        <v>0.75268470790377973</v>
      </c>
      <c r="P131" s="20">
        <f t="shared" si="86"/>
        <v>0.47339092689307499</v>
      </c>
      <c r="Q131" s="20">
        <f t="shared" si="87"/>
        <v>0.3730735449080323</v>
      </c>
      <c r="R131" s="20">
        <f t="shared" si="88"/>
        <v>0.3730735449080323</v>
      </c>
      <c r="S131" s="20">
        <f t="shared" si="89"/>
        <v>10.473250594979536</v>
      </c>
      <c r="T131" s="20">
        <f t="shared" si="90"/>
        <v>10.389679946973521</v>
      </c>
      <c r="U131" s="20">
        <f t="shared" si="91"/>
        <v>10.389679946973521</v>
      </c>
      <c r="V131" s="191"/>
    </row>
    <row r="132" spans="1:22" ht="15" x14ac:dyDescent="0.25">
      <c r="A132" s="1"/>
      <c r="B132" s="2"/>
      <c r="C132" s="1" t="s">
        <v>11</v>
      </c>
      <c r="D132" s="14">
        <v>2.21</v>
      </c>
      <c r="F132" s="89">
        <v>-0.30299999999999994</v>
      </c>
      <c r="H132" s="20"/>
      <c r="I132" s="20"/>
      <c r="J132" s="147">
        <v>3.2149190766483676E-2</v>
      </c>
      <c r="K132" s="197">
        <v>5.6499999999999995E-2</v>
      </c>
      <c r="L132" s="197">
        <v>1.25</v>
      </c>
      <c r="M132" s="197">
        <v>0.50078889239507718</v>
      </c>
      <c r="N132" s="197">
        <v>0.75268470790377973</v>
      </c>
      <c r="P132" s="20">
        <f t="shared" si="86"/>
        <v>4.0143087050569834E-2</v>
      </c>
      <c r="Q132" s="20">
        <f t="shared" si="87"/>
        <v>3.1636271290198435E-2</v>
      </c>
      <c r="R132" s="20">
        <f t="shared" si="88"/>
        <v>3.1636271290198435E-2</v>
      </c>
      <c r="S132" s="20">
        <f t="shared" si="89"/>
        <v>0.88812139492411157</v>
      </c>
      <c r="T132" s="20">
        <f t="shared" si="90"/>
        <v>0.88103468580656297</v>
      </c>
      <c r="U132" s="20">
        <f t="shared" si="91"/>
        <v>0.88103468580656297</v>
      </c>
      <c r="V132" s="191"/>
    </row>
    <row r="133" spans="1:22" ht="15" x14ac:dyDescent="0.25">
      <c r="A133" s="1"/>
      <c r="B133" s="2"/>
      <c r="C133" s="1" t="s">
        <v>12</v>
      </c>
      <c r="D133" s="14">
        <v>3.0840000000000001</v>
      </c>
      <c r="F133" s="89">
        <v>3.004</v>
      </c>
      <c r="H133" s="20"/>
      <c r="I133" s="20"/>
      <c r="J133" s="147">
        <v>3.2149190766483676E-2</v>
      </c>
      <c r="K133" s="197">
        <v>5.6499999999999995E-2</v>
      </c>
      <c r="L133" s="197">
        <v>1.25</v>
      </c>
      <c r="M133" s="197">
        <v>0.50078889239507718</v>
      </c>
      <c r="N133" s="197">
        <v>0.75268470790377973</v>
      </c>
      <c r="P133" s="20">
        <f t="shared" si="86"/>
        <v>5.6018678942967137E-2</v>
      </c>
      <c r="Q133" s="20">
        <f t="shared" si="87"/>
        <v>4.4147629257453379E-2</v>
      </c>
      <c r="R133" s="20">
        <f t="shared" si="88"/>
        <v>4.4147629257453379E-2</v>
      </c>
      <c r="S133" s="20">
        <f t="shared" si="89"/>
        <v>1.2393513040479456</v>
      </c>
      <c r="T133" s="20">
        <f t="shared" si="90"/>
        <v>1.2294619778404705</v>
      </c>
      <c r="U133" s="20">
        <f t="shared" si="91"/>
        <v>1.2294619778404705</v>
      </c>
      <c r="V133" s="191"/>
    </row>
    <row r="134" spans="1:22" ht="15" x14ac:dyDescent="0.25">
      <c r="A134" s="1"/>
      <c r="B134" s="2"/>
      <c r="C134" s="1" t="s">
        <v>13</v>
      </c>
      <c r="D134" s="14">
        <v>0</v>
      </c>
      <c r="F134" s="89">
        <v>0</v>
      </c>
      <c r="H134" s="20"/>
      <c r="I134" s="20"/>
      <c r="J134" s="147"/>
      <c r="K134" s="197">
        <v>5.6499999999999995E-2</v>
      </c>
      <c r="L134" s="197">
        <v>1.25</v>
      </c>
      <c r="M134" s="197">
        <v>0.50078889239507718</v>
      </c>
      <c r="N134" s="197">
        <v>0.75268470790377973</v>
      </c>
      <c r="P134" s="20">
        <f t="shared" si="86"/>
        <v>0</v>
      </c>
      <c r="Q134" s="20">
        <f t="shared" si="87"/>
        <v>0</v>
      </c>
      <c r="R134" s="20">
        <f t="shared" si="88"/>
        <v>0</v>
      </c>
      <c r="S134" s="20">
        <f t="shared" si="89"/>
        <v>0</v>
      </c>
      <c r="T134" s="20">
        <f t="shared" si="90"/>
        <v>0</v>
      </c>
      <c r="U134" s="20">
        <f t="shared" si="91"/>
        <v>0</v>
      </c>
      <c r="V134" s="191"/>
    </row>
    <row r="135" spans="1:22" ht="15" x14ac:dyDescent="0.25">
      <c r="A135" s="7"/>
      <c r="B135" s="8" t="s">
        <v>14</v>
      </c>
      <c r="C135" s="7"/>
      <c r="D135" s="14">
        <f>SUM(D129:D134)</f>
        <v>404.62099999999998</v>
      </c>
      <c r="F135" s="14">
        <v>-14.49699999999998</v>
      </c>
      <c r="H135" s="20"/>
      <c r="I135" s="20"/>
      <c r="J135" s="147"/>
      <c r="K135" s="197"/>
      <c r="L135" s="197"/>
      <c r="M135" s="197"/>
      <c r="N135" s="197"/>
    </row>
    <row r="136" spans="1:22" ht="15" x14ac:dyDescent="0.25">
      <c r="A136" s="10"/>
      <c r="B136" s="9" t="s">
        <v>15</v>
      </c>
      <c r="C136" s="5"/>
      <c r="D136" s="14">
        <f>SUM(D135)</f>
        <v>404.62099999999998</v>
      </c>
      <c r="F136" s="14">
        <v>-14.49699999999998</v>
      </c>
      <c r="H136" s="20"/>
      <c r="I136" s="20"/>
      <c r="J136" s="147"/>
      <c r="K136" s="197"/>
      <c r="L136" s="197"/>
      <c r="M136" s="197"/>
      <c r="N136" s="197"/>
    </row>
    <row r="137" spans="1:22" ht="15.75" x14ac:dyDescent="0.25">
      <c r="A137" s="1"/>
      <c r="B137" s="2"/>
      <c r="C137" s="1"/>
      <c r="D137" s="87"/>
      <c r="F137" s="87"/>
      <c r="H137" s="20"/>
      <c r="I137" s="20"/>
      <c r="J137" s="147"/>
      <c r="K137" s="197"/>
      <c r="L137" s="197"/>
      <c r="M137" s="197"/>
      <c r="N137" s="197"/>
    </row>
    <row r="138" spans="1:22" ht="15" x14ac:dyDescent="0.25">
      <c r="A138" s="1">
        <v>15</v>
      </c>
      <c r="B138" s="2" t="s">
        <v>29</v>
      </c>
      <c r="C138" s="1" t="s">
        <v>8</v>
      </c>
      <c r="D138" s="14">
        <v>2.3759999999999999</v>
      </c>
      <c r="F138" s="89">
        <v>-5.9860000000000007</v>
      </c>
      <c r="H138" s="20"/>
      <c r="I138" s="20"/>
      <c r="J138" s="147">
        <v>0.76587686328660931</v>
      </c>
      <c r="K138" s="197">
        <v>1.2861473139312608E-2</v>
      </c>
      <c r="L138" s="197">
        <v>0.49282807343291918</v>
      </c>
      <c r="M138" s="197">
        <v>0.11808671869809276</v>
      </c>
      <c r="N138" s="197">
        <v>0.41263016220713056</v>
      </c>
      <c r="P138" s="20">
        <f t="shared" ref="P138:P143" si="92">D138*$J138*$K138*10</f>
        <v>0.23404323979511768</v>
      </c>
      <c r="Q138" s="20">
        <f t="shared" ref="Q138:Q143" si="93">(P138*(EXP(1.01-0.34*LN(Q$10))*(1-$M138)+(1*$M138)))*$R$1</f>
        <v>0.11193233249302395</v>
      </c>
      <c r="R138" s="20">
        <f t="shared" ref="R138:R143" si="94">SUM(Q138:Q138)</f>
        <v>0.11193233249302395</v>
      </c>
      <c r="S138" s="20">
        <f t="shared" ref="S138:S143" si="95">D138*$J138*$L138*10</f>
        <v>8.9681079079243933</v>
      </c>
      <c r="T138" s="20">
        <f t="shared" ref="T138:T143" si="96">(S138*(EXP(1.01-0.34*LN(T$10))*(1-$N138)+(1*$N138)))*$R$1</f>
        <v>6.4275776926670316</v>
      </c>
      <c r="U138" s="20">
        <f t="shared" ref="U138:U143" si="97">SUM(T138:T138)</f>
        <v>6.4275776926670316</v>
      </c>
      <c r="V138" s="191"/>
    </row>
    <row r="139" spans="1:22" ht="15" x14ac:dyDescent="0.25">
      <c r="A139" s="1"/>
      <c r="B139" s="2"/>
      <c r="C139" s="1" t="s">
        <v>9</v>
      </c>
      <c r="D139" s="14">
        <v>2.1269999999999998</v>
      </c>
      <c r="F139" s="89">
        <v>-4.4710000000000001</v>
      </c>
      <c r="H139" s="20"/>
      <c r="I139" s="20"/>
      <c r="J139" s="147">
        <v>0.76675372657321839</v>
      </c>
      <c r="K139" s="197">
        <v>1.2861473139312608E-2</v>
      </c>
      <c r="L139" s="197">
        <v>0.49282807343291918</v>
      </c>
      <c r="M139" s="197">
        <v>0.11808671869809276</v>
      </c>
      <c r="N139" s="197">
        <v>0.41263016220713056</v>
      </c>
      <c r="P139" s="20">
        <f t="shared" si="92"/>
        <v>0.20975585889844822</v>
      </c>
      <c r="Q139" s="20">
        <f t="shared" si="93"/>
        <v>0.10031677292253369</v>
      </c>
      <c r="R139" s="20">
        <f t="shared" si="94"/>
        <v>0.10031677292253369</v>
      </c>
      <c r="S139" s="20">
        <f t="shared" si="95"/>
        <v>8.0374599948598391</v>
      </c>
      <c r="T139" s="20">
        <f t="shared" si="96"/>
        <v>5.7605683494302919</v>
      </c>
      <c r="U139" s="20">
        <f t="shared" si="97"/>
        <v>5.7605683494302919</v>
      </c>
      <c r="V139" s="191"/>
    </row>
    <row r="140" spans="1:22" ht="15" x14ac:dyDescent="0.25">
      <c r="A140" s="1"/>
      <c r="B140" s="2"/>
      <c r="C140" s="1" t="s">
        <v>10</v>
      </c>
      <c r="D140" s="14">
        <v>0.78300000000000003</v>
      </c>
      <c r="F140" s="89">
        <v>-2.2640000000000002</v>
      </c>
      <c r="H140" s="20"/>
      <c r="I140" s="20"/>
      <c r="J140" s="147">
        <v>0.76763058985982757</v>
      </c>
      <c r="K140" s="197">
        <v>1.2861473139312608E-2</v>
      </c>
      <c r="L140" s="197">
        <v>0.49282807343291918</v>
      </c>
      <c r="M140" s="197">
        <v>0.11808671869809276</v>
      </c>
      <c r="N140" s="197">
        <v>0.41263016220713056</v>
      </c>
      <c r="P140" s="20">
        <f t="shared" si="92"/>
        <v>7.7304495463067474E-2</v>
      </c>
      <c r="Q140" s="20">
        <f t="shared" si="93"/>
        <v>3.6971255811329082E-2</v>
      </c>
      <c r="R140" s="20">
        <f t="shared" si="94"/>
        <v>3.6971255811329082E-2</v>
      </c>
      <c r="S140" s="20">
        <f t="shared" si="95"/>
        <v>2.9621665538698587</v>
      </c>
      <c r="T140" s="20">
        <f t="shared" si="96"/>
        <v>2.1230292787617508</v>
      </c>
      <c r="U140" s="20">
        <f t="shared" si="97"/>
        <v>2.1230292787617508</v>
      </c>
      <c r="V140" s="191"/>
    </row>
    <row r="141" spans="1:22" ht="15" x14ac:dyDescent="0.25">
      <c r="A141" s="1"/>
      <c r="B141" s="2"/>
      <c r="C141" s="1" t="s">
        <v>11</v>
      </c>
      <c r="D141" s="14">
        <v>0.96499999999999997</v>
      </c>
      <c r="F141" s="89">
        <v>-0.58199999999999996</v>
      </c>
      <c r="H141" s="20"/>
      <c r="I141" s="20"/>
      <c r="J141" s="147">
        <v>0.76850745314643687</v>
      </c>
      <c r="K141" s="197">
        <v>1.2861473139312608E-2</v>
      </c>
      <c r="L141" s="197">
        <v>0.49282807343291918</v>
      </c>
      <c r="M141" s="197">
        <v>0.11808671869809276</v>
      </c>
      <c r="N141" s="197">
        <v>0.41263016220713056</v>
      </c>
      <c r="P141" s="20">
        <f t="shared" si="92"/>
        <v>9.5381931371942855E-2</v>
      </c>
      <c r="Q141" s="20">
        <f t="shared" si="93"/>
        <v>4.5616878596866077E-2</v>
      </c>
      <c r="R141" s="20">
        <f t="shared" si="94"/>
        <v>4.5616878596866077E-2</v>
      </c>
      <c r="S141" s="20">
        <f t="shared" si="95"/>
        <v>3.6548607588864295</v>
      </c>
      <c r="T141" s="20">
        <f t="shared" si="96"/>
        <v>2.6194936239409672</v>
      </c>
      <c r="U141" s="20">
        <f t="shared" si="97"/>
        <v>2.6194936239409672</v>
      </c>
      <c r="V141" s="191"/>
    </row>
    <row r="142" spans="1:22" ht="15" x14ac:dyDescent="0.25">
      <c r="A142" s="1"/>
      <c r="B142" s="2"/>
      <c r="C142" s="1" t="s">
        <v>12</v>
      </c>
      <c r="D142" s="14">
        <v>136.84700000000001</v>
      </c>
      <c r="F142" s="89">
        <v>-2.8349999999999795</v>
      </c>
      <c r="H142" s="20"/>
      <c r="I142" s="20"/>
      <c r="J142" s="147">
        <v>0.76850745314643687</v>
      </c>
      <c r="K142" s="197">
        <v>1.2861473139312608E-2</v>
      </c>
      <c r="L142" s="197">
        <v>0.49282807343291918</v>
      </c>
      <c r="M142" s="197">
        <v>0.11808671869809276</v>
      </c>
      <c r="N142" s="197">
        <v>0.41263016220713056</v>
      </c>
      <c r="P142" s="20">
        <f t="shared" si="92"/>
        <v>13.526146282338098</v>
      </c>
      <c r="Q142" s="20">
        <f t="shared" si="93"/>
        <v>6.4689460988034542</v>
      </c>
      <c r="R142" s="20">
        <f t="shared" si="94"/>
        <v>6.4689460988034542</v>
      </c>
      <c r="S142" s="20">
        <f t="shared" si="95"/>
        <v>518.29712981485102</v>
      </c>
      <c r="T142" s="20">
        <f t="shared" si="96"/>
        <v>371.47134088647618</v>
      </c>
      <c r="U142" s="20">
        <f t="shared" si="97"/>
        <v>371.47134088647618</v>
      </c>
      <c r="V142" s="191"/>
    </row>
    <row r="143" spans="1:22" ht="15" x14ac:dyDescent="0.25">
      <c r="A143" s="1"/>
      <c r="B143" s="2"/>
      <c r="C143" s="1" t="s">
        <v>13</v>
      </c>
      <c r="D143" s="14">
        <v>0</v>
      </c>
      <c r="F143" s="89">
        <v>0</v>
      </c>
      <c r="H143" s="20"/>
      <c r="I143" s="20"/>
      <c r="J143" s="147"/>
      <c r="K143" s="197">
        <v>1.2861473139312608E-2</v>
      </c>
      <c r="L143" s="197">
        <v>0.49282807343291918</v>
      </c>
      <c r="M143" s="197">
        <v>0.11808671869809276</v>
      </c>
      <c r="N143" s="197">
        <v>0.41263016220713056</v>
      </c>
      <c r="P143" s="20">
        <f t="shared" si="92"/>
        <v>0</v>
      </c>
      <c r="Q143" s="20">
        <f t="shared" si="93"/>
        <v>0</v>
      </c>
      <c r="R143" s="20">
        <f t="shared" si="94"/>
        <v>0</v>
      </c>
      <c r="S143" s="20">
        <f t="shared" si="95"/>
        <v>0</v>
      </c>
      <c r="T143" s="20">
        <f t="shared" si="96"/>
        <v>0</v>
      </c>
      <c r="U143" s="20">
        <f t="shared" si="97"/>
        <v>0</v>
      </c>
      <c r="V143" s="191"/>
    </row>
    <row r="144" spans="1:22" ht="15" x14ac:dyDescent="0.25">
      <c r="A144" s="7"/>
      <c r="B144" s="8" t="s">
        <v>14</v>
      </c>
      <c r="C144" s="7"/>
      <c r="D144" s="14">
        <f>SUM(D138:D143)</f>
        <v>143.09800000000001</v>
      </c>
      <c r="F144" s="14">
        <v>-16.13799999999998</v>
      </c>
      <c r="H144" s="20"/>
      <c r="I144" s="20"/>
      <c r="J144" s="147"/>
      <c r="K144" s="197"/>
      <c r="L144" s="197"/>
      <c r="M144" s="197"/>
      <c r="N144" s="197"/>
    </row>
    <row r="145" spans="1:22" ht="15" x14ac:dyDescent="0.25">
      <c r="A145" s="10"/>
      <c r="B145" s="9" t="s">
        <v>15</v>
      </c>
      <c r="C145" s="5"/>
      <c r="D145" s="14">
        <f>SUM(D144)</f>
        <v>143.09800000000001</v>
      </c>
      <c r="F145" s="14">
        <v>-16.13799999999998</v>
      </c>
      <c r="H145" s="20"/>
      <c r="I145" s="20"/>
      <c r="J145" s="147"/>
      <c r="K145" s="197"/>
      <c r="L145" s="197"/>
      <c r="M145" s="197"/>
      <c r="N145" s="197"/>
    </row>
    <row r="146" spans="1:22" ht="15.75" x14ac:dyDescent="0.25">
      <c r="A146" s="1"/>
      <c r="B146" s="2"/>
      <c r="C146" s="1"/>
      <c r="D146" s="87"/>
      <c r="F146" s="87"/>
      <c r="H146" s="20"/>
      <c r="I146" s="20"/>
      <c r="J146" s="147"/>
      <c r="K146" s="197"/>
      <c r="L146" s="197"/>
      <c r="M146" s="197"/>
      <c r="N146" s="197"/>
    </row>
    <row r="147" spans="1:22" ht="15" x14ac:dyDescent="0.25">
      <c r="A147" s="1">
        <v>16</v>
      </c>
      <c r="B147" s="2" t="s">
        <v>30</v>
      </c>
      <c r="C147" s="1" t="s">
        <v>8</v>
      </c>
      <c r="D147" s="14">
        <v>22.571000000000002</v>
      </c>
      <c r="F147" s="89">
        <v>-2.4569999999999972</v>
      </c>
      <c r="H147" s="20"/>
      <c r="I147" s="20"/>
      <c r="J147" s="147">
        <v>0.6764614388110155</v>
      </c>
      <c r="K147" s="197">
        <v>5.6499999999999995E-2</v>
      </c>
      <c r="L147" s="197">
        <v>1.25</v>
      </c>
      <c r="M147" s="197">
        <v>0.50650413159351704</v>
      </c>
      <c r="N147" s="197">
        <v>0.77519673403474398</v>
      </c>
      <c r="P147" s="20">
        <f t="shared" ref="P147:P152" si="98">D147*$J147*$K147*10</f>
        <v>8.6266522915029373</v>
      </c>
      <c r="Q147" s="20">
        <f t="shared" ref="Q147:Q152" si="99">(P147*(EXP(1.01-0.34*LN(Q$10))*(1-$M147)+(1*$M147)))*$R$1</f>
        <v>6.8384738017324889</v>
      </c>
      <c r="R147" s="20">
        <f t="shared" ref="R147:R152" si="100">SUM(Q147:Q147)</f>
        <v>6.8384738017324889</v>
      </c>
      <c r="S147" s="20">
        <f t="shared" ref="S147:S152" si="101">D147*$J147*$L147*10</f>
        <v>190.85513919254288</v>
      </c>
      <c r="T147" s="20">
        <f t="shared" ref="T147:T152" si="102">(S147*(EXP(1.01-0.34*LN(T$10))*(1-$N147)+(1*$N147)))*$R$1</f>
        <v>192.81066484693866</v>
      </c>
      <c r="U147" s="20">
        <f t="shared" ref="U147:U152" si="103">SUM(T147:T147)</f>
        <v>192.81066484693866</v>
      </c>
      <c r="V147" s="191"/>
    </row>
    <row r="148" spans="1:22" ht="15" x14ac:dyDescent="0.25">
      <c r="A148" s="1"/>
      <c r="B148" s="2"/>
      <c r="C148" s="1" t="s">
        <v>9</v>
      </c>
      <c r="D148" s="14">
        <v>196.81299999999999</v>
      </c>
      <c r="F148" s="89">
        <v>5.0019999999999811</v>
      </c>
      <c r="H148" s="20"/>
      <c r="I148" s="20"/>
      <c r="J148" s="147">
        <v>0.67792287762203074</v>
      </c>
      <c r="K148" s="197">
        <v>5.6499999999999995E-2</v>
      </c>
      <c r="L148" s="197">
        <v>1.25</v>
      </c>
      <c r="M148" s="197">
        <v>0.50650413159351704</v>
      </c>
      <c r="N148" s="197">
        <v>0.77519673403474398</v>
      </c>
      <c r="P148" s="20">
        <f t="shared" si="98"/>
        <v>75.384579952084962</v>
      </c>
      <c r="Q148" s="20">
        <f t="shared" si="99"/>
        <v>59.758462221169225</v>
      </c>
      <c r="R148" s="20">
        <f t="shared" si="100"/>
        <v>59.758462221169225</v>
      </c>
      <c r="S148" s="20">
        <f t="shared" si="101"/>
        <v>1667.800441417809</v>
      </c>
      <c r="T148" s="20">
        <f t="shared" si="102"/>
        <v>1684.8889335768538</v>
      </c>
      <c r="U148" s="20">
        <f t="shared" si="103"/>
        <v>1684.8889335768538</v>
      </c>
      <c r="V148" s="191"/>
    </row>
    <row r="149" spans="1:22" ht="15" x14ac:dyDescent="0.25">
      <c r="A149" s="1"/>
      <c r="B149" s="2"/>
      <c r="C149" s="1" t="s">
        <v>10</v>
      </c>
      <c r="D149" s="14">
        <v>13.791</v>
      </c>
      <c r="F149" s="89">
        <v>-4.2450000000000001</v>
      </c>
      <c r="H149" s="20"/>
      <c r="I149" s="20"/>
      <c r="J149" s="147">
        <v>0.6793843164330462</v>
      </c>
      <c r="K149" s="197">
        <v>5.6499999999999995E-2</v>
      </c>
      <c r="L149" s="197">
        <v>1.25</v>
      </c>
      <c r="M149" s="197">
        <v>0.50650413159351704</v>
      </c>
      <c r="N149" s="197">
        <v>0.77519673403474398</v>
      </c>
      <c r="P149" s="20">
        <f t="shared" si="98"/>
        <v>5.2937048459793985</v>
      </c>
      <c r="Q149" s="20">
        <f t="shared" si="99"/>
        <v>4.1963974761091842</v>
      </c>
      <c r="R149" s="20">
        <f t="shared" si="100"/>
        <v>4.1963974761091842</v>
      </c>
      <c r="S149" s="20">
        <f t="shared" si="101"/>
        <v>117.11736384910176</v>
      </c>
      <c r="T149" s="20">
        <f t="shared" si="102"/>
        <v>118.31736302413616</v>
      </c>
      <c r="U149" s="20">
        <f t="shared" si="103"/>
        <v>118.31736302413616</v>
      </c>
      <c r="V149" s="191"/>
    </row>
    <row r="150" spans="1:22" ht="15" x14ac:dyDescent="0.25">
      <c r="A150" s="1"/>
      <c r="B150" s="2"/>
      <c r="C150" s="1" t="s">
        <v>11</v>
      </c>
      <c r="D150" s="14">
        <v>84.144000000000005</v>
      </c>
      <c r="F150" s="89">
        <v>1.4770000000000039</v>
      </c>
      <c r="H150" s="20"/>
      <c r="I150" s="20"/>
      <c r="J150" s="147">
        <v>0.68084575524406155</v>
      </c>
      <c r="K150" s="197">
        <v>5.6499999999999995E-2</v>
      </c>
      <c r="L150" s="197">
        <v>1.25</v>
      </c>
      <c r="M150" s="197">
        <v>0.50650413159351704</v>
      </c>
      <c r="N150" s="197">
        <v>0.77519673403474398</v>
      </c>
      <c r="P150" s="20">
        <f t="shared" si="98"/>
        <v>32.368333154529815</v>
      </c>
      <c r="Q150" s="20">
        <f t="shared" si="99"/>
        <v>25.658852449753439</v>
      </c>
      <c r="R150" s="20">
        <f t="shared" si="100"/>
        <v>25.658852449753439</v>
      </c>
      <c r="S150" s="20">
        <f t="shared" si="101"/>
        <v>716.11356536570395</v>
      </c>
      <c r="T150" s="20">
        <f t="shared" si="102"/>
        <v>723.45095462573704</v>
      </c>
      <c r="U150" s="20">
        <f t="shared" si="103"/>
        <v>723.45095462573704</v>
      </c>
      <c r="V150" s="191"/>
    </row>
    <row r="151" spans="1:22" ht="15" x14ac:dyDescent="0.25">
      <c r="A151" s="1"/>
      <c r="B151" s="2"/>
      <c r="C151" s="1" t="s">
        <v>12</v>
      </c>
      <c r="D151" s="14">
        <v>21.035</v>
      </c>
      <c r="F151" s="89">
        <v>-6.26</v>
      </c>
      <c r="H151" s="20"/>
      <c r="I151" s="20"/>
      <c r="J151" s="147">
        <v>0.68084575524406166</v>
      </c>
      <c r="K151" s="197">
        <v>5.6499999999999995E-2</v>
      </c>
      <c r="L151" s="197">
        <v>1.25</v>
      </c>
      <c r="M151" s="197">
        <v>0.50650413159351704</v>
      </c>
      <c r="N151" s="197">
        <v>0.77519673403474398</v>
      </c>
      <c r="P151" s="20">
        <f t="shared" si="98"/>
        <v>8.0916986107807425</v>
      </c>
      <c r="Q151" s="20">
        <f t="shared" si="99"/>
        <v>6.4144081726630979</v>
      </c>
      <c r="R151" s="20">
        <f t="shared" si="100"/>
        <v>6.4144081726630979</v>
      </c>
      <c r="S151" s="20">
        <f t="shared" si="101"/>
        <v>179.0198807694855</v>
      </c>
      <c r="T151" s="20">
        <f t="shared" si="102"/>
        <v>180.85414088410801</v>
      </c>
      <c r="U151" s="20">
        <f t="shared" si="103"/>
        <v>180.85414088410801</v>
      </c>
      <c r="V151" s="191"/>
    </row>
    <row r="152" spans="1:22" ht="15" x14ac:dyDescent="0.25">
      <c r="A152" s="1"/>
      <c r="B152" s="2"/>
      <c r="C152" s="1" t="s">
        <v>13</v>
      </c>
      <c r="D152" s="14">
        <v>0</v>
      </c>
      <c r="F152" s="89">
        <v>0</v>
      </c>
      <c r="H152" s="20"/>
      <c r="I152" s="20"/>
      <c r="J152" s="147"/>
      <c r="K152" s="197">
        <v>5.6499999999999995E-2</v>
      </c>
      <c r="L152" s="197">
        <v>1.25</v>
      </c>
      <c r="M152" s="197">
        <v>0.50650413159351704</v>
      </c>
      <c r="N152" s="197">
        <v>0.77519673403474398</v>
      </c>
      <c r="P152" s="20">
        <f t="shared" si="98"/>
        <v>0</v>
      </c>
      <c r="Q152" s="20">
        <f t="shared" si="99"/>
        <v>0</v>
      </c>
      <c r="R152" s="20">
        <f t="shared" si="100"/>
        <v>0</v>
      </c>
      <c r="S152" s="20">
        <f t="shared" si="101"/>
        <v>0</v>
      </c>
      <c r="T152" s="20">
        <f t="shared" si="102"/>
        <v>0</v>
      </c>
      <c r="U152" s="20">
        <f t="shared" si="103"/>
        <v>0</v>
      </c>
      <c r="V152" s="191"/>
    </row>
    <row r="153" spans="1:22" ht="15" x14ac:dyDescent="0.25">
      <c r="A153" s="7"/>
      <c r="B153" s="8" t="s">
        <v>14</v>
      </c>
      <c r="C153" s="7"/>
      <c r="D153" s="14">
        <f>SUM(D147:D152)</f>
        <v>338.35399999999998</v>
      </c>
      <c r="F153" s="14">
        <v>-6.4830000000000148</v>
      </c>
      <c r="H153" s="20"/>
      <c r="I153" s="20"/>
      <c r="J153" s="147"/>
      <c r="K153" s="197"/>
      <c r="L153" s="197"/>
      <c r="M153" s="197"/>
      <c r="N153" s="197"/>
    </row>
    <row r="154" spans="1:22" ht="15" x14ac:dyDescent="0.25">
      <c r="A154" s="10"/>
      <c r="B154" s="9" t="s">
        <v>15</v>
      </c>
      <c r="C154" s="5"/>
      <c r="D154" s="14">
        <f>SUM(D153)</f>
        <v>338.35399999999998</v>
      </c>
      <c r="F154" s="14">
        <v>-6.4830000000000148</v>
      </c>
      <c r="H154" s="20"/>
      <c r="I154" s="20"/>
      <c r="J154" s="147"/>
      <c r="K154" s="197"/>
      <c r="L154" s="197"/>
      <c r="M154" s="197"/>
      <c r="N154" s="197"/>
    </row>
    <row r="155" spans="1:22" ht="15.75" x14ac:dyDescent="0.25">
      <c r="A155" s="1"/>
      <c r="B155" s="2"/>
      <c r="C155" s="1"/>
      <c r="D155" s="87"/>
      <c r="F155" s="87"/>
      <c r="H155" s="20"/>
      <c r="I155" s="20"/>
      <c r="J155" s="147"/>
      <c r="K155" s="197"/>
      <c r="L155" s="197"/>
      <c r="M155" s="197"/>
      <c r="N155" s="197"/>
    </row>
    <row r="156" spans="1:22" ht="15" x14ac:dyDescent="0.25">
      <c r="A156" s="1">
        <v>17</v>
      </c>
      <c r="B156" s="2" t="s">
        <v>31</v>
      </c>
      <c r="C156" s="1" t="s">
        <v>8</v>
      </c>
      <c r="D156" s="14">
        <v>0</v>
      </c>
      <c r="F156" s="89">
        <v>0</v>
      </c>
      <c r="H156" s="20"/>
      <c r="I156" s="20"/>
      <c r="J156" s="147"/>
      <c r="K156" s="197"/>
      <c r="L156" s="197"/>
      <c r="M156" s="197"/>
      <c r="N156" s="197"/>
      <c r="P156" s="20">
        <f t="shared" ref="P156:P161" si="104">IF(F156&gt;0,((D156-F156)*$J156*$K156*10)+(F156*$H$12*$J156*$K156*10),(D156*$J156*$K156*10))</f>
        <v>0</v>
      </c>
      <c r="Q156" s="20">
        <f t="shared" ref="Q156:Q161" si="105">(P156*(EXP(1.01-0.34*LN(Q$10))*(1-$M156)+(1*$M156)))*$R$1</f>
        <v>0</v>
      </c>
      <c r="R156" s="20">
        <f t="shared" ref="R156:R161" si="106">SUM(Q156:Q156)</f>
        <v>0</v>
      </c>
      <c r="S156" s="20">
        <f t="shared" ref="S156:S161" si="107">IF(F156&gt;0,((D156-F156)*$J156*$L156*10)+(F156*$I$12*$J156*$L156)*10,(D156*$J156*$L156*10))</f>
        <v>0</v>
      </c>
      <c r="T156" s="20">
        <f t="shared" ref="T156:T161" si="108">(S156*(EXP(1.01-0.34*LN(T$10))*(1-$N156)+(1*$N156)))*$R$1</f>
        <v>0</v>
      </c>
      <c r="U156" s="20">
        <f t="shared" ref="U156:U161" si="109">SUM(T156:T156)</f>
        <v>0</v>
      </c>
      <c r="V156" s="191"/>
    </row>
    <row r="157" spans="1:22" ht="15" x14ac:dyDescent="0.25">
      <c r="A157" s="1"/>
      <c r="B157" s="2"/>
      <c r="C157" s="1" t="s">
        <v>9</v>
      </c>
      <c r="D157" s="14">
        <v>0</v>
      </c>
      <c r="F157" s="89">
        <v>0</v>
      </c>
      <c r="H157" s="20"/>
      <c r="I157" s="20"/>
      <c r="J157" s="147"/>
      <c r="K157" s="197"/>
      <c r="L157" s="197"/>
      <c r="M157" s="197"/>
      <c r="N157" s="197"/>
      <c r="P157" s="20">
        <f t="shared" si="104"/>
        <v>0</v>
      </c>
      <c r="Q157" s="20">
        <f t="shared" si="105"/>
        <v>0</v>
      </c>
      <c r="R157" s="20">
        <f t="shared" si="106"/>
        <v>0</v>
      </c>
      <c r="S157" s="20">
        <f t="shared" si="107"/>
        <v>0</v>
      </c>
      <c r="T157" s="20">
        <f t="shared" si="108"/>
        <v>0</v>
      </c>
      <c r="U157" s="20">
        <f t="shared" si="109"/>
        <v>0</v>
      </c>
      <c r="V157" s="191"/>
    </row>
    <row r="158" spans="1:22" ht="15" x14ac:dyDescent="0.25">
      <c r="A158" s="1"/>
      <c r="B158" s="2"/>
      <c r="C158" s="1" t="s">
        <v>10</v>
      </c>
      <c r="D158" s="14">
        <v>0</v>
      </c>
      <c r="F158" s="89">
        <v>0</v>
      </c>
      <c r="H158" s="20"/>
      <c r="I158" s="20"/>
      <c r="J158" s="147"/>
      <c r="K158" s="197"/>
      <c r="L158" s="197"/>
      <c r="M158" s="197"/>
      <c r="N158" s="197"/>
      <c r="P158" s="20">
        <f t="shared" si="104"/>
        <v>0</v>
      </c>
      <c r="Q158" s="20">
        <f t="shared" si="105"/>
        <v>0</v>
      </c>
      <c r="R158" s="20">
        <f t="shared" si="106"/>
        <v>0</v>
      </c>
      <c r="S158" s="20">
        <f t="shared" si="107"/>
        <v>0</v>
      </c>
      <c r="T158" s="20">
        <f t="shared" si="108"/>
        <v>0</v>
      </c>
      <c r="U158" s="20">
        <f t="shared" si="109"/>
        <v>0</v>
      </c>
      <c r="V158" s="191"/>
    </row>
    <row r="159" spans="1:22" ht="15" x14ac:dyDescent="0.25">
      <c r="A159" s="1"/>
      <c r="B159" s="2"/>
      <c r="C159" s="1" t="s">
        <v>11</v>
      </c>
      <c r="D159" s="14">
        <v>0</v>
      </c>
      <c r="F159" s="89">
        <v>0</v>
      </c>
      <c r="H159" s="20"/>
      <c r="I159" s="20"/>
      <c r="J159" s="147"/>
      <c r="K159" s="197"/>
      <c r="L159" s="197"/>
      <c r="M159" s="197"/>
      <c r="N159" s="197"/>
      <c r="P159" s="20">
        <f t="shared" si="104"/>
        <v>0</v>
      </c>
      <c r="Q159" s="20">
        <f t="shared" si="105"/>
        <v>0</v>
      </c>
      <c r="R159" s="20">
        <f t="shared" si="106"/>
        <v>0</v>
      </c>
      <c r="S159" s="20">
        <f t="shared" si="107"/>
        <v>0</v>
      </c>
      <c r="T159" s="20">
        <f t="shared" si="108"/>
        <v>0</v>
      </c>
      <c r="U159" s="20">
        <f t="shared" si="109"/>
        <v>0</v>
      </c>
      <c r="V159" s="191"/>
    </row>
    <row r="160" spans="1:22" ht="15" x14ac:dyDescent="0.25">
      <c r="A160" s="1"/>
      <c r="B160" s="2"/>
      <c r="C160" s="1" t="s">
        <v>12</v>
      </c>
      <c r="D160" s="14">
        <v>0</v>
      </c>
      <c r="F160" s="89">
        <v>0</v>
      </c>
      <c r="H160" s="20"/>
      <c r="I160" s="20"/>
      <c r="J160" s="147"/>
      <c r="K160" s="197"/>
      <c r="L160" s="197"/>
      <c r="M160" s="197"/>
      <c r="N160" s="197"/>
      <c r="P160" s="20">
        <f t="shared" si="104"/>
        <v>0</v>
      </c>
      <c r="Q160" s="20">
        <f t="shared" si="105"/>
        <v>0</v>
      </c>
      <c r="R160" s="20">
        <f t="shared" si="106"/>
        <v>0</v>
      </c>
      <c r="S160" s="20">
        <f t="shared" si="107"/>
        <v>0</v>
      </c>
      <c r="T160" s="20">
        <f t="shared" si="108"/>
        <v>0</v>
      </c>
      <c r="U160" s="20">
        <f t="shared" si="109"/>
        <v>0</v>
      </c>
      <c r="V160" s="191"/>
    </row>
    <row r="161" spans="1:22" ht="15" x14ac:dyDescent="0.25">
      <c r="A161" s="1"/>
      <c r="B161" s="2"/>
      <c r="C161" s="1" t="s">
        <v>13</v>
      </c>
      <c r="D161" s="14">
        <v>0</v>
      </c>
      <c r="F161" s="89">
        <v>0</v>
      </c>
      <c r="H161" s="20"/>
      <c r="I161" s="20"/>
      <c r="J161" s="147"/>
      <c r="K161" s="197"/>
      <c r="L161" s="197"/>
      <c r="M161" s="197"/>
      <c r="N161" s="197"/>
      <c r="P161" s="20">
        <f t="shared" si="104"/>
        <v>0</v>
      </c>
      <c r="Q161" s="20">
        <f t="shared" si="105"/>
        <v>0</v>
      </c>
      <c r="R161" s="20">
        <f t="shared" si="106"/>
        <v>0</v>
      </c>
      <c r="S161" s="20">
        <f t="shared" si="107"/>
        <v>0</v>
      </c>
      <c r="T161" s="20">
        <f t="shared" si="108"/>
        <v>0</v>
      </c>
      <c r="U161" s="20">
        <f t="shared" si="109"/>
        <v>0</v>
      </c>
      <c r="V161" s="191"/>
    </row>
    <row r="162" spans="1:22" ht="15" x14ac:dyDescent="0.25">
      <c r="A162" s="7"/>
      <c r="B162" s="8" t="s">
        <v>14</v>
      </c>
      <c r="C162" s="7"/>
      <c r="D162" s="14">
        <f>SUM(D156:D161)</f>
        <v>0</v>
      </c>
      <c r="F162" s="14">
        <v>0</v>
      </c>
      <c r="H162" s="20"/>
      <c r="I162" s="20"/>
      <c r="J162" s="147"/>
      <c r="K162" s="197"/>
      <c r="L162" s="197"/>
      <c r="M162" s="197"/>
      <c r="N162" s="197"/>
    </row>
    <row r="163" spans="1:22" ht="15" x14ac:dyDescent="0.25">
      <c r="A163" s="10"/>
      <c r="B163" s="9" t="s">
        <v>15</v>
      </c>
      <c r="C163" s="5"/>
      <c r="D163" s="14">
        <f>SUM(D162)</f>
        <v>0</v>
      </c>
      <c r="F163" s="14">
        <v>0</v>
      </c>
      <c r="H163" s="20"/>
      <c r="I163" s="20"/>
      <c r="J163" s="147"/>
      <c r="K163" s="197"/>
      <c r="L163" s="197"/>
      <c r="M163" s="197"/>
      <c r="N163" s="197"/>
    </row>
    <row r="164" spans="1:22" ht="15.75" x14ac:dyDescent="0.25">
      <c r="A164" s="1"/>
      <c r="B164" s="2"/>
      <c r="C164" s="1"/>
      <c r="D164" s="87"/>
      <c r="F164" s="87"/>
      <c r="H164" s="20"/>
      <c r="I164" s="20"/>
      <c r="J164" s="147"/>
      <c r="K164" s="197"/>
      <c r="L164" s="197"/>
      <c r="M164" s="197"/>
      <c r="N164" s="197"/>
    </row>
    <row r="165" spans="1:22" ht="15" x14ac:dyDescent="0.25">
      <c r="A165" s="1">
        <v>18</v>
      </c>
      <c r="B165" s="2" t="s">
        <v>709</v>
      </c>
      <c r="C165" s="1" t="s">
        <v>8</v>
      </c>
      <c r="D165" s="14">
        <v>0</v>
      </c>
      <c r="F165" s="89">
        <v>0</v>
      </c>
      <c r="H165" s="20"/>
      <c r="I165" s="20"/>
      <c r="J165" s="147"/>
      <c r="K165" s="197">
        <v>0.66599999999999993</v>
      </c>
      <c r="L165" s="197">
        <v>4.5549999999999997</v>
      </c>
      <c r="M165" s="197">
        <v>0.60039794540960334</v>
      </c>
      <c r="N165" s="197">
        <v>0.90789473684210531</v>
      </c>
      <c r="P165" s="20">
        <f t="shared" ref="P165:P170" si="110">IF(F165&gt;0,((D165-F165)*$J165*$K165*10)+(F165*$H$12*$J165*$K165*10),(D165*$J165*$K165*10))</f>
        <v>0</v>
      </c>
      <c r="Q165" s="20">
        <f t="shared" ref="Q165:Q170" si="111">(P165*(EXP(1.01-0.34*LN(Q$10))*(1-$M165)+(1*$M165)))*$R$1</f>
        <v>0</v>
      </c>
      <c r="R165" s="20">
        <f t="shared" ref="R165:R170" si="112">SUM(Q165:Q165)</f>
        <v>0</v>
      </c>
      <c r="S165" s="20">
        <f t="shared" ref="S165:S170" si="113">IF(F165&gt;0,((D165-F165)*$J165*$L165*10)+(F165*$I$12*$J165*$L165)*10,(D165*$J165*$L165*10))</f>
        <v>0</v>
      </c>
      <c r="T165" s="20">
        <f t="shared" ref="T165:T170" si="114">(S165*(EXP(1.01-0.34*LN(T$10))*(1-$N165)+(1*$N165)))*$R$1</f>
        <v>0</v>
      </c>
      <c r="U165" s="20">
        <f t="shared" ref="U165:U170" si="115">SUM(T165:T165)</f>
        <v>0</v>
      </c>
      <c r="V165" s="191"/>
    </row>
    <row r="166" spans="1:22" ht="15" x14ac:dyDescent="0.25">
      <c r="A166" s="1"/>
      <c r="B166" s="2"/>
      <c r="C166" s="1" t="s">
        <v>9</v>
      </c>
      <c r="D166" s="14">
        <v>0</v>
      </c>
      <c r="F166" s="89">
        <v>0</v>
      </c>
      <c r="H166" s="20"/>
      <c r="I166" s="20"/>
      <c r="J166" s="147"/>
      <c r="K166" s="197">
        <v>0.66599999999999993</v>
      </c>
      <c r="L166" s="197">
        <v>4.5549999999999997</v>
      </c>
      <c r="M166" s="197">
        <v>0.60039794540960334</v>
      </c>
      <c r="N166" s="197">
        <v>0.90789473684210531</v>
      </c>
      <c r="P166" s="20">
        <f t="shared" si="110"/>
        <v>0</v>
      </c>
      <c r="Q166" s="20">
        <f t="shared" si="111"/>
        <v>0</v>
      </c>
      <c r="R166" s="20">
        <f t="shared" si="112"/>
        <v>0</v>
      </c>
      <c r="S166" s="20">
        <f t="shared" si="113"/>
        <v>0</v>
      </c>
      <c r="T166" s="20">
        <f t="shared" si="114"/>
        <v>0</v>
      </c>
      <c r="U166" s="20">
        <f t="shared" si="115"/>
        <v>0</v>
      </c>
      <c r="V166" s="191"/>
    </row>
    <row r="167" spans="1:22" ht="15" x14ac:dyDescent="0.25">
      <c r="A167" s="1"/>
      <c r="B167" s="2"/>
      <c r="C167" s="1" t="s">
        <v>10</v>
      </c>
      <c r="D167" s="14">
        <v>0</v>
      </c>
      <c r="F167" s="89">
        <v>0</v>
      </c>
      <c r="H167" s="20"/>
      <c r="I167" s="20"/>
      <c r="J167" s="147"/>
      <c r="K167" s="197">
        <v>0.66599999999999993</v>
      </c>
      <c r="L167" s="197">
        <v>4.5549999999999997</v>
      </c>
      <c r="M167" s="197">
        <v>0.60039794540960334</v>
      </c>
      <c r="N167" s="197">
        <v>0.90789473684210531</v>
      </c>
      <c r="P167" s="20">
        <f t="shared" si="110"/>
        <v>0</v>
      </c>
      <c r="Q167" s="20">
        <f t="shared" si="111"/>
        <v>0</v>
      </c>
      <c r="R167" s="20">
        <f t="shared" si="112"/>
        <v>0</v>
      </c>
      <c r="S167" s="20">
        <f t="shared" si="113"/>
        <v>0</v>
      </c>
      <c r="T167" s="20">
        <f t="shared" si="114"/>
        <v>0</v>
      </c>
      <c r="U167" s="20">
        <f t="shared" si="115"/>
        <v>0</v>
      </c>
      <c r="V167" s="191"/>
    </row>
    <row r="168" spans="1:22" ht="15" x14ac:dyDescent="0.25">
      <c r="A168" s="1"/>
      <c r="B168" s="2"/>
      <c r="C168" s="1" t="s">
        <v>11</v>
      </c>
      <c r="D168" s="14">
        <v>0</v>
      </c>
      <c r="F168" s="89">
        <v>0</v>
      </c>
      <c r="H168" s="20"/>
      <c r="I168" s="20"/>
      <c r="J168" s="147"/>
      <c r="K168" s="197">
        <v>0.66599999999999993</v>
      </c>
      <c r="L168" s="197">
        <v>4.5549999999999997</v>
      </c>
      <c r="M168" s="197">
        <v>0.60039794540960334</v>
      </c>
      <c r="N168" s="197">
        <v>0.90789473684210531</v>
      </c>
      <c r="P168" s="20">
        <f t="shared" si="110"/>
        <v>0</v>
      </c>
      <c r="Q168" s="20">
        <f t="shared" si="111"/>
        <v>0</v>
      </c>
      <c r="R168" s="20">
        <f t="shared" si="112"/>
        <v>0</v>
      </c>
      <c r="S168" s="20">
        <f t="shared" si="113"/>
        <v>0</v>
      </c>
      <c r="T168" s="20">
        <f t="shared" si="114"/>
        <v>0</v>
      </c>
      <c r="U168" s="20">
        <f t="shared" si="115"/>
        <v>0</v>
      </c>
      <c r="V168" s="191"/>
    </row>
    <row r="169" spans="1:22" ht="15" x14ac:dyDescent="0.25">
      <c r="A169" s="1"/>
      <c r="B169" s="2"/>
      <c r="C169" s="1" t="s">
        <v>12</v>
      </c>
      <c r="D169" s="14">
        <v>0</v>
      </c>
      <c r="F169" s="89">
        <v>0</v>
      </c>
      <c r="H169" s="20"/>
      <c r="I169" s="20"/>
      <c r="J169" s="147"/>
      <c r="K169" s="197">
        <v>0.66599999999999993</v>
      </c>
      <c r="L169" s="197">
        <v>4.5549999999999997</v>
      </c>
      <c r="M169" s="197">
        <v>0.60039794540960334</v>
      </c>
      <c r="N169" s="197">
        <v>0.90789473684210531</v>
      </c>
      <c r="P169" s="20">
        <f t="shared" si="110"/>
        <v>0</v>
      </c>
      <c r="Q169" s="20">
        <f t="shared" si="111"/>
        <v>0</v>
      </c>
      <c r="R169" s="20">
        <f t="shared" si="112"/>
        <v>0</v>
      </c>
      <c r="S169" s="20">
        <f t="shared" si="113"/>
        <v>0</v>
      </c>
      <c r="T169" s="20">
        <f t="shared" si="114"/>
        <v>0</v>
      </c>
      <c r="U169" s="20">
        <f t="shared" si="115"/>
        <v>0</v>
      </c>
      <c r="V169" s="191"/>
    </row>
    <row r="170" spans="1:22" ht="15" x14ac:dyDescent="0.25">
      <c r="A170" s="1"/>
      <c r="B170" s="2"/>
      <c r="C170" s="1" t="s">
        <v>13</v>
      </c>
      <c r="D170" s="14">
        <v>0</v>
      </c>
      <c r="F170" s="89">
        <v>0</v>
      </c>
      <c r="H170" s="20"/>
      <c r="I170" s="20"/>
      <c r="J170" s="147"/>
      <c r="K170" s="197">
        <v>0.66599999999999993</v>
      </c>
      <c r="L170" s="197">
        <v>4.5549999999999997</v>
      </c>
      <c r="M170" s="197">
        <v>0.60039794540960334</v>
      </c>
      <c r="N170" s="197">
        <v>0.90789473684210531</v>
      </c>
      <c r="P170" s="20">
        <f t="shared" si="110"/>
        <v>0</v>
      </c>
      <c r="Q170" s="20">
        <f t="shared" si="111"/>
        <v>0</v>
      </c>
      <c r="R170" s="20">
        <f t="shared" si="112"/>
        <v>0</v>
      </c>
      <c r="S170" s="20">
        <f t="shared" si="113"/>
        <v>0</v>
      </c>
      <c r="T170" s="20">
        <f t="shared" si="114"/>
        <v>0</v>
      </c>
      <c r="U170" s="20">
        <f t="shared" si="115"/>
        <v>0</v>
      </c>
      <c r="V170" s="191"/>
    </row>
    <row r="171" spans="1:22" ht="15" x14ac:dyDescent="0.25">
      <c r="A171" s="7"/>
      <c r="B171" s="8" t="s">
        <v>14</v>
      </c>
      <c r="C171" s="7"/>
      <c r="D171" s="14">
        <f>SUM(D165:D170)</f>
        <v>0</v>
      </c>
      <c r="F171" s="14">
        <v>0</v>
      </c>
      <c r="H171" s="20"/>
      <c r="I171" s="20"/>
      <c r="J171" s="147"/>
      <c r="K171" s="20"/>
      <c r="L171" s="20"/>
      <c r="M171" s="20"/>
      <c r="N171" s="20"/>
    </row>
    <row r="172" spans="1:22" ht="15" x14ac:dyDescent="0.25">
      <c r="A172" s="1"/>
      <c r="B172" s="9" t="s">
        <v>15</v>
      </c>
      <c r="C172" s="5"/>
      <c r="D172" s="14">
        <f>SUM(D171)</f>
        <v>0</v>
      </c>
      <c r="F172" s="14">
        <v>0</v>
      </c>
      <c r="H172" s="20"/>
      <c r="I172" s="20"/>
      <c r="J172" s="147"/>
      <c r="K172" s="20"/>
      <c r="L172" s="20"/>
      <c r="M172" s="20"/>
      <c r="N172" s="20"/>
    </row>
    <row r="173" spans="1:22" ht="15.75" x14ac:dyDescent="0.25">
      <c r="A173" s="1"/>
      <c r="B173" s="2"/>
      <c r="C173" s="1"/>
      <c r="D173" s="87"/>
      <c r="F173" s="87"/>
      <c r="H173" s="20"/>
      <c r="I173" s="20"/>
      <c r="J173" s="147"/>
      <c r="K173" s="20"/>
      <c r="L173" s="20"/>
      <c r="M173" s="20"/>
      <c r="N173" s="20"/>
    </row>
    <row r="174" spans="1:22" ht="15" x14ac:dyDescent="0.25">
      <c r="A174" s="1">
        <v>19</v>
      </c>
      <c r="B174" s="2" t="s">
        <v>526</v>
      </c>
      <c r="C174" s="1" t="s">
        <v>8</v>
      </c>
      <c r="D174" s="14">
        <v>10.363</v>
      </c>
      <c r="F174" s="89">
        <v>9.9999999999944578E-4</v>
      </c>
      <c r="H174" s="20"/>
      <c r="I174" s="20"/>
      <c r="J174" s="146">
        <v>0.9</v>
      </c>
      <c r="K174" s="20"/>
      <c r="L174" s="20"/>
      <c r="M174" s="20"/>
      <c r="N174" s="20"/>
    </row>
    <row r="175" spans="1:22" ht="15" x14ac:dyDescent="0.25">
      <c r="A175" s="1"/>
      <c r="B175" s="2"/>
      <c r="C175" s="1" t="s">
        <v>9</v>
      </c>
      <c r="D175" s="14">
        <v>5.069</v>
      </c>
      <c r="F175" s="89">
        <v>-1.9999999999997797E-3</v>
      </c>
      <c r="H175" s="20"/>
      <c r="I175" s="20"/>
      <c r="J175" s="147">
        <v>0.9</v>
      </c>
      <c r="K175" s="20"/>
      <c r="L175" s="20"/>
      <c r="M175" s="20"/>
      <c r="N175" s="20"/>
    </row>
    <row r="176" spans="1:22" ht="15" x14ac:dyDescent="0.25">
      <c r="A176" s="1"/>
      <c r="B176" s="2"/>
      <c r="C176" s="1" t="s">
        <v>10</v>
      </c>
      <c r="D176" s="14">
        <v>6.05</v>
      </c>
      <c r="F176" s="89">
        <v>-1.9999999999997797E-3</v>
      </c>
      <c r="H176" s="20"/>
      <c r="I176" s="20"/>
      <c r="J176" s="146">
        <v>0.9</v>
      </c>
      <c r="K176" s="20"/>
      <c r="L176" s="20"/>
      <c r="M176" s="20"/>
      <c r="N176" s="20"/>
    </row>
    <row r="177" spans="1:20" ht="15" x14ac:dyDescent="0.25">
      <c r="A177" s="1"/>
      <c r="B177" s="2"/>
      <c r="C177" s="1" t="s">
        <v>11</v>
      </c>
      <c r="D177" s="14">
        <v>1.9530000000000001</v>
      </c>
      <c r="F177" s="89">
        <v>0</v>
      </c>
      <c r="H177" s="20"/>
      <c r="I177" s="20"/>
      <c r="J177" s="146">
        <v>0.9</v>
      </c>
      <c r="K177" s="20"/>
      <c r="L177" s="20"/>
      <c r="M177" s="20"/>
      <c r="N177" s="20"/>
    </row>
    <row r="178" spans="1:20" ht="15" x14ac:dyDescent="0.25">
      <c r="A178" s="1"/>
      <c r="B178" s="2"/>
      <c r="C178" s="1" t="s">
        <v>12</v>
      </c>
      <c r="D178" s="14">
        <v>2239.5970000000002</v>
      </c>
      <c r="F178" s="89">
        <v>1.0000000002037268E-3</v>
      </c>
      <c r="H178" s="20"/>
      <c r="I178" s="20"/>
      <c r="J178" s="146">
        <v>0.9</v>
      </c>
      <c r="K178" s="20"/>
      <c r="L178" s="20"/>
      <c r="M178" s="20"/>
      <c r="N178" s="20"/>
    </row>
    <row r="179" spans="1:20" ht="15" x14ac:dyDescent="0.25">
      <c r="A179" s="1"/>
      <c r="B179" s="2"/>
      <c r="C179" s="1" t="s">
        <v>13</v>
      </c>
      <c r="D179" s="14">
        <v>0</v>
      </c>
      <c r="F179" s="89">
        <v>0</v>
      </c>
      <c r="H179" s="20"/>
      <c r="I179" s="20"/>
      <c r="J179" s="146"/>
      <c r="K179" s="20"/>
      <c r="L179" s="20"/>
      <c r="M179" s="20"/>
      <c r="N179" s="20"/>
    </row>
    <row r="180" spans="1:20" ht="15" x14ac:dyDescent="0.25">
      <c r="A180" s="7"/>
      <c r="B180" s="8" t="s">
        <v>14</v>
      </c>
      <c r="C180" s="7"/>
      <c r="D180" s="14">
        <f>SUM(D174:D179)</f>
        <v>2263.0320000000002</v>
      </c>
      <c r="F180" s="14">
        <v>-1.9999999997963869E-3</v>
      </c>
    </row>
    <row r="181" spans="1:20" ht="15" x14ac:dyDescent="0.25">
      <c r="A181" s="5"/>
      <c r="B181" s="9" t="s">
        <v>15</v>
      </c>
      <c r="C181" s="5"/>
      <c r="D181" s="14">
        <f>SUM(D180)</f>
        <v>2263.0320000000002</v>
      </c>
      <c r="F181" s="14">
        <v>-1.9999999997963869E-3</v>
      </c>
    </row>
    <row r="182" spans="1:20" s="79" customFormat="1" ht="15.75" x14ac:dyDescent="0.25">
      <c r="A182" s="199"/>
      <c r="B182" s="198" t="s">
        <v>661</v>
      </c>
      <c r="C182" s="199"/>
      <c r="D182" s="200"/>
      <c r="F182" s="200"/>
      <c r="Q182" s="201">
        <f>SUM(Q12:Q161)/SUM(P12:P161)</f>
        <v>0.79577954004564</v>
      </c>
      <c r="T182" s="201">
        <f>SUM(T12:T161)/SUM(S12:S161)</f>
        <v>0.98098104609946635</v>
      </c>
    </row>
    <row r="184" spans="1:20" x14ac:dyDescent="0.2">
      <c r="D184" s="74"/>
      <c r="F184" s="74"/>
    </row>
    <row r="185" spans="1:20" x14ac:dyDescent="0.2">
      <c r="D185" s="81"/>
    </row>
    <row r="186" spans="1:20" x14ac:dyDescent="0.2">
      <c r="D186" s="75"/>
    </row>
    <row r="187" spans="1:20" x14ac:dyDescent="0.2">
      <c r="D187" s="75"/>
    </row>
    <row r="188" spans="1:20" x14ac:dyDescent="0.2">
      <c r="D188" s="76"/>
    </row>
    <row r="189" spans="1:20" x14ac:dyDescent="0.2">
      <c r="D189" s="75"/>
    </row>
    <row r="190" spans="1:20" x14ac:dyDescent="0.2">
      <c r="D190" s="81"/>
    </row>
    <row r="191" spans="1:20" x14ac:dyDescent="0.2">
      <c r="D191" s="88"/>
    </row>
    <row r="192" spans="1:20" x14ac:dyDescent="0.2">
      <c r="D192" s="88"/>
    </row>
    <row r="193" spans="4:4" x14ac:dyDescent="0.2">
      <c r="D193" s="88"/>
    </row>
  </sheetData>
  <phoneticPr fontId="0" type="noConversion"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Y182"/>
  <sheetViews>
    <sheetView defaultGridColor="0" topLeftCell="A4" colorId="11" zoomScale="75" workbookViewId="0">
      <selection activeCell="Q14" sqref="Q14"/>
    </sheetView>
  </sheetViews>
  <sheetFormatPr defaultRowHeight="12.75" x14ac:dyDescent="0.2"/>
  <cols>
    <col min="2" max="2" width="26.42578125" bestFit="1" customWidth="1"/>
    <col min="4" max="8" width="13.7109375" customWidth="1"/>
    <col min="10" max="14" width="13.5703125" customWidth="1"/>
    <col min="15" max="15" width="12" bestFit="1" customWidth="1"/>
    <col min="17" max="17" width="15.7109375" style="108" bestFit="1" customWidth="1"/>
    <col min="18" max="19" width="12" bestFit="1" customWidth="1"/>
    <col min="20" max="21" width="12" customWidth="1"/>
    <col min="22" max="25" width="11.5703125" customWidth="1"/>
    <col min="26" max="29" width="10.7109375" customWidth="1"/>
    <col min="30" max="30" width="11.42578125" customWidth="1"/>
    <col min="31" max="34" width="13.42578125" customWidth="1"/>
    <col min="35" max="39" width="10.85546875" customWidth="1"/>
    <col min="45" max="45" width="28.140625" customWidth="1"/>
    <col min="51" max="51" width="28.42578125" customWidth="1"/>
  </cols>
  <sheetData>
    <row r="1" spans="1:51" ht="15" x14ac:dyDescent="0.25">
      <c r="A1" s="15"/>
      <c r="B1" s="16"/>
    </row>
    <row r="2" spans="1:51" ht="15" x14ac:dyDescent="0.25">
      <c r="A2" s="15"/>
      <c r="B2" s="16"/>
      <c r="V2" s="99"/>
      <c r="W2" s="99"/>
      <c r="X2" s="99"/>
      <c r="Y2" s="99"/>
      <c r="Z2" s="26"/>
      <c r="AA2" s="26"/>
      <c r="AB2" s="26"/>
      <c r="AC2" s="26"/>
      <c r="AD2" s="26"/>
      <c r="AE2" s="28"/>
      <c r="AF2" s="28"/>
      <c r="AG2" s="28"/>
      <c r="AH2" s="28"/>
      <c r="AI2" s="124"/>
      <c r="AJ2" s="124"/>
      <c r="AK2" s="124"/>
      <c r="AL2" s="124"/>
      <c r="AM2" s="124"/>
    </row>
    <row r="3" spans="1:51" ht="78.75" x14ac:dyDescent="0.25">
      <c r="B3" s="16"/>
      <c r="D3" s="179" t="s">
        <v>759</v>
      </c>
      <c r="E3" s="179"/>
      <c r="F3" s="179"/>
      <c r="G3" s="179"/>
      <c r="H3" s="179"/>
      <c r="J3" s="181" t="s">
        <v>758</v>
      </c>
      <c r="K3" s="181"/>
      <c r="L3" s="181"/>
      <c r="M3" s="181"/>
      <c r="N3" s="181"/>
      <c r="V3" s="99" t="s">
        <v>534</v>
      </c>
      <c r="W3" s="99"/>
      <c r="X3" s="99"/>
      <c r="Y3" s="99"/>
      <c r="Z3" s="26" t="s">
        <v>535</v>
      </c>
      <c r="AA3" s="26"/>
      <c r="AB3" s="26"/>
      <c r="AC3" s="26"/>
      <c r="AD3" s="125"/>
      <c r="AE3" s="28" t="s">
        <v>536</v>
      </c>
      <c r="AF3" s="28"/>
      <c r="AG3" s="28"/>
      <c r="AH3" s="28"/>
      <c r="AI3" s="124" t="s">
        <v>537</v>
      </c>
      <c r="AJ3" s="131"/>
      <c r="AK3" s="131"/>
      <c r="AL3" s="131"/>
      <c r="AM3" s="131"/>
    </row>
    <row r="4" spans="1:51" ht="15.75" x14ac:dyDescent="0.25">
      <c r="D4" s="180"/>
      <c r="E4" s="180"/>
      <c r="F4" s="180"/>
      <c r="G4" s="180"/>
      <c r="H4" s="180"/>
      <c r="J4" s="182"/>
      <c r="K4" s="182"/>
      <c r="L4" s="182"/>
      <c r="M4" s="182"/>
      <c r="N4" s="182"/>
      <c r="V4" s="101" t="s">
        <v>40</v>
      </c>
      <c r="W4" s="101"/>
      <c r="X4" s="101"/>
      <c r="Y4" s="101"/>
      <c r="Z4" s="27" t="s">
        <v>40</v>
      </c>
      <c r="AA4" s="27"/>
      <c r="AB4" s="27"/>
      <c r="AC4" s="27"/>
      <c r="AD4" s="126"/>
      <c r="AE4" s="30" t="s">
        <v>40</v>
      </c>
      <c r="AF4" s="30"/>
      <c r="AG4" s="30"/>
      <c r="AH4" s="30"/>
      <c r="AI4" s="132" t="s">
        <v>40</v>
      </c>
      <c r="AJ4" s="133"/>
      <c r="AK4" s="133"/>
      <c r="AL4" s="133"/>
      <c r="AM4" s="133"/>
    </row>
    <row r="5" spans="1:51" ht="94.5" x14ac:dyDescent="0.25">
      <c r="A5" s="1"/>
      <c r="B5" s="2"/>
      <c r="C5" s="3"/>
      <c r="D5" s="103" t="s">
        <v>524</v>
      </c>
      <c r="E5" s="229"/>
      <c r="F5" s="229"/>
      <c r="G5" s="229"/>
      <c r="H5" s="229"/>
      <c r="J5" s="115" t="s">
        <v>524</v>
      </c>
      <c r="K5" s="232"/>
      <c r="L5" s="232"/>
      <c r="M5" s="232"/>
      <c r="N5" s="232"/>
      <c r="V5" s="103" t="s">
        <v>524</v>
      </c>
      <c r="W5" s="103"/>
      <c r="X5" s="103"/>
      <c r="Y5" s="103"/>
      <c r="Z5" s="93" t="s">
        <v>524</v>
      </c>
      <c r="AA5" s="236"/>
      <c r="AB5" s="236"/>
      <c r="AC5" s="236"/>
      <c r="AD5" s="127"/>
      <c r="AE5" s="90" t="s">
        <v>524</v>
      </c>
      <c r="AF5" s="90"/>
      <c r="AG5" s="90"/>
      <c r="AH5" s="90"/>
      <c r="AI5" s="134" t="s">
        <v>524</v>
      </c>
      <c r="AJ5" s="135"/>
      <c r="AK5" s="135"/>
      <c r="AL5" s="135"/>
      <c r="AM5" s="135"/>
      <c r="AO5" s="240" t="s">
        <v>727</v>
      </c>
      <c r="AP5" s="241"/>
      <c r="AQ5" s="241"/>
      <c r="AR5" s="241"/>
      <c r="AS5" s="242" t="s">
        <v>727</v>
      </c>
      <c r="AU5" s="244" t="s">
        <v>728</v>
      </c>
      <c r="AV5" s="245"/>
      <c r="AW5" s="245"/>
      <c r="AX5" s="245"/>
      <c r="AY5" s="246" t="s">
        <v>728</v>
      </c>
    </row>
    <row r="6" spans="1:51" ht="39" x14ac:dyDescent="0.25">
      <c r="A6" s="1"/>
      <c r="B6" s="2" t="s">
        <v>0</v>
      </c>
      <c r="C6" s="3"/>
      <c r="D6" s="234" t="s">
        <v>716</v>
      </c>
      <c r="E6" s="234" t="s">
        <v>717</v>
      </c>
      <c r="F6" s="234" t="s">
        <v>718</v>
      </c>
      <c r="G6" s="234" t="s">
        <v>719</v>
      </c>
      <c r="H6" s="234" t="s">
        <v>720</v>
      </c>
      <c r="J6" s="117" t="s">
        <v>716</v>
      </c>
      <c r="K6" s="117" t="s">
        <v>717</v>
      </c>
      <c r="L6" s="117" t="s">
        <v>718</v>
      </c>
      <c r="M6" s="117" t="s">
        <v>719</v>
      </c>
      <c r="N6" s="117" t="s">
        <v>720</v>
      </c>
      <c r="O6" s="17" t="s">
        <v>35</v>
      </c>
      <c r="P6" s="18"/>
      <c r="Q6" s="146">
        <v>2009</v>
      </c>
      <c r="R6" s="22" t="s">
        <v>38</v>
      </c>
      <c r="S6" s="22" t="s">
        <v>39</v>
      </c>
      <c r="T6" s="196" t="s">
        <v>659</v>
      </c>
      <c r="U6" s="196" t="s">
        <v>660</v>
      </c>
      <c r="V6" s="105" t="s">
        <v>717</v>
      </c>
      <c r="W6" s="105" t="s">
        <v>718</v>
      </c>
      <c r="X6" s="105" t="s">
        <v>719</v>
      </c>
      <c r="Y6" s="105" t="s">
        <v>720</v>
      </c>
      <c r="Z6" s="78" t="s">
        <v>717</v>
      </c>
      <c r="AA6" s="78" t="s">
        <v>718</v>
      </c>
      <c r="AB6" s="78" t="s">
        <v>719</v>
      </c>
      <c r="AC6" s="78" t="s">
        <v>720</v>
      </c>
      <c r="AD6" s="128" t="s">
        <v>42</v>
      </c>
      <c r="AE6" s="72" t="s">
        <v>717</v>
      </c>
      <c r="AF6" s="72" t="s">
        <v>718</v>
      </c>
      <c r="AG6" s="72" t="s">
        <v>719</v>
      </c>
      <c r="AH6" s="72" t="s">
        <v>720</v>
      </c>
      <c r="AI6" s="137" t="s">
        <v>717</v>
      </c>
      <c r="AJ6" s="137" t="s">
        <v>718</v>
      </c>
      <c r="AK6" s="137" t="s">
        <v>719</v>
      </c>
      <c r="AL6" s="137" t="s">
        <v>720</v>
      </c>
      <c r="AM6" s="137" t="s">
        <v>42</v>
      </c>
      <c r="AO6" s="118" t="s">
        <v>717</v>
      </c>
      <c r="AP6" s="118" t="s">
        <v>718</v>
      </c>
      <c r="AQ6" s="118" t="s">
        <v>719</v>
      </c>
      <c r="AR6" s="118" t="s">
        <v>720</v>
      </c>
      <c r="AS6" s="129"/>
      <c r="AU6" s="118" t="s">
        <v>717</v>
      </c>
      <c r="AV6" s="118" t="s">
        <v>718</v>
      </c>
      <c r="AW6" s="118" t="s">
        <v>719</v>
      </c>
      <c r="AX6" s="118" t="s">
        <v>720</v>
      </c>
      <c r="AY6" s="247"/>
    </row>
    <row r="7" spans="1:51" ht="26.25" x14ac:dyDescent="0.25">
      <c r="A7" s="1"/>
      <c r="B7" s="2" t="s">
        <v>1</v>
      </c>
      <c r="C7" s="2"/>
      <c r="D7" s="107" t="s">
        <v>721</v>
      </c>
      <c r="E7" s="107" t="s">
        <v>722</v>
      </c>
      <c r="F7" s="107" t="s">
        <v>723</v>
      </c>
      <c r="G7" s="107" t="s">
        <v>724</v>
      </c>
      <c r="H7" s="107" t="s">
        <v>725</v>
      </c>
      <c r="J7" s="119" t="s">
        <v>721</v>
      </c>
      <c r="K7" s="233" t="s">
        <v>722</v>
      </c>
      <c r="L7" s="233" t="s">
        <v>723</v>
      </c>
      <c r="M7" s="233" t="s">
        <v>724</v>
      </c>
      <c r="N7" s="233" t="s">
        <v>725</v>
      </c>
      <c r="O7" s="21" t="s">
        <v>36</v>
      </c>
      <c r="P7" s="21" t="s">
        <v>37</v>
      </c>
      <c r="Q7" s="148" t="s">
        <v>538</v>
      </c>
      <c r="R7" s="22"/>
      <c r="S7" s="22"/>
      <c r="T7" s="22"/>
      <c r="U7" s="22"/>
      <c r="V7" s="107" t="s">
        <v>722</v>
      </c>
      <c r="W7" s="107" t="s">
        <v>723</v>
      </c>
      <c r="X7" s="107" t="s">
        <v>724</v>
      </c>
      <c r="Y7" s="107" t="s">
        <v>725</v>
      </c>
      <c r="Z7" s="237" t="s">
        <v>722</v>
      </c>
      <c r="AA7" s="237" t="s">
        <v>723</v>
      </c>
      <c r="AB7" s="237" t="s">
        <v>724</v>
      </c>
      <c r="AC7" s="237" t="s">
        <v>725</v>
      </c>
      <c r="AD7" s="129"/>
      <c r="AE7" s="91" t="s">
        <v>722</v>
      </c>
      <c r="AF7" s="91" t="s">
        <v>723</v>
      </c>
      <c r="AG7" s="91" t="s">
        <v>724</v>
      </c>
      <c r="AH7" s="91" t="s">
        <v>725</v>
      </c>
      <c r="AI7" s="139" t="s">
        <v>722</v>
      </c>
      <c r="AJ7" s="139" t="s">
        <v>723</v>
      </c>
      <c r="AK7" s="139" t="s">
        <v>724</v>
      </c>
      <c r="AL7" s="139" t="s">
        <v>725</v>
      </c>
      <c r="AM7" s="139"/>
      <c r="AS7" s="129"/>
      <c r="AY7" s="247"/>
    </row>
    <row r="8" spans="1:51" ht="15.75" x14ac:dyDescent="0.25">
      <c r="A8" s="1"/>
      <c r="B8" s="2" t="s">
        <v>4</v>
      </c>
      <c r="C8" s="2"/>
      <c r="D8" s="107"/>
      <c r="E8" s="230"/>
      <c r="F8" s="230"/>
      <c r="G8" s="230"/>
      <c r="H8" s="230"/>
      <c r="J8" s="183"/>
      <c r="K8" s="183"/>
      <c r="L8" s="183"/>
      <c r="M8" s="183"/>
      <c r="N8" s="183"/>
      <c r="O8" s="20"/>
      <c r="P8" s="20"/>
      <c r="Q8" s="145"/>
      <c r="R8" s="20"/>
      <c r="S8" s="20"/>
      <c r="T8" s="20"/>
      <c r="U8" s="20"/>
      <c r="V8" s="107"/>
      <c r="W8" s="107"/>
      <c r="X8" s="107"/>
      <c r="Y8" s="107"/>
      <c r="Z8" s="237">
        <v>646.83176063829774</v>
      </c>
      <c r="AA8" s="237">
        <v>536.30093137254926</v>
      </c>
      <c r="AB8" s="237">
        <v>501.97975742574283</v>
      </c>
      <c r="AC8" s="237">
        <v>1022.2701422018349</v>
      </c>
      <c r="AD8" s="129"/>
      <c r="AE8" s="91"/>
      <c r="AF8" s="91"/>
      <c r="AG8" s="91"/>
      <c r="AH8" s="91"/>
      <c r="AI8" s="139">
        <v>646.83176063829774</v>
      </c>
      <c r="AJ8" s="139">
        <v>536.30093137254926</v>
      </c>
      <c r="AK8" s="139">
        <v>501.97975742574283</v>
      </c>
      <c r="AL8" s="139">
        <v>1022.2701422018349</v>
      </c>
      <c r="AM8" s="139"/>
      <c r="AS8" s="129"/>
      <c r="AY8" s="247"/>
    </row>
    <row r="9" spans="1:51" ht="15.75" x14ac:dyDescent="0.25">
      <c r="A9" s="1"/>
      <c r="B9" s="15" t="s">
        <v>558</v>
      </c>
      <c r="C9" s="2"/>
      <c r="D9" s="109"/>
      <c r="E9" s="231"/>
      <c r="F9" s="231"/>
      <c r="G9" s="231"/>
      <c r="H9" s="231"/>
      <c r="J9" s="119"/>
      <c r="K9" s="233"/>
      <c r="L9" s="233"/>
      <c r="M9" s="233"/>
      <c r="N9" s="233"/>
      <c r="O9" s="21"/>
      <c r="P9" s="21"/>
      <c r="Q9" s="145"/>
      <c r="R9" s="20"/>
      <c r="S9" s="20"/>
      <c r="T9" s="20"/>
      <c r="U9" s="20"/>
      <c r="V9" s="109"/>
      <c r="W9" s="109"/>
      <c r="X9" s="109"/>
      <c r="Y9" s="109"/>
      <c r="Z9" s="238"/>
      <c r="AA9" s="238"/>
      <c r="AB9" s="238"/>
      <c r="AC9" s="238"/>
      <c r="AD9" s="129"/>
      <c r="AE9" s="92"/>
      <c r="AF9" s="92"/>
      <c r="AG9" s="92"/>
      <c r="AH9" s="92"/>
      <c r="AI9" s="139"/>
      <c r="AJ9" s="139"/>
      <c r="AK9" s="139"/>
      <c r="AL9" s="139"/>
      <c r="AM9" s="139"/>
      <c r="AO9" s="239">
        <v>2009</v>
      </c>
      <c r="AP9" s="239">
        <v>2009</v>
      </c>
      <c r="AQ9" s="239">
        <v>2009</v>
      </c>
      <c r="AR9" s="239">
        <v>2009</v>
      </c>
      <c r="AS9" s="243">
        <v>2009</v>
      </c>
      <c r="AU9" s="239">
        <v>2009</v>
      </c>
      <c r="AV9" s="239">
        <v>2009</v>
      </c>
      <c r="AW9" s="239">
        <v>2009</v>
      </c>
      <c r="AX9" s="239">
        <v>2009</v>
      </c>
      <c r="AY9" s="248">
        <v>2009</v>
      </c>
    </row>
    <row r="10" spans="1:51" ht="15" x14ac:dyDescent="0.2">
      <c r="B10" s="15" t="s">
        <v>726</v>
      </c>
      <c r="AO10" s="239">
        <v>1.3875146645846088</v>
      </c>
      <c r="AP10" s="239">
        <v>1.4774651408051944</v>
      </c>
      <c r="AQ10" s="239">
        <v>1.4168186669989071</v>
      </c>
      <c r="AR10" s="239">
        <v>1.5141760675985174</v>
      </c>
      <c r="AU10" s="239">
        <v>1.3875146645846088</v>
      </c>
      <c r="AV10" s="239">
        <v>1.4774651408051944</v>
      </c>
      <c r="AW10" s="239">
        <v>1.4168186669989071</v>
      </c>
      <c r="AX10" s="239">
        <v>1.5141760675985174</v>
      </c>
    </row>
    <row r="11" spans="1:51" ht="27.75" thickBot="1" x14ac:dyDescent="0.3">
      <c r="A11" s="1"/>
      <c r="B11" s="2" t="s">
        <v>5</v>
      </c>
      <c r="C11" s="4" t="s">
        <v>6</v>
      </c>
      <c r="D11" s="107"/>
      <c r="E11" s="230"/>
      <c r="F11" s="230"/>
      <c r="G11" s="230"/>
      <c r="H11" s="230"/>
      <c r="J11" s="183"/>
      <c r="K11" s="183"/>
      <c r="L11" s="183"/>
      <c r="M11" s="183"/>
      <c r="N11" s="183"/>
      <c r="O11" s="20"/>
      <c r="P11" s="20"/>
      <c r="Q11" s="147"/>
      <c r="R11" s="20"/>
      <c r="S11" s="20"/>
      <c r="T11" s="20"/>
      <c r="U11" s="20"/>
      <c r="V11" s="230"/>
      <c r="W11" s="230"/>
      <c r="X11" s="230"/>
      <c r="Y11" s="230"/>
      <c r="Z11" s="130"/>
      <c r="AA11" s="130"/>
      <c r="AB11" s="130"/>
      <c r="AC11" s="130"/>
      <c r="AD11" s="129"/>
      <c r="AE11" s="91"/>
      <c r="AF11" s="91"/>
      <c r="AG11" s="91"/>
      <c r="AH11" s="91"/>
      <c r="AI11" s="139"/>
      <c r="AJ11" s="139"/>
      <c r="AK11" s="139"/>
      <c r="AL11" s="139"/>
      <c r="AM11" s="139"/>
    </row>
    <row r="12" spans="1:51" ht="15" x14ac:dyDescent="0.25">
      <c r="A12" s="1">
        <v>1</v>
      </c>
      <c r="B12" s="2" t="s">
        <v>7</v>
      </c>
      <c r="C12" s="3" t="s">
        <v>8</v>
      </c>
      <c r="D12" s="282">
        <v>0</v>
      </c>
      <c r="E12" s="283">
        <v>59.619004480000001</v>
      </c>
      <c r="F12" s="283">
        <v>103.33968289000001</v>
      </c>
      <c r="G12" s="283">
        <v>131.82942186</v>
      </c>
      <c r="H12" s="284">
        <v>286.90933188000002</v>
      </c>
      <c r="J12">
        <v>0</v>
      </c>
      <c r="K12">
        <v>-9.079778811340006</v>
      </c>
      <c r="L12">
        <v>-29.116011425489972</v>
      </c>
      <c r="M12">
        <v>85.872521085660992</v>
      </c>
      <c r="N12">
        <v>89.873884540558521</v>
      </c>
      <c r="O12" s="20">
        <v>0.36775204520040022</v>
      </c>
      <c r="P12" s="20">
        <v>0.57913019816794442</v>
      </c>
      <c r="Q12" s="147">
        <v>6.816484657851403E-2</v>
      </c>
      <c r="R12" s="197">
        <v>0.17699999999999999</v>
      </c>
      <c r="S12" s="197">
        <v>1.77</v>
      </c>
      <c r="T12" s="197">
        <v>0.50078889239507718</v>
      </c>
      <c r="U12" s="197">
        <v>0.75268470790377973</v>
      </c>
      <c r="V12" s="20">
        <f t="shared" ref="V12:Y17" si="0">IF(K12&gt;0,((E12-K12)*$Q12*$R12*10)+(K12*$O$12*$Q12*$R12*10),(E12*$Q12*$R12*10))</f>
        <v>7.1931389195710054</v>
      </c>
      <c r="W12" s="20">
        <f t="shared" si="0"/>
        <v>12.468116524514381</v>
      </c>
      <c r="X12" s="20">
        <f t="shared" si="0"/>
        <v>9.354940270701702</v>
      </c>
      <c r="Y12" s="20">
        <f t="shared" si="0"/>
        <v>27.760375848040418</v>
      </c>
      <c r="Z12" s="20">
        <f t="shared" ref="Z12:AC17" si="1">V12*(EXP(1.01-0.34*LN(Z$8))*(1-$T12)+(1*$T12))</f>
        <v>4.69411439056974</v>
      </c>
      <c r="AA12" s="20">
        <f t="shared" si="1"/>
        <v>8.2609765334423457</v>
      </c>
      <c r="AB12" s="20">
        <f t="shared" si="1"/>
        <v>6.2327019752514774</v>
      </c>
      <c r="AC12" s="20">
        <f t="shared" si="1"/>
        <v>17.508660469560418</v>
      </c>
      <c r="AD12" s="20">
        <f t="shared" ref="AD12:AD17" si="2">SUM(Z12:AC12)</f>
        <v>36.696453368823981</v>
      </c>
      <c r="AE12" s="20">
        <f t="shared" ref="AE12:AH17" si="3">IF(K12&gt;0,((E12-K12)*$Q12*$S12*10)+(K12*$P$12*$Q12*$S12)*10,(E12*$Q12*$S12*10))</f>
        <v>71.931389195710054</v>
      </c>
      <c r="AF12" s="20">
        <f t="shared" si="3"/>
        <v>124.68116524514383</v>
      </c>
      <c r="AG12" s="20">
        <f t="shared" si="3"/>
        <v>115.44960063674584</v>
      </c>
      <c r="AH12" s="20">
        <f t="shared" si="3"/>
        <v>300.52443013727122</v>
      </c>
      <c r="AI12" s="20">
        <f t="shared" ref="AI12:AL17" si="4">AE12*(EXP(1.01-0.34*LN(AI$8))*(1-$T12)+(1*$T12))</f>
        <v>46.941143905697402</v>
      </c>
      <c r="AJ12" s="20">
        <f t="shared" si="4"/>
        <v>82.609765334423471</v>
      </c>
      <c r="AK12" s="20">
        <f t="shared" si="4"/>
        <v>76.917963461958749</v>
      </c>
      <c r="AL12" s="20">
        <f t="shared" si="4"/>
        <v>189.54283035951897</v>
      </c>
      <c r="AM12" s="20">
        <f t="shared" ref="AM12:AM17" si="5">SUM(AI12:AL12)</f>
        <v>396.01170306159861</v>
      </c>
      <c r="AO12">
        <f t="shared" ref="AO12:AR17" si="6">Z12*AO$10</f>
        <v>6.5131525541531579</v>
      </c>
      <c r="AP12">
        <f t="shared" si="6"/>
        <v>12.205304857170802</v>
      </c>
      <c r="AQ12">
        <f t="shared" si="6"/>
        <v>8.8306085043772544</v>
      </c>
      <c r="AR12">
        <f t="shared" si="6"/>
        <v>26.511194658716605</v>
      </c>
      <c r="AS12">
        <f t="shared" ref="AS12:AS17" si="7">SUM(AO12:AR12)</f>
        <v>54.060260574417818</v>
      </c>
      <c r="AU12">
        <f t="shared" ref="AU12:AX17" si="8">AI12*AU$10</f>
        <v>65.131525541531587</v>
      </c>
      <c r="AV12">
        <f t="shared" si="8"/>
        <v>122.05304857170805</v>
      </c>
      <c r="AW12">
        <f t="shared" si="8"/>
        <v>108.97880646044304</v>
      </c>
      <c r="AX12">
        <f t="shared" si="8"/>
        <v>287.00121751526933</v>
      </c>
      <c r="AY12">
        <f t="shared" ref="AY12:AY17" si="9">SUM(AU12:AX12)</f>
        <v>583.16459808895206</v>
      </c>
    </row>
    <row r="13" spans="1:51" ht="15" x14ac:dyDescent="0.25">
      <c r="A13" s="1"/>
      <c r="B13" s="2"/>
      <c r="C13" s="1" t="s">
        <v>9</v>
      </c>
      <c r="D13" s="285">
        <v>0</v>
      </c>
      <c r="E13" s="286">
        <v>16.468376460000002</v>
      </c>
      <c r="F13" s="286">
        <v>2.3555724800000002</v>
      </c>
      <c r="G13" s="286">
        <v>1.3500851700000001</v>
      </c>
      <c r="H13" s="287">
        <v>4.5430571000000004</v>
      </c>
      <c r="J13">
        <v>0</v>
      </c>
      <c r="K13">
        <v>-18.377520842300001</v>
      </c>
      <c r="L13">
        <v>-0.27297732333999969</v>
      </c>
      <c r="M13">
        <v>0.83979939983900009</v>
      </c>
      <c r="N13">
        <v>-4.5675684421400007</v>
      </c>
      <c r="O13" s="20"/>
      <c r="P13" s="20"/>
      <c r="Q13" s="147">
        <v>9.1329693157028061E-2</v>
      </c>
      <c r="R13" s="197">
        <v>0.17699999999999999</v>
      </c>
      <c r="S13" s="197">
        <v>1.77</v>
      </c>
      <c r="T13" s="197">
        <v>0.50078889239507718</v>
      </c>
      <c r="U13" s="197">
        <v>0.75268470790377973</v>
      </c>
      <c r="V13" s="20">
        <f t="shared" si="0"/>
        <v>2.6621716309286163</v>
      </c>
      <c r="W13" s="20">
        <f t="shared" si="0"/>
        <v>0.38078666989934512</v>
      </c>
      <c r="X13" s="20">
        <f t="shared" si="0"/>
        <v>0.13241426238591414</v>
      </c>
      <c r="Y13" s="20">
        <f t="shared" si="0"/>
        <v>0.73440133936000818</v>
      </c>
      <c r="Z13" s="20">
        <f t="shared" si="1"/>
        <v>1.73728580841225</v>
      </c>
      <c r="AA13" s="20">
        <f t="shared" si="1"/>
        <v>0.25229710823613488</v>
      </c>
      <c r="AB13" s="20">
        <f t="shared" si="1"/>
        <v>8.8220620425431093E-2</v>
      </c>
      <c r="AC13" s="20">
        <f t="shared" si="1"/>
        <v>0.4631919888128051</v>
      </c>
      <c r="AD13" s="20">
        <f t="shared" si="2"/>
        <v>2.540995525886621</v>
      </c>
      <c r="AE13" s="20">
        <f t="shared" si="3"/>
        <v>26.621716309286168</v>
      </c>
      <c r="AF13" s="20">
        <f t="shared" si="3"/>
        <v>3.8078666989934513</v>
      </c>
      <c r="AG13" s="20">
        <f t="shared" si="3"/>
        <v>1.6111023330384897</v>
      </c>
      <c r="AH13" s="20">
        <f t="shared" si="3"/>
        <v>7.3440133936000827</v>
      </c>
      <c r="AI13" s="20">
        <f t="shared" si="4"/>
        <v>17.372858084122505</v>
      </c>
      <c r="AJ13" s="20">
        <f t="shared" si="4"/>
        <v>2.5229710823613489</v>
      </c>
      <c r="AK13" s="20">
        <f t="shared" si="4"/>
        <v>1.0733922828892692</v>
      </c>
      <c r="AL13" s="20">
        <f t="shared" si="4"/>
        <v>4.631919888128051</v>
      </c>
      <c r="AM13" s="20">
        <f t="shared" si="5"/>
        <v>25.601141337501176</v>
      </c>
      <c r="AO13">
        <f t="shared" si="6"/>
        <v>2.4105095357467241</v>
      </c>
      <c r="AP13">
        <f t="shared" si="6"/>
        <v>0.37276018254484439</v>
      </c>
      <c r="AQ13">
        <f t="shared" si="6"/>
        <v>0.12499262183297584</v>
      </c>
      <c r="AR13">
        <f t="shared" si="6"/>
        <v>0.70135422416370974</v>
      </c>
      <c r="AS13">
        <f t="shared" si="7"/>
        <v>3.6096165642882543</v>
      </c>
      <c r="AU13">
        <f t="shared" si="8"/>
        <v>24.105095357467249</v>
      </c>
      <c r="AV13">
        <f t="shared" si="8"/>
        <v>3.7276018254484442</v>
      </c>
      <c r="AW13">
        <f t="shared" si="8"/>
        <v>1.5208022234100882</v>
      </c>
      <c r="AX13">
        <f t="shared" si="8"/>
        <v>7.0135422416370972</v>
      </c>
      <c r="AY13">
        <f t="shared" si="9"/>
        <v>36.367041647962878</v>
      </c>
    </row>
    <row r="14" spans="1:51" ht="15" x14ac:dyDescent="0.25">
      <c r="A14" s="1"/>
      <c r="B14" s="2"/>
      <c r="C14" s="1" t="s">
        <v>10</v>
      </c>
      <c r="D14" s="285">
        <v>0</v>
      </c>
      <c r="E14" s="286">
        <v>25.549139530000001</v>
      </c>
      <c r="F14" s="286">
        <v>1.74590717</v>
      </c>
      <c r="G14" s="286">
        <v>7.3518532800000003</v>
      </c>
      <c r="H14" s="287">
        <v>31.52930001</v>
      </c>
      <c r="J14">
        <v>0</v>
      </c>
      <c r="K14">
        <v>-23.779906410477995</v>
      </c>
      <c r="L14">
        <v>0.10211229999999993</v>
      </c>
      <c r="M14">
        <v>3.1334984716888004</v>
      </c>
      <c r="N14">
        <v>3.4199885461904991</v>
      </c>
      <c r="O14" s="20"/>
      <c r="P14" s="20"/>
      <c r="Q14" s="147">
        <v>0.11449453973554208</v>
      </c>
      <c r="R14" s="197">
        <v>0.17699999999999999</v>
      </c>
      <c r="S14" s="197">
        <v>1.77</v>
      </c>
      <c r="T14" s="197">
        <v>0.50078889239507718</v>
      </c>
      <c r="U14" s="197">
        <v>0.75268470790377973</v>
      </c>
      <c r="V14" s="20">
        <f t="shared" si="0"/>
        <v>5.1776694388938935</v>
      </c>
      <c r="W14" s="20">
        <f t="shared" si="0"/>
        <v>0.34073391520115548</v>
      </c>
      <c r="X14" s="20">
        <f t="shared" si="0"/>
        <v>1.088402079468427</v>
      </c>
      <c r="Y14" s="20">
        <f t="shared" si="0"/>
        <v>5.9513831330439881</v>
      </c>
      <c r="Z14" s="20">
        <f t="shared" si="1"/>
        <v>3.3788548913739715</v>
      </c>
      <c r="AA14" s="20">
        <f t="shared" si="1"/>
        <v>0.22575942982970418</v>
      </c>
      <c r="AB14" s="20">
        <f t="shared" si="1"/>
        <v>0.72514474644121329</v>
      </c>
      <c r="AC14" s="20">
        <f t="shared" si="1"/>
        <v>3.7535783798867897</v>
      </c>
      <c r="AD14" s="20">
        <f t="shared" si="2"/>
        <v>8.0833374475316795</v>
      </c>
      <c r="AE14" s="20">
        <f t="shared" si="3"/>
        <v>51.776694388938942</v>
      </c>
      <c r="AF14" s="20">
        <f t="shared" si="3"/>
        <v>3.4510809065429218</v>
      </c>
      <c r="AG14" s="20">
        <f t="shared" si="3"/>
        <v>12.226314729626711</v>
      </c>
      <c r="AH14" s="20">
        <f t="shared" si="3"/>
        <v>60.978848762106281</v>
      </c>
      <c r="AI14" s="20">
        <f t="shared" si="4"/>
        <v>33.788548913739724</v>
      </c>
      <c r="AJ14" s="20">
        <f t="shared" si="4"/>
        <v>2.2865761903899449</v>
      </c>
      <c r="AK14" s="20">
        <f t="shared" si="4"/>
        <v>8.1457469273264262</v>
      </c>
      <c r="AL14" s="20">
        <f t="shared" si="4"/>
        <v>38.459780395075548</v>
      </c>
      <c r="AM14" s="20">
        <f t="shared" si="5"/>
        <v>82.680652426531651</v>
      </c>
      <c r="AO14">
        <f t="shared" si="6"/>
        <v>4.688210711284821</v>
      </c>
      <c r="AP14">
        <f t="shared" si="6"/>
        <v>0.33355168778144428</v>
      </c>
      <c r="AQ14">
        <f t="shared" si="6"/>
        <v>1.0273986130341004</v>
      </c>
      <c r="AR14">
        <f t="shared" si="6"/>
        <v>5.6835785506797931</v>
      </c>
      <c r="AS14">
        <f t="shared" si="7"/>
        <v>11.732739562780159</v>
      </c>
      <c r="AU14">
        <f t="shared" si="8"/>
        <v>46.882107112848225</v>
      </c>
      <c r="AV14">
        <f t="shared" si="8"/>
        <v>3.3783366130962849</v>
      </c>
      <c r="AW14">
        <f t="shared" si="8"/>
        <v>11.541046303285071</v>
      </c>
      <c r="AX14">
        <f t="shared" si="8"/>
        <v>58.234879039318045</v>
      </c>
      <c r="AY14">
        <f t="shared" si="9"/>
        <v>120.03636906854763</v>
      </c>
    </row>
    <row r="15" spans="1:51" ht="15" x14ac:dyDescent="0.25">
      <c r="A15" s="1"/>
      <c r="B15" s="2"/>
      <c r="C15" s="1" t="s">
        <v>11</v>
      </c>
      <c r="D15" s="285">
        <v>0</v>
      </c>
      <c r="E15" s="286">
        <v>5.49007735</v>
      </c>
      <c r="F15" s="286">
        <v>0</v>
      </c>
      <c r="G15" s="286">
        <v>0.88141493000000004</v>
      </c>
      <c r="H15" s="287">
        <v>4.6729596600000001</v>
      </c>
      <c r="J15">
        <v>0</v>
      </c>
      <c r="K15">
        <v>3.9938709975900002</v>
      </c>
      <c r="L15">
        <v>0</v>
      </c>
      <c r="M15">
        <v>0.51122100110900004</v>
      </c>
      <c r="N15">
        <v>1.5881206718100001</v>
      </c>
      <c r="O15" s="20"/>
      <c r="P15" s="20"/>
      <c r="Q15" s="147">
        <v>0.13765938631405611</v>
      </c>
      <c r="R15" s="197">
        <v>0.17699999999999999</v>
      </c>
      <c r="S15" s="197">
        <v>1.77</v>
      </c>
      <c r="T15" s="197">
        <v>0.50078889239507718</v>
      </c>
      <c r="U15" s="197">
        <v>0.75268470790377973</v>
      </c>
      <c r="V15" s="20">
        <f t="shared" si="0"/>
        <v>0.72243373739187278</v>
      </c>
      <c r="W15" s="20">
        <f t="shared" si="0"/>
        <v>0</v>
      </c>
      <c r="X15" s="20">
        <f t="shared" si="0"/>
        <v>0.13600854752458946</v>
      </c>
      <c r="Y15" s="20">
        <f t="shared" si="0"/>
        <v>0.89394715541862002</v>
      </c>
      <c r="Z15" s="20">
        <f t="shared" si="1"/>
        <v>0.47144739464124225</v>
      </c>
      <c r="AA15" s="20">
        <f t="shared" si="1"/>
        <v>0</v>
      </c>
      <c r="AB15" s="20">
        <f t="shared" si="1"/>
        <v>9.0615302532980072E-2</v>
      </c>
      <c r="AC15" s="20">
        <f t="shared" si="1"/>
        <v>0.56381863515219033</v>
      </c>
      <c r="AD15" s="20">
        <f t="shared" si="2"/>
        <v>1.1258813323264127</v>
      </c>
      <c r="AE15" s="20">
        <f t="shared" si="3"/>
        <v>9.2813323320414121</v>
      </c>
      <c r="AF15" s="20">
        <f t="shared" si="3"/>
        <v>0</v>
      </c>
      <c r="AG15" s="20">
        <f t="shared" si="3"/>
        <v>1.6233836695045958</v>
      </c>
      <c r="AH15" s="20">
        <f t="shared" si="3"/>
        <v>9.7574139005401062</v>
      </c>
      <c r="AI15" s="20">
        <f t="shared" si="4"/>
        <v>6.056832232859775</v>
      </c>
      <c r="AJ15" s="20">
        <f t="shared" si="4"/>
        <v>0</v>
      </c>
      <c r="AK15" s="20">
        <f t="shared" si="4"/>
        <v>1.0815746878898398</v>
      </c>
      <c r="AL15" s="20">
        <f t="shared" si="4"/>
        <v>6.1540682295043672</v>
      </c>
      <c r="AM15" s="20">
        <f t="shared" si="5"/>
        <v>13.292475150253981</v>
      </c>
      <c r="AO15">
        <f t="shared" si="6"/>
        <v>0.65414017364493093</v>
      </c>
      <c r="AP15">
        <f t="shared" si="6"/>
        <v>0</v>
      </c>
      <c r="AQ15">
        <f t="shared" si="6"/>
        <v>0.12838545214447952</v>
      </c>
      <c r="AR15">
        <f t="shared" si="6"/>
        <v>0.85372068381350674</v>
      </c>
      <c r="AS15">
        <f t="shared" si="7"/>
        <v>1.6362463096029172</v>
      </c>
      <c r="AU15">
        <f t="shared" si="8"/>
        <v>8.4039435440216774</v>
      </c>
      <c r="AV15">
        <f t="shared" si="8"/>
        <v>0</v>
      </c>
      <c r="AW15">
        <f t="shared" si="8"/>
        <v>1.5323952075558418</v>
      </c>
      <c r="AX15">
        <f t="shared" si="8"/>
        <v>9.3183428314838928</v>
      </c>
      <c r="AY15">
        <f t="shared" si="9"/>
        <v>19.254681583061412</v>
      </c>
    </row>
    <row r="16" spans="1:51" ht="15" x14ac:dyDescent="0.25">
      <c r="A16" s="5"/>
      <c r="B16" s="6"/>
      <c r="C16" s="5" t="s">
        <v>12</v>
      </c>
      <c r="D16" s="285">
        <v>0</v>
      </c>
      <c r="E16" s="286">
        <v>0.53741125000000001</v>
      </c>
      <c r="F16" s="286">
        <v>1.67781421</v>
      </c>
      <c r="G16" s="286">
        <v>0.18883026999999999</v>
      </c>
      <c r="H16" s="287">
        <v>1.40021354</v>
      </c>
      <c r="J16">
        <v>0</v>
      </c>
      <c r="K16">
        <v>0.53741125000000001</v>
      </c>
      <c r="L16">
        <v>0.66395307587289998</v>
      </c>
      <c r="M16">
        <v>0.18883026999999999</v>
      </c>
      <c r="N16">
        <v>-7.2158026833202271E-3</v>
      </c>
      <c r="O16" s="20"/>
      <c r="P16" s="20"/>
      <c r="Q16" s="147">
        <v>0.13765938631405611</v>
      </c>
      <c r="R16" s="197">
        <v>0.17699999999999999</v>
      </c>
      <c r="S16" s="197">
        <v>1.77</v>
      </c>
      <c r="T16" s="197">
        <v>0.50078889239507718</v>
      </c>
      <c r="U16" s="197">
        <v>0.75268470790377973</v>
      </c>
      <c r="V16" s="20">
        <f t="shared" si="0"/>
        <v>4.8154951051884304E-2</v>
      </c>
      <c r="W16" s="20">
        <f t="shared" si="0"/>
        <v>0.30652825992970129</v>
      </c>
      <c r="X16" s="20">
        <f t="shared" si="0"/>
        <v>1.6920212237767813E-2</v>
      </c>
      <c r="Y16" s="20">
        <f t="shared" si="0"/>
        <v>0.3411719898263067</v>
      </c>
      <c r="Z16" s="20">
        <f t="shared" si="1"/>
        <v>3.1425063694350663E-2</v>
      </c>
      <c r="AA16" s="20">
        <f t="shared" si="1"/>
        <v>0.20309585310158185</v>
      </c>
      <c r="AB16" s="20">
        <f t="shared" si="1"/>
        <v>1.1273042604696326E-2</v>
      </c>
      <c r="AC16" s="20">
        <f t="shared" si="1"/>
        <v>0.21517952654141703</v>
      </c>
      <c r="AD16" s="20">
        <f t="shared" si="2"/>
        <v>0.4609734859420459</v>
      </c>
      <c r="AE16" s="20">
        <f t="shared" si="3"/>
        <v>0.75833667574162211</v>
      </c>
      <c r="AF16" s="20">
        <f t="shared" si="3"/>
        <v>3.4072436016240109</v>
      </c>
      <c r="AG16" s="20">
        <f t="shared" si="3"/>
        <v>0.26645686935506641</v>
      </c>
      <c r="AH16" s="20">
        <f t="shared" si="3"/>
        <v>3.4117198982630677</v>
      </c>
      <c r="AI16" s="20">
        <f t="shared" si="4"/>
        <v>0.49487701298390424</v>
      </c>
      <c r="AJ16" s="20">
        <f t="shared" si="4"/>
        <v>2.2575309896563414</v>
      </c>
      <c r="AK16" s="20">
        <f t="shared" si="4"/>
        <v>0.17752612073321947</v>
      </c>
      <c r="AL16" s="20">
        <f t="shared" si="4"/>
        <v>2.151795265414171</v>
      </c>
      <c r="AM16" s="20">
        <f t="shared" si="5"/>
        <v>5.081729388787636</v>
      </c>
      <c r="AO16">
        <f t="shared" si="6"/>
        <v>4.3602736711416928E-2</v>
      </c>
      <c r="AP16">
        <f t="shared" si="6"/>
        <v>0.30006704319967969</v>
      </c>
      <c r="AQ16">
        <f t="shared" si="6"/>
        <v>1.5971857196207737E-2</v>
      </c>
      <c r="AR16">
        <f t="shared" si="6"/>
        <v>0.32581968932619365</v>
      </c>
      <c r="AS16">
        <f t="shared" si="7"/>
        <v>0.685461326433498</v>
      </c>
      <c r="AU16">
        <f t="shared" si="8"/>
        <v>0.68664911268099504</v>
      </c>
      <c r="AV16">
        <f t="shared" si="8"/>
        <v>3.3354233415046961</v>
      </c>
      <c r="AW16">
        <f t="shared" si="8"/>
        <v>0.25152232173472705</v>
      </c>
      <c r="AX16">
        <f t="shared" si="8"/>
        <v>3.2581968932619376</v>
      </c>
      <c r="AY16">
        <f t="shared" si="9"/>
        <v>7.5317916691823559</v>
      </c>
    </row>
    <row r="17" spans="1:51" ht="15" x14ac:dyDescent="0.25">
      <c r="A17" s="5"/>
      <c r="B17" s="6"/>
      <c r="C17" s="5" t="s">
        <v>13</v>
      </c>
      <c r="D17" s="285">
        <v>0</v>
      </c>
      <c r="E17" s="286">
        <v>0</v>
      </c>
      <c r="F17" s="286">
        <v>0</v>
      </c>
      <c r="G17" s="286">
        <v>0</v>
      </c>
      <c r="H17" s="287">
        <v>0</v>
      </c>
      <c r="J17">
        <v>0</v>
      </c>
      <c r="K17">
        <v>0</v>
      </c>
      <c r="L17">
        <v>0</v>
      </c>
      <c r="M17">
        <v>0</v>
      </c>
      <c r="N17">
        <v>0</v>
      </c>
      <c r="O17" s="20"/>
      <c r="P17" s="20"/>
      <c r="Q17" s="147"/>
      <c r="R17" s="197">
        <v>0.17699999999999999</v>
      </c>
      <c r="S17" s="197">
        <v>1.77</v>
      </c>
      <c r="T17" s="197">
        <v>0.50078889239507718</v>
      </c>
      <c r="U17" s="197">
        <v>0.75268470790377973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1"/>
        <v>0</v>
      </c>
      <c r="AA17" s="20">
        <f t="shared" si="1"/>
        <v>0</v>
      </c>
      <c r="AB17" s="20">
        <f t="shared" si="1"/>
        <v>0</v>
      </c>
      <c r="AC17" s="20">
        <f t="shared" si="1"/>
        <v>0</v>
      </c>
      <c r="AD17" s="20">
        <f t="shared" si="2"/>
        <v>0</v>
      </c>
      <c r="AE17" s="20">
        <f t="shared" si="3"/>
        <v>0</v>
      </c>
      <c r="AF17" s="20">
        <f t="shared" si="3"/>
        <v>0</v>
      </c>
      <c r="AG17" s="20">
        <f t="shared" si="3"/>
        <v>0</v>
      </c>
      <c r="AH17" s="20">
        <f t="shared" si="3"/>
        <v>0</v>
      </c>
      <c r="AI17" s="20">
        <f t="shared" si="4"/>
        <v>0</v>
      </c>
      <c r="AJ17" s="20">
        <f t="shared" si="4"/>
        <v>0</v>
      </c>
      <c r="AK17" s="20">
        <f t="shared" si="4"/>
        <v>0</v>
      </c>
      <c r="AL17" s="20">
        <f t="shared" si="4"/>
        <v>0</v>
      </c>
      <c r="AM17" s="20">
        <f t="shared" si="5"/>
        <v>0</v>
      </c>
      <c r="AO17">
        <f t="shared" si="6"/>
        <v>0</v>
      </c>
      <c r="AP17">
        <f t="shared" si="6"/>
        <v>0</v>
      </c>
      <c r="AQ17">
        <f t="shared" si="6"/>
        <v>0</v>
      </c>
      <c r="AR17">
        <f t="shared" si="6"/>
        <v>0</v>
      </c>
      <c r="AS17">
        <f t="shared" si="7"/>
        <v>0</v>
      </c>
      <c r="AU17">
        <f t="shared" si="8"/>
        <v>0</v>
      </c>
      <c r="AV17">
        <f t="shared" si="8"/>
        <v>0</v>
      </c>
      <c r="AW17">
        <f t="shared" si="8"/>
        <v>0</v>
      </c>
      <c r="AX17">
        <f t="shared" si="8"/>
        <v>0</v>
      </c>
      <c r="AY17">
        <f t="shared" si="9"/>
        <v>0</v>
      </c>
    </row>
    <row r="18" spans="1:51" ht="15" x14ac:dyDescent="0.25">
      <c r="A18" s="7"/>
      <c r="B18" s="8" t="s">
        <v>14</v>
      </c>
      <c r="C18" s="7"/>
      <c r="D18" s="288">
        <f>SUM(D12:D17)</f>
        <v>0</v>
      </c>
      <c r="E18" s="289">
        <f>SUM(E12:E17)</f>
        <v>107.66400907000001</v>
      </c>
      <c r="F18" s="289">
        <f>SUM(F12:F17)</f>
        <v>109.11897675</v>
      </c>
      <c r="G18" s="289">
        <f>SUM(G12:G17)</f>
        <v>141.60160551000001</v>
      </c>
      <c r="H18" s="290">
        <f>SUM(H12:H17)</f>
        <v>329.05486218999999</v>
      </c>
      <c r="J18">
        <v>0</v>
      </c>
      <c r="K18">
        <v>-46.705923816527999</v>
      </c>
      <c r="L18">
        <v>-28.622923372957072</v>
      </c>
      <c r="M18">
        <v>90.545870228297787</v>
      </c>
      <c r="N18">
        <v>90.3072095137357</v>
      </c>
      <c r="O18" s="20"/>
      <c r="P18" s="20"/>
      <c r="Q18" s="147"/>
      <c r="R18" s="197"/>
      <c r="S18" s="197"/>
      <c r="T18" s="197"/>
      <c r="U18" s="197"/>
    </row>
    <row r="19" spans="1:51" ht="15" x14ac:dyDescent="0.25">
      <c r="A19" s="5"/>
      <c r="B19" s="9" t="s">
        <v>15</v>
      </c>
      <c r="C19" s="5"/>
      <c r="D19" s="291"/>
      <c r="E19" s="292"/>
      <c r="F19" s="292"/>
      <c r="G19" s="292"/>
      <c r="H19" s="293">
        <f>SUM(D18:H18)</f>
        <v>687.43945352000003</v>
      </c>
      <c r="N19">
        <v>105.52423255254841</v>
      </c>
      <c r="O19" s="20"/>
      <c r="P19" s="20"/>
      <c r="Q19" s="147"/>
      <c r="R19" s="197"/>
      <c r="S19" s="197"/>
      <c r="T19" s="197"/>
      <c r="U19" s="197"/>
    </row>
    <row r="20" spans="1:51" ht="15.75" thickBot="1" x14ac:dyDescent="0.3">
      <c r="A20" s="1"/>
      <c r="B20" s="2"/>
      <c r="C20" s="1"/>
      <c r="D20" s="294"/>
      <c r="E20" s="295"/>
      <c r="F20" s="295"/>
      <c r="G20" s="295"/>
      <c r="H20" s="296"/>
      <c r="O20" s="20"/>
      <c r="P20" s="20"/>
      <c r="Q20" s="147"/>
      <c r="R20" s="197"/>
      <c r="S20" s="197"/>
      <c r="T20" s="197"/>
      <c r="U20" s="197"/>
    </row>
    <row r="21" spans="1:51" ht="15" x14ac:dyDescent="0.25">
      <c r="A21" s="1">
        <v>2</v>
      </c>
      <c r="B21" s="2" t="s">
        <v>16</v>
      </c>
      <c r="C21" s="1" t="s">
        <v>8</v>
      </c>
      <c r="D21" s="285">
        <v>4.0000000000000001E-8</v>
      </c>
      <c r="E21" s="286">
        <v>22.754948899999999</v>
      </c>
      <c r="F21" s="286">
        <v>36.947473600000002</v>
      </c>
      <c r="G21" s="286">
        <v>1.79408514</v>
      </c>
      <c r="H21" s="287">
        <v>109.38445659</v>
      </c>
      <c r="J21">
        <v>4.0000000000000001E-8</v>
      </c>
      <c r="K21">
        <v>7.4074821020299986</v>
      </c>
      <c r="L21">
        <v>14.755486059700001</v>
      </c>
      <c r="M21">
        <v>-27.071073666</v>
      </c>
      <c r="N21">
        <v>32.206011137549979</v>
      </c>
      <c r="O21" s="20"/>
      <c r="P21" s="20"/>
      <c r="Q21" s="147">
        <v>0.15572644167551256</v>
      </c>
      <c r="R21" s="197">
        <v>0.3</v>
      </c>
      <c r="S21" s="197">
        <v>2.29</v>
      </c>
      <c r="T21" s="197">
        <v>0.50078889239507718</v>
      </c>
      <c r="U21" s="197">
        <v>0.75268470790377973</v>
      </c>
      <c r="V21" s="20">
        <f t="shared" ref="V21:Y26" si="10">IF(K21&gt;0,((E21-K21)*$Q21*$R21*10)+(K21*$O$12*$Q21*$R21*10),(E21*$Q21*$R21*10))</f>
        <v>8.4426701773818706</v>
      </c>
      <c r="W21" s="20">
        <f t="shared" si="10"/>
        <v>12.902721044627093</v>
      </c>
      <c r="X21" s="20">
        <f t="shared" si="10"/>
        <v>0.83815948474534119</v>
      </c>
      <c r="Y21" s="20">
        <f t="shared" si="10"/>
        <v>41.589364906060212</v>
      </c>
      <c r="Z21" s="20">
        <f t="shared" ref="Z21:AC26" si="11">V21*(EXP(1.01-0.34*LN(Z$8))*(1-$T21)+(1*$T21))</f>
        <v>5.5095362424678127</v>
      </c>
      <c r="AA21" s="20">
        <f t="shared" si="11"/>
        <v>8.5489316335506942</v>
      </c>
      <c r="AB21" s="20">
        <f t="shared" si="11"/>
        <v>0.55842133941879279</v>
      </c>
      <c r="AC21" s="20">
        <f t="shared" si="11"/>
        <v>26.230699226511408</v>
      </c>
      <c r="AD21" s="20">
        <f t="shared" ref="AD21:AD26" si="12">SUM(Z21:AC21)</f>
        <v>40.847588441948709</v>
      </c>
      <c r="AE21" s="20">
        <f t="shared" ref="AE21:AH26" si="13">IF(K21&gt;0,((E21-K21)*$Q21*$S21*10)+(K21*$P$12*$Q21*$S21)*10,(E21*$Q21*$S21*10))</f>
        <v>70.029498942458318</v>
      </c>
      <c r="AF21" s="20">
        <f t="shared" si="13"/>
        <v>109.61350233899719</v>
      </c>
      <c r="AG21" s="20">
        <f t="shared" si="13"/>
        <v>6.3979507335561046</v>
      </c>
      <c r="AH21" s="20">
        <f t="shared" si="13"/>
        <v>341.74247771589319</v>
      </c>
      <c r="AI21" s="20">
        <f t="shared" ref="AI21:AL26" si="14">AE21*(EXP(1.01-0.34*LN(AI$8))*(1-$T21)+(1*$T21))</f>
        <v>45.700004188128077</v>
      </c>
      <c r="AJ21" s="20">
        <f t="shared" si="14"/>
        <v>72.626412240412733</v>
      </c>
      <c r="AK21" s="20">
        <f t="shared" si="14"/>
        <v>4.2626162242301184</v>
      </c>
      <c r="AL21" s="20">
        <f t="shared" si="14"/>
        <v>215.53933718718937</v>
      </c>
      <c r="AM21" s="20">
        <f t="shared" ref="AM21:AM26" si="15">SUM(AI21:AL21)</f>
        <v>338.12836983996033</v>
      </c>
      <c r="AO21">
        <f t="shared" ref="AO21:AR26" si="16">Z21*AO$10</f>
        <v>7.6445623314844733</v>
      </c>
      <c r="AP21">
        <f t="shared" si="16"/>
        <v>12.630748479697957</v>
      </c>
      <c r="AQ21">
        <f t="shared" si="16"/>
        <v>0.79118177773907827</v>
      </c>
      <c r="AR21">
        <f t="shared" si="16"/>
        <v>39.71789700515852</v>
      </c>
      <c r="AS21">
        <f t="shared" ref="AS21:AS26" si="17">SUM(AO21:AR21)</f>
        <v>60.784389594080025</v>
      </c>
      <c r="AU21">
        <f t="shared" ref="AU21:AX26" si="18">AI21*AU$10</f>
        <v>63.409425982605747</v>
      </c>
      <c r="AV21">
        <f t="shared" si="18"/>
        <v>107.3029923869575</v>
      </c>
      <c r="AW21">
        <f t="shared" si="18"/>
        <v>6.0393542367416311</v>
      </c>
      <c r="AX21">
        <f t="shared" si="18"/>
        <v>326.36450599488927</v>
      </c>
      <c r="AY21">
        <f t="shared" ref="AY21:AY26" si="19">SUM(AU21:AX21)</f>
        <v>503.11627860119415</v>
      </c>
    </row>
    <row r="22" spans="1:51" ht="15" x14ac:dyDescent="0.25">
      <c r="A22" s="1"/>
      <c r="B22" s="2"/>
      <c r="C22" s="1" t="s">
        <v>9</v>
      </c>
      <c r="D22" s="285">
        <v>0</v>
      </c>
      <c r="E22" s="286">
        <v>23.523934709999999</v>
      </c>
      <c r="F22" s="286">
        <v>0.88824144999999999</v>
      </c>
      <c r="G22" s="286">
        <v>0</v>
      </c>
      <c r="H22" s="287">
        <v>5.99048392</v>
      </c>
      <c r="J22">
        <v>0</v>
      </c>
      <c r="K22">
        <v>22.265284125969998</v>
      </c>
      <c r="L22">
        <v>0.88824144999999999</v>
      </c>
      <c r="M22">
        <v>0</v>
      </c>
      <c r="N22">
        <v>5.99048392</v>
      </c>
      <c r="O22" s="20"/>
      <c r="P22" s="20"/>
      <c r="Q22" s="147">
        <v>0.1764528833510251</v>
      </c>
      <c r="R22" s="197">
        <v>0.3</v>
      </c>
      <c r="S22" s="197">
        <v>2.29</v>
      </c>
      <c r="T22" s="197">
        <v>0.50078889239507718</v>
      </c>
      <c r="U22" s="197">
        <v>0.75268470790377973</v>
      </c>
      <c r="V22" s="20">
        <f t="shared" si="10"/>
        <v>5.0007211345051186</v>
      </c>
      <c r="W22" s="20">
        <f t="shared" si="10"/>
        <v>0.1729163845967101</v>
      </c>
      <c r="X22" s="20">
        <f t="shared" si="10"/>
        <v>0</v>
      </c>
      <c r="Y22" s="20">
        <f t="shared" si="10"/>
        <v>1.1661838359728964</v>
      </c>
      <c r="Z22" s="20">
        <f t="shared" si="11"/>
        <v>3.2633815783592133</v>
      </c>
      <c r="AA22" s="20">
        <f t="shared" si="11"/>
        <v>0.11456888396836269</v>
      </c>
      <c r="AB22" s="20">
        <f t="shared" si="11"/>
        <v>0</v>
      </c>
      <c r="AC22" s="20">
        <f t="shared" si="11"/>
        <v>0.73552018679099751</v>
      </c>
      <c r="AD22" s="20">
        <f t="shared" si="12"/>
        <v>4.1134706491185735</v>
      </c>
      <c r="AE22" s="20">
        <f t="shared" si="13"/>
        <v>57.189634412973994</v>
      </c>
      <c r="AF22" s="20">
        <f t="shared" si="13"/>
        <v>2.0786027086411996</v>
      </c>
      <c r="AG22" s="20">
        <f t="shared" si="13"/>
        <v>0</v>
      </c>
      <c r="AH22" s="20">
        <f t="shared" si="13"/>
        <v>14.018526271413647</v>
      </c>
      <c r="AI22" s="20">
        <f t="shared" si="14"/>
        <v>37.320937200163812</v>
      </c>
      <c r="AJ22" s="20">
        <f t="shared" si="14"/>
        <v>1.3772158902006613</v>
      </c>
      <c r="AK22" s="20">
        <f t="shared" si="14"/>
        <v>0</v>
      </c>
      <c r="AL22" s="20">
        <f t="shared" si="14"/>
        <v>8.8415811843959649</v>
      </c>
      <c r="AM22" s="20">
        <f t="shared" si="15"/>
        <v>47.539734274760434</v>
      </c>
      <c r="AO22">
        <f t="shared" si="16"/>
        <v>4.5279897961086748</v>
      </c>
      <c r="AP22">
        <f t="shared" si="16"/>
        <v>0.16927153228421096</v>
      </c>
      <c r="AQ22">
        <f t="shared" si="16"/>
        <v>0</v>
      </c>
      <c r="AR22">
        <f t="shared" si="16"/>
        <v>1.1137070640745197</v>
      </c>
      <c r="AS22">
        <f t="shared" si="17"/>
        <v>5.8109683924674052</v>
      </c>
      <c r="AU22">
        <f t="shared" si="18"/>
        <v>51.783347661268543</v>
      </c>
      <c r="AV22">
        <f t="shared" si="18"/>
        <v>2.0347884691344711</v>
      </c>
      <c r="AW22">
        <f t="shared" si="18"/>
        <v>0</v>
      </c>
      <c r="AX22">
        <f t="shared" si="18"/>
        <v>13.387710629141724</v>
      </c>
      <c r="AY22">
        <f t="shared" si="19"/>
        <v>67.205846759544741</v>
      </c>
    </row>
    <row r="23" spans="1:51" ht="15" x14ac:dyDescent="0.25">
      <c r="A23" s="1"/>
      <c r="B23" s="2"/>
      <c r="C23" s="1" t="s">
        <v>10</v>
      </c>
      <c r="D23" s="285">
        <v>0</v>
      </c>
      <c r="E23" s="286">
        <v>21.99833061</v>
      </c>
      <c r="F23" s="286">
        <v>0</v>
      </c>
      <c r="G23" s="286">
        <v>0.20472351999999999</v>
      </c>
      <c r="H23" s="287">
        <v>1.57032422</v>
      </c>
      <c r="J23">
        <v>0</v>
      </c>
      <c r="K23">
        <v>19.940238007249999</v>
      </c>
      <c r="L23">
        <v>0</v>
      </c>
      <c r="M23">
        <v>-1.02222272788</v>
      </c>
      <c r="N23">
        <v>1.1131592694234009</v>
      </c>
      <c r="O23" s="20"/>
      <c r="P23" s="20"/>
      <c r="Q23" s="147">
        <v>0.19717932502653765</v>
      </c>
      <c r="R23" s="197">
        <v>0.3</v>
      </c>
      <c r="S23" s="197">
        <v>2.29</v>
      </c>
      <c r="T23" s="197">
        <v>0.50078889239507718</v>
      </c>
      <c r="U23" s="197">
        <v>0.75268470790377973</v>
      </c>
      <c r="V23" s="20">
        <f t="shared" si="10"/>
        <v>5.5552253516633279</v>
      </c>
      <c r="W23" s="20">
        <f t="shared" si="10"/>
        <v>0</v>
      </c>
      <c r="X23" s="20">
        <f t="shared" si="10"/>
        <v>0.12110173647197063</v>
      </c>
      <c r="Y23" s="20">
        <f t="shared" si="10"/>
        <v>0.51258631756644868</v>
      </c>
      <c r="Z23" s="20">
        <f t="shared" si="11"/>
        <v>3.6252411579527624</v>
      </c>
      <c r="AA23" s="20">
        <f t="shared" si="11"/>
        <v>0</v>
      </c>
      <c r="AB23" s="20">
        <f t="shared" si="11"/>
        <v>8.0683682661142134E-2</v>
      </c>
      <c r="AC23" s="20">
        <f t="shared" si="11"/>
        <v>0.32329172503789211</v>
      </c>
      <c r="AD23" s="20">
        <f t="shared" si="12"/>
        <v>4.0292165656517964</v>
      </c>
      <c r="AE23" s="20">
        <f t="shared" si="13"/>
        <v>61.437012420918762</v>
      </c>
      <c r="AF23" s="20">
        <f t="shared" si="13"/>
        <v>0</v>
      </c>
      <c r="AG23" s="20">
        <f t="shared" si="13"/>
        <v>0.92440992173604253</v>
      </c>
      <c r="AH23" s="20">
        <f t="shared" si="13"/>
        <v>4.975206322425235</v>
      </c>
      <c r="AI23" s="20">
        <f t="shared" si="14"/>
        <v>40.092700466828489</v>
      </c>
      <c r="AJ23" s="20">
        <f t="shared" si="14"/>
        <v>0</v>
      </c>
      <c r="AK23" s="20">
        <f t="shared" si="14"/>
        <v>0.61588544431338499</v>
      </c>
      <c r="AL23" s="20">
        <f t="shared" si="14"/>
        <v>3.1378969341837188</v>
      </c>
      <c r="AM23" s="20">
        <f t="shared" si="15"/>
        <v>43.846482845325596</v>
      </c>
      <c r="AO23">
        <f t="shared" si="16"/>
        <v>5.0300752693151463</v>
      </c>
      <c r="AP23">
        <f t="shared" si="16"/>
        <v>0</v>
      </c>
      <c r="AQ23">
        <f t="shared" si="16"/>
        <v>0.11431414771652224</v>
      </c>
      <c r="AR23">
        <f t="shared" si="16"/>
        <v>0.48952059290501665</v>
      </c>
      <c r="AS23">
        <f t="shared" si="17"/>
        <v>5.6339100099366846</v>
      </c>
      <c r="AU23">
        <f t="shared" si="18"/>
        <v>55.629209840522719</v>
      </c>
      <c r="AV23">
        <f t="shared" si="18"/>
        <v>0</v>
      </c>
      <c r="AW23">
        <f t="shared" si="18"/>
        <v>0.87259799423611972</v>
      </c>
      <c r="AX23">
        <f t="shared" si="18"/>
        <v>4.7513284403317471</v>
      </c>
      <c r="AY23">
        <f t="shared" si="19"/>
        <v>61.253136275090583</v>
      </c>
    </row>
    <row r="24" spans="1:51" ht="15" x14ac:dyDescent="0.25">
      <c r="A24" s="1"/>
      <c r="B24" s="2"/>
      <c r="C24" s="1" t="s">
        <v>11</v>
      </c>
      <c r="D24" s="285">
        <v>0</v>
      </c>
      <c r="E24" s="286">
        <v>8.9315889999999995E-2</v>
      </c>
      <c r="F24" s="286">
        <v>0</v>
      </c>
      <c r="G24" s="286">
        <v>0</v>
      </c>
      <c r="H24" s="287">
        <v>0.1163059</v>
      </c>
      <c r="J24">
        <v>0</v>
      </c>
      <c r="K24">
        <v>-0.372491127423</v>
      </c>
      <c r="L24">
        <v>0</v>
      </c>
      <c r="M24">
        <v>0</v>
      </c>
      <c r="N24">
        <v>2.6938042983200003E-2</v>
      </c>
      <c r="O24" s="20"/>
      <c r="P24" s="20"/>
      <c r="Q24" s="147">
        <v>0.21790576670205017</v>
      </c>
      <c r="R24" s="197">
        <v>0.3</v>
      </c>
      <c r="S24" s="197">
        <v>2.29</v>
      </c>
      <c r="T24" s="197">
        <v>0.50078889239507718</v>
      </c>
      <c r="U24" s="197">
        <v>0.75268470790377973</v>
      </c>
      <c r="V24" s="20">
        <f t="shared" si="10"/>
        <v>5.8387342467377916E-2</v>
      </c>
      <c r="W24" s="20">
        <f t="shared" si="10"/>
        <v>0</v>
      </c>
      <c r="X24" s="20">
        <f t="shared" si="10"/>
        <v>0</v>
      </c>
      <c r="Y24" s="20">
        <f t="shared" si="10"/>
        <v>6.4897377975131607E-2</v>
      </c>
      <c r="Z24" s="20">
        <f t="shared" si="11"/>
        <v>3.8102540152191056E-2</v>
      </c>
      <c r="AA24" s="20">
        <f t="shared" si="11"/>
        <v>0</v>
      </c>
      <c r="AB24" s="20">
        <f t="shared" si="11"/>
        <v>0</v>
      </c>
      <c r="AC24" s="20">
        <f t="shared" si="11"/>
        <v>4.093122379002357E-2</v>
      </c>
      <c r="AD24" s="20">
        <f t="shared" si="12"/>
        <v>7.9033763942214619E-2</v>
      </c>
      <c r="AE24" s="20">
        <f t="shared" si="13"/>
        <v>0.44569004750098479</v>
      </c>
      <c r="AF24" s="20">
        <f t="shared" si="13"/>
        <v>0</v>
      </c>
      <c r="AG24" s="20">
        <f t="shared" si="13"/>
        <v>0</v>
      </c>
      <c r="AH24" s="20">
        <f t="shared" si="13"/>
        <v>0.52379718573760536</v>
      </c>
      <c r="AI24" s="20">
        <f t="shared" si="14"/>
        <v>0.2908493898283917</v>
      </c>
      <c r="AJ24" s="20">
        <f t="shared" si="14"/>
        <v>0</v>
      </c>
      <c r="AK24" s="20">
        <f t="shared" si="14"/>
        <v>0</v>
      </c>
      <c r="AL24" s="20">
        <f t="shared" si="14"/>
        <v>0.33036249689819602</v>
      </c>
      <c r="AM24" s="20">
        <f t="shared" si="15"/>
        <v>0.62121188672658767</v>
      </c>
      <c r="AO24">
        <f t="shared" si="16"/>
        <v>5.2867833219088965E-2</v>
      </c>
      <c r="AP24">
        <f t="shared" si="16"/>
        <v>0</v>
      </c>
      <c r="AQ24">
        <f t="shared" si="16"/>
        <v>0</v>
      </c>
      <c r="AR24">
        <f t="shared" si="16"/>
        <v>6.1977079480372774E-2</v>
      </c>
      <c r="AS24">
        <f t="shared" si="17"/>
        <v>0.11484491269946173</v>
      </c>
      <c r="AU24">
        <f t="shared" si="18"/>
        <v>0.40355779357237903</v>
      </c>
      <c r="AV24">
        <f t="shared" si="18"/>
        <v>0</v>
      </c>
      <c r="AW24">
        <f t="shared" si="18"/>
        <v>0</v>
      </c>
      <c r="AX24">
        <f t="shared" si="18"/>
        <v>0.50022698643533792</v>
      </c>
      <c r="AY24">
        <f t="shared" si="19"/>
        <v>0.903784780007717</v>
      </c>
    </row>
    <row r="25" spans="1:51" ht="15" x14ac:dyDescent="0.25">
      <c r="A25" s="1"/>
      <c r="B25" s="2"/>
      <c r="C25" s="1" t="s">
        <v>12</v>
      </c>
      <c r="D25" s="285">
        <v>0</v>
      </c>
      <c r="E25" s="286">
        <v>0.35930684000000002</v>
      </c>
      <c r="F25" s="286">
        <v>0.23843792</v>
      </c>
      <c r="G25" s="286">
        <v>0</v>
      </c>
      <c r="H25" s="287">
        <v>3.2241675500000002</v>
      </c>
      <c r="J25">
        <v>0</v>
      </c>
      <c r="K25">
        <v>0.15206683195700002</v>
      </c>
      <c r="L25">
        <v>0.23843792</v>
      </c>
      <c r="M25">
        <v>0</v>
      </c>
      <c r="N25">
        <v>1.8653058131290001</v>
      </c>
      <c r="O25" s="20"/>
      <c r="P25" s="20"/>
      <c r="Q25" s="147">
        <v>0.2179057667020502</v>
      </c>
      <c r="R25" s="197">
        <v>0.3</v>
      </c>
      <c r="S25" s="197">
        <v>2.29</v>
      </c>
      <c r="T25" s="197">
        <v>0.50078889239507718</v>
      </c>
      <c r="U25" s="197">
        <v>0.75268470790377973</v>
      </c>
      <c r="V25" s="20">
        <f t="shared" si="10"/>
        <v>0.17203413818961902</v>
      </c>
      <c r="W25" s="20">
        <f t="shared" si="10"/>
        <v>5.7321876575451645E-2</v>
      </c>
      <c r="X25" s="20">
        <f t="shared" si="10"/>
        <v>0</v>
      </c>
      <c r="Y25" s="20">
        <f t="shared" si="10"/>
        <v>1.3367419003082093</v>
      </c>
      <c r="Z25" s="20">
        <f t="shared" si="11"/>
        <v>0.11226641564616351</v>
      </c>
      <c r="AA25" s="20">
        <f t="shared" si="11"/>
        <v>3.7979648033577243E-2</v>
      </c>
      <c r="AB25" s="20">
        <f t="shared" si="11"/>
        <v>0</v>
      </c>
      <c r="AC25" s="20">
        <f t="shared" si="11"/>
        <v>0.84309233405366624</v>
      </c>
      <c r="AD25" s="20">
        <f t="shared" si="12"/>
        <v>0.99333839773340693</v>
      </c>
      <c r="AE25" s="20">
        <f t="shared" si="13"/>
        <v>1.473591867665879</v>
      </c>
      <c r="AF25" s="20">
        <f t="shared" si="13"/>
        <v>0.68905794087714956</v>
      </c>
      <c r="AG25" s="20">
        <f t="shared" si="13"/>
        <v>0</v>
      </c>
      <c r="AH25" s="20">
        <f t="shared" si="13"/>
        <v>12.171294726833153</v>
      </c>
      <c r="AI25" s="20">
        <f t="shared" si="14"/>
        <v>0.96163981666149734</v>
      </c>
      <c r="AJ25" s="20">
        <f t="shared" si="14"/>
        <v>0.45654782489209567</v>
      </c>
      <c r="AK25" s="20">
        <f t="shared" si="14"/>
        <v>0</v>
      </c>
      <c r="AL25" s="20">
        <f t="shared" si="14"/>
        <v>7.6765195116086868</v>
      </c>
      <c r="AM25" s="20">
        <f t="shared" si="15"/>
        <v>9.094707153162279</v>
      </c>
      <c r="AO25">
        <f t="shared" si="16"/>
        <v>0.15577129804940285</v>
      </c>
      <c r="AP25">
        <f t="shared" si="16"/>
        <v>5.611360602966093E-2</v>
      </c>
      <c r="AQ25">
        <f t="shared" si="16"/>
        <v>0</v>
      </c>
      <c r="AR25">
        <f t="shared" si="16"/>
        <v>1.2765902349998359</v>
      </c>
      <c r="AS25">
        <f t="shared" si="17"/>
        <v>1.4884751390788997</v>
      </c>
      <c r="AU25">
        <f t="shared" si="18"/>
        <v>1.3342893476662823</v>
      </c>
      <c r="AV25">
        <f t="shared" si="18"/>
        <v>0.67453349638850535</v>
      </c>
      <c r="AW25">
        <f t="shared" si="18"/>
        <v>0</v>
      </c>
      <c r="AX25">
        <f t="shared" si="18"/>
        <v>11.623602126930933</v>
      </c>
      <c r="AY25">
        <f t="shared" si="19"/>
        <v>13.632424970985721</v>
      </c>
    </row>
    <row r="26" spans="1:51" ht="15" x14ac:dyDescent="0.25">
      <c r="A26" s="1"/>
      <c r="B26" s="2"/>
      <c r="C26" s="1" t="s">
        <v>13</v>
      </c>
      <c r="D26" s="285">
        <v>0</v>
      </c>
      <c r="E26" s="286">
        <v>0</v>
      </c>
      <c r="F26" s="286">
        <v>0</v>
      </c>
      <c r="G26" s="286">
        <v>0</v>
      </c>
      <c r="H26" s="287">
        <v>0</v>
      </c>
      <c r="J26">
        <v>0</v>
      </c>
      <c r="K26">
        <v>0</v>
      </c>
      <c r="L26">
        <v>0</v>
      </c>
      <c r="M26">
        <v>0</v>
      </c>
      <c r="N26">
        <v>0</v>
      </c>
      <c r="O26" s="20"/>
      <c r="P26" s="20"/>
      <c r="Q26" s="147"/>
      <c r="R26" s="197">
        <v>0.3</v>
      </c>
      <c r="S26" s="197">
        <v>2.29</v>
      </c>
      <c r="T26" s="197">
        <v>0.50078889239507718</v>
      </c>
      <c r="U26" s="197">
        <v>0.75268470790377973</v>
      </c>
      <c r="V26" s="20">
        <f t="shared" si="10"/>
        <v>0</v>
      </c>
      <c r="W26" s="20">
        <f t="shared" si="10"/>
        <v>0</v>
      </c>
      <c r="X26" s="20">
        <f t="shared" si="10"/>
        <v>0</v>
      </c>
      <c r="Y26" s="20">
        <f t="shared" si="10"/>
        <v>0</v>
      </c>
      <c r="Z26" s="20">
        <f t="shared" si="11"/>
        <v>0</v>
      </c>
      <c r="AA26" s="20">
        <f t="shared" si="11"/>
        <v>0</v>
      </c>
      <c r="AB26" s="20">
        <f t="shared" si="11"/>
        <v>0</v>
      </c>
      <c r="AC26" s="20">
        <f t="shared" si="11"/>
        <v>0</v>
      </c>
      <c r="AD26" s="20">
        <f t="shared" si="12"/>
        <v>0</v>
      </c>
      <c r="AE26" s="20">
        <f t="shared" si="13"/>
        <v>0</v>
      </c>
      <c r="AF26" s="20">
        <f t="shared" si="13"/>
        <v>0</v>
      </c>
      <c r="AG26" s="20">
        <f t="shared" si="13"/>
        <v>0</v>
      </c>
      <c r="AH26" s="20">
        <f t="shared" si="13"/>
        <v>0</v>
      </c>
      <c r="AI26" s="20">
        <f t="shared" si="14"/>
        <v>0</v>
      </c>
      <c r="AJ26" s="20">
        <f t="shared" si="14"/>
        <v>0</v>
      </c>
      <c r="AK26" s="20">
        <f t="shared" si="14"/>
        <v>0</v>
      </c>
      <c r="AL26" s="20">
        <f t="shared" si="14"/>
        <v>0</v>
      </c>
      <c r="AM26" s="20">
        <f t="shared" si="15"/>
        <v>0</v>
      </c>
      <c r="AO26">
        <f t="shared" si="16"/>
        <v>0</v>
      </c>
      <c r="AP26">
        <f t="shared" si="16"/>
        <v>0</v>
      </c>
      <c r="AQ26">
        <f t="shared" si="16"/>
        <v>0</v>
      </c>
      <c r="AR26">
        <f t="shared" si="16"/>
        <v>0</v>
      </c>
      <c r="AS26">
        <f t="shared" si="17"/>
        <v>0</v>
      </c>
      <c r="AU26">
        <f t="shared" si="18"/>
        <v>0</v>
      </c>
      <c r="AV26">
        <f t="shared" si="18"/>
        <v>0</v>
      </c>
      <c r="AW26">
        <f t="shared" si="18"/>
        <v>0</v>
      </c>
      <c r="AX26">
        <f t="shared" si="18"/>
        <v>0</v>
      </c>
      <c r="AY26">
        <f t="shared" si="19"/>
        <v>0</v>
      </c>
    </row>
    <row r="27" spans="1:51" ht="15" x14ac:dyDescent="0.25">
      <c r="A27" s="7"/>
      <c r="B27" s="8" t="s">
        <v>14</v>
      </c>
      <c r="C27" s="7"/>
      <c r="D27" s="288">
        <f>SUM(D21:D26)</f>
        <v>4.0000000000000001E-8</v>
      </c>
      <c r="E27" s="289">
        <f>SUM(E21:E26)</f>
        <v>68.725836949999987</v>
      </c>
      <c r="F27" s="289">
        <f>SUM(F21:F26)</f>
        <v>38.074152970000007</v>
      </c>
      <c r="G27" s="289">
        <f>SUM(G21:G26)</f>
        <v>1.9988086599999999</v>
      </c>
      <c r="H27" s="290">
        <f>SUM(H21:H26)</f>
        <v>120.28573818000001</v>
      </c>
      <c r="J27">
        <v>4.0000000000000001E-8</v>
      </c>
      <c r="K27">
        <v>49.392579939784</v>
      </c>
      <c r="L27">
        <v>15.882165429700002</v>
      </c>
      <c r="M27">
        <v>-28.093296393879999</v>
      </c>
      <c r="N27">
        <v>41.201898183085575</v>
      </c>
      <c r="O27" s="20"/>
      <c r="P27" s="20"/>
      <c r="Q27" s="147"/>
      <c r="R27" s="197"/>
      <c r="S27" s="197"/>
      <c r="T27" s="197"/>
      <c r="U27" s="197"/>
    </row>
    <row r="28" spans="1:51" ht="15" x14ac:dyDescent="0.25">
      <c r="A28" s="5"/>
      <c r="B28" s="9" t="s">
        <v>15</v>
      </c>
      <c r="C28" s="5"/>
      <c r="D28" s="291"/>
      <c r="E28" s="292"/>
      <c r="F28" s="292"/>
      <c r="G28" s="292"/>
      <c r="H28" s="293">
        <f>SUM(D27:H27)</f>
        <v>229.08453680000002</v>
      </c>
      <c r="N28">
        <v>78.383347198689592</v>
      </c>
      <c r="O28" s="20"/>
      <c r="P28" s="20"/>
      <c r="Q28" s="147"/>
      <c r="R28" s="197"/>
      <c r="S28" s="197"/>
      <c r="T28" s="197"/>
      <c r="U28" s="197"/>
    </row>
    <row r="29" spans="1:51" ht="15.75" thickBot="1" x14ac:dyDescent="0.3">
      <c r="A29" s="1"/>
      <c r="B29" s="2"/>
      <c r="C29" s="1"/>
      <c r="D29" s="297"/>
      <c r="E29" s="298"/>
      <c r="F29" s="298"/>
      <c r="G29" s="298"/>
      <c r="H29" s="299"/>
      <c r="O29" s="20"/>
      <c r="P29" s="20"/>
      <c r="Q29" s="147"/>
      <c r="R29" s="197"/>
      <c r="S29" s="197"/>
      <c r="T29" s="197"/>
      <c r="U29" s="197"/>
    </row>
    <row r="30" spans="1:51" ht="15" x14ac:dyDescent="0.25">
      <c r="A30" s="1">
        <v>3</v>
      </c>
      <c r="B30" s="2" t="s">
        <v>17</v>
      </c>
      <c r="C30" s="1" t="s">
        <v>8</v>
      </c>
      <c r="D30" s="282">
        <v>0</v>
      </c>
      <c r="E30" s="283">
        <v>0</v>
      </c>
      <c r="F30" s="283">
        <v>0</v>
      </c>
      <c r="G30" s="283">
        <v>0</v>
      </c>
      <c r="H30" s="284">
        <v>6.1000772200000002</v>
      </c>
      <c r="J30">
        <v>0</v>
      </c>
      <c r="K30">
        <v>0</v>
      </c>
      <c r="L30">
        <v>0</v>
      </c>
      <c r="M30">
        <v>0</v>
      </c>
      <c r="N30">
        <v>1.4420044916599997</v>
      </c>
      <c r="O30" s="20"/>
      <c r="P30" s="20"/>
      <c r="Q30" s="147">
        <v>0.24328803677251107</v>
      </c>
      <c r="R30" s="197">
        <v>0.49</v>
      </c>
      <c r="S30" s="197">
        <v>2.42</v>
      </c>
      <c r="T30" s="197">
        <v>0.50078889239507718</v>
      </c>
      <c r="U30" s="197">
        <v>0.75268470790377973</v>
      </c>
      <c r="V30" s="20">
        <f t="shared" ref="V30:Y35" si="20">IF(K30&gt;0,((E30-K30)*$Q30*$R30*10)+(K30*$O$12*$Q30*$R30*10),(E30*$Q30*$R30*10))</f>
        <v>0</v>
      </c>
      <c r="W30" s="20">
        <f t="shared" si="20"/>
        <v>0</v>
      </c>
      <c r="X30" s="20">
        <f t="shared" si="20"/>
        <v>0</v>
      </c>
      <c r="Y30" s="20">
        <f t="shared" si="20"/>
        <v>6.1851182944958252</v>
      </c>
      <c r="Z30" s="20">
        <f t="shared" ref="Z30:AC35" si="21">V30*(EXP(1.01-0.34*LN(Z$8))*(1-$T30)+(1*$T30))</f>
        <v>0</v>
      </c>
      <c r="AA30" s="20">
        <f t="shared" si="21"/>
        <v>0</v>
      </c>
      <c r="AB30" s="20">
        <f t="shared" si="21"/>
        <v>0</v>
      </c>
      <c r="AC30" s="20">
        <f t="shared" si="21"/>
        <v>3.9009967579397284</v>
      </c>
      <c r="AD30" s="20">
        <f t="shared" ref="AD30:AD35" si="22">SUM(Z30:AC30)</f>
        <v>3.9009967579397284</v>
      </c>
      <c r="AE30" s="20">
        <f t="shared" ref="AE30:AH35" si="23">IF(K30&gt;0,((E30-K30)*$Q30*$S30*10)+(K30*$P$12*$Q30*$S30)*10,(E30*$Q30*$S30*10))</f>
        <v>0</v>
      </c>
      <c r="AF30" s="20">
        <f t="shared" si="23"/>
        <v>0</v>
      </c>
      <c r="AG30" s="20">
        <f t="shared" si="23"/>
        <v>0</v>
      </c>
      <c r="AH30" s="20">
        <f t="shared" si="23"/>
        <v>32.341490794903336</v>
      </c>
      <c r="AI30" s="20">
        <f t="shared" ref="AI30:AL35" si="24">AE30*(EXP(1.01-0.34*LN(AI$8))*(1-$T30)+(1*$T30))</f>
        <v>0</v>
      </c>
      <c r="AJ30" s="20">
        <f t="shared" si="24"/>
        <v>0</v>
      </c>
      <c r="AK30" s="20">
        <f t="shared" si="24"/>
        <v>0</v>
      </c>
      <c r="AL30" s="20">
        <f t="shared" si="24"/>
        <v>20.398001255712387</v>
      </c>
      <c r="AM30" s="20">
        <f t="shared" ref="AM30:AM35" si="25">SUM(AI30:AL30)</f>
        <v>20.398001255712387</v>
      </c>
      <c r="AO30">
        <f t="shared" ref="AO30:AR35" si="26">Z30*AO$10</f>
        <v>0</v>
      </c>
      <c r="AP30">
        <f t="shared" si="26"/>
        <v>0</v>
      </c>
      <c r="AQ30">
        <f t="shared" si="26"/>
        <v>0</v>
      </c>
      <c r="AR30">
        <f t="shared" si="26"/>
        <v>5.9067959306517439</v>
      </c>
      <c r="AS30">
        <f t="shared" ref="AS30:AS35" si="27">SUM(AO30:AR30)</f>
        <v>5.9067959306517439</v>
      </c>
      <c r="AU30">
        <f t="shared" ref="AU30:AX35" si="28">AI30*AU$10</f>
        <v>0</v>
      </c>
      <c r="AV30">
        <f t="shared" si="28"/>
        <v>0</v>
      </c>
      <c r="AW30">
        <f t="shared" si="28"/>
        <v>0</v>
      </c>
      <c r="AX30">
        <f t="shared" si="28"/>
        <v>30.886165328244203</v>
      </c>
      <c r="AY30">
        <f t="shared" ref="AY30:AY35" si="29">SUM(AU30:AX30)</f>
        <v>30.886165328244203</v>
      </c>
    </row>
    <row r="31" spans="1:51" ht="15" x14ac:dyDescent="0.25">
      <c r="A31" s="1"/>
      <c r="B31" s="2"/>
      <c r="C31" s="1" t="s">
        <v>9</v>
      </c>
      <c r="D31" s="285">
        <v>0</v>
      </c>
      <c r="E31" s="286">
        <v>0</v>
      </c>
      <c r="F31" s="286">
        <v>0</v>
      </c>
      <c r="G31" s="286">
        <v>0</v>
      </c>
      <c r="H31" s="287">
        <v>0</v>
      </c>
      <c r="J31">
        <v>0</v>
      </c>
      <c r="K31">
        <v>0</v>
      </c>
      <c r="L31">
        <v>0</v>
      </c>
      <c r="M31">
        <v>0</v>
      </c>
      <c r="N31">
        <v>0</v>
      </c>
      <c r="O31" s="20"/>
      <c r="P31" s="20"/>
      <c r="Q31" s="147"/>
      <c r="R31" s="197">
        <v>0.49</v>
      </c>
      <c r="S31" s="197">
        <v>2.42</v>
      </c>
      <c r="T31" s="197">
        <v>0.50078889239507718</v>
      </c>
      <c r="U31" s="197">
        <v>0.75268470790377973</v>
      </c>
      <c r="V31" s="20">
        <f t="shared" si="20"/>
        <v>0</v>
      </c>
      <c r="W31" s="20">
        <f t="shared" si="20"/>
        <v>0</v>
      </c>
      <c r="X31" s="20">
        <f t="shared" si="20"/>
        <v>0</v>
      </c>
      <c r="Y31" s="20">
        <f t="shared" si="20"/>
        <v>0</v>
      </c>
      <c r="Z31" s="20">
        <f t="shared" si="21"/>
        <v>0</v>
      </c>
      <c r="AA31" s="20">
        <f t="shared" si="21"/>
        <v>0</v>
      </c>
      <c r="AB31" s="20">
        <f t="shared" si="21"/>
        <v>0</v>
      </c>
      <c r="AC31" s="20">
        <f t="shared" si="21"/>
        <v>0</v>
      </c>
      <c r="AD31" s="20">
        <f t="shared" si="22"/>
        <v>0</v>
      </c>
      <c r="AE31" s="20">
        <f t="shared" si="23"/>
        <v>0</v>
      </c>
      <c r="AF31" s="20">
        <f t="shared" si="23"/>
        <v>0</v>
      </c>
      <c r="AG31" s="20">
        <f t="shared" si="23"/>
        <v>0</v>
      </c>
      <c r="AH31" s="20">
        <f t="shared" si="23"/>
        <v>0</v>
      </c>
      <c r="AI31" s="20">
        <f t="shared" si="24"/>
        <v>0</v>
      </c>
      <c r="AJ31" s="20">
        <f t="shared" si="24"/>
        <v>0</v>
      </c>
      <c r="AK31" s="20">
        <f t="shared" si="24"/>
        <v>0</v>
      </c>
      <c r="AL31" s="20">
        <f t="shared" si="24"/>
        <v>0</v>
      </c>
      <c r="AM31" s="20">
        <f t="shared" si="25"/>
        <v>0</v>
      </c>
      <c r="AO31">
        <f t="shared" si="26"/>
        <v>0</v>
      </c>
      <c r="AP31">
        <f t="shared" si="26"/>
        <v>0</v>
      </c>
      <c r="AQ31">
        <f t="shared" si="26"/>
        <v>0</v>
      </c>
      <c r="AR31">
        <f t="shared" si="26"/>
        <v>0</v>
      </c>
      <c r="AS31">
        <f t="shared" si="27"/>
        <v>0</v>
      </c>
      <c r="AU31">
        <f t="shared" si="28"/>
        <v>0</v>
      </c>
      <c r="AV31">
        <f t="shared" si="28"/>
        <v>0</v>
      </c>
      <c r="AW31">
        <f t="shared" si="28"/>
        <v>0</v>
      </c>
      <c r="AX31">
        <f t="shared" si="28"/>
        <v>0</v>
      </c>
      <c r="AY31">
        <f t="shared" si="29"/>
        <v>0</v>
      </c>
    </row>
    <row r="32" spans="1:51" ht="15" x14ac:dyDescent="0.25">
      <c r="A32" s="1"/>
      <c r="B32" s="2"/>
      <c r="C32" s="1" t="s">
        <v>10</v>
      </c>
      <c r="D32" s="285">
        <v>0</v>
      </c>
      <c r="E32" s="286">
        <v>0</v>
      </c>
      <c r="F32" s="286">
        <v>0</v>
      </c>
      <c r="G32" s="286">
        <v>0</v>
      </c>
      <c r="H32" s="287">
        <v>0.26119365999999999</v>
      </c>
      <c r="J32">
        <v>0</v>
      </c>
      <c r="K32">
        <v>0</v>
      </c>
      <c r="L32">
        <v>0</v>
      </c>
      <c r="M32">
        <v>0</v>
      </c>
      <c r="N32">
        <v>1.8588043421999989E-2</v>
      </c>
      <c r="O32" s="20"/>
      <c r="P32" s="20"/>
      <c r="Q32" s="147">
        <v>0.27986411031753322</v>
      </c>
      <c r="R32" s="197">
        <v>0.49</v>
      </c>
      <c r="S32" s="197">
        <v>2.42</v>
      </c>
      <c r="T32" s="197">
        <v>0.50078889239507718</v>
      </c>
      <c r="U32" s="197">
        <v>0.75268470790377973</v>
      </c>
      <c r="V32" s="20">
        <f t="shared" si="20"/>
        <v>0</v>
      </c>
      <c r="W32" s="20">
        <f t="shared" si="20"/>
        <v>0</v>
      </c>
      <c r="X32" s="20">
        <f t="shared" si="20"/>
        <v>0</v>
      </c>
      <c r="Y32" s="20">
        <f t="shared" si="20"/>
        <v>0.34206751825907206</v>
      </c>
      <c r="Z32" s="20">
        <f t="shared" si="21"/>
        <v>0</v>
      </c>
      <c r="AA32" s="20">
        <f t="shared" si="21"/>
        <v>0</v>
      </c>
      <c r="AB32" s="20">
        <f t="shared" si="21"/>
        <v>0</v>
      </c>
      <c r="AC32" s="20">
        <f t="shared" si="21"/>
        <v>0.21574434249909555</v>
      </c>
      <c r="AD32" s="20">
        <f t="shared" si="22"/>
        <v>0.21574434249909555</v>
      </c>
      <c r="AE32" s="20">
        <f t="shared" si="23"/>
        <v>0</v>
      </c>
      <c r="AF32" s="20">
        <f t="shared" si="23"/>
        <v>0</v>
      </c>
      <c r="AG32" s="20">
        <f t="shared" si="23"/>
        <v>0</v>
      </c>
      <c r="AH32" s="20">
        <f t="shared" si="23"/>
        <v>1.716005385221794</v>
      </c>
      <c r="AI32" s="20">
        <f t="shared" si="24"/>
        <v>0</v>
      </c>
      <c r="AJ32" s="20">
        <f t="shared" si="24"/>
        <v>0</v>
      </c>
      <c r="AK32" s="20">
        <f t="shared" si="24"/>
        <v>0</v>
      </c>
      <c r="AL32" s="20">
        <f t="shared" si="24"/>
        <v>1.0822964292072605</v>
      </c>
      <c r="AM32" s="20">
        <f t="shared" si="25"/>
        <v>1.0822964292072605</v>
      </c>
      <c r="AO32">
        <f t="shared" si="26"/>
        <v>0</v>
      </c>
      <c r="AP32">
        <f t="shared" si="26"/>
        <v>0</v>
      </c>
      <c r="AQ32">
        <f t="shared" si="26"/>
        <v>0</v>
      </c>
      <c r="AR32">
        <f t="shared" si="26"/>
        <v>0.32667492013190819</v>
      </c>
      <c r="AS32">
        <f t="shared" si="27"/>
        <v>0.32667492013190819</v>
      </c>
      <c r="AU32">
        <f t="shared" si="28"/>
        <v>0</v>
      </c>
      <c r="AV32">
        <f t="shared" si="28"/>
        <v>0</v>
      </c>
      <c r="AW32">
        <f t="shared" si="28"/>
        <v>0</v>
      </c>
      <c r="AX32">
        <f t="shared" si="28"/>
        <v>1.6387873511529669</v>
      </c>
      <c r="AY32">
        <f t="shared" si="29"/>
        <v>1.6387873511529669</v>
      </c>
    </row>
    <row r="33" spans="1:51" ht="15" x14ac:dyDescent="0.25">
      <c r="A33" s="1"/>
      <c r="B33" s="2"/>
      <c r="C33" s="1" t="s">
        <v>11</v>
      </c>
      <c r="D33" s="285">
        <v>0</v>
      </c>
      <c r="E33" s="286">
        <v>0</v>
      </c>
      <c r="F33" s="286">
        <v>0</v>
      </c>
      <c r="G33" s="286">
        <v>0</v>
      </c>
      <c r="H33" s="287">
        <v>0</v>
      </c>
      <c r="J33">
        <v>0</v>
      </c>
      <c r="K33">
        <v>0</v>
      </c>
      <c r="L33">
        <v>0</v>
      </c>
      <c r="M33">
        <v>0</v>
      </c>
      <c r="N33">
        <v>0</v>
      </c>
      <c r="O33" s="20"/>
      <c r="P33" s="20"/>
      <c r="Q33" s="147"/>
      <c r="R33" s="197">
        <v>0.49</v>
      </c>
      <c r="S33" s="197">
        <v>2.42</v>
      </c>
      <c r="T33" s="197">
        <v>0.50078889239507718</v>
      </c>
      <c r="U33" s="197">
        <v>0.75268470790377973</v>
      </c>
      <c r="V33" s="20">
        <f t="shared" si="20"/>
        <v>0</v>
      </c>
      <c r="W33" s="20">
        <f t="shared" si="20"/>
        <v>0</v>
      </c>
      <c r="X33" s="20">
        <f t="shared" si="20"/>
        <v>0</v>
      </c>
      <c r="Y33" s="20">
        <f t="shared" si="20"/>
        <v>0</v>
      </c>
      <c r="Z33" s="20">
        <f t="shared" si="21"/>
        <v>0</v>
      </c>
      <c r="AA33" s="20">
        <f t="shared" si="21"/>
        <v>0</v>
      </c>
      <c r="AB33" s="20">
        <f t="shared" si="21"/>
        <v>0</v>
      </c>
      <c r="AC33" s="20">
        <f t="shared" si="21"/>
        <v>0</v>
      </c>
      <c r="AD33" s="20">
        <f t="shared" si="22"/>
        <v>0</v>
      </c>
      <c r="AE33" s="20">
        <f t="shared" si="23"/>
        <v>0</v>
      </c>
      <c r="AF33" s="20">
        <f t="shared" si="23"/>
        <v>0</v>
      </c>
      <c r="AG33" s="20">
        <f t="shared" si="23"/>
        <v>0</v>
      </c>
      <c r="AH33" s="20">
        <f t="shared" si="23"/>
        <v>0</v>
      </c>
      <c r="AI33" s="20">
        <f t="shared" si="24"/>
        <v>0</v>
      </c>
      <c r="AJ33" s="20">
        <f t="shared" si="24"/>
        <v>0</v>
      </c>
      <c r="AK33" s="20">
        <f t="shared" si="24"/>
        <v>0</v>
      </c>
      <c r="AL33" s="20">
        <f t="shared" si="24"/>
        <v>0</v>
      </c>
      <c r="AM33" s="20">
        <f t="shared" si="25"/>
        <v>0</v>
      </c>
      <c r="AO33">
        <f t="shared" si="26"/>
        <v>0</v>
      </c>
      <c r="AP33">
        <f t="shared" si="26"/>
        <v>0</v>
      </c>
      <c r="AQ33">
        <f t="shared" si="26"/>
        <v>0</v>
      </c>
      <c r="AR33">
        <f t="shared" si="26"/>
        <v>0</v>
      </c>
      <c r="AS33">
        <f t="shared" si="27"/>
        <v>0</v>
      </c>
      <c r="AU33">
        <f t="shared" si="28"/>
        <v>0</v>
      </c>
      <c r="AV33">
        <f t="shared" si="28"/>
        <v>0</v>
      </c>
      <c r="AW33">
        <f t="shared" si="28"/>
        <v>0</v>
      </c>
      <c r="AX33">
        <f t="shared" si="28"/>
        <v>0</v>
      </c>
      <c r="AY33">
        <f t="shared" si="29"/>
        <v>0</v>
      </c>
    </row>
    <row r="34" spans="1:51" ht="15" x14ac:dyDescent="0.25">
      <c r="A34" s="1"/>
      <c r="B34" s="2"/>
      <c r="C34" s="1" t="s">
        <v>12</v>
      </c>
      <c r="D34" s="285">
        <v>0</v>
      </c>
      <c r="E34" s="286">
        <v>0</v>
      </c>
      <c r="F34" s="286">
        <v>0</v>
      </c>
      <c r="G34" s="286">
        <v>0</v>
      </c>
      <c r="H34" s="287">
        <v>0</v>
      </c>
      <c r="J34">
        <v>0</v>
      </c>
      <c r="K34">
        <v>0</v>
      </c>
      <c r="L34">
        <v>0</v>
      </c>
      <c r="M34">
        <v>0</v>
      </c>
      <c r="N34">
        <v>0</v>
      </c>
      <c r="O34" s="20"/>
      <c r="P34" s="20"/>
      <c r="Q34" s="147"/>
      <c r="R34" s="197">
        <v>0.49</v>
      </c>
      <c r="S34" s="197">
        <v>2.42</v>
      </c>
      <c r="T34" s="197">
        <v>0.50078889239507718</v>
      </c>
      <c r="U34" s="197">
        <v>0.75268470790377973</v>
      </c>
      <c r="V34" s="20">
        <f t="shared" si="20"/>
        <v>0</v>
      </c>
      <c r="W34" s="20">
        <f t="shared" si="20"/>
        <v>0</v>
      </c>
      <c r="X34" s="20">
        <f t="shared" si="20"/>
        <v>0</v>
      </c>
      <c r="Y34" s="20">
        <f t="shared" si="20"/>
        <v>0</v>
      </c>
      <c r="Z34" s="20">
        <f t="shared" si="21"/>
        <v>0</v>
      </c>
      <c r="AA34" s="20">
        <f t="shared" si="21"/>
        <v>0</v>
      </c>
      <c r="AB34" s="20">
        <f t="shared" si="21"/>
        <v>0</v>
      </c>
      <c r="AC34" s="20">
        <f t="shared" si="21"/>
        <v>0</v>
      </c>
      <c r="AD34" s="20">
        <f t="shared" si="22"/>
        <v>0</v>
      </c>
      <c r="AE34" s="20">
        <f t="shared" si="23"/>
        <v>0</v>
      </c>
      <c r="AF34" s="20">
        <f t="shared" si="23"/>
        <v>0</v>
      </c>
      <c r="AG34" s="20">
        <f t="shared" si="23"/>
        <v>0</v>
      </c>
      <c r="AH34" s="20">
        <f t="shared" si="23"/>
        <v>0</v>
      </c>
      <c r="AI34" s="20">
        <f t="shared" si="24"/>
        <v>0</v>
      </c>
      <c r="AJ34" s="20">
        <f t="shared" si="24"/>
        <v>0</v>
      </c>
      <c r="AK34" s="20">
        <f t="shared" si="24"/>
        <v>0</v>
      </c>
      <c r="AL34" s="20">
        <f t="shared" si="24"/>
        <v>0</v>
      </c>
      <c r="AM34" s="20">
        <f t="shared" si="25"/>
        <v>0</v>
      </c>
      <c r="AO34">
        <f t="shared" si="26"/>
        <v>0</v>
      </c>
      <c r="AP34">
        <f t="shared" si="26"/>
        <v>0</v>
      </c>
      <c r="AQ34">
        <f t="shared" si="26"/>
        <v>0</v>
      </c>
      <c r="AR34">
        <f t="shared" si="26"/>
        <v>0</v>
      </c>
      <c r="AS34">
        <f t="shared" si="27"/>
        <v>0</v>
      </c>
      <c r="AU34">
        <f t="shared" si="28"/>
        <v>0</v>
      </c>
      <c r="AV34">
        <f t="shared" si="28"/>
        <v>0</v>
      </c>
      <c r="AW34">
        <f t="shared" si="28"/>
        <v>0</v>
      </c>
      <c r="AX34">
        <f t="shared" si="28"/>
        <v>0</v>
      </c>
      <c r="AY34">
        <f t="shared" si="29"/>
        <v>0</v>
      </c>
    </row>
    <row r="35" spans="1:51" ht="15" x14ac:dyDescent="0.25">
      <c r="A35" s="1"/>
      <c r="B35" s="2"/>
      <c r="C35" s="1" t="s">
        <v>13</v>
      </c>
      <c r="D35" s="285">
        <v>0</v>
      </c>
      <c r="E35" s="286">
        <v>0</v>
      </c>
      <c r="F35" s="286">
        <v>0</v>
      </c>
      <c r="G35" s="286">
        <v>0</v>
      </c>
      <c r="H35" s="287">
        <v>0</v>
      </c>
      <c r="J35">
        <v>0</v>
      </c>
      <c r="K35">
        <v>0</v>
      </c>
      <c r="L35">
        <v>0</v>
      </c>
      <c r="M35">
        <v>0</v>
      </c>
      <c r="N35">
        <v>0</v>
      </c>
      <c r="O35" s="20"/>
      <c r="P35" s="20"/>
      <c r="Q35" s="147"/>
      <c r="R35" s="197">
        <v>0.49</v>
      </c>
      <c r="S35" s="197">
        <v>2.42</v>
      </c>
      <c r="T35" s="197">
        <v>0.50078889239507718</v>
      </c>
      <c r="U35" s="197">
        <v>0.75268470790377973</v>
      </c>
      <c r="V35" s="20">
        <f t="shared" si="20"/>
        <v>0</v>
      </c>
      <c r="W35" s="20">
        <f t="shared" si="20"/>
        <v>0</v>
      </c>
      <c r="X35" s="20">
        <f t="shared" si="20"/>
        <v>0</v>
      </c>
      <c r="Y35" s="20">
        <f t="shared" si="20"/>
        <v>0</v>
      </c>
      <c r="Z35" s="20">
        <f t="shared" si="21"/>
        <v>0</v>
      </c>
      <c r="AA35" s="20">
        <f t="shared" si="21"/>
        <v>0</v>
      </c>
      <c r="AB35" s="20">
        <f t="shared" si="21"/>
        <v>0</v>
      </c>
      <c r="AC35" s="20">
        <f t="shared" si="21"/>
        <v>0</v>
      </c>
      <c r="AD35" s="20">
        <f t="shared" si="22"/>
        <v>0</v>
      </c>
      <c r="AE35" s="20">
        <f t="shared" si="23"/>
        <v>0</v>
      </c>
      <c r="AF35" s="20">
        <f t="shared" si="23"/>
        <v>0</v>
      </c>
      <c r="AG35" s="20">
        <f t="shared" si="23"/>
        <v>0</v>
      </c>
      <c r="AH35" s="20">
        <f t="shared" si="23"/>
        <v>0</v>
      </c>
      <c r="AI35" s="20">
        <f t="shared" si="24"/>
        <v>0</v>
      </c>
      <c r="AJ35" s="20">
        <f t="shared" si="24"/>
        <v>0</v>
      </c>
      <c r="AK35" s="20">
        <f t="shared" si="24"/>
        <v>0</v>
      </c>
      <c r="AL35" s="20">
        <f t="shared" si="24"/>
        <v>0</v>
      </c>
      <c r="AM35" s="20">
        <f t="shared" si="25"/>
        <v>0</v>
      </c>
      <c r="AO35">
        <f t="shared" si="26"/>
        <v>0</v>
      </c>
      <c r="AP35">
        <f t="shared" si="26"/>
        <v>0</v>
      </c>
      <c r="AQ35">
        <f t="shared" si="26"/>
        <v>0</v>
      </c>
      <c r="AR35">
        <f t="shared" si="26"/>
        <v>0</v>
      </c>
      <c r="AS35">
        <f t="shared" si="27"/>
        <v>0</v>
      </c>
      <c r="AU35">
        <f t="shared" si="28"/>
        <v>0</v>
      </c>
      <c r="AV35">
        <f t="shared" si="28"/>
        <v>0</v>
      </c>
      <c r="AW35">
        <f t="shared" si="28"/>
        <v>0</v>
      </c>
      <c r="AX35">
        <f t="shared" si="28"/>
        <v>0</v>
      </c>
      <c r="AY35">
        <f t="shared" si="29"/>
        <v>0</v>
      </c>
    </row>
    <row r="36" spans="1:51" ht="15" x14ac:dyDescent="0.25">
      <c r="A36" s="7"/>
      <c r="B36" s="8" t="s">
        <v>14</v>
      </c>
      <c r="C36" s="7"/>
      <c r="D36" s="288">
        <f>SUM(D30:D35)</f>
        <v>0</v>
      </c>
      <c r="E36" s="289">
        <f>SUM(E30:E35)</f>
        <v>0</v>
      </c>
      <c r="F36" s="289">
        <f>SUM(F30:F35)</f>
        <v>0</v>
      </c>
      <c r="G36" s="289">
        <f>SUM(G30:G35)</f>
        <v>0</v>
      </c>
      <c r="H36" s="290">
        <f>SUM(H30:H35)</f>
        <v>6.3612708800000002</v>
      </c>
      <c r="J36">
        <v>0</v>
      </c>
      <c r="K36">
        <v>0</v>
      </c>
      <c r="L36">
        <v>0</v>
      </c>
      <c r="M36">
        <v>0</v>
      </c>
      <c r="N36">
        <v>1.4605925350819997</v>
      </c>
      <c r="O36" s="20"/>
      <c r="P36" s="20"/>
      <c r="Q36" s="147"/>
      <c r="R36" s="197"/>
      <c r="S36" s="197"/>
      <c r="T36" s="197"/>
      <c r="U36" s="197"/>
    </row>
    <row r="37" spans="1:51" ht="15" x14ac:dyDescent="0.25">
      <c r="A37" s="5"/>
      <c r="B37" s="9" t="s">
        <v>15</v>
      </c>
      <c r="C37" s="5"/>
      <c r="D37" s="291"/>
      <c r="E37" s="292"/>
      <c r="F37" s="292"/>
      <c r="G37" s="292"/>
      <c r="H37" s="293">
        <f>SUM(D36:H36)</f>
        <v>6.3612708800000002</v>
      </c>
      <c r="N37">
        <v>1.4605925350819997</v>
      </c>
      <c r="O37" s="20"/>
      <c r="P37" s="20"/>
      <c r="Q37" s="147"/>
      <c r="R37" s="197"/>
      <c r="S37" s="197"/>
      <c r="T37" s="197"/>
      <c r="U37" s="197"/>
    </row>
    <row r="38" spans="1:51" ht="15.75" thickBot="1" x14ac:dyDescent="0.3">
      <c r="A38" s="1"/>
      <c r="B38" s="2"/>
      <c r="C38" s="1"/>
      <c r="D38" s="294"/>
      <c r="E38" s="295"/>
      <c r="F38" s="295"/>
      <c r="G38" s="295"/>
      <c r="H38" s="296"/>
      <c r="O38" s="20"/>
      <c r="P38" s="20"/>
      <c r="Q38" s="147"/>
      <c r="R38" s="197"/>
      <c r="S38" s="197"/>
      <c r="T38" s="197"/>
      <c r="U38" s="197"/>
    </row>
    <row r="39" spans="1:51" ht="15" x14ac:dyDescent="0.25">
      <c r="A39" s="1">
        <v>4</v>
      </c>
      <c r="B39" s="2" t="s">
        <v>18</v>
      </c>
      <c r="C39" s="1" t="s">
        <v>8</v>
      </c>
      <c r="D39" s="285">
        <v>0</v>
      </c>
      <c r="E39" s="286">
        <v>0</v>
      </c>
      <c r="F39" s="286">
        <v>9.29167904</v>
      </c>
      <c r="G39" s="286">
        <v>1.2610978799999999</v>
      </c>
      <c r="H39" s="287">
        <v>8.5514406300000001</v>
      </c>
      <c r="J39">
        <v>0</v>
      </c>
      <c r="K39">
        <v>0</v>
      </c>
      <c r="L39">
        <v>9.29167904</v>
      </c>
      <c r="M39">
        <v>1.2610978799999999</v>
      </c>
      <c r="N39">
        <v>-9.9771619833200003</v>
      </c>
      <c r="O39" s="20"/>
      <c r="P39" s="20"/>
      <c r="Q39" s="147">
        <v>0.37463042941800884</v>
      </c>
      <c r="R39" s="197">
        <v>0.19500000000000001</v>
      </c>
      <c r="S39" s="197">
        <v>1.22</v>
      </c>
      <c r="T39" s="197">
        <v>0.4144562334217507</v>
      </c>
      <c r="U39" s="197">
        <v>0.6566321730950142</v>
      </c>
      <c r="V39" s="20">
        <f t="shared" ref="V39:Y44" si="30">IF(K39&gt;0,((E39-K39)*$Q39*$R39*10)+(K39*$O$12*$Q39*$R39*10),(E39*$Q39*$R39*10))</f>
        <v>0</v>
      </c>
      <c r="W39" s="20">
        <f t="shared" si="30"/>
        <v>2.4962435620815122</v>
      </c>
      <c r="X39" s="20">
        <f t="shared" si="30"/>
        <v>0.33879855842552259</v>
      </c>
      <c r="Y39" s="20">
        <f t="shared" si="30"/>
        <v>6.247078256951041</v>
      </c>
      <c r="Z39" s="20">
        <f t="shared" ref="Z39:AC44" si="31">V39*(EXP(1.01-0.34*LN(Z$8))*(1-$T39)+(1*$T39))</f>
        <v>0</v>
      </c>
      <c r="AA39" s="20">
        <f t="shared" si="31"/>
        <v>1.5082634766045417</v>
      </c>
      <c r="AB39" s="20">
        <f t="shared" si="31"/>
        <v>0.20616857874986697</v>
      </c>
      <c r="AC39" s="20">
        <f t="shared" si="31"/>
        <v>3.5411064531947982</v>
      </c>
      <c r="AD39" s="20">
        <f t="shared" ref="AD39:AD44" si="32">SUM(Z39:AC39)</f>
        <v>5.2555385085492068</v>
      </c>
      <c r="AE39" s="20">
        <f t="shared" ref="AE39:AH44" si="33">IF(K39&gt;0,((E39-K39)*$Q39*$S39*10)+(K39*$P$12*$Q39*$S39)*10,(E39*$Q39*$S39*10))</f>
        <v>0</v>
      </c>
      <c r="AF39" s="20">
        <f t="shared" si="33"/>
        <v>24.594233493204825</v>
      </c>
      <c r="AG39" s="20">
        <f t="shared" si="33"/>
        <v>3.3380119551036063</v>
      </c>
      <c r="AH39" s="20">
        <f t="shared" si="33"/>
        <v>39.084284479386</v>
      </c>
      <c r="AI39" s="20">
        <f t="shared" ref="AI39:AL44" si="34">AE39*(EXP(1.01-0.34*LN(AI$8))*(1-$T39)+(1*$T39))</f>
        <v>0</v>
      </c>
      <c r="AJ39" s="20">
        <f t="shared" si="34"/>
        <v>14.860162155792748</v>
      </c>
      <c r="AK39" s="20">
        <f t="shared" si="34"/>
        <v>2.0312754098835972</v>
      </c>
      <c r="AL39" s="20">
        <f t="shared" si="34"/>
        <v>22.154614732808479</v>
      </c>
      <c r="AM39" s="20">
        <f t="shared" ref="AM39:AM44" si="35">SUM(AI39:AL39)</f>
        <v>39.046052298484824</v>
      </c>
      <c r="AO39">
        <f t="shared" ref="AO39:AR44" si="36">Z39*AO$10</f>
        <v>0</v>
      </c>
      <c r="AP39">
        <f t="shared" si="36"/>
        <v>2.2284067098328615</v>
      </c>
      <c r="AQ39">
        <f t="shared" si="36"/>
        <v>0.29210349092144572</v>
      </c>
      <c r="AR39">
        <f t="shared" si="36"/>
        <v>5.361858644246233</v>
      </c>
      <c r="AS39">
        <f t="shared" ref="AS39:AS44" si="37">SUM(AO39:AR39)</f>
        <v>7.8823688450005402</v>
      </c>
      <c r="AU39">
        <f t="shared" ref="AU39:AX44" si="38">AI39*AU$10</f>
        <v>0</v>
      </c>
      <c r="AV39">
        <f t="shared" si="38"/>
        <v>21.955371571896354</v>
      </c>
      <c r="AW39">
        <f t="shared" si="38"/>
        <v>2.8779489185389369</v>
      </c>
      <c r="AX39">
        <f t="shared" si="38"/>
        <v>33.545987415284124</v>
      </c>
      <c r="AY39">
        <f t="shared" ref="AY39:AY44" si="39">SUM(AU39:AX39)</f>
        <v>58.379307905719415</v>
      </c>
    </row>
    <row r="40" spans="1:51" ht="15" x14ac:dyDescent="0.25">
      <c r="A40" s="1"/>
      <c r="B40" s="2"/>
      <c r="C40" s="1" t="s">
        <v>9</v>
      </c>
      <c r="D40" s="285">
        <v>0</v>
      </c>
      <c r="E40" s="286">
        <v>5.1513709999999997E-2</v>
      </c>
      <c r="F40" s="286">
        <v>0</v>
      </c>
      <c r="G40" s="286">
        <v>0</v>
      </c>
      <c r="H40" s="287">
        <v>0</v>
      </c>
      <c r="J40">
        <v>0</v>
      </c>
      <c r="K40">
        <v>7.0933910339999948E-3</v>
      </c>
      <c r="L40">
        <v>0</v>
      </c>
      <c r="M40">
        <v>0</v>
      </c>
      <c r="N40">
        <v>0</v>
      </c>
      <c r="O40" s="20"/>
      <c r="P40" s="20"/>
      <c r="Q40" s="147">
        <v>0.38926085883601774</v>
      </c>
      <c r="R40" s="197">
        <v>0.19500000000000001</v>
      </c>
      <c r="S40" s="197">
        <v>1.22</v>
      </c>
      <c r="T40" s="197">
        <v>0.4144562334217507</v>
      </c>
      <c r="U40" s="197">
        <v>0.6566321730950142</v>
      </c>
      <c r="V40" s="20">
        <f t="shared" si="30"/>
        <v>3.5697715781520353E-2</v>
      </c>
      <c r="W40" s="20">
        <f t="shared" si="30"/>
        <v>0</v>
      </c>
      <c r="X40" s="20">
        <f t="shared" si="30"/>
        <v>0</v>
      </c>
      <c r="Y40" s="20">
        <f t="shared" si="30"/>
        <v>0</v>
      </c>
      <c r="Z40" s="20">
        <f t="shared" si="31"/>
        <v>2.1150910664820607E-2</v>
      </c>
      <c r="AA40" s="20">
        <f t="shared" si="31"/>
        <v>0</v>
      </c>
      <c r="AB40" s="20">
        <f t="shared" si="31"/>
        <v>0</v>
      </c>
      <c r="AC40" s="20">
        <f t="shared" si="31"/>
        <v>0</v>
      </c>
      <c r="AD40" s="20">
        <f t="shared" si="32"/>
        <v>2.1150910664820607E-2</v>
      </c>
      <c r="AE40" s="20">
        <f t="shared" si="33"/>
        <v>0.23046012198690816</v>
      </c>
      <c r="AF40" s="20">
        <f t="shared" si="33"/>
        <v>0</v>
      </c>
      <c r="AG40" s="20">
        <f t="shared" si="33"/>
        <v>0</v>
      </c>
      <c r="AH40" s="20">
        <f t="shared" si="33"/>
        <v>0</v>
      </c>
      <c r="AI40" s="20">
        <f t="shared" si="34"/>
        <v>0.13654771307446253</v>
      </c>
      <c r="AJ40" s="20">
        <f t="shared" si="34"/>
        <v>0</v>
      </c>
      <c r="AK40" s="20">
        <f t="shared" si="34"/>
        <v>0</v>
      </c>
      <c r="AL40" s="20">
        <f t="shared" si="34"/>
        <v>0</v>
      </c>
      <c r="AM40" s="20">
        <f t="shared" si="35"/>
        <v>0.13654771307446253</v>
      </c>
      <c r="AO40">
        <f t="shared" si="36"/>
        <v>2.9347198716757589E-2</v>
      </c>
      <c r="AP40">
        <f t="shared" si="36"/>
        <v>0</v>
      </c>
      <c r="AQ40">
        <f t="shared" si="36"/>
        <v>0</v>
      </c>
      <c r="AR40">
        <f t="shared" si="36"/>
        <v>0</v>
      </c>
      <c r="AS40">
        <f t="shared" si="37"/>
        <v>2.9347198716757589E-2</v>
      </c>
      <c r="AU40">
        <f t="shared" si="38"/>
        <v>0.1894619543063083</v>
      </c>
      <c r="AV40">
        <f t="shared" si="38"/>
        <v>0</v>
      </c>
      <c r="AW40">
        <f t="shared" si="38"/>
        <v>0</v>
      </c>
      <c r="AX40">
        <f t="shared" si="38"/>
        <v>0</v>
      </c>
      <c r="AY40">
        <f t="shared" si="39"/>
        <v>0.1894619543063083</v>
      </c>
    </row>
    <row r="41" spans="1:51" ht="15" x14ac:dyDescent="0.25">
      <c r="A41" s="1"/>
      <c r="B41" s="2"/>
      <c r="C41" s="1" t="s">
        <v>10</v>
      </c>
      <c r="D41" s="285">
        <v>0</v>
      </c>
      <c r="E41" s="286">
        <v>0.88866780000000001</v>
      </c>
      <c r="F41" s="286">
        <v>0</v>
      </c>
      <c r="G41" s="286">
        <v>0</v>
      </c>
      <c r="H41" s="287">
        <v>0.76716918999999995</v>
      </c>
      <c r="J41">
        <v>0</v>
      </c>
      <c r="K41">
        <v>-0.21548125997200007</v>
      </c>
      <c r="L41">
        <v>0</v>
      </c>
      <c r="M41">
        <v>0</v>
      </c>
      <c r="N41">
        <v>0.74679570328749989</v>
      </c>
      <c r="O41" s="20"/>
      <c r="P41" s="20"/>
      <c r="Q41" s="147">
        <v>0.40389128825402659</v>
      </c>
      <c r="R41" s="197">
        <v>0.19500000000000001</v>
      </c>
      <c r="S41" s="197">
        <v>1.22</v>
      </c>
      <c r="T41" s="197">
        <v>0.4144562334217507</v>
      </c>
      <c r="U41" s="197">
        <v>0.6566321730950142</v>
      </c>
      <c r="V41" s="20">
        <f t="shared" si="30"/>
        <v>0.69990410601514985</v>
      </c>
      <c r="W41" s="20">
        <f t="shared" si="30"/>
        <v>0</v>
      </c>
      <c r="X41" s="20">
        <f t="shared" si="30"/>
        <v>0</v>
      </c>
      <c r="Y41" s="20">
        <f t="shared" si="30"/>
        <v>0.23234565735241394</v>
      </c>
      <c r="Z41" s="20">
        <f t="shared" si="31"/>
        <v>0.41469345856383771</v>
      </c>
      <c r="AA41" s="20">
        <f t="shared" si="31"/>
        <v>0</v>
      </c>
      <c r="AB41" s="20">
        <f t="shared" si="31"/>
        <v>0</v>
      </c>
      <c r="AC41" s="20">
        <f t="shared" si="31"/>
        <v>0.13170328156317643</v>
      </c>
      <c r="AD41" s="20">
        <f t="shared" si="32"/>
        <v>0.54639674012701411</v>
      </c>
      <c r="AE41" s="20">
        <f t="shared" si="33"/>
        <v>4.3788872273768344</v>
      </c>
      <c r="AF41" s="20">
        <f t="shared" si="33"/>
        <v>0</v>
      </c>
      <c r="AG41" s="20">
        <f t="shared" si="33"/>
        <v>0</v>
      </c>
      <c r="AH41" s="20">
        <f t="shared" si="33"/>
        <v>2.2314825052431781</v>
      </c>
      <c r="AI41" s="20">
        <f t="shared" si="34"/>
        <v>2.5944924074250357</v>
      </c>
      <c r="AJ41" s="20">
        <f t="shared" si="34"/>
        <v>0</v>
      </c>
      <c r="AK41" s="20">
        <f t="shared" si="34"/>
        <v>0</v>
      </c>
      <c r="AL41" s="20">
        <f t="shared" si="34"/>
        <v>1.2648980490544608</v>
      </c>
      <c r="AM41" s="20">
        <f t="shared" si="35"/>
        <v>3.8593904564794963</v>
      </c>
      <c r="AO41">
        <f t="shared" si="36"/>
        <v>0.57539325506463468</v>
      </c>
      <c r="AP41">
        <f t="shared" si="36"/>
        <v>0</v>
      </c>
      <c r="AQ41">
        <f t="shared" si="36"/>
        <v>0</v>
      </c>
      <c r="AR41">
        <f t="shared" si="36"/>
        <v>0.19942195696715082</v>
      </c>
      <c r="AS41">
        <f t="shared" si="37"/>
        <v>0.77481521203178549</v>
      </c>
      <c r="AU41">
        <f t="shared" si="38"/>
        <v>3.5998962624556627</v>
      </c>
      <c r="AV41">
        <f t="shared" si="38"/>
        <v>0</v>
      </c>
      <c r="AW41">
        <f t="shared" si="38"/>
        <v>0</v>
      </c>
      <c r="AX41">
        <f t="shared" si="38"/>
        <v>1.91527835383032</v>
      </c>
      <c r="AY41">
        <f t="shared" si="39"/>
        <v>5.5151746162859823</v>
      </c>
    </row>
    <row r="42" spans="1:51" ht="15" x14ac:dyDescent="0.25">
      <c r="A42" s="1"/>
      <c r="B42" s="2"/>
      <c r="C42" s="1" t="s">
        <v>11</v>
      </c>
      <c r="D42" s="285">
        <v>0</v>
      </c>
      <c r="E42" s="286">
        <v>0</v>
      </c>
      <c r="F42" s="286">
        <v>0</v>
      </c>
      <c r="G42" s="286">
        <v>0</v>
      </c>
      <c r="H42" s="287">
        <v>0</v>
      </c>
      <c r="J42">
        <v>0</v>
      </c>
      <c r="K42">
        <v>0</v>
      </c>
      <c r="L42">
        <v>0</v>
      </c>
      <c r="M42">
        <v>0</v>
      </c>
      <c r="N42">
        <v>0</v>
      </c>
      <c r="O42" s="20"/>
      <c r="P42" s="20"/>
      <c r="Q42" s="147"/>
      <c r="R42" s="197">
        <v>0.19500000000000001</v>
      </c>
      <c r="S42" s="197">
        <v>1.22</v>
      </c>
      <c r="T42" s="197">
        <v>0.4144562334217507</v>
      </c>
      <c r="U42" s="197">
        <v>0.6566321730950142</v>
      </c>
      <c r="V42" s="20">
        <f t="shared" si="30"/>
        <v>0</v>
      </c>
      <c r="W42" s="20">
        <f t="shared" si="30"/>
        <v>0</v>
      </c>
      <c r="X42" s="20">
        <f t="shared" si="30"/>
        <v>0</v>
      </c>
      <c r="Y42" s="20">
        <f t="shared" si="30"/>
        <v>0</v>
      </c>
      <c r="Z42" s="20">
        <f t="shared" si="31"/>
        <v>0</v>
      </c>
      <c r="AA42" s="20">
        <f t="shared" si="31"/>
        <v>0</v>
      </c>
      <c r="AB42" s="20">
        <f t="shared" si="31"/>
        <v>0</v>
      </c>
      <c r="AC42" s="20">
        <f t="shared" si="31"/>
        <v>0</v>
      </c>
      <c r="AD42" s="20">
        <f t="shared" si="32"/>
        <v>0</v>
      </c>
      <c r="AE42" s="20">
        <f t="shared" si="33"/>
        <v>0</v>
      </c>
      <c r="AF42" s="20">
        <f t="shared" si="33"/>
        <v>0</v>
      </c>
      <c r="AG42" s="20">
        <f t="shared" si="33"/>
        <v>0</v>
      </c>
      <c r="AH42" s="20">
        <f t="shared" si="33"/>
        <v>0</v>
      </c>
      <c r="AI42" s="20">
        <f t="shared" si="34"/>
        <v>0</v>
      </c>
      <c r="AJ42" s="20">
        <f t="shared" si="34"/>
        <v>0</v>
      </c>
      <c r="AK42" s="20">
        <f t="shared" si="34"/>
        <v>0</v>
      </c>
      <c r="AL42" s="20">
        <f t="shared" si="34"/>
        <v>0</v>
      </c>
      <c r="AM42" s="20">
        <f t="shared" si="35"/>
        <v>0</v>
      </c>
      <c r="AO42">
        <f t="shared" si="36"/>
        <v>0</v>
      </c>
      <c r="AP42">
        <f t="shared" si="36"/>
        <v>0</v>
      </c>
      <c r="AQ42">
        <f t="shared" si="36"/>
        <v>0</v>
      </c>
      <c r="AR42">
        <f t="shared" si="36"/>
        <v>0</v>
      </c>
      <c r="AS42">
        <f t="shared" si="37"/>
        <v>0</v>
      </c>
      <c r="AU42">
        <f t="shared" si="38"/>
        <v>0</v>
      </c>
      <c r="AV42">
        <f t="shared" si="38"/>
        <v>0</v>
      </c>
      <c r="AW42">
        <f t="shared" si="38"/>
        <v>0</v>
      </c>
      <c r="AX42">
        <f t="shared" si="38"/>
        <v>0</v>
      </c>
      <c r="AY42">
        <f t="shared" si="39"/>
        <v>0</v>
      </c>
    </row>
    <row r="43" spans="1:51" ht="15" x14ac:dyDescent="0.25">
      <c r="A43" s="1"/>
      <c r="B43" s="2"/>
      <c r="C43" s="1" t="s">
        <v>12</v>
      </c>
      <c r="D43" s="285">
        <v>0</v>
      </c>
      <c r="E43" s="286">
        <v>0</v>
      </c>
      <c r="F43" s="286">
        <v>0</v>
      </c>
      <c r="G43" s="286">
        <v>0</v>
      </c>
      <c r="H43" s="287">
        <v>9.0651750000000003E-2</v>
      </c>
      <c r="J43">
        <v>0</v>
      </c>
      <c r="K43">
        <v>0</v>
      </c>
      <c r="L43">
        <v>0</v>
      </c>
      <c r="M43">
        <v>0</v>
      </c>
      <c r="N43">
        <v>9.0651750000000003E-2</v>
      </c>
      <c r="O43" s="20"/>
      <c r="P43" s="20"/>
      <c r="Q43" s="147">
        <v>0.41852171767203544</v>
      </c>
      <c r="R43" s="197">
        <v>0.19500000000000001</v>
      </c>
      <c r="S43" s="197">
        <v>1.22</v>
      </c>
      <c r="T43" s="197">
        <v>0.4144562334217507</v>
      </c>
      <c r="U43" s="197">
        <v>0.6566321730950142</v>
      </c>
      <c r="V43" s="20">
        <f t="shared" si="30"/>
        <v>0</v>
      </c>
      <c r="W43" s="20">
        <f t="shared" si="30"/>
        <v>0</v>
      </c>
      <c r="X43" s="20">
        <f t="shared" si="30"/>
        <v>0</v>
      </c>
      <c r="Y43" s="20">
        <f t="shared" si="30"/>
        <v>2.7207203156180186E-2</v>
      </c>
      <c r="Z43" s="20">
        <f t="shared" si="31"/>
        <v>0</v>
      </c>
      <c r="AA43" s="20">
        <f t="shared" si="31"/>
        <v>0</v>
      </c>
      <c r="AB43" s="20">
        <f t="shared" si="31"/>
        <v>0</v>
      </c>
      <c r="AC43" s="20">
        <f t="shared" si="31"/>
        <v>1.54221859735039E-2</v>
      </c>
      <c r="AD43" s="20">
        <f t="shared" si="32"/>
        <v>1.54221859735039E-2</v>
      </c>
      <c r="AE43" s="20">
        <f t="shared" si="33"/>
        <v>0</v>
      </c>
      <c r="AF43" s="20">
        <f t="shared" si="33"/>
        <v>0</v>
      </c>
      <c r="AG43" s="20">
        <f t="shared" si="33"/>
        <v>0</v>
      </c>
      <c r="AH43" s="20">
        <f t="shared" si="33"/>
        <v>0.2680589014968503</v>
      </c>
      <c r="AI43" s="20">
        <f t="shared" si="34"/>
        <v>0</v>
      </c>
      <c r="AJ43" s="20">
        <f t="shared" si="34"/>
        <v>0</v>
      </c>
      <c r="AK43" s="20">
        <f t="shared" si="34"/>
        <v>0</v>
      </c>
      <c r="AL43" s="20">
        <f t="shared" si="34"/>
        <v>0.15194704898575828</v>
      </c>
      <c r="AM43" s="20">
        <f t="shared" si="35"/>
        <v>0.15194704898575828</v>
      </c>
      <c r="AO43">
        <f t="shared" si="36"/>
        <v>0</v>
      </c>
      <c r="AP43">
        <f t="shared" si="36"/>
        <v>0</v>
      </c>
      <c r="AQ43">
        <f t="shared" si="36"/>
        <v>0</v>
      </c>
      <c r="AR43">
        <f t="shared" si="36"/>
        <v>2.3351904911133148E-2</v>
      </c>
      <c r="AS43">
        <f t="shared" si="37"/>
        <v>2.3351904911133148E-2</v>
      </c>
      <c r="AU43">
        <f t="shared" si="38"/>
        <v>0</v>
      </c>
      <c r="AV43">
        <f t="shared" si="38"/>
        <v>0</v>
      </c>
      <c r="AW43">
        <f t="shared" si="38"/>
        <v>0</v>
      </c>
      <c r="AX43">
        <f t="shared" si="38"/>
        <v>0.23007458511645476</v>
      </c>
      <c r="AY43">
        <f t="shared" si="39"/>
        <v>0.23007458511645476</v>
      </c>
    </row>
    <row r="44" spans="1:51" ht="15" x14ac:dyDescent="0.25">
      <c r="A44" s="1"/>
      <c r="B44" s="2"/>
      <c r="C44" s="1" t="s">
        <v>13</v>
      </c>
      <c r="D44" s="285">
        <v>0</v>
      </c>
      <c r="E44" s="286">
        <v>0</v>
      </c>
      <c r="F44" s="286">
        <v>0</v>
      </c>
      <c r="G44" s="286">
        <v>0</v>
      </c>
      <c r="H44" s="287">
        <v>0</v>
      </c>
      <c r="J44">
        <v>0</v>
      </c>
      <c r="K44">
        <v>0</v>
      </c>
      <c r="L44">
        <v>0</v>
      </c>
      <c r="M44">
        <v>0</v>
      </c>
      <c r="N44">
        <v>0</v>
      </c>
      <c r="O44" s="20"/>
      <c r="P44" s="20"/>
      <c r="Q44" s="147"/>
      <c r="R44" s="197">
        <v>0.19500000000000001</v>
      </c>
      <c r="S44" s="197">
        <v>1.22</v>
      </c>
      <c r="T44" s="197">
        <v>0.4144562334217507</v>
      </c>
      <c r="U44" s="197">
        <v>0.6566321730950142</v>
      </c>
      <c r="V44" s="20">
        <f t="shared" si="30"/>
        <v>0</v>
      </c>
      <c r="W44" s="20">
        <f t="shared" si="30"/>
        <v>0</v>
      </c>
      <c r="X44" s="20">
        <f t="shared" si="30"/>
        <v>0</v>
      </c>
      <c r="Y44" s="20">
        <f t="shared" si="30"/>
        <v>0</v>
      </c>
      <c r="Z44" s="20">
        <f t="shared" si="31"/>
        <v>0</v>
      </c>
      <c r="AA44" s="20">
        <f t="shared" si="31"/>
        <v>0</v>
      </c>
      <c r="AB44" s="20">
        <f t="shared" si="31"/>
        <v>0</v>
      </c>
      <c r="AC44" s="20">
        <f t="shared" si="31"/>
        <v>0</v>
      </c>
      <c r="AD44" s="20">
        <f t="shared" si="32"/>
        <v>0</v>
      </c>
      <c r="AE44" s="20">
        <f t="shared" si="33"/>
        <v>0</v>
      </c>
      <c r="AF44" s="20">
        <f t="shared" si="33"/>
        <v>0</v>
      </c>
      <c r="AG44" s="20">
        <f t="shared" si="33"/>
        <v>0</v>
      </c>
      <c r="AH44" s="20">
        <f t="shared" si="33"/>
        <v>0</v>
      </c>
      <c r="AI44" s="20">
        <f t="shared" si="34"/>
        <v>0</v>
      </c>
      <c r="AJ44" s="20">
        <f t="shared" si="34"/>
        <v>0</v>
      </c>
      <c r="AK44" s="20">
        <f t="shared" si="34"/>
        <v>0</v>
      </c>
      <c r="AL44" s="20">
        <f t="shared" si="34"/>
        <v>0</v>
      </c>
      <c r="AM44" s="20">
        <f t="shared" si="35"/>
        <v>0</v>
      </c>
      <c r="AO44">
        <f t="shared" si="36"/>
        <v>0</v>
      </c>
      <c r="AP44">
        <f t="shared" si="36"/>
        <v>0</v>
      </c>
      <c r="AQ44">
        <f t="shared" si="36"/>
        <v>0</v>
      </c>
      <c r="AR44">
        <f t="shared" si="36"/>
        <v>0</v>
      </c>
      <c r="AS44">
        <f t="shared" si="37"/>
        <v>0</v>
      </c>
      <c r="AU44">
        <f t="shared" si="38"/>
        <v>0</v>
      </c>
      <c r="AV44">
        <f t="shared" si="38"/>
        <v>0</v>
      </c>
      <c r="AW44">
        <f t="shared" si="38"/>
        <v>0</v>
      </c>
      <c r="AX44">
        <f t="shared" si="38"/>
        <v>0</v>
      </c>
      <c r="AY44">
        <f t="shared" si="39"/>
        <v>0</v>
      </c>
    </row>
    <row r="45" spans="1:51" ht="15" x14ac:dyDescent="0.25">
      <c r="A45" s="7"/>
      <c r="B45" s="8" t="s">
        <v>14</v>
      </c>
      <c r="C45" s="7"/>
      <c r="D45" s="288">
        <f>SUM(D39:D44)</f>
        <v>0</v>
      </c>
      <c r="E45" s="289">
        <f>SUM(E39:E44)</f>
        <v>0.94018151000000005</v>
      </c>
      <c r="F45" s="289">
        <f>SUM(F39:F44)</f>
        <v>9.29167904</v>
      </c>
      <c r="G45" s="289">
        <f>SUM(G39:G44)</f>
        <v>1.2610978799999999</v>
      </c>
      <c r="H45" s="290">
        <f>SUM(H39:H44)</f>
        <v>9.40926157</v>
      </c>
      <c r="J45">
        <v>0</v>
      </c>
      <c r="K45">
        <v>-0.20838786893800007</v>
      </c>
      <c r="L45">
        <v>9.29167904</v>
      </c>
      <c r="M45">
        <v>1.2610978799999999</v>
      </c>
      <c r="N45">
        <v>-9.1397145300325011</v>
      </c>
      <c r="O45" s="20"/>
      <c r="P45" s="20"/>
      <c r="Q45" s="147"/>
      <c r="R45" s="197"/>
      <c r="S45" s="197"/>
      <c r="T45" s="197"/>
      <c r="U45" s="197"/>
    </row>
    <row r="46" spans="1:51" ht="15" x14ac:dyDescent="0.25">
      <c r="A46" s="10"/>
      <c r="B46" s="9" t="s">
        <v>15</v>
      </c>
      <c r="C46" s="5"/>
      <c r="D46" s="291"/>
      <c r="E46" s="292"/>
      <c r="F46" s="292"/>
      <c r="G46" s="292"/>
      <c r="H46" s="293">
        <f>SUM(D45:H45)</f>
        <v>20.90222</v>
      </c>
      <c r="N46">
        <v>1.2046745210294976</v>
      </c>
      <c r="O46" s="20"/>
      <c r="P46" s="20"/>
      <c r="Q46" s="147"/>
      <c r="R46" s="197"/>
      <c r="S46" s="197"/>
      <c r="T46" s="197"/>
      <c r="U46" s="197"/>
    </row>
    <row r="47" spans="1:51" ht="15.75" thickBot="1" x14ac:dyDescent="0.3">
      <c r="A47" s="1"/>
      <c r="B47" s="2"/>
      <c r="C47" s="1"/>
      <c r="D47" s="297"/>
      <c r="E47" s="298"/>
      <c r="F47" s="298"/>
      <c r="G47" s="298"/>
      <c r="H47" s="299"/>
      <c r="O47" s="20"/>
      <c r="P47" s="20"/>
      <c r="Q47" s="147"/>
      <c r="R47" s="197"/>
      <c r="S47" s="197"/>
      <c r="T47" s="197"/>
      <c r="U47" s="197"/>
    </row>
    <row r="48" spans="1:51" ht="15" x14ac:dyDescent="0.25">
      <c r="A48" s="1">
        <v>5</v>
      </c>
      <c r="B48" s="2" t="s">
        <v>19</v>
      </c>
      <c r="C48" s="1" t="s">
        <v>8</v>
      </c>
      <c r="D48" s="282">
        <v>0</v>
      </c>
      <c r="E48" s="283">
        <v>0.85534902999999995</v>
      </c>
      <c r="F48" s="283">
        <v>0</v>
      </c>
      <c r="G48" s="283">
        <v>3.41090888</v>
      </c>
      <c r="H48" s="284">
        <v>3.39066695</v>
      </c>
      <c r="J48">
        <v>0</v>
      </c>
      <c r="K48">
        <v>0.306432985233</v>
      </c>
      <c r="L48">
        <v>0</v>
      </c>
      <c r="M48">
        <v>0.40126053755000024</v>
      </c>
      <c r="N48">
        <v>3.39066695</v>
      </c>
      <c r="O48" s="20"/>
      <c r="P48" s="20"/>
      <c r="Q48" s="147">
        <v>0.41841122696650812</v>
      </c>
      <c r="R48" s="197">
        <v>0.43</v>
      </c>
      <c r="S48" s="197">
        <v>2.83</v>
      </c>
      <c r="T48" s="197">
        <v>0.76744186046511631</v>
      </c>
      <c r="U48" s="197">
        <v>0.76744186046511631</v>
      </c>
      <c r="V48" s="20">
        <f t="shared" ref="V48:Y53" si="40">IF(K48&gt;0,((E48-K48)*$Q48*$R48*10)+(K48*$O$12*$Q48*$R48*10),(E48*$Q48*$R48*10))</f>
        <v>1.1903430484621613</v>
      </c>
      <c r="W48" s="20">
        <f t="shared" si="40"/>
        <v>0</v>
      </c>
      <c r="X48" s="20">
        <f t="shared" si="40"/>
        <v>5.6803569766898914</v>
      </c>
      <c r="Y48" s="20">
        <f t="shared" si="40"/>
        <v>2.2434273725620217</v>
      </c>
      <c r="Z48" s="20">
        <f t="shared" ref="Z48:AC53" si="41">V48*(EXP(1.01-0.34*LN(Z$8))*(1-$T48)+(1*$T48))</f>
        <v>0.99769193847836668</v>
      </c>
      <c r="AA48" s="20">
        <f t="shared" si="41"/>
        <v>0</v>
      </c>
      <c r="AB48" s="20">
        <f t="shared" si="41"/>
        <v>4.7971795484060591</v>
      </c>
      <c r="AC48" s="20">
        <f t="shared" si="41"/>
        <v>1.8574778416386881</v>
      </c>
      <c r="AD48" s="20">
        <f t="shared" ref="AD48:AD53" si="42">SUM(Z48:AC48)</f>
        <v>7.6523493285231137</v>
      </c>
      <c r="AE48" s="20">
        <f t="shared" ref="AE48:AH53" si="43">IF(K48&gt;0,((E48-K48)*$Q48*$S48*10)+(K48*$P$12*$Q48*$S48)*10,(E48*$Q48*$S48*10))</f>
        <v>8.6011005623330181</v>
      </c>
      <c r="AF48" s="20">
        <f t="shared" si="43"/>
        <v>0</v>
      </c>
      <c r="AG48" s="20">
        <f t="shared" si="43"/>
        <v>38.389004705051782</v>
      </c>
      <c r="AH48" s="20">
        <f t="shared" si="43"/>
        <v>23.251507164695539</v>
      </c>
      <c r="AI48" s="20">
        <f t="shared" ref="AI48:AL53" si="44">AE48*(EXP(1.01-0.34*LN(AI$8))*(1-$T48)+(1*$T48))</f>
        <v>7.20905515781166</v>
      </c>
      <c r="AJ48" s="20">
        <f t="shared" si="44"/>
        <v>0</v>
      </c>
      <c r="AK48" s="20">
        <f t="shared" si="44"/>
        <v>32.420312492763991</v>
      </c>
      <c r="AL48" s="20">
        <f t="shared" si="44"/>
        <v>19.251418553301598</v>
      </c>
      <c r="AM48" s="20">
        <f t="shared" ref="AM48:AM53" si="45">SUM(AI48:AL48)</f>
        <v>58.88078620387725</v>
      </c>
      <c r="AO48">
        <f t="shared" ref="AO48:AR53" si="46">Z48*AO$10</f>
        <v>1.3843121953765791</v>
      </c>
      <c r="AP48">
        <f t="shared" si="46"/>
        <v>0</v>
      </c>
      <c r="AQ48">
        <f t="shared" si="46"/>
        <v>6.7967335331270915</v>
      </c>
      <c r="AR48">
        <f t="shared" si="46"/>
        <v>2.8125484939038503</v>
      </c>
      <c r="AS48">
        <f t="shared" ref="AS48:AS53" si="47">SUM(AO48:AR48)</f>
        <v>10.993594222407522</v>
      </c>
      <c r="AU48">
        <f t="shared" ref="AU48:AX53" si="48">AI48*AU$10</f>
        <v>10.00266974926299</v>
      </c>
      <c r="AV48">
        <f t="shared" si="48"/>
        <v>0</v>
      </c>
      <c r="AW48">
        <f t="shared" si="48"/>
        <v>45.93370392968589</v>
      </c>
      <c r="AX48">
        <f t="shared" si="48"/>
        <v>29.150037240731351</v>
      </c>
      <c r="AY48">
        <f t="shared" ref="AY48:AY53" si="49">SUM(AU48:AX48)</f>
        <v>85.086410919680233</v>
      </c>
    </row>
    <row r="49" spans="1:51" ht="15" x14ac:dyDescent="0.25">
      <c r="A49" s="1"/>
      <c r="B49" s="2"/>
      <c r="C49" s="1" t="s">
        <v>9</v>
      </c>
      <c r="D49" s="285">
        <v>0</v>
      </c>
      <c r="E49" s="286">
        <v>3.7575771699999998</v>
      </c>
      <c r="F49" s="286">
        <v>0</v>
      </c>
      <c r="G49" s="286">
        <v>0</v>
      </c>
      <c r="H49" s="287">
        <v>0</v>
      </c>
      <c r="J49">
        <v>0</v>
      </c>
      <c r="K49">
        <v>3.7575771699999998</v>
      </c>
      <c r="L49">
        <v>0</v>
      </c>
      <c r="M49">
        <v>0</v>
      </c>
      <c r="N49">
        <v>0</v>
      </c>
      <c r="O49" s="20"/>
      <c r="P49" s="20"/>
      <c r="Q49" s="147">
        <v>0.43182245393301621</v>
      </c>
      <c r="R49" s="197">
        <v>0.43</v>
      </c>
      <c r="S49" s="197">
        <v>2.83</v>
      </c>
      <c r="T49" s="197">
        <v>0.76744186046511631</v>
      </c>
      <c r="U49" s="197">
        <v>0.76744186046511631</v>
      </c>
      <c r="V49" s="20">
        <f t="shared" si="40"/>
        <v>2.5658820101328579</v>
      </c>
      <c r="W49" s="20">
        <f t="shared" si="40"/>
        <v>0</v>
      </c>
      <c r="X49" s="20">
        <f t="shared" si="40"/>
        <v>0</v>
      </c>
      <c r="Y49" s="20">
        <f t="shared" si="40"/>
        <v>0</v>
      </c>
      <c r="Z49" s="20">
        <f t="shared" si="41"/>
        <v>2.1506067514768161</v>
      </c>
      <c r="AA49" s="20">
        <f t="shared" si="41"/>
        <v>0</v>
      </c>
      <c r="AB49" s="20">
        <f t="shared" si="41"/>
        <v>0</v>
      </c>
      <c r="AC49" s="20">
        <f t="shared" si="41"/>
        <v>0</v>
      </c>
      <c r="AD49" s="20">
        <f t="shared" si="42"/>
        <v>2.1506067514768161</v>
      </c>
      <c r="AE49" s="20">
        <f t="shared" si="43"/>
        <v>26.593516987462962</v>
      </c>
      <c r="AF49" s="20">
        <f t="shared" si="43"/>
        <v>0</v>
      </c>
      <c r="AG49" s="20">
        <f t="shared" si="43"/>
        <v>0</v>
      </c>
      <c r="AH49" s="20">
        <f t="shared" si="43"/>
        <v>0</v>
      </c>
      <c r="AI49" s="20">
        <f t="shared" si="44"/>
        <v>22.289488352502193</v>
      </c>
      <c r="AJ49" s="20">
        <f t="shared" si="44"/>
        <v>0</v>
      </c>
      <c r="AK49" s="20">
        <f t="shared" si="44"/>
        <v>0</v>
      </c>
      <c r="AL49" s="20">
        <f t="shared" si="44"/>
        <v>0</v>
      </c>
      <c r="AM49" s="20">
        <f t="shared" si="45"/>
        <v>22.289488352502193</v>
      </c>
      <c r="AO49">
        <f t="shared" si="46"/>
        <v>2.9839984054287498</v>
      </c>
      <c r="AP49">
        <f t="shared" si="46"/>
        <v>0</v>
      </c>
      <c r="AQ49">
        <f t="shared" si="46"/>
        <v>0</v>
      </c>
      <c r="AR49">
        <f t="shared" si="46"/>
        <v>0</v>
      </c>
      <c r="AS49">
        <f t="shared" si="47"/>
        <v>2.9839984054287498</v>
      </c>
      <c r="AU49">
        <f t="shared" si="48"/>
        <v>30.926991955184626</v>
      </c>
      <c r="AV49">
        <f t="shared" si="48"/>
        <v>0</v>
      </c>
      <c r="AW49">
        <f t="shared" si="48"/>
        <v>0</v>
      </c>
      <c r="AX49">
        <f t="shared" si="48"/>
        <v>0</v>
      </c>
      <c r="AY49">
        <f t="shared" si="49"/>
        <v>30.926991955184626</v>
      </c>
    </row>
    <row r="50" spans="1:51" ht="15" x14ac:dyDescent="0.25">
      <c r="A50" s="1"/>
      <c r="B50" s="2"/>
      <c r="C50" s="1" t="s">
        <v>10</v>
      </c>
      <c r="D50" s="285">
        <v>0</v>
      </c>
      <c r="E50" s="286">
        <v>1.96858654</v>
      </c>
      <c r="F50" s="286">
        <v>0</v>
      </c>
      <c r="G50" s="286">
        <v>0</v>
      </c>
      <c r="H50" s="287">
        <v>0</v>
      </c>
      <c r="J50">
        <v>0</v>
      </c>
      <c r="K50">
        <v>1.96858654</v>
      </c>
      <c r="L50">
        <v>0</v>
      </c>
      <c r="M50">
        <v>0</v>
      </c>
      <c r="N50">
        <v>0</v>
      </c>
      <c r="O50" s="20"/>
      <c r="P50" s="20"/>
      <c r="Q50" s="147">
        <v>0.44523368089952436</v>
      </c>
      <c r="R50" s="197">
        <v>0.43</v>
      </c>
      <c r="S50" s="197">
        <v>2.83</v>
      </c>
      <c r="T50" s="197">
        <v>0.76744186046511631</v>
      </c>
      <c r="U50" s="197">
        <v>0.76744186046511631</v>
      </c>
      <c r="V50" s="20">
        <f t="shared" si="40"/>
        <v>1.3860090750278664</v>
      </c>
      <c r="W50" s="20">
        <f t="shared" si="40"/>
        <v>0</v>
      </c>
      <c r="X50" s="20">
        <f t="shared" si="40"/>
        <v>0</v>
      </c>
      <c r="Y50" s="20">
        <f t="shared" si="40"/>
        <v>0</v>
      </c>
      <c r="Z50" s="20">
        <f t="shared" si="41"/>
        <v>1.1616903905136022</v>
      </c>
      <c r="AA50" s="20">
        <f t="shared" si="41"/>
        <v>0</v>
      </c>
      <c r="AB50" s="20">
        <f t="shared" si="41"/>
        <v>0</v>
      </c>
      <c r="AC50" s="20">
        <f t="shared" si="41"/>
        <v>0</v>
      </c>
      <c r="AD50" s="20">
        <f t="shared" si="42"/>
        <v>1.1616903905136022</v>
      </c>
      <c r="AE50" s="20">
        <f t="shared" si="43"/>
        <v>14.364984724930082</v>
      </c>
      <c r="AF50" s="20">
        <f t="shared" si="43"/>
        <v>0</v>
      </c>
      <c r="AG50" s="20">
        <f t="shared" si="43"/>
        <v>0</v>
      </c>
      <c r="AH50" s="20">
        <f t="shared" si="43"/>
        <v>0</v>
      </c>
      <c r="AI50" s="20">
        <f t="shared" si="44"/>
        <v>12.040083297788252</v>
      </c>
      <c r="AJ50" s="20">
        <f t="shared" si="44"/>
        <v>0</v>
      </c>
      <c r="AK50" s="20">
        <f t="shared" si="44"/>
        <v>0</v>
      </c>
      <c r="AL50" s="20">
        <f t="shared" si="44"/>
        <v>0</v>
      </c>
      <c r="AM50" s="20">
        <f t="shared" si="45"/>
        <v>12.040083297788252</v>
      </c>
      <c r="AO50">
        <f t="shared" si="46"/>
        <v>1.6118624525446441</v>
      </c>
      <c r="AP50">
        <f t="shared" si="46"/>
        <v>0</v>
      </c>
      <c r="AQ50">
        <f t="shared" si="46"/>
        <v>0</v>
      </c>
      <c r="AR50">
        <f t="shared" si="46"/>
        <v>0</v>
      </c>
      <c r="AS50">
        <f t="shared" si="47"/>
        <v>1.6118624525446441</v>
      </c>
      <c r="AU50">
        <f t="shared" si="48"/>
        <v>16.705792138501415</v>
      </c>
      <c r="AV50">
        <f t="shared" si="48"/>
        <v>0</v>
      </c>
      <c r="AW50">
        <f t="shared" si="48"/>
        <v>0</v>
      </c>
      <c r="AX50">
        <f t="shared" si="48"/>
        <v>0</v>
      </c>
      <c r="AY50">
        <f t="shared" si="49"/>
        <v>16.705792138501415</v>
      </c>
    </row>
    <row r="51" spans="1:51" ht="15" x14ac:dyDescent="0.25">
      <c r="A51" s="1"/>
      <c r="B51" s="2"/>
      <c r="C51" s="1" t="s">
        <v>11</v>
      </c>
      <c r="D51" s="285">
        <v>0</v>
      </c>
      <c r="E51" s="286">
        <v>0</v>
      </c>
      <c r="F51" s="286">
        <v>0</v>
      </c>
      <c r="G51" s="286">
        <v>0</v>
      </c>
      <c r="H51" s="287">
        <v>0</v>
      </c>
      <c r="J51">
        <v>0</v>
      </c>
      <c r="K51">
        <v>0</v>
      </c>
      <c r="L51">
        <v>0</v>
      </c>
      <c r="M51">
        <v>0</v>
      </c>
      <c r="N51">
        <v>0</v>
      </c>
      <c r="O51" s="20"/>
      <c r="P51" s="20"/>
      <c r="Q51" s="147"/>
      <c r="R51" s="197">
        <v>0.43</v>
      </c>
      <c r="S51" s="197">
        <v>2.83</v>
      </c>
      <c r="T51" s="197">
        <v>0.76744186046511631</v>
      </c>
      <c r="U51" s="197">
        <v>0.76744186046511631</v>
      </c>
      <c r="V51" s="20">
        <f t="shared" si="40"/>
        <v>0</v>
      </c>
      <c r="W51" s="20">
        <f t="shared" si="40"/>
        <v>0</v>
      </c>
      <c r="X51" s="20">
        <f t="shared" si="40"/>
        <v>0</v>
      </c>
      <c r="Y51" s="20">
        <f t="shared" si="40"/>
        <v>0</v>
      </c>
      <c r="Z51" s="20">
        <f t="shared" si="41"/>
        <v>0</v>
      </c>
      <c r="AA51" s="20">
        <f t="shared" si="41"/>
        <v>0</v>
      </c>
      <c r="AB51" s="20">
        <f t="shared" si="41"/>
        <v>0</v>
      </c>
      <c r="AC51" s="20">
        <f t="shared" si="41"/>
        <v>0</v>
      </c>
      <c r="AD51" s="20">
        <f t="shared" si="42"/>
        <v>0</v>
      </c>
      <c r="AE51" s="20">
        <f t="shared" si="43"/>
        <v>0</v>
      </c>
      <c r="AF51" s="20">
        <f t="shared" si="43"/>
        <v>0</v>
      </c>
      <c r="AG51" s="20">
        <f t="shared" si="43"/>
        <v>0</v>
      </c>
      <c r="AH51" s="20">
        <f t="shared" si="43"/>
        <v>0</v>
      </c>
      <c r="AI51" s="20">
        <f t="shared" si="44"/>
        <v>0</v>
      </c>
      <c r="AJ51" s="20">
        <f t="shared" si="44"/>
        <v>0</v>
      </c>
      <c r="AK51" s="20">
        <f t="shared" si="44"/>
        <v>0</v>
      </c>
      <c r="AL51" s="20">
        <f t="shared" si="44"/>
        <v>0</v>
      </c>
      <c r="AM51" s="20">
        <f t="shared" si="45"/>
        <v>0</v>
      </c>
      <c r="AO51">
        <f t="shared" si="46"/>
        <v>0</v>
      </c>
      <c r="AP51">
        <f t="shared" si="46"/>
        <v>0</v>
      </c>
      <c r="AQ51">
        <f t="shared" si="46"/>
        <v>0</v>
      </c>
      <c r="AR51">
        <f t="shared" si="46"/>
        <v>0</v>
      </c>
      <c r="AS51">
        <f t="shared" si="47"/>
        <v>0</v>
      </c>
      <c r="AU51">
        <f t="shared" si="48"/>
        <v>0</v>
      </c>
      <c r="AV51">
        <f t="shared" si="48"/>
        <v>0</v>
      </c>
      <c r="AW51">
        <f t="shared" si="48"/>
        <v>0</v>
      </c>
      <c r="AX51">
        <f t="shared" si="48"/>
        <v>0</v>
      </c>
      <c r="AY51">
        <f t="shared" si="49"/>
        <v>0</v>
      </c>
    </row>
    <row r="52" spans="1:51" ht="15" x14ac:dyDescent="0.25">
      <c r="A52" s="1"/>
      <c r="B52" s="2"/>
      <c r="C52" s="1" t="s">
        <v>12</v>
      </c>
      <c r="D52" s="285">
        <v>0</v>
      </c>
      <c r="E52" s="286">
        <v>0</v>
      </c>
      <c r="F52" s="286">
        <v>0</v>
      </c>
      <c r="G52" s="286">
        <v>0</v>
      </c>
      <c r="H52" s="287">
        <v>0</v>
      </c>
      <c r="J52">
        <v>0</v>
      </c>
      <c r="K52">
        <v>0</v>
      </c>
      <c r="L52">
        <v>0</v>
      </c>
      <c r="M52">
        <v>0</v>
      </c>
      <c r="N52">
        <v>0</v>
      </c>
      <c r="O52" s="20"/>
      <c r="P52" s="20"/>
      <c r="Q52" s="147"/>
      <c r="R52" s="197">
        <v>0.43</v>
      </c>
      <c r="S52" s="197">
        <v>2.83</v>
      </c>
      <c r="T52" s="197">
        <v>0.76744186046511631</v>
      </c>
      <c r="U52" s="197">
        <v>0.76744186046511631</v>
      </c>
      <c r="V52" s="20">
        <f t="shared" si="40"/>
        <v>0</v>
      </c>
      <c r="W52" s="20">
        <f t="shared" si="40"/>
        <v>0</v>
      </c>
      <c r="X52" s="20">
        <f t="shared" si="40"/>
        <v>0</v>
      </c>
      <c r="Y52" s="20">
        <f t="shared" si="40"/>
        <v>0</v>
      </c>
      <c r="Z52" s="20">
        <f t="shared" si="41"/>
        <v>0</v>
      </c>
      <c r="AA52" s="20">
        <f t="shared" si="41"/>
        <v>0</v>
      </c>
      <c r="AB52" s="20">
        <f t="shared" si="41"/>
        <v>0</v>
      </c>
      <c r="AC52" s="20">
        <f t="shared" si="41"/>
        <v>0</v>
      </c>
      <c r="AD52" s="20">
        <f t="shared" si="42"/>
        <v>0</v>
      </c>
      <c r="AE52" s="20">
        <f t="shared" si="43"/>
        <v>0</v>
      </c>
      <c r="AF52" s="20">
        <f t="shared" si="43"/>
        <v>0</v>
      </c>
      <c r="AG52" s="20">
        <f t="shared" si="43"/>
        <v>0</v>
      </c>
      <c r="AH52" s="20">
        <f t="shared" si="43"/>
        <v>0</v>
      </c>
      <c r="AI52" s="20">
        <f t="shared" si="44"/>
        <v>0</v>
      </c>
      <c r="AJ52" s="20">
        <f t="shared" si="44"/>
        <v>0</v>
      </c>
      <c r="AK52" s="20">
        <f t="shared" si="44"/>
        <v>0</v>
      </c>
      <c r="AL52" s="20">
        <f t="shared" si="44"/>
        <v>0</v>
      </c>
      <c r="AM52" s="20">
        <f t="shared" si="45"/>
        <v>0</v>
      </c>
      <c r="AO52">
        <f t="shared" si="46"/>
        <v>0</v>
      </c>
      <c r="AP52">
        <f t="shared" si="46"/>
        <v>0</v>
      </c>
      <c r="AQ52">
        <f t="shared" si="46"/>
        <v>0</v>
      </c>
      <c r="AR52">
        <f t="shared" si="46"/>
        <v>0</v>
      </c>
      <c r="AS52">
        <f t="shared" si="47"/>
        <v>0</v>
      </c>
      <c r="AU52">
        <f t="shared" si="48"/>
        <v>0</v>
      </c>
      <c r="AV52">
        <f t="shared" si="48"/>
        <v>0</v>
      </c>
      <c r="AW52">
        <f t="shared" si="48"/>
        <v>0</v>
      </c>
      <c r="AX52">
        <f t="shared" si="48"/>
        <v>0</v>
      </c>
      <c r="AY52">
        <f t="shared" si="49"/>
        <v>0</v>
      </c>
    </row>
    <row r="53" spans="1:51" ht="15" x14ac:dyDescent="0.25">
      <c r="A53" s="1"/>
      <c r="B53" s="2"/>
      <c r="C53" s="1" t="s">
        <v>13</v>
      </c>
      <c r="D53" s="285">
        <v>0</v>
      </c>
      <c r="E53" s="286">
        <v>0</v>
      </c>
      <c r="F53" s="286">
        <v>0</v>
      </c>
      <c r="G53" s="286">
        <v>0</v>
      </c>
      <c r="H53" s="287">
        <v>0</v>
      </c>
      <c r="J53">
        <v>0</v>
      </c>
      <c r="K53">
        <v>0</v>
      </c>
      <c r="L53">
        <v>0</v>
      </c>
      <c r="M53">
        <v>0</v>
      </c>
      <c r="N53">
        <v>0</v>
      </c>
      <c r="O53" s="20"/>
      <c r="P53" s="20"/>
      <c r="Q53" s="147"/>
      <c r="R53" s="197">
        <v>0.43</v>
      </c>
      <c r="S53" s="197">
        <v>2.83</v>
      </c>
      <c r="T53" s="197">
        <v>0.76744186046511631</v>
      </c>
      <c r="U53" s="197">
        <v>0.76744186046511631</v>
      </c>
      <c r="V53" s="20">
        <f t="shared" si="40"/>
        <v>0</v>
      </c>
      <c r="W53" s="20">
        <f t="shared" si="40"/>
        <v>0</v>
      </c>
      <c r="X53" s="20">
        <f t="shared" si="40"/>
        <v>0</v>
      </c>
      <c r="Y53" s="20">
        <f t="shared" si="40"/>
        <v>0</v>
      </c>
      <c r="Z53" s="20">
        <f t="shared" si="41"/>
        <v>0</v>
      </c>
      <c r="AA53" s="20">
        <f t="shared" si="41"/>
        <v>0</v>
      </c>
      <c r="AB53" s="20">
        <f t="shared" si="41"/>
        <v>0</v>
      </c>
      <c r="AC53" s="20">
        <f t="shared" si="41"/>
        <v>0</v>
      </c>
      <c r="AD53" s="20">
        <f t="shared" si="42"/>
        <v>0</v>
      </c>
      <c r="AE53" s="20">
        <f t="shared" si="43"/>
        <v>0</v>
      </c>
      <c r="AF53" s="20">
        <f t="shared" si="43"/>
        <v>0</v>
      </c>
      <c r="AG53" s="20">
        <f t="shared" si="43"/>
        <v>0</v>
      </c>
      <c r="AH53" s="20">
        <f t="shared" si="43"/>
        <v>0</v>
      </c>
      <c r="AI53" s="20">
        <f t="shared" si="44"/>
        <v>0</v>
      </c>
      <c r="AJ53" s="20">
        <f t="shared" si="44"/>
        <v>0</v>
      </c>
      <c r="AK53" s="20">
        <f t="shared" si="44"/>
        <v>0</v>
      </c>
      <c r="AL53" s="20">
        <f t="shared" si="44"/>
        <v>0</v>
      </c>
      <c r="AM53" s="20">
        <f t="shared" si="45"/>
        <v>0</v>
      </c>
      <c r="AO53">
        <f t="shared" si="46"/>
        <v>0</v>
      </c>
      <c r="AP53">
        <f t="shared" si="46"/>
        <v>0</v>
      </c>
      <c r="AQ53">
        <f t="shared" si="46"/>
        <v>0</v>
      </c>
      <c r="AR53">
        <f t="shared" si="46"/>
        <v>0</v>
      </c>
      <c r="AS53">
        <f t="shared" si="47"/>
        <v>0</v>
      </c>
      <c r="AU53">
        <f t="shared" si="48"/>
        <v>0</v>
      </c>
      <c r="AV53">
        <f t="shared" si="48"/>
        <v>0</v>
      </c>
      <c r="AW53">
        <f t="shared" si="48"/>
        <v>0</v>
      </c>
      <c r="AX53">
        <f t="shared" si="48"/>
        <v>0</v>
      </c>
      <c r="AY53">
        <f t="shared" si="49"/>
        <v>0</v>
      </c>
    </row>
    <row r="54" spans="1:51" ht="15" x14ac:dyDescent="0.25">
      <c r="A54" s="7"/>
      <c r="B54" s="8" t="s">
        <v>14</v>
      </c>
      <c r="C54" s="7"/>
      <c r="D54" s="288">
        <f>SUM(D48:D53)</f>
        <v>0</v>
      </c>
      <c r="E54" s="289">
        <f>SUM(E48:E53)</f>
        <v>6.5815127399999991</v>
      </c>
      <c r="F54" s="289">
        <f>SUM(F48:F53)</f>
        <v>0</v>
      </c>
      <c r="G54" s="289">
        <f>SUM(G48:G53)</f>
        <v>3.41090888</v>
      </c>
      <c r="H54" s="290">
        <f>SUM(H48:H53)</f>
        <v>3.39066695</v>
      </c>
      <c r="J54">
        <v>0</v>
      </c>
      <c r="K54">
        <v>6.0325966952329999</v>
      </c>
      <c r="L54">
        <v>0</v>
      </c>
      <c r="M54">
        <v>0.40126053755000024</v>
      </c>
      <c r="N54">
        <v>3.39066695</v>
      </c>
      <c r="O54" s="20"/>
      <c r="P54" s="20"/>
      <c r="Q54" s="147"/>
      <c r="R54" s="197"/>
      <c r="S54" s="197"/>
      <c r="T54" s="197"/>
      <c r="U54" s="197"/>
    </row>
    <row r="55" spans="1:51" ht="15" x14ac:dyDescent="0.25">
      <c r="A55" s="10"/>
      <c r="B55" s="9" t="s">
        <v>15</v>
      </c>
      <c r="C55" s="5"/>
      <c r="D55" s="291"/>
      <c r="E55" s="292"/>
      <c r="F55" s="292"/>
      <c r="G55" s="292"/>
      <c r="H55" s="293">
        <f>SUM(D54:H54)</f>
        <v>13.383088569999998</v>
      </c>
      <c r="N55">
        <v>9.8245241827829997</v>
      </c>
      <c r="O55" s="20"/>
      <c r="P55" s="20"/>
      <c r="Q55" s="147"/>
      <c r="R55" s="197"/>
      <c r="S55" s="197"/>
      <c r="T55" s="197"/>
      <c r="U55" s="197"/>
    </row>
    <row r="56" spans="1:51" ht="15.75" thickBot="1" x14ac:dyDescent="0.3">
      <c r="A56" s="1"/>
      <c r="B56" s="2"/>
      <c r="C56" s="1"/>
      <c r="D56" s="294"/>
      <c r="E56" s="295"/>
      <c r="F56" s="295"/>
      <c r="G56" s="295"/>
      <c r="H56" s="296"/>
      <c r="O56" s="20"/>
      <c r="P56" s="20"/>
      <c r="Q56" s="147"/>
      <c r="R56" s="197"/>
      <c r="S56" s="197"/>
      <c r="T56" s="197"/>
      <c r="U56" s="197"/>
    </row>
    <row r="57" spans="1:51" ht="15" x14ac:dyDescent="0.25">
      <c r="A57" s="1">
        <v>6</v>
      </c>
      <c r="B57" s="2" t="s">
        <v>20</v>
      </c>
      <c r="C57" s="1" t="s">
        <v>8</v>
      </c>
      <c r="D57" s="285">
        <v>0</v>
      </c>
      <c r="E57" s="286">
        <v>0</v>
      </c>
      <c r="F57" s="286">
        <v>0</v>
      </c>
      <c r="G57" s="286">
        <v>1.81947269</v>
      </c>
      <c r="H57" s="287">
        <v>0</v>
      </c>
      <c r="J57">
        <v>0</v>
      </c>
      <c r="K57">
        <v>0</v>
      </c>
      <c r="L57">
        <v>0</v>
      </c>
      <c r="M57">
        <v>1.81947269</v>
      </c>
      <c r="N57">
        <v>0</v>
      </c>
      <c r="O57" s="20"/>
      <c r="P57" s="20"/>
      <c r="Q57" s="147">
        <v>0.4621920245150074</v>
      </c>
      <c r="R57" s="197">
        <v>0.33900000000000002</v>
      </c>
      <c r="S57" s="197">
        <v>1.9830000000000001</v>
      </c>
      <c r="T57" s="197">
        <v>0.76146788990825687</v>
      </c>
      <c r="U57" s="197">
        <v>0.76146788990825687</v>
      </c>
      <c r="V57" s="20">
        <f t="shared" ref="V57:Y62" si="50">IF(K57&gt;0,((E57-K57)*$Q57*$R57*10)+(K57*$O$12*$Q57*$R57*10),(E57*$Q57*$R57*10))</f>
        <v>0</v>
      </c>
      <c r="W57" s="20">
        <f t="shared" si="50"/>
        <v>0</v>
      </c>
      <c r="X57" s="20">
        <f t="shared" si="50"/>
        <v>1.0483897911091227</v>
      </c>
      <c r="Y57" s="20">
        <f t="shared" si="50"/>
        <v>0</v>
      </c>
      <c r="Z57" s="20">
        <f t="shared" ref="Z57:AC62" si="51">V57*(EXP(1.01-0.34*LN(Z$8))*(1-$T57)+(1*$T57))</f>
        <v>0</v>
      </c>
      <c r="AA57" s="20">
        <f t="shared" si="51"/>
        <v>0</v>
      </c>
      <c r="AB57" s="20">
        <f t="shared" si="51"/>
        <v>0.88119974383514599</v>
      </c>
      <c r="AC57" s="20">
        <f t="shared" si="51"/>
        <v>0</v>
      </c>
      <c r="AD57" s="20">
        <f t="shared" ref="AD57:AD62" si="52">SUM(Z57:AC57)</f>
        <v>0.88119974383514599</v>
      </c>
      <c r="AE57" s="20">
        <f t="shared" ref="AE57:AH62" si="53">IF(K57&gt;0,((E57-K57)*$Q57*$S57*10)+(K57*$P$12*$Q57*$S57)*10,(E57*$Q57*$S57*10))</f>
        <v>0</v>
      </c>
      <c r="AF57" s="20">
        <f t="shared" si="53"/>
        <v>0</v>
      </c>
      <c r="AG57" s="20">
        <f t="shared" si="53"/>
        <v>9.6575488588801566</v>
      </c>
      <c r="AH57" s="20">
        <f t="shared" si="53"/>
        <v>0</v>
      </c>
      <c r="AI57" s="20">
        <f t="shared" ref="AI57:AL62" si="54">AE57*(EXP(1.01-0.34*LN(AI$8))*(1-$T57)+(1*$T57))</f>
        <v>0</v>
      </c>
      <c r="AJ57" s="20">
        <f t="shared" si="54"/>
        <v>0</v>
      </c>
      <c r="AK57" s="20">
        <f t="shared" si="54"/>
        <v>8.1174288920892455</v>
      </c>
      <c r="AL57" s="20">
        <f t="shared" si="54"/>
        <v>0</v>
      </c>
      <c r="AM57" s="20">
        <f t="shared" ref="AM57:AM62" si="55">SUM(AI57:AL57)</f>
        <v>8.1174288920892455</v>
      </c>
      <c r="AO57">
        <f t="shared" ref="AO57:AR62" si="56">Z57*AO$10</f>
        <v>0</v>
      </c>
      <c r="AP57">
        <f t="shared" si="56"/>
        <v>0</v>
      </c>
      <c r="AQ57">
        <f t="shared" si="56"/>
        <v>1.2485002464202899</v>
      </c>
      <c r="AR57">
        <f t="shared" si="56"/>
        <v>0</v>
      </c>
      <c r="AS57">
        <f t="shared" ref="AS57:AS62" si="57">SUM(AO57:AR57)</f>
        <v>1.2485002464202899</v>
      </c>
      <c r="AU57">
        <f t="shared" ref="AU57:AX62" si="58">AI57*AU$10</f>
        <v>0</v>
      </c>
      <c r="AV57">
        <f t="shared" si="58"/>
        <v>0</v>
      </c>
      <c r="AW57">
        <f t="shared" si="58"/>
        <v>11.500924782348299</v>
      </c>
      <c r="AX57">
        <f t="shared" si="58"/>
        <v>0</v>
      </c>
      <c r="AY57">
        <f t="shared" ref="AY57:AY62" si="59">SUM(AU57:AX57)</f>
        <v>11.500924782348299</v>
      </c>
    </row>
    <row r="58" spans="1:51" ht="15" x14ac:dyDescent="0.25">
      <c r="A58" s="1"/>
      <c r="B58" s="2"/>
      <c r="C58" s="1" t="s">
        <v>9</v>
      </c>
      <c r="D58" s="285">
        <v>0</v>
      </c>
      <c r="E58" s="286">
        <v>0</v>
      </c>
      <c r="F58" s="286">
        <v>0</v>
      </c>
      <c r="G58" s="286">
        <v>0</v>
      </c>
      <c r="H58" s="287">
        <v>0</v>
      </c>
      <c r="J58">
        <v>0</v>
      </c>
      <c r="K58">
        <v>0</v>
      </c>
      <c r="L58">
        <v>0</v>
      </c>
      <c r="M58">
        <v>0</v>
      </c>
      <c r="N58">
        <v>0</v>
      </c>
      <c r="O58" s="20"/>
      <c r="P58" s="20"/>
      <c r="Q58" s="147"/>
      <c r="R58" s="197">
        <v>0.33900000000000002</v>
      </c>
      <c r="S58" s="197">
        <v>1.9830000000000001</v>
      </c>
      <c r="T58" s="197">
        <v>0.76146788990825687</v>
      </c>
      <c r="U58" s="197">
        <v>0.76146788990825687</v>
      </c>
      <c r="V58" s="20">
        <f t="shared" si="50"/>
        <v>0</v>
      </c>
      <c r="W58" s="20">
        <f t="shared" si="50"/>
        <v>0</v>
      </c>
      <c r="X58" s="20">
        <f t="shared" si="50"/>
        <v>0</v>
      </c>
      <c r="Y58" s="20">
        <f t="shared" si="50"/>
        <v>0</v>
      </c>
      <c r="Z58" s="20">
        <f t="shared" si="51"/>
        <v>0</v>
      </c>
      <c r="AA58" s="20">
        <f t="shared" si="51"/>
        <v>0</v>
      </c>
      <c r="AB58" s="20">
        <f t="shared" si="51"/>
        <v>0</v>
      </c>
      <c r="AC58" s="20">
        <f t="shared" si="51"/>
        <v>0</v>
      </c>
      <c r="AD58" s="20">
        <f t="shared" si="52"/>
        <v>0</v>
      </c>
      <c r="AE58" s="20">
        <f t="shared" si="53"/>
        <v>0</v>
      </c>
      <c r="AF58" s="20">
        <f t="shared" si="53"/>
        <v>0</v>
      </c>
      <c r="AG58" s="20">
        <f t="shared" si="53"/>
        <v>0</v>
      </c>
      <c r="AH58" s="20">
        <f t="shared" si="53"/>
        <v>0</v>
      </c>
      <c r="AI58" s="20">
        <f t="shared" si="54"/>
        <v>0</v>
      </c>
      <c r="AJ58" s="20">
        <f t="shared" si="54"/>
        <v>0</v>
      </c>
      <c r="AK58" s="20">
        <f t="shared" si="54"/>
        <v>0</v>
      </c>
      <c r="AL58" s="20">
        <f t="shared" si="54"/>
        <v>0</v>
      </c>
      <c r="AM58" s="20">
        <f t="shared" si="55"/>
        <v>0</v>
      </c>
      <c r="AO58">
        <f t="shared" si="56"/>
        <v>0</v>
      </c>
      <c r="AP58">
        <f t="shared" si="56"/>
        <v>0</v>
      </c>
      <c r="AQ58">
        <f t="shared" si="56"/>
        <v>0</v>
      </c>
      <c r="AR58">
        <f t="shared" si="56"/>
        <v>0</v>
      </c>
      <c r="AS58">
        <f t="shared" si="57"/>
        <v>0</v>
      </c>
      <c r="AU58">
        <f t="shared" si="58"/>
        <v>0</v>
      </c>
      <c r="AV58">
        <f t="shared" si="58"/>
        <v>0</v>
      </c>
      <c r="AW58">
        <f t="shared" si="58"/>
        <v>0</v>
      </c>
      <c r="AX58">
        <f t="shared" si="58"/>
        <v>0</v>
      </c>
      <c r="AY58">
        <f t="shared" si="59"/>
        <v>0</v>
      </c>
    </row>
    <row r="59" spans="1:51" ht="15" x14ac:dyDescent="0.25">
      <c r="A59" s="1"/>
      <c r="B59" s="2"/>
      <c r="C59" s="1" t="s">
        <v>10</v>
      </c>
      <c r="D59" s="285">
        <v>0</v>
      </c>
      <c r="E59" s="286">
        <v>0</v>
      </c>
      <c r="F59" s="286">
        <v>0</v>
      </c>
      <c r="G59" s="286">
        <v>0</v>
      </c>
      <c r="H59" s="287">
        <v>0</v>
      </c>
      <c r="J59">
        <v>0</v>
      </c>
      <c r="K59">
        <v>0</v>
      </c>
      <c r="L59">
        <v>0</v>
      </c>
      <c r="M59">
        <v>0</v>
      </c>
      <c r="N59">
        <v>0</v>
      </c>
      <c r="O59" s="20"/>
      <c r="P59" s="20"/>
      <c r="Q59" s="147"/>
      <c r="R59" s="197">
        <v>0.33900000000000002</v>
      </c>
      <c r="S59" s="197">
        <v>1.9830000000000001</v>
      </c>
      <c r="T59" s="197">
        <v>0.76146788990825687</v>
      </c>
      <c r="U59" s="197">
        <v>0.76146788990825687</v>
      </c>
      <c r="V59" s="20">
        <f t="shared" si="50"/>
        <v>0</v>
      </c>
      <c r="W59" s="20">
        <f t="shared" si="50"/>
        <v>0</v>
      </c>
      <c r="X59" s="20">
        <f t="shared" si="50"/>
        <v>0</v>
      </c>
      <c r="Y59" s="20">
        <f t="shared" si="50"/>
        <v>0</v>
      </c>
      <c r="Z59" s="20">
        <f t="shared" si="51"/>
        <v>0</v>
      </c>
      <c r="AA59" s="20">
        <f t="shared" si="51"/>
        <v>0</v>
      </c>
      <c r="AB59" s="20">
        <f t="shared" si="51"/>
        <v>0</v>
      </c>
      <c r="AC59" s="20">
        <f t="shared" si="51"/>
        <v>0</v>
      </c>
      <c r="AD59" s="20">
        <f t="shared" si="52"/>
        <v>0</v>
      </c>
      <c r="AE59" s="20">
        <f t="shared" si="53"/>
        <v>0</v>
      </c>
      <c r="AF59" s="20">
        <f t="shared" si="53"/>
        <v>0</v>
      </c>
      <c r="AG59" s="20">
        <f t="shared" si="53"/>
        <v>0</v>
      </c>
      <c r="AH59" s="20">
        <f t="shared" si="53"/>
        <v>0</v>
      </c>
      <c r="AI59" s="20">
        <f t="shared" si="54"/>
        <v>0</v>
      </c>
      <c r="AJ59" s="20">
        <f t="shared" si="54"/>
        <v>0</v>
      </c>
      <c r="AK59" s="20">
        <f t="shared" si="54"/>
        <v>0</v>
      </c>
      <c r="AL59" s="20">
        <f t="shared" si="54"/>
        <v>0</v>
      </c>
      <c r="AM59" s="20">
        <f t="shared" si="55"/>
        <v>0</v>
      </c>
      <c r="AO59">
        <f t="shared" si="56"/>
        <v>0</v>
      </c>
      <c r="AP59">
        <f t="shared" si="56"/>
        <v>0</v>
      </c>
      <c r="AQ59">
        <f t="shared" si="56"/>
        <v>0</v>
      </c>
      <c r="AR59">
        <f t="shared" si="56"/>
        <v>0</v>
      </c>
      <c r="AS59">
        <f t="shared" si="57"/>
        <v>0</v>
      </c>
      <c r="AU59">
        <f t="shared" si="58"/>
        <v>0</v>
      </c>
      <c r="AV59">
        <f t="shared" si="58"/>
        <v>0</v>
      </c>
      <c r="AW59">
        <f t="shared" si="58"/>
        <v>0</v>
      </c>
      <c r="AX59">
        <f t="shared" si="58"/>
        <v>0</v>
      </c>
      <c r="AY59">
        <f t="shared" si="59"/>
        <v>0</v>
      </c>
    </row>
    <row r="60" spans="1:51" ht="15" x14ac:dyDescent="0.25">
      <c r="A60" s="1"/>
      <c r="B60" s="2"/>
      <c r="C60" s="1" t="s">
        <v>11</v>
      </c>
      <c r="D60" s="285">
        <v>0</v>
      </c>
      <c r="E60" s="286">
        <v>0</v>
      </c>
      <c r="F60" s="286">
        <v>0</v>
      </c>
      <c r="G60" s="286">
        <v>0</v>
      </c>
      <c r="H60" s="287">
        <v>0</v>
      </c>
      <c r="J60">
        <v>0</v>
      </c>
      <c r="K60">
        <v>0</v>
      </c>
      <c r="L60">
        <v>0</v>
      </c>
      <c r="M60">
        <v>0</v>
      </c>
      <c r="N60">
        <v>0</v>
      </c>
      <c r="O60" s="20"/>
      <c r="P60" s="20"/>
      <c r="Q60" s="147"/>
      <c r="R60" s="197">
        <v>0.33900000000000002</v>
      </c>
      <c r="S60" s="197">
        <v>1.9830000000000001</v>
      </c>
      <c r="T60" s="197">
        <v>0.76146788990825687</v>
      </c>
      <c r="U60" s="197">
        <v>0.76146788990825687</v>
      </c>
      <c r="V60" s="20">
        <f t="shared" si="50"/>
        <v>0</v>
      </c>
      <c r="W60" s="20">
        <f t="shared" si="50"/>
        <v>0</v>
      </c>
      <c r="X60" s="20">
        <f t="shared" si="50"/>
        <v>0</v>
      </c>
      <c r="Y60" s="20">
        <f t="shared" si="50"/>
        <v>0</v>
      </c>
      <c r="Z60" s="20">
        <f t="shared" si="51"/>
        <v>0</v>
      </c>
      <c r="AA60" s="20">
        <f t="shared" si="51"/>
        <v>0</v>
      </c>
      <c r="AB60" s="20">
        <f t="shared" si="51"/>
        <v>0</v>
      </c>
      <c r="AC60" s="20">
        <f t="shared" si="51"/>
        <v>0</v>
      </c>
      <c r="AD60" s="20">
        <f t="shared" si="52"/>
        <v>0</v>
      </c>
      <c r="AE60" s="20">
        <f t="shared" si="53"/>
        <v>0</v>
      </c>
      <c r="AF60" s="20">
        <f t="shared" si="53"/>
        <v>0</v>
      </c>
      <c r="AG60" s="20">
        <f t="shared" si="53"/>
        <v>0</v>
      </c>
      <c r="AH60" s="20">
        <f t="shared" si="53"/>
        <v>0</v>
      </c>
      <c r="AI60" s="20">
        <f t="shared" si="54"/>
        <v>0</v>
      </c>
      <c r="AJ60" s="20">
        <f t="shared" si="54"/>
        <v>0</v>
      </c>
      <c r="AK60" s="20">
        <f t="shared" si="54"/>
        <v>0</v>
      </c>
      <c r="AL60" s="20">
        <f t="shared" si="54"/>
        <v>0</v>
      </c>
      <c r="AM60" s="20">
        <f t="shared" si="55"/>
        <v>0</v>
      </c>
      <c r="AO60">
        <f t="shared" si="56"/>
        <v>0</v>
      </c>
      <c r="AP60">
        <f t="shared" si="56"/>
        <v>0</v>
      </c>
      <c r="AQ60">
        <f t="shared" si="56"/>
        <v>0</v>
      </c>
      <c r="AR60">
        <f t="shared" si="56"/>
        <v>0</v>
      </c>
      <c r="AS60">
        <f t="shared" si="57"/>
        <v>0</v>
      </c>
      <c r="AU60">
        <f t="shared" si="58"/>
        <v>0</v>
      </c>
      <c r="AV60">
        <f t="shared" si="58"/>
        <v>0</v>
      </c>
      <c r="AW60">
        <f t="shared" si="58"/>
        <v>0</v>
      </c>
      <c r="AX60">
        <f t="shared" si="58"/>
        <v>0</v>
      </c>
      <c r="AY60">
        <f t="shared" si="59"/>
        <v>0</v>
      </c>
    </row>
    <row r="61" spans="1:51" ht="15" x14ac:dyDescent="0.25">
      <c r="A61" s="1"/>
      <c r="B61" s="2"/>
      <c r="C61" s="1" t="s">
        <v>12</v>
      </c>
      <c r="D61" s="285">
        <v>0</v>
      </c>
      <c r="E61" s="286">
        <v>0</v>
      </c>
      <c r="F61" s="286">
        <v>0</v>
      </c>
      <c r="G61" s="286">
        <v>0</v>
      </c>
      <c r="H61" s="287">
        <v>0</v>
      </c>
      <c r="J61">
        <v>0</v>
      </c>
      <c r="K61">
        <v>0</v>
      </c>
      <c r="L61">
        <v>0</v>
      </c>
      <c r="M61">
        <v>0</v>
      </c>
      <c r="N61">
        <v>0</v>
      </c>
      <c r="O61" s="20"/>
      <c r="P61" s="20"/>
      <c r="Q61" s="147"/>
      <c r="R61" s="197">
        <v>0.33900000000000002</v>
      </c>
      <c r="S61" s="197">
        <v>1.9830000000000001</v>
      </c>
      <c r="T61" s="197">
        <v>0.76146788990825687</v>
      </c>
      <c r="U61" s="197">
        <v>0.76146788990825687</v>
      </c>
      <c r="V61" s="20">
        <f t="shared" si="50"/>
        <v>0</v>
      </c>
      <c r="W61" s="20">
        <f t="shared" si="50"/>
        <v>0</v>
      </c>
      <c r="X61" s="20">
        <f t="shared" si="50"/>
        <v>0</v>
      </c>
      <c r="Y61" s="20">
        <f t="shared" si="50"/>
        <v>0</v>
      </c>
      <c r="Z61" s="20">
        <f t="shared" si="51"/>
        <v>0</v>
      </c>
      <c r="AA61" s="20">
        <f t="shared" si="51"/>
        <v>0</v>
      </c>
      <c r="AB61" s="20">
        <f t="shared" si="51"/>
        <v>0</v>
      </c>
      <c r="AC61" s="20">
        <f t="shared" si="51"/>
        <v>0</v>
      </c>
      <c r="AD61" s="20">
        <f t="shared" si="52"/>
        <v>0</v>
      </c>
      <c r="AE61" s="20">
        <f t="shared" si="53"/>
        <v>0</v>
      </c>
      <c r="AF61" s="20">
        <f t="shared" si="53"/>
        <v>0</v>
      </c>
      <c r="AG61" s="20">
        <f t="shared" si="53"/>
        <v>0</v>
      </c>
      <c r="AH61" s="20">
        <f t="shared" si="53"/>
        <v>0</v>
      </c>
      <c r="AI61" s="20">
        <f t="shared" si="54"/>
        <v>0</v>
      </c>
      <c r="AJ61" s="20">
        <f t="shared" si="54"/>
        <v>0</v>
      </c>
      <c r="AK61" s="20">
        <f t="shared" si="54"/>
        <v>0</v>
      </c>
      <c r="AL61" s="20">
        <f t="shared" si="54"/>
        <v>0</v>
      </c>
      <c r="AM61" s="20">
        <f t="shared" si="55"/>
        <v>0</v>
      </c>
      <c r="AO61">
        <f t="shared" si="56"/>
        <v>0</v>
      </c>
      <c r="AP61">
        <f t="shared" si="56"/>
        <v>0</v>
      </c>
      <c r="AQ61">
        <f t="shared" si="56"/>
        <v>0</v>
      </c>
      <c r="AR61">
        <f t="shared" si="56"/>
        <v>0</v>
      </c>
      <c r="AS61">
        <f t="shared" si="57"/>
        <v>0</v>
      </c>
      <c r="AU61">
        <f t="shared" si="58"/>
        <v>0</v>
      </c>
      <c r="AV61">
        <f t="shared" si="58"/>
        <v>0</v>
      </c>
      <c r="AW61">
        <f t="shared" si="58"/>
        <v>0</v>
      </c>
      <c r="AX61">
        <f t="shared" si="58"/>
        <v>0</v>
      </c>
      <c r="AY61">
        <f t="shared" si="59"/>
        <v>0</v>
      </c>
    </row>
    <row r="62" spans="1:51" ht="15" x14ac:dyDescent="0.25">
      <c r="A62" s="1"/>
      <c r="B62" s="2"/>
      <c r="C62" s="1" t="s">
        <v>13</v>
      </c>
      <c r="D62" s="285">
        <v>0</v>
      </c>
      <c r="E62" s="286">
        <v>0</v>
      </c>
      <c r="F62" s="286">
        <v>0</v>
      </c>
      <c r="G62" s="286">
        <v>0</v>
      </c>
      <c r="H62" s="287">
        <v>0</v>
      </c>
      <c r="J62">
        <v>0</v>
      </c>
      <c r="K62">
        <v>0</v>
      </c>
      <c r="L62">
        <v>0</v>
      </c>
      <c r="M62">
        <v>0</v>
      </c>
      <c r="N62">
        <v>0</v>
      </c>
      <c r="O62" s="20"/>
      <c r="P62" s="20"/>
      <c r="Q62" s="147"/>
      <c r="R62" s="197">
        <v>0.33900000000000002</v>
      </c>
      <c r="S62" s="197">
        <v>1.9830000000000001</v>
      </c>
      <c r="T62" s="197">
        <v>0.76146788990825687</v>
      </c>
      <c r="U62" s="197">
        <v>0.76146788990825687</v>
      </c>
      <c r="V62" s="20">
        <f t="shared" si="50"/>
        <v>0</v>
      </c>
      <c r="W62" s="20">
        <f t="shared" si="50"/>
        <v>0</v>
      </c>
      <c r="X62" s="20">
        <f t="shared" si="50"/>
        <v>0</v>
      </c>
      <c r="Y62" s="20">
        <f t="shared" si="50"/>
        <v>0</v>
      </c>
      <c r="Z62" s="20">
        <f t="shared" si="51"/>
        <v>0</v>
      </c>
      <c r="AA62" s="20">
        <f t="shared" si="51"/>
        <v>0</v>
      </c>
      <c r="AB62" s="20">
        <f t="shared" si="51"/>
        <v>0</v>
      </c>
      <c r="AC62" s="20">
        <f t="shared" si="51"/>
        <v>0</v>
      </c>
      <c r="AD62" s="20">
        <f t="shared" si="52"/>
        <v>0</v>
      </c>
      <c r="AE62" s="20">
        <f t="shared" si="53"/>
        <v>0</v>
      </c>
      <c r="AF62" s="20">
        <f t="shared" si="53"/>
        <v>0</v>
      </c>
      <c r="AG62" s="20">
        <f t="shared" si="53"/>
        <v>0</v>
      </c>
      <c r="AH62" s="20">
        <f t="shared" si="53"/>
        <v>0</v>
      </c>
      <c r="AI62" s="20">
        <f t="shared" si="54"/>
        <v>0</v>
      </c>
      <c r="AJ62" s="20">
        <f t="shared" si="54"/>
        <v>0</v>
      </c>
      <c r="AK62" s="20">
        <f t="shared" si="54"/>
        <v>0</v>
      </c>
      <c r="AL62" s="20">
        <f t="shared" si="54"/>
        <v>0</v>
      </c>
      <c r="AM62" s="20">
        <f t="shared" si="55"/>
        <v>0</v>
      </c>
      <c r="AO62">
        <f t="shared" si="56"/>
        <v>0</v>
      </c>
      <c r="AP62">
        <f t="shared" si="56"/>
        <v>0</v>
      </c>
      <c r="AQ62">
        <f t="shared" si="56"/>
        <v>0</v>
      </c>
      <c r="AR62">
        <f t="shared" si="56"/>
        <v>0</v>
      </c>
      <c r="AS62">
        <f t="shared" si="57"/>
        <v>0</v>
      </c>
      <c r="AU62">
        <f t="shared" si="58"/>
        <v>0</v>
      </c>
      <c r="AV62">
        <f t="shared" si="58"/>
        <v>0</v>
      </c>
      <c r="AW62">
        <f t="shared" si="58"/>
        <v>0</v>
      </c>
      <c r="AX62">
        <f t="shared" si="58"/>
        <v>0</v>
      </c>
      <c r="AY62">
        <f t="shared" si="59"/>
        <v>0</v>
      </c>
    </row>
    <row r="63" spans="1:51" ht="15" x14ac:dyDescent="0.25">
      <c r="A63" s="7"/>
      <c r="B63" s="8" t="s">
        <v>14</v>
      </c>
      <c r="C63" s="7"/>
      <c r="D63" s="288">
        <f>SUM(D57:D62)</f>
        <v>0</v>
      </c>
      <c r="E63" s="289">
        <f>SUM(E57:E62)</f>
        <v>0</v>
      </c>
      <c r="F63" s="289">
        <f>SUM(F57:F62)</f>
        <v>0</v>
      </c>
      <c r="G63" s="289">
        <f>SUM(G57:G62)</f>
        <v>1.81947269</v>
      </c>
      <c r="H63" s="290">
        <f>SUM(H57:H62)</f>
        <v>0</v>
      </c>
      <c r="J63">
        <v>0</v>
      </c>
      <c r="K63">
        <v>0</v>
      </c>
      <c r="L63">
        <v>0</v>
      </c>
      <c r="M63">
        <v>1.81947269</v>
      </c>
      <c r="N63">
        <v>0</v>
      </c>
      <c r="O63" s="20"/>
      <c r="P63" s="20"/>
      <c r="Q63" s="147"/>
      <c r="R63" s="197"/>
      <c r="S63" s="197"/>
      <c r="T63" s="197"/>
      <c r="U63" s="197"/>
    </row>
    <row r="64" spans="1:51" ht="15" x14ac:dyDescent="0.25">
      <c r="A64" s="10"/>
      <c r="B64" s="9" t="s">
        <v>15</v>
      </c>
      <c r="C64" s="5"/>
      <c r="D64" s="291"/>
      <c r="E64" s="292"/>
      <c r="F64" s="292"/>
      <c r="G64" s="292"/>
      <c r="H64" s="293">
        <f>SUM(D63:H63)</f>
        <v>1.81947269</v>
      </c>
      <c r="N64">
        <v>1.81947269</v>
      </c>
      <c r="O64" s="20"/>
      <c r="P64" s="20"/>
      <c r="Q64" s="147"/>
      <c r="R64" s="197"/>
      <c r="S64" s="197"/>
      <c r="T64" s="197"/>
      <c r="U64" s="197"/>
    </row>
    <row r="65" spans="1:51" ht="15.75" thickBot="1" x14ac:dyDescent="0.3">
      <c r="A65" s="3"/>
      <c r="B65" s="11"/>
      <c r="C65" s="3"/>
      <c r="D65" s="297"/>
      <c r="E65" s="298"/>
      <c r="F65" s="298"/>
      <c r="G65" s="298"/>
      <c r="H65" s="299"/>
      <c r="O65" s="20"/>
      <c r="P65" s="20"/>
      <c r="Q65" s="147"/>
      <c r="R65" s="197"/>
      <c r="S65" s="197"/>
      <c r="T65" s="197"/>
      <c r="U65" s="197"/>
    </row>
    <row r="66" spans="1:51" ht="15" x14ac:dyDescent="0.25">
      <c r="A66" s="3">
        <v>7</v>
      </c>
      <c r="B66" s="11" t="s">
        <v>21</v>
      </c>
      <c r="C66" s="3" t="s">
        <v>8</v>
      </c>
      <c r="D66" s="282">
        <v>0</v>
      </c>
      <c r="E66" s="283">
        <v>1.0983453700000001</v>
      </c>
      <c r="F66" s="283">
        <v>9.7564670400000004</v>
      </c>
      <c r="G66" s="283">
        <v>0</v>
      </c>
      <c r="H66" s="284">
        <v>0</v>
      </c>
      <c r="J66">
        <v>0</v>
      </c>
      <c r="K66">
        <v>1.0983453700000001</v>
      </c>
      <c r="L66">
        <v>0.42801480557000104</v>
      </c>
      <c r="M66">
        <v>0</v>
      </c>
      <c r="N66">
        <v>0</v>
      </c>
      <c r="O66" s="20"/>
      <c r="P66" s="20"/>
      <c r="Q66" s="147">
        <v>3.3140208539714618E-2</v>
      </c>
      <c r="R66" s="197">
        <v>0.15</v>
      </c>
      <c r="S66" s="197">
        <v>1.18</v>
      </c>
      <c r="T66" s="197">
        <v>0.46666666666666673</v>
      </c>
      <c r="U66" s="197">
        <v>0.6566321730950142</v>
      </c>
      <c r="V66" s="20">
        <f t="shared" ref="V66:Y71" si="60">IF(K66&gt;0,((E66-K66)*$Q66*$R66*10)+(K66*$O$12*$Q66*$R66*10),(E66*$Q66*$R66*10))</f>
        <v>2.0078927718063092E-2</v>
      </c>
      <c r="W66" s="20">
        <f t="shared" si="60"/>
        <v>0.47154484688331549</v>
      </c>
      <c r="X66" s="20">
        <f t="shared" si="60"/>
        <v>0</v>
      </c>
      <c r="Y66" s="20">
        <f t="shared" si="60"/>
        <v>0</v>
      </c>
      <c r="Z66" s="20">
        <f t="shared" ref="Z66:AC71" si="61">V66*(EXP(1.01-0.34*LN(Z$8))*(1-$T66)+(1*$T66))</f>
        <v>1.2626340361248328E-2</v>
      </c>
      <c r="AA66" s="20">
        <f t="shared" si="61"/>
        <v>0.30155475762214767</v>
      </c>
      <c r="AB66" s="20">
        <f t="shared" si="61"/>
        <v>0</v>
      </c>
      <c r="AC66" s="20">
        <f t="shared" si="61"/>
        <v>0</v>
      </c>
      <c r="AD66" s="20">
        <f t="shared" ref="AD66:AD71" si="62">SUM(Z66:AC66)</f>
        <v>0.314181097983396</v>
      </c>
      <c r="AE66" s="20">
        <f t="shared" ref="AE66:AH71" si="63">IF(K66&gt;0,((E66-K66)*$Q66*$S66*10)+(K66*$P$12*$Q66*$S66)*10,(E66*$Q66*$S66*10))</f>
        <v>0.24874386564439219</v>
      </c>
      <c r="AF66" s="20">
        <f t="shared" si="63"/>
        <v>3.7448659908496569</v>
      </c>
      <c r="AG66" s="20">
        <f t="shared" si="63"/>
        <v>0</v>
      </c>
      <c r="AH66" s="20">
        <f t="shared" si="63"/>
        <v>0</v>
      </c>
      <c r="AI66" s="20">
        <f t="shared" ref="AI66:AL71" si="64">AE66*(EXP(1.01-0.34*LN(AI$8))*(1-$T66)+(1*$T66))</f>
        <v>0.15641894599646924</v>
      </c>
      <c r="AJ66" s="20">
        <f t="shared" si="64"/>
        <v>2.3948563188890808</v>
      </c>
      <c r="AK66" s="20">
        <f t="shared" si="64"/>
        <v>0</v>
      </c>
      <c r="AL66" s="20">
        <f t="shared" si="64"/>
        <v>0</v>
      </c>
      <c r="AM66" s="20">
        <f t="shared" ref="AM66:AM71" si="65">SUM(AI66:AL66)</f>
        <v>2.5512752648855499</v>
      </c>
      <c r="AO66">
        <f t="shared" ref="AO66:AR71" si="66">Z66*AO$10</f>
        <v>1.7519232411268581E-2</v>
      </c>
      <c r="AP66">
        <f t="shared" si="66"/>
        <v>0.44553664243068269</v>
      </c>
      <c r="AQ66">
        <f t="shared" si="66"/>
        <v>0</v>
      </c>
      <c r="AR66">
        <f t="shared" si="66"/>
        <v>0</v>
      </c>
      <c r="AS66">
        <f t="shared" ref="AS66:AS71" si="67">SUM(AO66:AR66)</f>
        <v>0.46305587484195126</v>
      </c>
      <c r="AU66">
        <f t="shared" ref="AU66:AX71" si="68">AI66*AU$10</f>
        <v>0.21703358138896905</v>
      </c>
      <c r="AV66">
        <f t="shared" si="68"/>
        <v>3.5383167283956651</v>
      </c>
      <c r="AW66">
        <f t="shared" si="68"/>
        <v>0</v>
      </c>
      <c r="AX66">
        <f t="shared" si="68"/>
        <v>0</v>
      </c>
      <c r="AY66">
        <f t="shared" ref="AY66:AY71" si="69">SUM(AU66:AX66)</f>
        <v>3.7553503097846344</v>
      </c>
    </row>
    <row r="67" spans="1:51" ht="15" x14ac:dyDescent="0.25">
      <c r="A67" s="3"/>
      <c r="B67" s="11"/>
      <c r="C67" s="3" t="s">
        <v>9</v>
      </c>
      <c r="D67" s="285">
        <v>0</v>
      </c>
      <c r="E67" s="286">
        <v>0</v>
      </c>
      <c r="F67" s="286">
        <v>0</v>
      </c>
      <c r="G67" s="286">
        <v>0</v>
      </c>
      <c r="H67" s="287">
        <v>0</v>
      </c>
      <c r="J67">
        <v>0</v>
      </c>
      <c r="K67">
        <v>0</v>
      </c>
      <c r="L67">
        <v>0</v>
      </c>
      <c r="M67">
        <v>0</v>
      </c>
      <c r="N67">
        <v>0</v>
      </c>
      <c r="O67" s="20"/>
      <c r="P67" s="20"/>
      <c r="Q67" s="147"/>
      <c r="R67" s="197">
        <v>0.15</v>
      </c>
      <c r="S67" s="197">
        <v>1.18</v>
      </c>
      <c r="T67" s="197">
        <v>0.46666666666666673</v>
      </c>
      <c r="U67" s="197">
        <v>0.6566321730950142</v>
      </c>
      <c r="V67" s="20">
        <f t="shared" si="60"/>
        <v>0</v>
      </c>
      <c r="W67" s="20">
        <f t="shared" si="60"/>
        <v>0</v>
      </c>
      <c r="X67" s="20">
        <f t="shared" si="60"/>
        <v>0</v>
      </c>
      <c r="Y67" s="20">
        <f t="shared" si="60"/>
        <v>0</v>
      </c>
      <c r="Z67" s="20">
        <f t="shared" si="61"/>
        <v>0</v>
      </c>
      <c r="AA67" s="20">
        <f t="shared" si="61"/>
        <v>0</v>
      </c>
      <c r="AB67" s="20">
        <f t="shared" si="61"/>
        <v>0</v>
      </c>
      <c r="AC67" s="20">
        <f t="shared" si="61"/>
        <v>0</v>
      </c>
      <c r="AD67" s="20">
        <f t="shared" si="62"/>
        <v>0</v>
      </c>
      <c r="AE67" s="20">
        <f t="shared" si="63"/>
        <v>0</v>
      </c>
      <c r="AF67" s="20">
        <f t="shared" si="63"/>
        <v>0</v>
      </c>
      <c r="AG67" s="20">
        <f t="shared" si="63"/>
        <v>0</v>
      </c>
      <c r="AH67" s="20">
        <f t="shared" si="63"/>
        <v>0</v>
      </c>
      <c r="AI67" s="20">
        <f t="shared" si="64"/>
        <v>0</v>
      </c>
      <c r="AJ67" s="20">
        <f t="shared" si="64"/>
        <v>0</v>
      </c>
      <c r="AK67" s="20">
        <f t="shared" si="64"/>
        <v>0</v>
      </c>
      <c r="AL67" s="20">
        <f t="shared" si="64"/>
        <v>0</v>
      </c>
      <c r="AM67" s="20">
        <f t="shared" si="65"/>
        <v>0</v>
      </c>
      <c r="AO67">
        <f t="shared" si="66"/>
        <v>0</v>
      </c>
      <c r="AP67">
        <f t="shared" si="66"/>
        <v>0</v>
      </c>
      <c r="AQ67">
        <f t="shared" si="66"/>
        <v>0</v>
      </c>
      <c r="AR67">
        <f t="shared" si="66"/>
        <v>0</v>
      </c>
      <c r="AS67">
        <f t="shared" si="67"/>
        <v>0</v>
      </c>
      <c r="AU67">
        <f t="shared" si="68"/>
        <v>0</v>
      </c>
      <c r="AV67">
        <f t="shared" si="68"/>
        <v>0</v>
      </c>
      <c r="AW67">
        <f t="shared" si="68"/>
        <v>0</v>
      </c>
      <c r="AX67">
        <f t="shared" si="68"/>
        <v>0</v>
      </c>
      <c r="AY67">
        <f t="shared" si="69"/>
        <v>0</v>
      </c>
    </row>
    <row r="68" spans="1:51" ht="15" x14ac:dyDescent="0.25">
      <c r="A68" s="3"/>
      <c r="B68" s="11"/>
      <c r="C68" s="3" t="s">
        <v>10</v>
      </c>
      <c r="D68" s="285">
        <v>0</v>
      </c>
      <c r="E68" s="286">
        <v>0</v>
      </c>
      <c r="F68" s="286">
        <v>0</v>
      </c>
      <c r="G68" s="286">
        <v>0</v>
      </c>
      <c r="H68" s="287">
        <v>0</v>
      </c>
      <c r="J68">
        <v>0</v>
      </c>
      <c r="K68">
        <v>0</v>
      </c>
      <c r="L68">
        <v>0</v>
      </c>
      <c r="M68">
        <v>0</v>
      </c>
      <c r="N68">
        <v>0</v>
      </c>
      <c r="O68" s="20"/>
      <c r="P68" s="20"/>
      <c r="Q68" s="147"/>
      <c r="R68" s="197">
        <v>0.15</v>
      </c>
      <c r="S68" s="197">
        <v>1.18</v>
      </c>
      <c r="T68" s="197">
        <v>0.46666666666666673</v>
      </c>
      <c r="U68" s="197">
        <v>0.6566321730950142</v>
      </c>
      <c r="V68" s="20">
        <f t="shared" si="60"/>
        <v>0</v>
      </c>
      <c r="W68" s="20">
        <f t="shared" si="60"/>
        <v>0</v>
      </c>
      <c r="X68" s="20">
        <f t="shared" si="60"/>
        <v>0</v>
      </c>
      <c r="Y68" s="20">
        <f t="shared" si="60"/>
        <v>0</v>
      </c>
      <c r="Z68" s="20">
        <f t="shared" si="61"/>
        <v>0</v>
      </c>
      <c r="AA68" s="20">
        <f t="shared" si="61"/>
        <v>0</v>
      </c>
      <c r="AB68" s="20">
        <f t="shared" si="61"/>
        <v>0</v>
      </c>
      <c r="AC68" s="20">
        <f t="shared" si="61"/>
        <v>0</v>
      </c>
      <c r="AD68" s="20">
        <f t="shared" si="62"/>
        <v>0</v>
      </c>
      <c r="AE68" s="20">
        <f t="shared" si="63"/>
        <v>0</v>
      </c>
      <c r="AF68" s="20">
        <f t="shared" si="63"/>
        <v>0</v>
      </c>
      <c r="AG68" s="20">
        <f t="shared" si="63"/>
        <v>0</v>
      </c>
      <c r="AH68" s="20">
        <f t="shared" si="63"/>
        <v>0</v>
      </c>
      <c r="AI68" s="20">
        <f t="shared" si="64"/>
        <v>0</v>
      </c>
      <c r="AJ68" s="20">
        <f t="shared" si="64"/>
        <v>0</v>
      </c>
      <c r="AK68" s="20">
        <f t="shared" si="64"/>
        <v>0</v>
      </c>
      <c r="AL68" s="20">
        <f t="shared" si="64"/>
        <v>0</v>
      </c>
      <c r="AM68" s="20">
        <f t="shared" si="65"/>
        <v>0</v>
      </c>
      <c r="AO68">
        <f t="shared" si="66"/>
        <v>0</v>
      </c>
      <c r="AP68">
        <f t="shared" si="66"/>
        <v>0</v>
      </c>
      <c r="AQ68">
        <f t="shared" si="66"/>
        <v>0</v>
      </c>
      <c r="AR68">
        <f t="shared" si="66"/>
        <v>0</v>
      </c>
      <c r="AS68">
        <f t="shared" si="67"/>
        <v>0</v>
      </c>
      <c r="AU68">
        <f t="shared" si="68"/>
        <v>0</v>
      </c>
      <c r="AV68">
        <f t="shared" si="68"/>
        <v>0</v>
      </c>
      <c r="AW68">
        <f t="shared" si="68"/>
        <v>0</v>
      </c>
      <c r="AX68">
        <f t="shared" si="68"/>
        <v>0</v>
      </c>
      <c r="AY68">
        <f t="shared" si="69"/>
        <v>0</v>
      </c>
    </row>
    <row r="69" spans="1:51" ht="15" x14ac:dyDescent="0.25">
      <c r="A69" s="3"/>
      <c r="B69" s="11"/>
      <c r="C69" s="3" t="s">
        <v>11</v>
      </c>
      <c r="D69" s="285">
        <v>0</v>
      </c>
      <c r="E69" s="286">
        <v>0</v>
      </c>
      <c r="F69" s="286">
        <v>0</v>
      </c>
      <c r="G69" s="286">
        <v>0</v>
      </c>
      <c r="H69" s="287">
        <v>0</v>
      </c>
      <c r="J69">
        <v>0</v>
      </c>
      <c r="K69">
        <v>0</v>
      </c>
      <c r="L69">
        <v>0</v>
      </c>
      <c r="M69">
        <v>0</v>
      </c>
      <c r="N69">
        <v>0</v>
      </c>
      <c r="O69" s="20"/>
      <c r="P69" s="20"/>
      <c r="Q69" s="147"/>
      <c r="R69" s="197">
        <v>0.15</v>
      </c>
      <c r="S69" s="197">
        <v>1.18</v>
      </c>
      <c r="T69" s="197">
        <v>0.46666666666666673</v>
      </c>
      <c r="U69" s="197">
        <v>0.6566321730950142</v>
      </c>
      <c r="V69" s="20">
        <f t="shared" si="60"/>
        <v>0</v>
      </c>
      <c r="W69" s="20">
        <f t="shared" si="60"/>
        <v>0</v>
      </c>
      <c r="X69" s="20">
        <f t="shared" si="60"/>
        <v>0</v>
      </c>
      <c r="Y69" s="20">
        <f t="shared" si="60"/>
        <v>0</v>
      </c>
      <c r="Z69" s="20">
        <f t="shared" si="61"/>
        <v>0</v>
      </c>
      <c r="AA69" s="20">
        <f t="shared" si="61"/>
        <v>0</v>
      </c>
      <c r="AB69" s="20">
        <f t="shared" si="61"/>
        <v>0</v>
      </c>
      <c r="AC69" s="20">
        <f t="shared" si="61"/>
        <v>0</v>
      </c>
      <c r="AD69" s="20">
        <f t="shared" si="62"/>
        <v>0</v>
      </c>
      <c r="AE69" s="20">
        <f t="shared" si="63"/>
        <v>0</v>
      </c>
      <c r="AF69" s="20">
        <f t="shared" si="63"/>
        <v>0</v>
      </c>
      <c r="AG69" s="20">
        <f t="shared" si="63"/>
        <v>0</v>
      </c>
      <c r="AH69" s="20">
        <f t="shared" si="63"/>
        <v>0</v>
      </c>
      <c r="AI69" s="20">
        <f t="shared" si="64"/>
        <v>0</v>
      </c>
      <c r="AJ69" s="20">
        <f t="shared" si="64"/>
        <v>0</v>
      </c>
      <c r="AK69" s="20">
        <f t="shared" si="64"/>
        <v>0</v>
      </c>
      <c r="AL69" s="20">
        <f t="shared" si="64"/>
        <v>0</v>
      </c>
      <c r="AM69" s="20">
        <f t="shared" si="65"/>
        <v>0</v>
      </c>
      <c r="AO69">
        <f t="shared" si="66"/>
        <v>0</v>
      </c>
      <c r="AP69">
        <f t="shared" si="66"/>
        <v>0</v>
      </c>
      <c r="AQ69">
        <f t="shared" si="66"/>
        <v>0</v>
      </c>
      <c r="AR69">
        <f t="shared" si="66"/>
        <v>0</v>
      </c>
      <c r="AS69">
        <f t="shared" si="67"/>
        <v>0</v>
      </c>
      <c r="AU69">
        <f t="shared" si="68"/>
        <v>0</v>
      </c>
      <c r="AV69">
        <f t="shared" si="68"/>
        <v>0</v>
      </c>
      <c r="AW69">
        <f t="shared" si="68"/>
        <v>0</v>
      </c>
      <c r="AX69">
        <f t="shared" si="68"/>
        <v>0</v>
      </c>
      <c r="AY69">
        <f t="shared" si="69"/>
        <v>0</v>
      </c>
    </row>
    <row r="70" spans="1:51" ht="15" x14ac:dyDescent="0.25">
      <c r="A70" s="3"/>
      <c r="B70" s="12"/>
      <c r="C70" s="3" t="s">
        <v>12</v>
      </c>
      <c r="D70" s="285">
        <v>0</v>
      </c>
      <c r="E70" s="286">
        <v>0</v>
      </c>
      <c r="F70" s="286">
        <v>0</v>
      </c>
      <c r="G70" s="286">
        <v>0</v>
      </c>
      <c r="H70" s="287">
        <v>0</v>
      </c>
      <c r="J70">
        <v>0</v>
      </c>
      <c r="K70">
        <v>0</v>
      </c>
      <c r="L70">
        <v>0</v>
      </c>
      <c r="M70">
        <v>0</v>
      </c>
      <c r="N70">
        <v>0</v>
      </c>
      <c r="O70" s="20"/>
      <c r="P70" s="20"/>
      <c r="Q70" s="147"/>
      <c r="R70" s="197">
        <v>0.15</v>
      </c>
      <c r="S70" s="197">
        <v>1.18</v>
      </c>
      <c r="T70" s="197">
        <v>0.46666666666666673</v>
      </c>
      <c r="U70" s="197">
        <v>0.6566321730950142</v>
      </c>
      <c r="V70" s="20">
        <f t="shared" si="60"/>
        <v>0</v>
      </c>
      <c r="W70" s="20">
        <f t="shared" si="60"/>
        <v>0</v>
      </c>
      <c r="X70" s="20">
        <f t="shared" si="60"/>
        <v>0</v>
      </c>
      <c r="Y70" s="20">
        <f t="shared" si="60"/>
        <v>0</v>
      </c>
      <c r="Z70" s="20">
        <f t="shared" si="61"/>
        <v>0</v>
      </c>
      <c r="AA70" s="20">
        <f t="shared" si="61"/>
        <v>0</v>
      </c>
      <c r="AB70" s="20">
        <f t="shared" si="61"/>
        <v>0</v>
      </c>
      <c r="AC70" s="20">
        <f t="shared" si="61"/>
        <v>0</v>
      </c>
      <c r="AD70" s="20">
        <f t="shared" si="62"/>
        <v>0</v>
      </c>
      <c r="AE70" s="20">
        <f t="shared" si="63"/>
        <v>0</v>
      </c>
      <c r="AF70" s="20">
        <f t="shared" si="63"/>
        <v>0</v>
      </c>
      <c r="AG70" s="20">
        <f t="shared" si="63"/>
        <v>0</v>
      </c>
      <c r="AH70" s="20">
        <f t="shared" si="63"/>
        <v>0</v>
      </c>
      <c r="AI70" s="20">
        <f t="shared" si="64"/>
        <v>0</v>
      </c>
      <c r="AJ70" s="20">
        <f t="shared" si="64"/>
        <v>0</v>
      </c>
      <c r="AK70" s="20">
        <f t="shared" si="64"/>
        <v>0</v>
      </c>
      <c r="AL70" s="20">
        <f t="shared" si="64"/>
        <v>0</v>
      </c>
      <c r="AM70" s="20">
        <f t="shared" si="65"/>
        <v>0</v>
      </c>
      <c r="AO70">
        <f t="shared" si="66"/>
        <v>0</v>
      </c>
      <c r="AP70">
        <f t="shared" si="66"/>
        <v>0</v>
      </c>
      <c r="AQ70">
        <f t="shared" si="66"/>
        <v>0</v>
      </c>
      <c r="AR70">
        <f t="shared" si="66"/>
        <v>0</v>
      </c>
      <c r="AS70">
        <f t="shared" si="67"/>
        <v>0</v>
      </c>
      <c r="AU70">
        <f t="shared" si="68"/>
        <v>0</v>
      </c>
      <c r="AV70">
        <f t="shared" si="68"/>
        <v>0</v>
      </c>
      <c r="AW70">
        <f t="shared" si="68"/>
        <v>0</v>
      </c>
      <c r="AX70">
        <f t="shared" si="68"/>
        <v>0</v>
      </c>
      <c r="AY70">
        <f t="shared" si="69"/>
        <v>0</v>
      </c>
    </row>
    <row r="71" spans="1:51" ht="15" x14ac:dyDescent="0.25">
      <c r="A71" s="3"/>
      <c r="B71" s="12"/>
      <c r="C71" s="3" t="s">
        <v>13</v>
      </c>
      <c r="D71" s="285">
        <v>0</v>
      </c>
      <c r="E71" s="286">
        <v>0</v>
      </c>
      <c r="F71" s="286">
        <v>0</v>
      </c>
      <c r="G71" s="286">
        <v>0</v>
      </c>
      <c r="H71" s="287">
        <v>0</v>
      </c>
      <c r="J71">
        <v>0</v>
      </c>
      <c r="K71">
        <v>0</v>
      </c>
      <c r="L71">
        <v>0</v>
      </c>
      <c r="M71">
        <v>0</v>
      </c>
      <c r="N71">
        <v>0</v>
      </c>
      <c r="O71" s="20"/>
      <c r="P71" s="20"/>
      <c r="Q71" s="147"/>
      <c r="R71" s="197">
        <v>0.15</v>
      </c>
      <c r="S71" s="197">
        <v>1.18</v>
      </c>
      <c r="T71" s="197">
        <v>0.46666666666666673</v>
      </c>
      <c r="U71" s="197">
        <v>0.6566321730950142</v>
      </c>
      <c r="V71" s="20">
        <f t="shared" si="60"/>
        <v>0</v>
      </c>
      <c r="W71" s="20">
        <f t="shared" si="60"/>
        <v>0</v>
      </c>
      <c r="X71" s="20">
        <f t="shared" si="60"/>
        <v>0</v>
      </c>
      <c r="Y71" s="20">
        <f t="shared" si="60"/>
        <v>0</v>
      </c>
      <c r="Z71" s="20">
        <f t="shared" si="61"/>
        <v>0</v>
      </c>
      <c r="AA71" s="20">
        <f t="shared" si="61"/>
        <v>0</v>
      </c>
      <c r="AB71" s="20">
        <f t="shared" si="61"/>
        <v>0</v>
      </c>
      <c r="AC71" s="20">
        <f t="shared" si="61"/>
        <v>0</v>
      </c>
      <c r="AD71" s="20">
        <f t="shared" si="62"/>
        <v>0</v>
      </c>
      <c r="AE71" s="20">
        <f t="shared" si="63"/>
        <v>0</v>
      </c>
      <c r="AF71" s="20">
        <f t="shared" si="63"/>
        <v>0</v>
      </c>
      <c r="AG71" s="20">
        <f t="shared" si="63"/>
        <v>0</v>
      </c>
      <c r="AH71" s="20">
        <f t="shared" si="63"/>
        <v>0</v>
      </c>
      <c r="AI71" s="20">
        <f t="shared" si="64"/>
        <v>0</v>
      </c>
      <c r="AJ71" s="20">
        <f t="shared" si="64"/>
        <v>0</v>
      </c>
      <c r="AK71" s="20">
        <f t="shared" si="64"/>
        <v>0</v>
      </c>
      <c r="AL71" s="20">
        <f t="shared" si="64"/>
        <v>0</v>
      </c>
      <c r="AM71" s="20">
        <f t="shared" si="65"/>
        <v>0</v>
      </c>
      <c r="AO71">
        <f t="shared" si="66"/>
        <v>0</v>
      </c>
      <c r="AP71">
        <f t="shared" si="66"/>
        <v>0</v>
      </c>
      <c r="AQ71">
        <f t="shared" si="66"/>
        <v>0</v>
      </c>
      <c r="AR71">
        <f t="shared" si="66"/>
        <v>0</v>
      </c>
      <c r="AS71">
        <f t="shared" si="67"/>
        <v>0</v>
      </c>
      <c r="AU71">
        <f t="shared" si="68"/>
        <v>0</v>
      </c>
      <c r="AV71">
        <f t="shared" si="68"/>
        <v>0</v>
      </c>
      <c r="AW71">
        <f t="shared" si="68"/>
        <v>0</v>
      </c>
      <c r="AX71">
        <f t="shared" si="68"/>
        <v>0</v>
      </c>
      <c r="AY71">
        <f t="shared" si="69"/>
        <v>0</v>
      </c>
    </row>
    <row r="72" spans="1:51" ht="15" x14ac:dyDescent="0.25">
      <c r="A72" s="7"/>
      <c r="B72" s="8" t="s">
        <v>14</v>
      </c>
      <c r="C72" s="7"/>
      <c r="D72" s="288">
        <f>SUM(D66:D71)</f>
        <v>0</v>
      </c>
      <c r="E72" s="289">
        <f>SUM(E66:E71)</f>
        <v>1.0983453700000001</v>
      </c>
      <c r="F72" s="289">
        <f>SUM(F66:F71)</f>
        <v>9.7564670400000004</v>
      </c>
      <c r="G72" s="289">
        <f>SUM(G66:G71)</f>
        <v>0</v>
      </c>
      <c r="H72" s="290">
        <f>SUM(H66:H71)</f>
        <v>0</v>
      </c>
      <c r="J72">
        <v>0</v>
      </c>
      <c r="K72">
        <v>1.0983453700000001</v>
      </c>
      <c r="L72">
        <v>0.42801480557000104</v>
      </c>
      <c r="M72">
        <v>0</v>
      </c>
      <c r="N72">
        <v>0</v>
      </c>
      <c r="O72" s="20"/>
      <c r="P72" s="20"/>
      <c r="Q72" s="147"/>
      <c r="R72" s="197"/>
      <c r="S72" s="197"/>
      <c r="T72" s="197"/>
      <c r="U72" s="197"/>
    </row>
    <row r="73" spans="1:51" ht="15" x14ac:dyDescent="0.25">
      <c r="A73" s="10"/>
      <c r="B73" s="9" t="s">
        <v>15</v>
      </c>
      <c r="C73" s="5"/>
      <c r="D73" s="291"/>
      <c r="E73" s="292"/>
      <c r="F73" s="292"/>
      <c r="G73" s="292"/>
      <c r="H73" s="293">
        <f>SUM(D72:H72)</f>
        <v>10.854812410000001</v>
      </c>
      <c r="N73">
        <v>1.5263601755700011</v>
      </c>
      <c r="O73" s="20"/>
      <c r="P73" s="20"/>
      <c r="Q73" s="147"/>
      <c r="R73" s="197"/>
      <c r="S73" s="197"/>
      <c r="T73" s="197"/>
      <c r="U73" s="197"/>
    </row>
    <row r="74" spans="1:51" ht="15.75" thickBot="1" x14ac:dyDescent="0.3">
      <c r="A74" s="1"/>
      <c r="B74" s="2"/>
      <c r="C74" s="1"/>
      <c r="D74" s="294"/>
      <c r="E74" s="295"/>
      <c r="F74" s="295"/>
      <c r="G74" s="295"/>
      <c r="H74" s="296"/>
      <c r="O74" s="20"/>
      <c r="P74" s="20"/>
      <c r="Q74" s="147"/>
      <c r="R74" s="197"/>
      <c r="S74" s="197"/>
      <c r="T74" s="197"/>
      <c r="U74" s="197"/>
    </row>
    <row r="75" spans="1:51" ht="15" x14ac:dyDescent="0.25">
      <c r="A75" s="1">
        <v>8</v>
      </c>
      <c r="B75" s="2" t="s">
        <v>22</v>
      </c>
      <c r="C75" s="1" t="s">
        <v>8</v>
      </c>
      <c r="D75" s="285">
        <v>0</v>
      </c>
      <c r="E75" s="286">
        <v>210.79454375</v>
      </c>
      <c r="F75" s="286">
        <v>6.1400194600000004</v>
      </c>
      <c r="G75" s="286">
        <v>3.3235228299999999</v>
      </c>
      <c r="H75" s="287">
        <v>14.408158459999999</v>
      </c>
      <c r="J75">
        <v>0</v>
      </c>
      <c r="K75">
        <v>-27.968910759576005</v>
      </c>
      <c r="L75">
        <v>-6.9476869898047999</v>
      </c>
      <c r="M75">
        <v>-0.23227662802500015</v>
      </c>
      <c r="N75">
        <v>-3.1744190109850017</v>
      </c>
      <c r="O75" s="20"/>
      <c r="P75" s="20"/>
      <c r="Q75" s="147">
        <v>3.3140208539714618E-2</v>
      </c>
      <c r="R75" s="197">
        <v>5.6499999999999995E-2</v>
      </c>
      <c r="S75" s="197">
        <v>1.25</v>
      </c>
      <c r="T75" s="197">
        <v>0.50078889239507718</v>
      </c>
      <c r="U75" s="197">
        <v>0.75268470790377973</v>
      </c>
      <c r="V75" s="20">
        <f t="shared" ref="V75:Y80" si="70">IF(K75&gt;0,((E75-K75)*$Q75*$R75*10)+(K75*$O$12*$Q75*$R75*10),(E75*$Q75*$R75*10))</f>
        <v>3.9469629534835828</v>
      </c>
      <c r="W75" s="20">
        <f t="shared" si="70"/>
        <v>0.11496706181840285</v>
      </c>
      <c r="X75" s="20">
        <f t="shared" si="70"/>
        <v>6.2230365415076906E-2</v>
      </c>
      <c r="Y75" s="20">
        <f t="shared" si="70"/>
        <v>0.26978149746127411</v>
      </c>
      <c r="Z75" s="20">
        <f t="shared" ref="Z75:AC80" si="71">V75*(EXP(1.01-0.34*LN(Z$8))*(1-$T75)+(1*$T75))</f>
        <v>2.575717750783812</v>
      </c>
      <c r="AA75" s="20">
        <f t="shared" si="71"/>
        <v>7.6173510083363039E-2</v>
      </c>
      <c r="AB75" s="20">
        <f t="shared" si="71"/>
        <v>4.1460801482389148E-2</v>
      </c>
      <c r="AC75" s="20">
        <f t="shared" si="71"/>
        <v>0.17015305073228876</v>
      </c>
      <c r="AD75" s="20">
        <f t="shared" ref="AD75:AD80" si="72">SUM(Z75:AC75)</f>
        <v>2.8635051130818527</v>
      </c>
      <c r="AE75" s="20">
        <f t="shared" ref="AE75:AH80" si="73">IF(K75&gt;0,((E75-K75)*$Q75*$S75*10)+(K75*$P$12*$Q75*$S75)*10,(E75*$Q75*$S75*10))</f>
        <v>87.322189236362462</v>
      </c>
      <c r="AF75" s="20">
        <f t="shared" si="73"/>
        <v>2.5435190667788241</v>
      </c>
      <c r="AG75" s="20">
        <f t="shared" si="73"/>
        <v>1.3767779959087811</v>
      </c>
      <c r="AH75" s="20">
        <f t="shared" si="73"/>
        <v>5.9686172004706677</v>
      </c>
      <c r="AI75" s="20">
        <f t="shared" ref="AI75:AL80" si="74">AE75*(EXP(1.01-0.34*LN(AI$8))*(1-$T75)+(1*$T75))</f>
        <v>56.984905990792313</v>
      </c>
      <c r="AJ75" s="20">
        <f t="shared" si="74"/>
        <v>1.6852546478620141</v>
      </c>
      <c r="AK75" s="20">
        <f t="shared" si="74"/>
        <v>0.91727436907940596</v>
      </c>
      <c r="AL75" s="20">
        <f t="shared" si="74"/>
        <v>3.7644480250506369</v>
      </c>
      <c r="AM75" s="20">
        <f t="shared" ref="AM75:AM80" si="75">SUM(AI75:AL75)</f>
        <v>63.351883032784372</v>
      </c>
      <c r="AO75">
        <f t="shared" ref="AO75:AR80" si="76">Z75*AO$10</f>
        <v>3.5738461510434241</v>
      </c>
      <c r="AP75">
        <f t="shared" si="76"/>
        <v>0.11254370580094186</v>
      </c>
      <c r="AQ75">
        <f t="shared" si="76"/>
        <v>5.8742437488984903E-2</v>
      </c>
      <c r="AR75">
        <f t="shared" si="76"/>
        <v>0.25764167724770803</v>
      </c>
      <c r="AS75">
        <f t="shared" ref="AS75:AS80" si="77">SUM(AO75:AR75)</f>
        <v>4.0027739715810586</v>
      </c>
      <c r="AU75">
        <f t="shared" ref="AU75:AX80" si="78">AI75*AU$10</f>
        <v>79.067392722199656</v>
      </c>
      <c r="AV75">
        <f t="shared" si="78"/>
        <v>2.489904995596059</v>
      </c>
      <c r="AW75">
        <f t="shared" si="78"/>
        <v>1.2996114488713475</v>
      </c>
      <c r="AX75">
        <f t="shared" si="78"/>
        <v>5.7000371072501785</v>
      </c>
      <c r="AY75">
        <f t="shared" ref="AY75:AY80" si="79">SUM(AU75:AX75)</f>
        <v>88.556946273917248</v>
      </c>
    </row>
    <row r="76" spans="1:51" ht="15" x14ac:dyDescent="0.25">
      <c r="A76" s="1"/>
      <c r="B76" s="2"/>
      <c r="C76" s="1" t="s">
        <v>9</v>
      </c>
      <c r="D76" s="285">
        <v>0</v>
      </c>
      <c r="E76" s="286">
        <v>7.7057743299999997</v>
      </c>
      <c r="F76" s="286">
        <v>2.5756169799999999</v>
      </c>
      <c r="G76" s="286">
        <v>0</v>
      </c>
      <c r="H76" s="287">
        <v>0</v>
      </c>
      <c r="J76">
        <v>0</v>
      </c>
      <c r="K76">
        <v>-19.951962900589997</v>
      </c>
      <c r="L76">
        <v>2.3364730311413999</v>
      </c>
      <c r="M76">
        <v>0</v>
      </c>
      <c r="N76">
        <v>-0.94717243048599997</v>
      </c>
      <c r="O76" s="20"/>
      <c r="P76" s="20"/>
      <c r="Q76" s="147">
        <v>5.7280417079429227E-2</v>
      </c>
      <c r="R76" s="197">
        <v>5.6499999999999995E-2</v>
      </c>
      <c r="S76" s="197">
        <v>1.25</v>
      </c>
      <c r="T76" s="197">
        <v>0.50078889239507718</v>
      </c>
      <c r="U76" s="197">
        <v>0.75268470790377973</v>
      </c>
      <c r="V76" s="20">
        <f t="shared" si="70"/>
        <v>0.24938533166143301</v>
      </c>
      <c r="W76" s="20">
        <f t="shared" si="70"/>
        <v>3.5547566786266083E-2</v>
      </c>
      <c r="X76" s="20">
        <f t="shared" si="70"/>
        <v>0</v>
      </c>
      <c r="Y76" s="20">
        <f t="shared" si="70"/>
        <v>0</v>
      </c>
      <c r="Z76" s="20">
        <f t="shared" si="71"/>
        <v>0.16274442732697239</v>
      </c>
      <c r="AA76" s="20">
        <f t="shared" si="71"/>
        <v>2.355268451854289E-2</v>
      </c>
      <c r="AB76" s="20">
        <f t="shared" si="71"/>
        <v>0</v>
      </c>
      <c r="AC76" s="20">
        <f t="shared" si="71"/>
        <v>0</v>
      </c>
      <c r="AD76" s="20">
        <f t="shared" si="72"/>
        <v>0.18629711184551528</v>
      </c>
      <c r="AE76" s="20">
        <f t="shared" si="73"/>
        <v>5.5173745942794916</v>
      </c>
      <c r="AF76" s="20">
        <f t="shared" si="73"/>
        <v>1.1400707847602958</v>
      </c>
      <c r="AG76" s="20">
        <f t="shared" si="73"/>
        <v>0</v>
      </c>
      <c r="AH76" s="20">
        <f t="shared" si="73"/>
        <v>0</v>
      </c>
      <c r="AI76" s="20">
        <f t="shared" si="74"/>
        <v>3.6005404275878847</v>
      </c>
      <c r="AJ76" s="20">
        <f t="shared" si="74"/>
        <v>0.7553745572437075</v>
      </c>
      <c r="AK76" s="20">
        <f t="shared" si="74"/>
        <v>0</v>
      </c>
      <c r="AL76" s="20">
        <f t="shared" si="74"/>
        <v>0</v>
      </c>
      <c r="AM76" s="20">
        <f t="shared" si="75"/>
        <v>4.3559149848315926</v>
      </c>
      <c r="AO76">
        <f t="shared" si="76"/>
        <v>0.22581027949559834</v>
      </c>
      <c r="AP76">
        <f t="shared" si="76"/>
        <v>3.4798270348529295E-2</v>
      </c>
      <c r="AQ76">
        <f t="shared" si="76"/>
        <v>0</v>
      </c>
      <c r="AR76">
        <f t="shared" si="76"/>
        <v>0</v>
      </c>
      <c r="AS76">
        <f t="shared" si="77"/>
        <v>0.26060854984412762</v>
      </c>
      <c r="AU76">
        <f t="shared" si="78"/>
        <v>4.9958026437079281</v>
      </c>
      <c r="AV76">
        <f t="shared" si="78"/>
        <v>1.1160395765787356</v>
      </c>
      <c r="AW76">
        <f t="shared" si="78"/>
        <v>0</v>
      </c>
      <c r="AX76">
        <f t="shared" si="78"/>
        <v>0</v>
      </c>
      <c r="AY76">
        <f t="shared" si="79"/>
        <v>6.1118422202866638</v>
      </c>
    </row>
    <row r="77" spans="1:51" ht="15" x14ac:dyDescent="0.25">
      <c r="A77" s="1"/>
      <c r="B77" s="2"/>
      <c r="C77" s="1" t="s">
        <v>10</v>
      </c>
      <c r="D77" s="285">
        <v>0</v>
      </c>
      <c r="E77" s="286">
        <v>11.647192410000001</v>
      </c>
      <c r="F77" s="286">
        <v>0</v>
      </c>
      <c r="G77" s="286">
        <v>0</v>
      </c>
      <c r="H77" s="287">
        <v>0</v>
      </c>
      <c r="J77">
        <v>0</v>
      </c>
      <c r="K77">
        <v>-3.6175834833550002</v>
      </c>
      <c r="L77">
        <v>0</v>
      </c>
      <c r="M77">
        <v>-3.4364205122290001</v>
      </c>
      <c r="N77">
        <v>-0.68537294772299995</v>
      </c>
      <c r="O77" s="20"/>
      <c r="P77" s="20"/>
      <c r="Q77" s="147">
        <v>8.1420625619143858E-2</v>
      </c>
      <c r="R77" s="197">
        <v>5.6499999999999995E-2</v>
      </c>
      <c r="S77" s="197">
        <v>1.25</v>
      </c>
      <c r="T77" s="197">
        <v>0.50078889239507718</v>
      </c>
      <c r="U77" s="197">
        <v>0.75268470790377973</v>
      </c>
      <c r="V77" s="20">
        <f t="shared" si="70"/>
        <v>0.53580175639174032</v>
      </c>
      <c r="W77" s="20">
        <f t="shared" si="70"/>
        <v>0</v>
      </c>
      <c r="X77" s="20">
        <f t="shared" si="70"/>
        <v>0</v>
      </c>
      <c r="Y77" s="20">
        <f t="shared" si="70"/>
        <v>0</v>
      </c>
      <c r="Z77" s="20">
        <f t="shared" si="71"/>
        <v>0.34965468668037492</v>
      </c>
      <c r="AA77" s="20">
        <f t="shared" si="71"/>
        <v>0</v>
      </c>
      <c r="AB77" s="20">
        <f t="shared" si="71"/>
        <v>0</v>
      </c>
      <c r="AC77" s="20">
        <f t="shared" si="71"/>
        <v>0</v>
      </c>
      <c r="AD77" s="20">
        <f t="shared" si="72"/>
        <v>0.34965468668037492</v>
      </c>
      <c r="AE77" s="20">
        <f t="shared" si="73"/>
        <v>11.854021159109298</v>
      </c>
      <c r="AF77" s="20">
        <f t="shared" si="73"/>
        <v>0</v>
      </c>
      <c r="AG77" s="20">
        <f t="shared" si="73"/>
        <v>0</v>
      </c>
      <c r="AH77" s="20">
        <f t="shared" si="73"/>
        <v>0</v>
      </c>
      <c r="AI77" s="20">
        <f t="shared" si="74"/>
        <v>7.7357231566454621</v>
      </c>
      <c r="AJ77" s="20">
        <f t="shared" si="74"/>
        <v>0</v>
      </c>
      <c r="AK77" s="20">
        <f t="shared" si="74"/>
        <v>0</v>
      </c>
      <c r="AL77" s="20">
        <f t="shared" si="74"/>
        <v>0</v>
      </c>
      <c r="AM77" s="20">
        <f t="shared" si="75"/>
        <v>7.7357231566454621</v>
      </c>
      <c r="AO77">
        <f t="shared" si="76"/>
        <v>0.48515100530975691</v>
      </c>
      <c r="AP77">
        <f t="shared" si="76"/>
        <v>0</v>
      </c>
      <c r="AQ77">
        <f t="shared" si="76"/>
        <v>0</v>
      </c>
      <c r="AR77">
        <f t="shared" si="76"/>
        <v>0</v>
      </c>
      <c r="AS77">
        <f t="shared" si="77"/>
        <v>0.48515100530975691</v>
      </c>
      <c r="AU77">
        <f t="shared" si="78"/>
        <v>10.73342932101232</v>
      </c>
      <c r="AV77">
        <f t="shared" si="78"/>
        <v>0</v>
      </c>
      <c r="AW77">
        <f t="shared" si="78"/>
        <v>0</v>
      </c>
      <c r="AX77">
        <f t="shared" si="78"/>
        <v>0</v>
      </c>
      <c r="AY77">
        <f t="shared" si="79"/>
        <v>10.73342932101232</v>
      </c>
    </row>
    <row r="78" spans="1:51" ht="15" x14ac:dyDescent="0.25">
      <c r="A78" s="1"/>
      <c r="B78" s="2"/>
      <c r="C78" s="1" t="s">
        <v>11</v>
      </c>
      <c r="D78" s="285">
        <v>0</v>
      </c>
      <c r="E78" s="286">
        <v>0.78291162000000003</v>
      </c>
      <c r="F78" s="286">
        <v>0</v>
      </c>
      <c r="G78" s="286">
        <v>0</v>
      </c>
      <c r="H78" s="287">
        <v>0</v>
      </c>
      <c r="J78">
        <v>0</v>
      </c>
      <c r="K78">
        <v>-11.959299697982999</v>
      </c>
      <c r="L78">
        <v>0</v>
      </c>
      <c r="M78">
        <v>0</v>
      </c>
      <c r="N78">
        <v>-1.32979537788E-2</v>
      </c>
      <c r="O78" s="20"/>
      <c r="P78" s="20"/>
      <c r="Q78" s="147">
        <v>0.10556083415885845</v>
      </c>
      <c r="R78" s="197">
        <v>5.6499999999999995E-2</v>
      </c>
      <c r="S78" s="197">
        <v>1.25</v>
      </c>
      <c r="T78" s="197">
        <v>0.50078889239507718</v>
      </c>
      <c r="U78" s="197">
        <v>0.75268470790377973</v>
      </c>
      <c r="V78" s="20">
        <f t="shared" si="70"/>
        <v>4.6694314079122709E-2</v>
      </c>
      <c r="W78" s="20">
        <f t="shared" si="70"/>
        <v>0</v>
      </c>
      <c r="X78" s="20">
        <f t="shared" si="70"/>
        <v>0</v>
      </c>
      <c r="Y78" s="20">
        <f t="shared" si="70"/>
        <v>0</v>
      </c>
      <c r="Z78" s="20">
        <f t="shared" si="71"/>
        <v>3.0471878011451698E-2</v>
      </c>
      <c r="AA78" s="20">
        <f t="shared" si="71"/>
        <v>0</v>
      </c>
      <c r="AB78" s="20">
        <f t="shared" si="71"/>
        <v>0</v>
      </c>
      <c r="AC78" s="20">
        <f t="shared" si="71"/>
        <v>0</v>
      </c>
      <c r="AD78" s="20">
        <f t="shared" si="72"/>
        <v>3.0471878011451698E-2</v>
      </c>
      <c r="AE78" s="20">
        <f t="shared" si="73"/>
        <v>1.0330600459982902</v>
      </c>
      <c r="AF78" s="20">
        <f t="shared" si="73"/>
        <v>0</v>
      </c>
      <c r="AG78" s="20">
        <f t="shared" si="73"/>
        <v>0</v>
      </c>
      <c r="AH78" s="20">
        <f t="shared" si="73"/>
        <v>0</v>
      </c>
      <c r="AI78" s="20">
        <f t="shared" si="74"/>
        <v>0.67415659317371024</v>
      </c>
      <c r="AJ78" s="20">
        <f t="shared" si="74"/>
        <v>0</v>
      </c>
      <c r="AK78" s="20">
        <f t="shared" si="74"/>
        <v>0</v>
      </c>
      <c r="AL78" s="20">
        <f t="shared" si="74"/>
        <v>0</v>
      </c>
      <c r="AM78" s="20">
        <f t="shared" si="75"/>
        <v>0.67415659317371024</v>
      </c>
      <c r="AO78">
        <f t="shared" si="76"/>
        <v>4.2280177598322519E-2</v>
      </c>
      <c r="AP78">
        <f t="shared" si="76"/>
        <v>0</v>
      </c>
      <c r="AQ78">
        <f t="shared" si="76"/>
        <v>0</v>
      </c>
      <c r="AR78">
        <f t="shared" si="76"/>
        <v>0</v>
      </c>
      <c r="AS78">
        <f t="shared" si="77"/>
        <v>4.2280177598322519E-2</v>
      </c>
      <c r="AU78">
        <f t="shared" si="78"/>
        <v>0.93540215925492309</v>
      </c>
      <c r="AV78">
        <f t="shared" si="78"/>
        <v>0</v>
      </c>
      <c r="AW78">
        <f t="shared" si="78"/>
        <v>0</v>
      </c>
      <c r="AX78">
        <f t="shared" si="78"/>
        <v>0</v>
      </c>
      <c r="AY78">
        <f t="shared" si="79"/>
        <v>0.93540215925492309</v>
      </c>
    </row>
    <row r="79" spans="1:51" ht="15" x14ac:dyDescent="0.25">
      <c r="A79" s="1"/>
      <c r="B79" s="13"/>
      <c r="C79" s="1" t="s">
        <v>12</v>
      </c>
      <c r="D79" s="285">
        <v>0</v>
      </c>
      <c r="E79" s="286">
        <v>1.4651121499999999</v>
      </c>
      <c r="F79" s="286">
        <v>0</v>
      </c>
      <c r="G79" s="286">
        <v>0</v>
      </c>
      <c r="H79" s="287">
        <v>0</v>
      </c>
      <c r="J79">
        <v>0</v>
      </c>
      <c r="K79">
        <v>-6.392958635158001</v>
      </c>
      <c r="L79">
        <v>-0.86004761266899998</v>
      </c>
      <c r="M79">
        <v>-3.3812473861979999</v>
      </c>
      <c r="N79">
        <v>-2.0042868427891758</v>
      </c>
      <c r="O79" s="20"/>
      <c r="P79" s="20"/>
      <c r="Q79" s="147">
        <v>0.10556083415885846</v>
      </c>
      <c r="R79" s="197">
        <v>5.6499999999999995E-2</v>
      </c>
      <c r="S79" s="197">
        <v>1.25</v>
      </c>
      <c r="T79" s="197">
        <v>0.50078889239507718</v>
      </c>
      <c r="U79" s="197">
        <v>0.75268470790377973</v>
      </c>
      <c r="V79" s="20">
        <f t="shared" si="70"/>
        <v>8.7382030290007379E-2</v>
      </c>
      <c r="W79" s="20">
        <f t="shared" si="70"/>
        <v>0</v>
      </c>
      <c r="X79" s="20">
        <f t="shared" si="70"/>
        <v>0</v>
      </c>
      <c r="Y79" s="20">
        <f t="shared" si="70"/>
        <v>0</v>
      </c>
      <c r="Z79" s="20">
        <f t="shared" si="71"/>
        <v>5.7023957196976748E-2</v>
      </c>
      <c r="AA79" s="20">
        <f t="shared" si="71"/>
        <v>0</v>
      </c>
      <c r="AB79" s="20">
        <f t="shared" si="71"/>
        <v>0</v>
      </c>
      <c r="AC79" s="20">
        <f t="shared" si="71"/>
        <v>0</v>
      </c>
      <c r="AD79" s="20">
        <f t="shared" si="72"/>
        <v>5.7023957196976748E-2</v>
      </c>
      <c r="AE79" s="20">
        <f t="shared" si="73"/>
        <v>1.9332307586284818</v>
      </c>
      <c r="AF79" s="20">
        <f t="shared" si="73"/>
        <v>0</v>
      </c>
      <c r="AG79" s="20">
        <f t="shared" si="73"/>
        <v>0</v>
      </c>
      <c r="AH79" s="20">
        <f t="shared" si="73"/>
        <v>0</v>
      </c>
      <c r="AI79" s="20">
        <f t="shared" si="74"/>
        <v>1.2615919733844412</v>
      </c>
      <c r="AJ79" s="20">
        <f t="shared" si="74"/>
        <v>0</v>
      </c>
      <c r="AK79" s="20">
        <f t="shared" si="74"/>
        <v>0</v>
      </c>
      <c r="AL79" s="20">
        <f t="shared" si="74"/>
        <v>0</v>
      </c>
      <c r="AM79" s="20">
        <f t="shared" si="75"/>
        <v>1.2615919733844412</v>
      </c>
      <c r="AO79">
        <f t="shared" si="76"/>
        <v>7.9121576843450281E-2</v>
      </c>
      <c r="AP79">
        <f t="shared" si="76"/>
        <v>0</v>
      </c>
      <c r="AQ79">
        <f t="shared" si="76"/>
        <v>0</v>
      </c>
      <c r="AR79">
        <f t="shared" si="76"/>
        <v>0</v>
      </c>
      <c r="AS79">
        <f t="shared" si="77"/>
        <v>7.9121576843450281E-2</v>
      </c>
      <c r="AU79">
        <f t="shared" si="78"/>
        <v>1.7504773637931477</v>
      </c>
      <c r="AV79">
        <f t="shared" si="78"/>
        <v>0</v>
      </c>
      <c r="AW79">
        <f t="shared" si="78"/>
        <v>0</v>
      </c>
      <c r="AX79">
        <f t="shared" si="78"/>
        <v>0</v>
      </c>
      <c r="AY79">
        <f t="shared" si="79"/>
        <v>1.7504773637931477</v>
      </c>
    </row>
    <row r="80" spans="1:51" ht="15" x14ac:dyDescent="0.25">
      <c r="A80" s="1"/>
      <c r="B80" s="13"/>
      <c r="C80" s="1" t="s">
        <v>13</v>
      </c>
      <c r="D80" s="285">
        <v>0</v>
      </c>
      <c r="E80" s="286">
        <v>0</v>
      </c>
      <c r="F80" s="286">
        <v>0</v>
      </c>
      <c r="G80" s="286">
        <v>0</v>
      </c>
      <c r="H80" s="287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20"/>
      <c r="P80" s="20"/>
      <c r="Q80" s="147"/>
      <c r="R80" s="197">
        <v>5.6499999999999995E-2</v>
      </c>
      <c r="S80" s="197">
        <v>1.25</v>
      </c>
      <c r="T80" s="197">
        <v>0.50078889239507718</v>
      </c>
      <c r="U80" s="197">
        <v>0.75268470790377973</v>
      </c>
      <c r="V80" s="20">
        <f t="shared" si="70"/>
        <v>0</v>
      </c>
      <c r="W80" s="20">
        <f t="shared" si="70"/>
        <v>0</v>
      </c>
      <c r="X80" s="20">
        <f t="shared" si="70"/>
        <v>0</v>
      </c>
      <c r="Y80" s="20">
        <f t="shared" si="70"/>
        <v>0</v>
      </c>
      <c r="Z80" s="20">
        <f t="shared" si="71"/>
        <v>0</v>
      </c>
      <c r="AA80" s="20">
        <f t="shared" si="71"/>
        <v>0</v>
      </c>
      <c r="AB80" s="20">
        <f t="shared" si="71"/>
        <v>0</v>
      </c>
      <c r="AC80" s="20">
        <f t="shared" si="71"/>
        <v>0</v>
      </c>
      <c r="AD80" s="20">
        <f t="shared" si="72"/>
        <v>0</v>
      </c>
      <c r="AE80" s="20">
        <f t="shared" si="73"/>
        <v>0</v>
      </c>
      <c r="AF80" s="20">
        <f t="shared" si="73"/>
        <v>0</v>
      </c>
      <c r="AG80" s="20">
        <f t="shared" si="73"/>
        <v>0</v>
      </c>
      <c r="AH80" s="20">
        <f t="shared" si="73"/>
        <v>0</v>
      </c>
      <c r="AI80" s="20">
        <f t="shared" si="74"/>
        <v>0</v>
      </c>
      <c r="AJ80" s="20">
        <f t="shared" si="74"/>
        <v>0</v>
      </c>
      <c r="AK80" s="20">
        <f t="shared" si="74"/>
        <v>0</v>
      </c>
      <c r="AL80" s="20">
        <f t="shared" si="74"/>
        <v>0</v>
      </c>
      <c r="AM80" s="20">
        <f t="shared" si="75"/>
        <v>0</v>
      </c>
      <c r="AO80">
        <f t="shared" si="76"/>
        <v>0</v>
      </c>
      <c r="AP80">
        <f t="shared" si="76"/>
        <v>0</v>
      </c>
      <c r="AQ80">
        <f t="shared" si="76"/>
        <v>0</v>
      </c>
      <c r="AR80">
        <f t="shared" si="76"/>
        <v>0</v>
      </c>
      <c r="AS80">
        <f t="shared" si="77"/>
        <v>0</v>
      </c>
      <c r="AU80">
        <f t="shared" si="78"/>
        <v>0</v>
      </c>
      <c r="AV80">
        <f t="shared" si="78"/>
        <v>0</v>
      </c>
      <c r="AW80">
        <f t="shared" si="78"/>
        <v>0</v>
      </c>
      <c r="AX80">
        <f t="shared" si="78"/>
        <v>0</v>
      </c>
      <c r="AY80">
        <f t="shared" si="79"/>
        <v>0</v>
      </c>
    </row>
    <row r="81" spans="1:51" ht="15" x14ac:dyDescent="0.25">
      <c r="A81" s="7"/>
      <c r="B81" s="8" t="s">
        <v>14</v>
      </c>
      <c r="C81" s="7"/>
      <c r="D81" s="288">
        <f>SUM(D75:D80)</f>
        <v>0</v>
      </c>
      <c r="E81" s="289">
        <f>SUM(E75:E80)</f>
        <v>232.39553426000001</v>
      </c>
      <c r="F81" s="289">
        <f>SUM(F75:F80)</f>
        <v>8.7156364400000008</v>
      </c>
      <c r="G81" s="289">
        <f>SUM(G75:G80)</f>
        <v>3.3235228299999999</v>
      </c>
      <c r="H81" s="290">
        <f>SUM(H75:H80)</f>
        <v>14.408158459999999</v>
      </c>
      <c r="J81">
        <v>0</v>
      </c>
      <c r="K81">
        <v>-69.890715476661995</v>
      </c>
      <c r="L81">
        <v>-5.4712615713324002</v>
      </c>
      <c r="M81">
        <v>-7.0499445264520002</v>
      </c>
      <c r="N81">
        <v>-6.8245491857619767</v>
      </c>
      <c r="O81" s="20"/>
      <c r="P81" s="20"/>
      <c r="Q81" s="147"/>
      <c r="R81" s="197"/>
      <c r="S81" s="197"/>
      <c r="T81" s="197"/>
      <c r="U81" s="197"/>
    </row>
    <row r="82" spans="1:51" ht="15" x14ac:dyDescent="0.25">
      <c r="A82" s="10"/>
      <c r="B82" s="9" t="s">
        <v>15</v>
      </c>
      <c r="C82" s="5"/>
      <c r="D82" s="291"/>
      <c r="E82" s="292"/>
      <c r="F82" s="292"/>
      <c r="G82" s="292"/>
      <c r="H82" s="293">
        <f>SUM(D81:H81)</f>
        <v>258.84285198999999</v>
      </c>
      <c r="N82">
        <v>-89.236470760208377</v>
      </c>
      <c r="O82" s="20"/>
      <c r="P82" s="20"/>
      <c r="Q82" s="147"/>
      <c r="R82" s="197"/>
      <c r="S82" s="197"/>
      <c r="T82" s="197"/>
      <c r="U82" s="197"/>
    </row>
    <row r="83" spans="1:51" ht="15.75" thickBot="1" x14ac:dyDescent="0.3">
      <c r="A83" s="1"/>
      <c r="B83" s="2"/>
      <c r="C83" s="1"/>
      <c r="D83" s="297"/>
      <c r="E83" s="298"/>
      <c r="F83" s="298"/>
      <c r="G83" s="298"/>
      <c r="H83" s="299"/>
      <c r="O83" s="20"/>
      <c r="P83" s="20"/>
      <c r="Q83" s="147"/>
      <c r="R83" s="197"/>
      <c r="S83" s="197"/>
      <c r="T83" s="197"/>
      <c r="U83" s="197"/>
    </row>
    <row r="84" spans="1:51" ht="15" x14ac:dyDescent="0.25">
      <c r="A84" s="1">
        <v>9</v>
      </c>
      <c r="B84" s="2" t="s">
        <v>23</v>
      </c>
      <c r="C84" s="1" t="s">
        <v>8</v>
      </c>
      <c r="D84" s="282">
        <v>0</v>
      </c>
      <c r="E84" s="283">
        <v>3.8081370899999998</v>
      </c>
      <c r="F84" s="283">
        <v>15.41136605</v>
      </c>
      <c r="G84" s="283">
        <v>90.138140440000001</v>
      </c>
      <c r="H84" s="284">
        <v>205.95822059</v>
      </c>
      <c r="J84">
        <v>0</v>
      </c>
      <c r="K84">
        <v>-78.691164906149993</v>
      </c>
      <c r="L84">
        <v>9.349220743410001</v>
      </c>
      <c r="M84">
        <v>61.25684696551</v>
      </c>
      <c r="N84">
        <v>144.1368872389626</v>
      </c>
      <c r="O84" s="20"/>
      <c r="P84" s="20"/>
      <c r="Q84" s="147">
        <v>3.3140208539714618E-2</v>
      </c>
      <c r="R84" s="197">
        <v>0.38700000000000001</v>
      </c>
      <c r="S84" s="197">
        <v>2.48</v>
      </c>
      <c r="T84" s="197">
        <v>0.72182006204756977</v>
      </c>
      <c r="U84" s="197">
        <v>0.90789473684210531</v>
      </c>
      <c r="V84" s="20">
        <f t="shared" ref="V84:Y89" si="80">IF(K84&gt;0,((E84-K84)*$Q84*$R84*10)+(K84*$O$12*$Q84*$R84*10),(E84*$Q84*$R84*10))</f>
        <v>0.48840350979133301</v>
      </c>
      <c r="W84" s="20">
        <f t="shared" si="80"/>
        <v>1.218443418508091</v>
      </c>
      <c r="X84" s="20">
        <f t="shared" si="80"/>
        <v>6.5932900821026639</v>
      </c>
      <c r="Y84" s="20">
        <f t="shared" si="80"/>
        <v>14.726986312224913</v>
      </c>
      <c r="Z84" s="20">
        <f t="shared" ref="Z84:AC89" si="81">V84*(EXP(1.01-0.34*LN(Z$8))*(1-$T84)+(1*$T84))</f>
        <v>0.39385114105779412</v>
      </c>
      <c r="AA84" s="20">
        <f t="shared" si="81"/>
        <v>0.98933922256512252</v>
      </c>
      <c r="AB84" s="20">
        <f t="shared" si="81"/>
        <v>5.3670690049328575</v>
      </c>
      <c r="AC84" s="20">
        <f t="shared" si="81"/>
        <v>11.696400068267854</v>
      </c>
      <c r="AD84" s="20">
        <f t="shared" ref="AD84:AD89" si="82">SUM(Z84:AC84)</f>
        <v>18.44665943682363</v>
      </c>
      <c r="AE84" s="20">
        <f t="shared" ref="AE84:AH89" si="83">IF(K84&gt;0,((E84-K84)*$Q84*$S84*10)+(K84*$P$12*$Q84*$S84)*10,(E84*$Q84*$S84*10))</f>
        <v>3.1298209412984646</v>
      </c>
      <c r="AF84" s="20">
        <f t="shared" si="83"/>
        <v>9.4323237993070101</v>
      </c>
      <c r="AG84" s="20">
        <f t="shared" si="83"/>
        <v>52.893535498745933</v>
      </c>
      <c r="AH84" s="20">
        <f t="shared" si="83"/>
        <v>119.41493743069076</v>
      </c>
      <c r="AI84" s="20">
        <f t="shared" ref="AI84:AL89" si="84">AE84*(EXP(1.01-0.34*LN(AI$8))*(1-$T84)+(1*$T84))</f>
        <v>2.523903953031859</v>
      </c>
      <c r="AJ84" s="20">
        <f t="shared" si="84"/>
        <v>7.6587617880648704</v>
      </c>
      <c r="AK84" s="20">
        <f t="shared" si="84"/>
        <v>43.056387843032986</v>
      </c>
      <c r="AL84" s="20">
        <f t="shared" si="84"/>
        <v>94.841188326297811</v>
      </c>
      <c r="AM84" s="20">
        <f t="shared" ref="AM84:AM89" si="85">SUM(AI84:AL84)</f>
        <v>148.08024191042753</v>
      </c>
      <c r="AO84">
        <f t="shared" ref="AO84:AR89" si="86">Z84*AO$10</f>
        <v>0.54647423388107064</v>
      </c>
      <c r="AP84">
        <f t="shared" si="86"/>
        <v>1.4617142137712804</v>
      </c>
      <c r="AQ84">
        <f t="shared" si="86"/>
        <v>7.6041635532601219</v>
      </c>
      <c r="AR84">
        <f t="shared" si="86"/>
        <v>17.710409060428852</v>
      </c>
      <c r="AS84">
        <f t="shared" ref="AS84:AS89" si="87">SUM(AO84:AR84)</f>
        <v>27.322761061341325</v>
      </c>
      <c r="AU84">
        <f t="shared" ref="AU84:AX89" si="88">AI84*AU$10</f>
        <v>3.5019537468347681</v>
      </c>
      <c r="AV84">
        <f t="shared" si="88"/>
        <v>11.315553563596707</v>
      </c>
      <c r="AW84">
        <f t="shared" si="88"/>
        <v>61.003094029553949</v>
      </c>
      <c r="AX84">
        <f t="shared" si="88"/>
        <v>143.60625758628404</v>
      </c>
      <c r="AY84">
        <f t="shared" ref="AY84:AY89" si="89">SUM(AU84:AX84)</f>
        <v>219.42685892626946</v>
      </c>
    </row>
    <row r="85" spans="1:51" ht="15" x14ac:dyDescent="0.25">
      <c r="A85" s="1"/>
      <c r="B85" s="2"/>
      <c r="C85" s="1" t="s">
        <v>9</v>
      </c>
      <c r="D85" s="285">
        <v>0</v>
      </c>
      <c r="E85" s="286">
        <v>0</v>
      </c>
      <c r="F85" s="286">
        <v>0</v>
      </c>
      <c r="G85" s="286">
        <v>1.17883128</v>
      </c>
      <c r="H85" s="287">
        <v>10.10015729</v>
      </c>
      <c r="J85">
        <v>0</v>
      </c>
      <c r="K85">
        <v>-2.1227532942499998</v>
      </c>
      <c r="L85">
        <v>0</v>
      </c>
      <c r="M85">
        <v>1.1549124489154001</v>
      </c>
      <c r="N85">
        <v>-2.2202391601000002</v>
      </c>
      <c r="O85" s="20"/>
      <c r="P85" s="20"/>
      <c r="Q85" s="147">
        <v>5.7280417079429234E-2</v>
      </c>
      <c r="R85" s="197">
        <v>0.38700000000000001</v>
      </c>
      <c r="S85" s="197">
        <v>2.48</v>
      </c>
      <c r="T85" s="197">
        <v>0.72182006204756977</v>
      </c>
      <c r="U85" s="197">
        <v>0.90789473684210531</v>
      </c>
      <c r="V85" s="20">
        <f t="shared" si="80"/>
        <v>0</v>
      </c>
      <c r="W85" s="20">
        <f t="shared" si="80"/>
        <v>0</v>
      </c>
      <c r="X85" s="20">
        <f t="shared" si="80"/>
        <v>9.9452422629233386E-2</v>
      </c>
      <c r="Y85" s="20">
        <f t="shared" si="80"/>
        <v>2.2389545296780762</v>
      </c>
      <c r="Z85" s="20">
        <f t="shared" si="81"/>
        <v>0</v>
      </c>
      <c r="AA85" s="20">
        <f t="shared" si="81"/>
        <v>0</v>
      </c>
      <c r="AB85" s="20">
        <f t="shared" si="81"/>
        <v>8.0956246170291041E-2</v>
      </c>
      <c r="AC85" s="20">
        <f t="shared" si="81"/>
        <v>1.778212280406398</v>
      </c>
      <c r="AD85" s="20">
        <f t="shared" si="82"/>
        <v>1.8591685265766891</v>
      </c>
      <c r="AE85" s="20">
        <f t="shared" si="83"/>
        <v>0</v>
      </c>
      <c r="AF85" s="20">
        <f t="shared" si="83"/>
        <v>0</v>
      </c>
      <c r="AG85" s="20">
        <f t="shared" si="83"/>
        <v>0.98410820821332101</v>
      </c>
      <c r="AH85" s="20">
        <f t="shared" si="83"/>
        <v>14.347822309048135</v>
      </c>
      <c r="AI85" s="20">
        <f t="shared" si="84"/>
        <v>0</v>
      </c>
      <c r="AJ85" s="20">
        <f t="shared" si="84"/>
        <v>0</v>
      </c>
      <c r="AK85" s="20">
        <f t="shared" si="84"/>
        <v>0.80108361622659208</v>
      </c>
      <c r="AL85" s="20">
        <f t="shared" si="84"/>
        <v>11.395262158676658</v>
      </c>
      <c r="AM85" s="20">
        <f t="shared" si="85"/>
        <v>12.19634577490325</v>
      </c>
      <c r="AO85">
        <f t="shared" si="86"/>
        <v>0</v>
      </c>
      <c r="AP85">
        <f t="shared" si="86"/>
        <v>0</v>
      </c>
      <c r="AQ85">
        <f t="shared" si="86"/>
        <v>0.11470032078422714</v>
      </c>
      <c r="AR85">
        <f t="shared" si="86"/>
        <v>2.692526478101152</v>
      </c>
      <c r="AS85">
        <f t="shared" si="87"/>
        <v>2.8072267988853792</v>
      </c>
      <c r="AU85">
        <f t="shared" si="88"/>
        <v>0</v>
      </c>
      <c r="AV85">
        <f t="shared" si="88"/>
        <v>0</v>
      </c>
      <c r="AW85">
        <f t="shared" si="88"/>
        <v>1.1349902212968244</v>
      </c>
      <c r="AX85">
        <f t="shared" si="88"/>
        <v>17.254433244679216</v>
      </c>
      <c r="AY85">
        <f t="shared" si="89"/>
        <v>18.389423465976041</v>
      </c>
    </row>
    <row r="86" spans="1:51" ht="15" x14ac:dyDescent="0.25">
      <c r="A86" s="1"/>
      <c r="B86" s="2"/>
      <c r="C86" s="1" t="s">
        <v>10</v>
      </c>
      <c r="D86" s="285">
        <v>0</v>
      </c>
      <c r="E86" s="286">
        <v>3.1382823200000001</v>
      </c>
      <c r="F86" s="286">
        <v>0</v>
      </c>
      <c r="G86" s="286">
        <v>8.2785517199999994</v>
      </c>
      <c r="H86" s="287">
        <v>5.4227730599999999</v>
      </c>
      <c r="J86">
        <v>0</v>
      </c>
      <c r="K86">
        <v>-2.4850799520499995</v>
      </c>
      <c r="L86">
        <v>0</v>
      </c>
      <c r="M86">
        <v>6.8875442954699997</v>
      </c>
      <c r="N86">
        <v>5.4227730599999999</v>
      </c>
      <c r="O86" s="20"/>
      <c r="P86" s="20"/>
      <c r="Q86" s="147">
        <v>8.1420625619143858E-2</v>
      </c>
      <c r="R86" s="197">
        <v>0.38700000000000001</v>
      </c>
      <c r="S86" s="197">
        <v>2.48</v>
      </c>
      <c r="T86" s="197">
        <v>0.72182006204756977</v>
      </c>
      <c r="U86" s="197">
        <v>0.90789473684210531</v>
      </c>
      <c r="V86" s="20">
        <f t="shared" si="80"/>
        <v>0.98886592117328631</v>
      </c>
      <c r="W86" s="20">
        <f t="shared" si="80"/>
        <v>0</v>
      </c>
      <c r="X86" s="20">
        <f t="shared" si="80"/>
        <v>1.2364173585161842</v>
      </c>
      <c r="Y86" s="20">
        <f t="shared" si="80"/>
        <v>0.62837938173356789</v>
      </c>
      <c r="Z86" s="20">
        <f t="shared" si="81"/>
        <v>0.79742664333772328</v>
      </c>
      <c r="AA86" s="20">
        <f t="shared" si="81"/>
        <v>0</v>
      </c>
      <c r="AB86" s="20">
        <f t="shared" si="81"/>
        <v>1.0064682729592422</v>
      </c>
      <c r="AC86" s="20">
        <f t="shared" si="81"/>
        <v>0.49906861373976735</v>
      </c>
      <c r="AD86" s="20">
        <f t="shared" si="82"/>
        <v>2.3029635300367328</v>
      </c>
      <c r="AE86" s="20">
        <f t="shared" si="83"/>
        <v>6.3369185646246766</v>
      </c>
      <c r="AF86" s="20">
        <f t="shared" si="83"/>
        <v>0</v>
      </c>
      <c r="AG86" s="20">
        <f t="shared" si="83"/>
        <v>10.863046193066841</v>
      </c>
      <c r="AH86" s="20">
        <f t="shared" si="83"/>
        <v>6.3413796868509262</v>
      </c>
      <c r="AI86" s="20">
        <f t="shared" si="84"/>
        <v>5.11012422604019</v>
      </c>
      <c r="AJ86" s="20">
        <f t="shared" si="84"/>
        <v>0</v>
      </c>
      <c r="AK86" s="20">
        <f t="shared" si="84"/>
        <v>8.8427352347539401</v>
      </c>
      <c r="AL86" s="20">
        <f t="shared" si="84"/>
        <v>5.036421724696365</v>
      </c>
      <c r="AM86" s="20">
        <f t="shared" si="85"/>
        <v>18.989281185490494</v>
      </c>
      <c r="AO86">
        <f t="shared" si="86"/>
        <v>1.1064411615615717</v>
      </c>
      <c r="AP86">
        <f t="shared" si="86"/>
        <v>0</v>
      </c>
      <c r="AQ86">
        <f t="shared" si="86"/>
        <v>1.4259830368708057</v>
      </c>
      <c r="AR86">
        <f t="shared" si="86"/>
        <v>0.75567775101432433</v>
      </c>
      <c r="AS86">
        <f t="shared" si="87"/>
        <v>3.2881019494467019</v>
      </c>
      <c r="AU86">
        <f t="shared" si="88"/>
        <v>7.0903723014798379</v>
      </c>
      <c r="AV86">
        <f t="shared" si="88"/>
        <v>0</v>
      </c>
      <c r="AW86">
        <f t="shared" si="88"/>
        <v>12.528552347928345</v>
      </c>
      <c r="AX86">
        <f t="shared" si="88"/>
        <v>7.6260292418684852</v>
      </c>
      <c r="AY86">
        <f t="shared" si="89"/>
        <v>27.244953891276666</v>
      </c>
    </row>
    <row r="87" spans="1:51" ht="15" x14ac:dyDescent="0.25">
      <c r="A87" s="1"/>
      <c r="B87" s="2"/>
      <c r="C87" s="1" t="s">
        <v>11</v>
      </c>
      <c r="D87" s="285">
        <v>0</v>
      </c>
      <c r="E87" s="286">
        <v>0</v>
      </c>
      <c r="F87" s="286">
        <v>0</v>
      </c>
      <c r="G87" s="286">
        <v>3.9220495400000002</v>
      </c>
      <c r="H87" s="287">
        <v>0</v>
      </c>
      <c r="J87">
        <v>0</v>
      </c>
      <c r="K87">
        <v>-0.26721763230700002</v>
      </c>
      <c r="L87">
        <v>0</v>
      </c>
      <c r="M87">
        <v>3.9220495400000002</v>
      </c>
      <c r="N87">
        <v>0</v>
      </c>
      <c r="O87" s="20"/>
      <c r="P87" s="20"/>
      <c r="Q87" s="147">
        <v>0.10556083415885847</v>
      </c>
      <c r="R87" s="197">
        <v>0.38700000000000001</v>
      </c>
      <c r="S87" s="197">
        <v>2.48</v>
      </c>
      <c r="T87" s="197">
        <v>0.72182006204756977</v>
      </c>
      <c r="U87" s="197">
        <v>0.90789473684210531</v>
      </c>
      <c r="V87" s="20">
        <f t="shared" si="80"/>
        <v>0</v>
      </c>
      <c r="W87" s="20">
        <f t="shared" si="80"/>
        <v>0</v>
      </c>
      <c r="X87" s="20">
        <f t="shared" si="80"/>
        <v>0.5892260651104716</v>
      </c>
      <c r="Y87" s="20">
        <f t="shared" si="80"/>
        <v>0</v>
      </c>
      <c r="Z87" s="20">
        <f t="shared" si="81"/>
        <v>0</v>
      </c>
      <c r="AA87" s="20">
        <f t="shared" si="81"/>
        <v>0</v>
      </c>
      <c r="AB87" s="20">
        <f t="shared" si="81"/>
        <v>0.4796417132528828</v>
      </c>
      <c r="AC87" s="20">
        <f t="shared" si="81"/>
        <v>0</v>
      </c>
      <c r="AD87" s="20">
        <f t="shared" si="82"/>
        <v>0.4796417132528828</v>
      </c>
      <c r="AE87" s="20">
        <f t="shared" si="83"/>
        <v>0</v>
      </c>
      <c r="AF87" s="20">
        <f t="shared" si="83"/>
        <v>0</v>
      </c>
      <c r="AG87" s="20">
        <f t="shared" si="83"/>
        <v>5.9462584369754525</v>
      </c>
      <c r="AH87" s="20">
        <f t="shared" si="83"/>
        <v>0</v>
      </c>
      <c r="AI87" s="20">
        <f t="shared" si="84"/>
        <v>0</v>
      </c>
      <c r="AJ87" s="20">
        <f t="shared" si="84"/>
        <v>0</v>
      </c>
      <c r="AK87" s="20">
        <f t="shared" si="84"/>
        <v>4.840372402094248</v>
      </c>
      <c r="AL87" s="20">
        <f t="shared" si="84"/>
        <v>0</v>
      </c>
      <c r="AM87" s="20">
        <f t="shared" si="85"/>
        <v>4.840372402094248</v>
      </c>
      <c r="AO87">
        <f t="shared" si="86"/>
        <v>0</v>
      </c>
      <c r="AP87">
        <f t="shared" si="86"/>
        <v>0</v>
      </c>
      <c r="AQ87">
        <f t="shared" si="86"/>
        <v>0.67956533280802145</v>
      </c>
      <c r="AR87">
        <f t="shared" si="86"/>
        <v>0</v>
      </c>
      <c r="AS87">
        <f t="shared" si="87"/>
        <v>0.67956533280802145</v>
      </c>
      <c r="AU87">
        <f t="shared" si="88"/>
        <v>0</v>
      </c>
      <c r="AV87">
        <f t="shared" si="88"/>
        <v>0</v>
      </c>
      <c r="AW87">
        <f t="shared" si="88"/>
        <v>6.8579299745134703</v>
      </c>
      <c r="AX87">
        <f t="shared" si="88"/>
        <v>0</v>
      </c>
      <c r="AY87">
        <f t="shared" si="89"/>
        <v>6.8579299745134703</v>
      </c>
    </row>
    <row r="88" spans="1:51" ht="15" x14ac:dyDescent="0.25">
      <c r="A88" s="1"/>
      <c r="B88" s="2"/>
      <c r="C88" s="1" t="s">
        <v>12</v>
      </c>
      <c r="D88" s="285">
        <v>0</v>
      </c>
      <c r="E88" s="286">
        <v>0</v>
      </c>
      <c r="F88" s="286">
        <v>0</v>
      </c>
      <c r="G88" s="286">
        <v>0</v>
      </c>
      <c r="H88" s="287">
        <v>8.4744599999999996E-3</v>
      </c>
      <c r="J88">
        <v>0</v>
      </c>
      <c r="K88">
        <v>0</v>
      </c>
      <c r="L88">
        <v>0</v>
      </c>
      <c r="M88">
        <v>0</v>
      </c>
      <c r="N88">
        <v>-0.937410731971</v>
      </c>
      <c r="O88" s="20"/>
      <c r="P88" s="20"/>
      <c r="Q88" s="147">
        <v>0.10556083415885846</v>
      </c>
      <c r="R88" s="197">
        <v>0.38700000000000001</v>
      </c>
      <c r="S88" s="197">
        <v>2.48</v>
      </c>
      <c r="T88" s="197">
        <v>0.72182006204756977</v>
      </c>
      <c r="U88" s="197">
        <v>0.90789473684210531</v>
      </c>
      <c r="V88" s="20">
        <f t="shared" si="80"/>
        <v>0</v>
      </c>
      <c r="W88" s="20">
        <f t="shared" si="80"/>
        <v>0</v>
      </c>
      <c r="X88" s="20">
        <f t="shared" si="80"/>
        <v>0</v>
      </c>
      <c r="Y88" s="20">
        <f t="shared" si="80"/>
        <v>3.4619900279195541E-3</v>
      </c>
      <c r="Z88" s="20">
        <f t="shared" si="81"/>
        <v>0</v>
      </c>
      <c r="AA88" s="20">
        <f t="shared" si="81"/>
        <v>0</v>
      </c>
      <c r="AB88" s="20">
        <f t="shared" si="81"/>
        <v>0</v>
      </c>
      <c r="AC88" s="20">
        <f t="shared" si="81"/>
        <v>2.7495659696028713E-3</v>
      </c>
      <c r="AD88" s="20">
        <f t="shared" si="82"/>
        <v>2.7495659696028713E-3</v>
      </c>
      <c r="AE88" s="20">
        <f t="shared" si="83"/>
        <v>0</v>
      </c>
      <c r="AF88" s="20">
        <f t="shared" si="83"/>
        <v>0</v>
      </c>
      <c r="AG88" s="20">
        <f t="shared" si="83"/>
        <v>0</v>
      </c>
      <c r="AH88" s="20">
        <f t="shared" si="83"/>
        <v>2.2185362452817815E-2</v>
      </c>
      <c r="AI88" s="20">
        <f t="shared" si="84"/>
        <v>0</v>
      </c>
      <c r="AJ88" s="20">
        <f t="shared" si="84"/>
        <v>0</v>
      </c>
      <c r="AK88" s="20">
        <f t="shared" si="84"/>
        <v>0</v>
      </c>
      <c r="AL88" s="20">
        <f t="shared" si="84"/>
        <v>1.7619957634664396E-2</v>
      </c>
      <c r="AM88" s="20">
        <f t="shared" si="85"/>
        <v>1.7619957634664396E-2</v>
      </c>
      <c r="AO88">
        <f t="shared" si="86"/>
        <v>0</v>
      </c>
      <c r="AP88">
        <f t="shared" si="86"/>
        <v>0</v>
      </c>
      <c r="AQ88">
        <f t="shared" si="86"/>
        <v>0</v>
      </c>
      <c r="AR88">
        <f t="shared" si="86"/>
        <v>4.16332698745598E-3</v>
      </c>
      <c r="AS88">
        <f t="shared" si="87"/>
        <v>4.16332698745598E-3</v>
      </c>
      <c r="AU88">
        <f t="shared" si="88"/>
        <v>0</v>
      </c>
      <c r="AV88">
        <f t="shared" si="88"/>
        <v>0</v>
      </c>
      <c r="AW88">
        <f t="shared" si="88"/>
        <v>0</v>
      </c>
      <c r="AX88">
        <f t="shared" si="88"/>
        <v>2.6679718162508609E-2</v>
      </c>
      <c r="AY88">
        <f t="shared" si="89"/>
        <v>2.6679718162508609E-2</v>
      </c>
    </row>
    <row r="89" spans="1:51" ht="15" x14ac:dyDescent="0.25">
      <c r="A89" s="1"/>
      <c r="B89" s="2"/>
      <c r="C89" s="1" t="s">
        <v>13</v>
      </c>
      <c r="D89" s="285">
        <v>0</v>
      </c>
      <c r="E89" s="286">
        <v>0</v>
      </c>
      <c r="F89" s="286">
        <v>0</v>
      </c>
      <c r="G89" s="286">
        <v>0</v>
      </c>
      <c r="H89" s="287">
        <v>0</v>
      </c>
      <c r="J89">
        <v>0</v>
      </c>
      <c r="K89">
        <v>0</v>
      </c>
      <c r="L89">
        <v>0</v>
      </c>
      <c r="M89">
        <v>0</v>
      </c>
      <c r="N89">
        <v>0</v>
      </c>
      <c r="O89" s="20"/>
      <c r="P89" s="20"/>
      <c r="Q89" s="147"/>
      <c r="R89" s="197">
        <v>0.38700000000000001</v>
      </c>
      <c r="S89" s="197">
        <v>2.48</v>
      </c>
      <c r="T89" s="197">
        <v>0.72182006204756977</v>
      </c>
      <c r="U89" s="197">
        <v>0.90789473684210531</v>
      </c>
      <c r="V89" s="20">
        <f t="shared" si="80"/>
        <v>0</v>
      </c>
      <c r="W89" s="20">
        <f t="shared" si="80"/>
        <v>0</v>
      </c>
      <c r="X89" s="20">
        <f t="shared" si="80"/>
        <v>0</v>
      </c>
      <c r="Y89" s="20">
        <f t="shared" si="80"/>
        <v>0</v>
      </c>
      <c r="Z89" s="20">
        <f t="shared" si="81"/>
        <v>0</v>
      </c>
      <c r="AA89" s="20">
        <f t="shared" si="81"/>
        <v>0</v>
      </c>
      <c r="AB89" s="20">
        <f t="shared" si="81"/>
        <v>0</v>
      </c>
      <c r="AC89" s="20">
        <f t="shared" si="81"/>
        <v>0</v>
      </c>
      <c r="AD89" s="20">
        <f t="shared" si="82"/>
        <v>0</v>
      </c>
      <c r="AE89" s="20">
        <f t="shared" si="83"/>
        <v>0</v>
      </c>
      <c r="AF89" s="20">
        <f t="shared" si="83"/>
        <v>0</v>
      </c>
      <c r="AG89" s="20">
        <f t="shared" si="83"/>
        <v>0</v>
      </c>
      <c r="AH89" s="20">
        <f t="shared" si="83"/>
        <v>0</v>
      </c>
      <c r="AI89" s="20">
        <f t="shared" si="84"/>
        <v>0</v>
      </c>
      <c r="AJ89" s="20">
        <f t="shared" si="84"/>
        <v>0</v>
      </c>
      <c r="AK89" s="20">
        <f t="shared" si="84"/>
        <v>0</v>
      </c>
      <c r="AL89" s="20">
        <f t="shared" si="84"/>
        <v>0</v>
      </c>
      <c r="AM89" s="20">
        <f t="shared" si="85"/>
        <v>0</v>
      </c>
      <c r="AO89">
        <f t="shared" si="86"/>
        <v>0</v>
      </c>
      <c r="AP89">
        <f t="shared" si="86"/>
        <v>0</v>
      </c>
      <c r="AQ89">
        <f t="shared" si="86"/>
        <v>0</v>
      </c>
      <c r="AR89">
        <f t="shared" si="86"/>
        <v>0</v>
      </c>
      <c r="AS89">
        <f t="shared" si="87"/>
        <v>0</v>
      </c>
      <c r="AU89">
        <f t="shared" si="88"/>
        <v>0</v>
      </c>
      <c r="AV89">
        <f t="shared" si="88"/>
        <v>0</v>
      </c>
      <c r="AW89">
        <f t="shared" si="88"/>
        <v>0</v>
      </c>
      <c r="AX89">
        <f t="shared" si="88"/>
        <v>0</v>
      </c>
      <c r="AY89">
        <f t="shared" si="89"/>
        <v>0</v>
      </c>
    </row>
    <row r="90" spans="1:51" ht="15" x14ac:dyDescent="0.25">
      <c r="A90" s="7"/>
      <c r="B90" s="8" t="s">
        <v>14</v>
      </c>
      <c r="C90" s="7"/>
      <c r="D90" s="288">
        <f>SUM(D84:D89)</f>
        <v>0</v>
      </c>
      <c r="E90" s="289">
        <f>SUM(E84:E89)</f>
        <v>6.9464194099999998</v>
      </c>
      <c r="F90" s="289">
        <f>SUM(F84:F89)</f>
        <v>15.41136605</v>
      </c>
      <c r="G90" s="289">
        <f>SUM(G84:G89)</f>
        <v>103.51757298</v>
      </c>
      <c r="H90" s="290">
        <f>SUM(H84:H89)</f>
        <v>221.48962539999999</v>
      </c>
      <c r="J90">
        <v>0</v>
      </c>
      <c r="K90">
        <v>-83.566215784756992</v>
      </c>
      <c r="L90">
        <v>9.349220743410001</v>
      </c>
      <c r="M90">
        <v>73.221353249895401</v>
      </c>
      <c r="N90">
        <v>146.40201040689161</v>
      </c>
      <c r="O90" s="20"/>
      <c r="P90" s="20"/>
      <c r="Q90" s="147"/>
      <c r="R90" s="197"/>
      <c r="S90" s="197"/>
      <c r="T90" s="197"/>
      <c r="U90" s="197"/>
    </row>
    <row r="91" spans="1:51" ht="15" x14ac:dyDescent="0.25">
      <c r="A91" s="10"/>
      <c r="B91" s="9" t="s">
        <v>15</v>
      </c>
      <c r="C91" s="5"/>
      <c r="D91" s="291"/>
      <c r="E91" s="292"/>
      <c r="F91" s="292"/>
      <c r="G91" s="292"/>
      <c r="H91" s="293">
        <f>SUM(D90:H90)</f>
        <v>347.36498383999998</v>
      </c>
      <c r="N91">
        <v>145.40636861544002</v>
      </c>
      <c r="O91" s="20"/>
      <c r="P91" s="20"/>
      <c r="Q91" s="147"/>
      <c r="R91" s="197"/>
      <c r="S91" s="197"/>
      <c r="T91" s="197"/>
      <c r="U91" s="197"/>
    </row>
    <row r="92" spans="1:51" ht="15.75" thickBot="1" x14ac:dyDescent="0.3">
      <c r="A92" s="1"/>
      <c r="B92" s="2"/>
      <c r="C92" s="1"/>
      <c r="D92" s="294"/>
      <c r="E92" s="295"/>
      <c r="F92" s="295"/>
      <c r="G92" s="295"/>
      <c r="H92" s="296"/>
      <c r="O92" s="20"/>
      <c r="P92" s="20"/>
      <c r="Q92" s="147"/>
      <c r="R92" s="197"/>
      <c r="S92" s="197"/>
      <c r="T92" s="197"/>
      <c r="U92" s="197"/>
    </row>
    <row r="93" spans="1:51" ht="15" x14ac:dyDescent="0.25">
      <c r="A93" s="1">
        <v>10</v>
      </c>
      <c r="B93" s="2" t="s">
        <v>24</v>
      </c>
      <c r="C93" s="1" t="s">
        <v>8</v>
      </c>
      <c r="D93" s="285">
        <v>0</v>
      </c>
      <c r="E93" s="286">
        <v>5.7486316000000004</v>
      </c>
      <c r="F93" s="286">
        <v>0</v>
      </c>
      <c r="G93" s="286">
        <v>16.1388277</v>
      </c>
      <c r="H93" s="287">
        <v>1.9431316199999999</v>
      </c>
      <c r="J93">
        <v>0</v>
      </c>
      <c r="K93">
        <v>-56.989754534049993</v>
      </c>
      <c r="L93">
        <v>-27.516994168144002</v>
      </c>
      <c r="M93">
        <v>-48.931417991979991</v>
      </c>
      <c r="N93">
        <v>-149.73163242408003</v>
      </c>
      <c r="O93" s="20"/>
      <c r="P93" s="20"/>
      <c r="Q93" s="147">
        <v>3.3140208539714618E-2</v>
      </c>
      <c r="R93" s="197">
        <v>0.66599999999999993</v>
      </c>
      <c r="S93" s="197">
        <v>4.5549999999999997</v>
      </c>
      <c r="T93" s="197">
        <v>0.60039794540960334</v>
      </c>
      <c r="U93" s="197">
        <v>0.90789473684210531</v>
      </c>
      <c r="V93" s="20">
        <f t="shared" ref="V93:Y98" si="90">IF(K93&gt;0,((E93-K93)*$Q93*$R93*10)+(K93*$O$12*$Q93*$R93*10),(E93*$Q93*$R93*10))</f>
        <v>1.2688022612796754</v>
      </c>
      <c r="W93" s="20">
        <f t="shared" si="90"/>
        <v>0</v>
      </c>
      <c r="X93" s="20">
        <f t="shared" si="90"/>
        <v>3.5620618096597219</v>
      </c>
      <c r="Y93" s="20">
        <f t="shared" si="90"/>
        <v>0.42887594213204383</v>
      </c>
      <c r="Z93" s="20">
        <f t="shared" ref="Z93:AC98" si="91">V93*(EXP(1.01-0.34*LN(Z$8))*(1-$T93)+(1*$T93))</f>
        <v>0.91595277648179974</v>
      </c>
      <c r="AA93" s="20">
        <f t="shared" si="91"/>
        <v>0</v>
      </c>
      <c r="AB93" s="20">
        <f t="shared" si="91"/>
        <v>2.6104278078275307</v>
      </c>
      <c r="AC93" s="20">
        <f t="shared" si="91"/>
        <v>0.30209722403984307</v>
      </c>
      <c r="AD93" s="20">
        <f t="shared" ref="AD93:AD98" si="92">SUM(Z93:AC93)</f>
        <v>3.8284778083491733</v>
      </c>
      <c r="AE93" s="20">
        <f t="shared" ref="AE93:AH98" si="93">IF(K93&gt;0,((E93-K93)*$Q93*$S93*10)+(K93*$P$12*$Q93*$S93)*10,(E93*$Q93*$S93*10))</f>
        <v>8.6777692194127951</v>
      </c>
      <c r="AF93" s="20">
        <f t="shared" si="93"/>
        <v>0</v>
      </c>
      <c r="AG93" s="20">
        <f t="shared" si="93"/>
        <v>24.362149463964013</v>
      </c>
      <c r="AH93" s="20">
        <f t="shared" si="93"/>
        <v>2.9332281027199096</v>
      </c>
      <c r="AI93" s="20">
        <f t="shared" ref="AI93:AL98" si="94">AE93*(EXP(1.01-0.34*LN(AI$8))*(1-$T93)+(1*$T93))</f>
        <v>6.2645118571690661</v>
      </c>
      <c r="AJ93" s="20">
        <f t="shared" si="94"/>
        <v>0</v>
      </c>
      <c r="AK93" s="20">
        <f t="shared" si="94"/>
        <v>17.85360159858018</v>
      </c>
      <c r="AL93" s="20">
        <f t="shared" si="94"/>
        <v>2.0661454286809091</v>
      </c>
      <c r="AM93" s="20">
        <f t="shared" ref="AM93:AM98" si="95">SUM(AI93:AL93)</f>
        <v>26.184258884430154</v>
      </c>
      <c r="AO93">
        <f t="shared" ref="AO93:AR98" si="96">Z93*AO$10</f>
        <v>1.2708979094354855</v>
      </c>
      <c r="AP93">
        <f t="shared" si="96"/>
        <v>0</v>
      </c>
      <c r="AQ93">
        <f t="shared" si="96"/>
        <v>3.6985028469830814</v>
      </c>
      <c r="AR93">
        <f t="shared" si="96"/>
        <v>0.45742838672907787</v>
      </c>
      <c r="AS93">
        <f t="shared" ref="AS93:AS98" si="97">SUM(AO93:AR93)</f>
        <v>5.4268291431476454</v>
      </c>
      <c r="AU93">
        <f t="shared" ref="AU93:AX98" si="98">AI93*AU$10</f>
        <v>8.6921020682862409</v>
      </c>
      <c r="AV93">
        <f t="shared" si="98"/>
        <v>0</v>
      </c>
      <c r="AW93">
        <f t="shared" si="98"/>
        <v>25.295316018029929</v>
      </c>
      <c r="AX93">
        <f t="shared" si="98"/>
        <v>3.1285079602867119</v>
      </c>
      <c r="AY93">
        <f t="shared" ref="AY93:AY98" si="99">SUM(AU93:AX93)</f>
        <v>37.11592604660288</v>
      </c>
    </row>
    <row r="94" spans="1:51" ht="15" x14ac:dyDescent="0.25">
      <c r="A94" s="1"/>
      <c r="B94" s="2"/>
      <c r="C94" s="1" t="s">
        <v>9</v>
      </c>
      <c r="D94" s="285">
        <v>0</v>
      </c>
      <c r="E94" s="286">
        <v>0</v>
      </c>
      <c r="F94" s="286">
        <v>0</v>
      </c>
      <c r="G94" s="286">
        <v>0</v>
      </c>
      <c r="H94" s="287">
        <v>0</v>
      </c>
      <c r="J94">
        <v>0</v>
      </c>
      <c r="K94">
        <v>0</v>
      </c>
      <c r="L94">
        <v>-9.3874204262299997E-3</v>
      </c>
      <c r="M94">
        <v>-3.0016664161599999E-2</v>
      </c>
      <c r="N94">
        <v>-2.2121547666349999</v>
      </c>
      <c r="O94" s="20"/>
      <c r="P94" s="20"/>
      <c r="Q94" s="147"/>
      <c r="R94" s="197">
        <v>0.66599999999999993</v>
      </c>
      <c r="S94" s="197">
        <v>4.5549999999999997</v>
      </c>
      <c r="T94" s="197">
        <v>0.60039794540960334</v>
      </c>
      <c r="U94" s="197">
        <v>0.90789473684210531</v>
      </c>
      <c r="V94" s="20">
        <f t="shared" si="90"/>
        <v>0</v>
      </c>
      <c r="W94" s="20">
        <f t="shared" si="90"/>
        <v>0</v>
      </c>
      <c r="X94" s="20">
        <f t="shared" si="90"/>
        <v>0</v>
      </c>
      <c r="Y94" s="20">
        <f t="shared" si="90"/>
        <v>0</v>
      </c>
      <c r="Z94" s="20">
        <f t="shared" si="91"/>
        <v>0</v>
      </c>
      <c r="AA94" s="20">
        <f t="shared" si="91"/>
        <v>0</v>
      </c>
      <c r="AB94" s="20">
        <f t="shared" si="91"/>
        <v>0</v>
      </c>
      <c r="AC94" s="20">
        <f t="shared" si="91"/>
        <v>0</v>
      </c>
      <c r="AD94" s="20">
        <f t="shared" si="92"/>
        <v>0</v>
      </c>
      <c r="AE94" s="20">
        <f t="shared" si="93"/>
        <v>0</v>
      </c>
      <c r="AF94" s="20">
        <f t="shared" si="93"/>
        <v>0</v>
      </c>
      <c r="AG94" s="20">
        <f t="shared" si="93"/>
        <v>0</v>
      </c>
      <c r="AH94" s="20">
        <f t="shared" si="93"/>
        <v>0</v>
      </c>
      <c r="AI94" s="20">
        <f t="shared" si="94"/>
        <v>0</v>
      </c>
      <c r="AJ94" s="20">
        <f t="shared" si="94"/>
        <v>0</v>
      </c>
      <c r="AK94" s="20">
        <f t="shared" si="94"/>
        <v>0</v>
      </c>
      <c r="AL94" s="20">
        <f t="shared" si="94"/>
        <v>0</v>
      </c>
      <c r="AM94" s="20">
        <f t="shared" si="95"/>
        <v>0</v>
      </c>
      <c r="AO94">
        <f t="shared" si="96"/>
        <v>0</v>
      </c>
      <c r="AP94">
        <f t="shared" si="96"/>
        <v>0</v>
      </c>
      <c r="AQ94">
        <f t="shared" si="96"/>
        <v>0</v>
      </c>
      <c r="AR94">
        <f t="shared" si="96"/>
        <v>0</v>
      </c>
      <c r="AS94">
        <f t="shared" si="97"/>
        <v>0</v>
      </c>
      <c r="AU94">
        <f t="shared" si="98"/>
        <v>0</v>
      </c>
      <c r="AV94">
        <f t="shared" si="98"/>
        <v>0</v>
      </c>
      <c r="AW94">
        <f t="shared" si="98"/>
        <v>0</v>
      </c>
      <c r="AX94">
        <f t="shared" si="98"/>
        <v>0</v>
      </c>
      <c r="AY94">
        <f t="shared" si="99"/>
        <v>0</v>
      </c>
    </row>
    <row r="95" spans="1:51" ht="15" x14ac:dyDescent="0.25">
      <c r="A95" s="1"/>
      <c r="B95" s="2"/>
      <c r="C95" s="1" t="s">
        <v>10</v>
      </c>
      <c r="D95" s="285">
        <v>0</v>
      </c>
      <c r="E95" s="286">
        <v>0</v>
      </c>
      <c r="F95" s="286">
        <v>0</v>
      </c>
      <c r="G95" s="286">
        <v>0.15779884</v>
      </c>
      <c r="H95" s="287">
        <v>0</v>
      </c>
      <c r="J95">
        <v>0</v>
      </c>
      <c r="K95">
        <v>-3.25819994069</v>
      </c>
      <c r="L95">
        <v>0</v>
      </c>
      <c r="M95">
        <v>-0.39056961641400001</v>
      </c>
      <c r="N95">
        <v>-6.3553800042879995</v>
      </c>
      <c r="O95" s="20"/>
      <c r="P95" s="20"/>
      <c r="Q95" s="147">
        <v>8.1420625619143844E-2</v>
      </c>
      <c r="R95" s="197">
        <v>0.66599999999999993</v>
      </c>
      <c r="S95" s="197">
        <v>4.5549999999999997</v>
      </c>
      <c r="T95" s="197">
        <v>0.60039794540960334</v>
      </c>
      <c r="U95" s="197">
        <v>0.90789473684210531</v>
      </c>
      <c r="V95" s="20">
        <f t="shared" si="90"/>
        <v>0</v>
      </c>
      <c r="W95" s="20">
        <f t="shared" si="90"/>
        <v>0</v>
      </c>
      <c r="X95" s="20">
        <f t="shared" si="90"/>
        <v>8.5568214630002692E-2</v>
      </c>
      <c r="Y95" s="20">
        <f t="shared" si="90"/>
        <v>0</v>
      </c>
      <c r="Z95" s="20">
        <f t="shared" si="91"/>
        <v>0</v>
      </c>
      <c r="AA95" s="20">
        <f t="shared" si="91"/>
        <v>0</v>
      </c>
      <c r="AB95" s="20">
        <f t="shared" si="91"/>
        <v>6.2707964901274893E-2</v>
      </c>
      <c r="AC95" s="20">
        <f t="shared" si="91"/>
        <v>0</v>
      </c>
      <c r="AD95" s="20">
        <f t="shared" si="92"/>
        <v>6.2707964901274893E-2</v>
      </c>
      <c r="AE95" s="20">
        <f t="shared" si="93"/>
        <v>0</v>
      </c>
      <c r="AF95" s="20">
        <f t="shared" si="93"/>
        <v>0</v>
      </c>
      <c r="AG95" s="20">
        <f t="shared" si="93"/>
        <v>0.58523005651600946</v>
      </c>
      <c r="AH95" s="20">
        <f t="shared" si="93"/>
        <v>0</v>
      </c>
      <c r="AI95" s="20">
        <f t="shared" si="94"/>
        <v>0</v>
      </c>
      <c r="AJ95" s="20">
        <f t="shared" si="94"/>
        <v>0</v>
      </c>
      <c r="AK95" s="20">
        <f t="shared" si="94"/>
        <v>0.4288810512391999</v>
      </c>
      <c r="AL95" s="20">
        <f t="shared" si="94"/>
        <v>0</v>
      </c>
      <c r="AM95" s="20">
        <f t="shared" si="95"/>
        <v>0.4288810512391999</v>
      </c>
      <c r="AO95">
        <f t="shared" si="96"/>
        <v>0</v>
      </c>
      <c r="AP95">
        <f t="shared" si="96"/>
        <v>0</v>
      </c>
      <c r="AQ95">
        <f t="shared" si="96"/>
        <v>8.8845815241638551E-2</v>
      </c>
      <c r="AR95">
        <f t="shared" si="96"/>
        <v>0</v>
      </c>
      <c r="AS95">
        <f t="shared" si="97"/>
        <v>8.8845815241638551E-2</v>
      </c>
      <c r="AU95">
        <f t="shared" si="98"/>
        <v>0</v>
      </c>
      <c r="AV95">
        <f t="shared" si="98"/>
        <v>0</v>
      </c>
      <c r="AW95">
        <f t="shared" si="98"/>
        <v>0.60764667931781313</v>
      </c>
      <c r="AX95">
        <f t="shared" si="98"/>
        <v>0</v>
      </c>
      <c r="AY95">
        <f t="shared" si="99"/>
        <v>0.60764667931781313</v>
      </c>
    </row>
    <row r="96" spans="1:51" ht="15" x14ac:dyDescent="0.25">
      <c r="A96" s="1"/>
      <c r="B96" s="2"/>
      <c r="C96" s="1" t="s">
        <v>11</v>
      </c>
      <c r="D96" s="285">
        <v>0</v>
      </c>
      <c r="E96" s="286">
        <v>0</v>
      </c>
      <c r="F96" s="286">
        <v>0</v>
      </c>
      <c r="G96" s="286">
        <v>0</v>
      </c>
      <c r="H96" s="287">
        <v>0</v>
      </c>
      <c r="J96">
        <v>0</v>
      </c>
      <c r="K96">
        <v>0</v>
      </c>
      <c r="L96">
        <v>0</v>
      </c>
      <c r="M96">
        <v>-1.52974340484</v>
      </c>
      <c r="N96">
        <v>-0.49902798576060003</v>
      </c>
      <c r="O96" s="20"/>
      <c r="P96" s="20"/>
      <c r="Q96" s="147"/>
      <c r="R96" s="197">
        <v>0.66599999999999993</v>
      </c>
      <c r="S96" s="197">
        <v>4.5549999999999997</v>
      </c>
      <c r="T96" s="197">
        <v>0.60039794540960334</v>
      </c>
      <c r="U96" s="197">
        <v>0.90789473684210531</v>
      </c>
      <c r="V96" s="20">
        <f t="shared" si="90"/>
        <v>0</v>
      </c>
      <c r="W96" s="20">
        <f t="shared" si="90"/>
        <v>0</v>
      </c>
      <c r="X96" s="20">
        <f t="shared" si="90"/>
        <v>0</v>
      </c>
      <c r="Y96" s="20">
        <f t="shared" si="90"/>
        <v>0</v>
      </c>
      <c r="Z96" s="20">
        <f t="shared" si="91"/>
        <v>0</v>
      </c>
      <c r="AA96" s="20">
        <f t="shared" si="91"/>
        <v>0</v>
      </c>
      <c r="AB96" s="20">
        <f t="shared" si="91"/>
        <v>0</v>
      </c>
      <c r="AC96" s="20">
        <f t="shared" si="91"/>
        <v>0</v>
      </c>
      <c r="AD96" s="20">
        <f t="shared" si="92"/>
        <v>0</v>
      </c>
      <c r="AE96" s="20">
        <f t="shared" si="93"/>
        <v>0</v>
      </c>
      <c r="AF96" s="20">
        <f t="shared" si="93"/>
        <v>0</v>
      </c>
      <c r="AG96" s="20">
        <f t="shared" si="93"/>
        <v>0</v>
      </c>
      <c r="AH96" s="20">
        <f t="shared" si="93"/>
        <v>0</v>
      </c>
      <c r="AI96" s="20">
        <f t="shared" si="94"/>
        <v>0</v>
      </c>
      <c r="AJ96" s="20">
        <f t="shared" si="94"/>
        <v>0</v>
      </c>
      <c r="AK96" s="20">
        <f t="shared" si="94"/>
        <v>0</v>
      </c>
      <c r="AL96" s="20">
        <f t="shared" si="94"/>
        <v>0</v>
      </c>
      <c r="AM96" s="20">
        <f t="shared" si="95"/>
        <v>0</v>
      </c>
      <c r="AO96">
        <f t="shared" si="96"/>
        <v>0</v>
      </c>
      <c r="AP96">
        <f t="shared" si="96"/>
        <v>0</v>
      </c>
      <c r="AQ96">
        <f t="shared" si="96"/>
        <v>0</v>
      </c>
      <c r="AR96">
        <f t="shared" si="96"/>
        <v>0</v>
      </c>
      <c r="AS96">
        <f t="shared" si="97"/>
        <v>0</v>
      </c>
      <c r="AU96">
        <f t="shared" si="98"/>
        <v>0</v>
      </c>
      <c r="AV96">
        <f t="shared" si="98"/>
        <v>0</v>
      </c>
      <c r="AW96">
        <f t="shared" si="98"/>
        <v>0</v>
      </c>
      <c r="AX96">
        <f t="shared" si="98"/>
        <v>0</v>
      </c>
      <c r="AY96">
        <f t="shared" si="99"/>
        <v>0</v>
      </c>
    </row>
    <row r="97" spans="1:51" ht="15" x14ac:dyDescent="0.25">
      <c r="A97" s="1"/>
      <c r="B97" s="2"/>
      <c r="C97" s="1" t="s">
        <v>12</v>
      </c>
      <c r="D97" s="285">
        <v>0</v>
      </c>
      <c r="E97" s="286">
        <v>0</v>
      </c>
      <c r="F97" s="286">
        <v>0</v>
      </c>
      <c r="G97" s="286">
        <v>0</v>
      </c>
      <c r="H97" s="28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20"/>
      <c r="P97" s="20"/>
      <c r="Q97" s="147"/>
      <c r="R97" s="197">
        <v>0.66599999999999993</v>
      </c>
      <c r="S97" s="197">
        <v>4.5549999999999997</v>
      </c>
      <c r="T97" s="197">
        <v>0.60039794540960334</v>
      </c>
      <c r="U97" s="197">
        <v>0.90789473684210531</v>
      </c>
      <c r="V97" s="20">
        <f t="shared" si="90"/>
        <v>0</v>
      </c>
      <c r="W97" s="20">
        <f t="shared" si="90"/>
        <v>0</v>
      </c>
      <c r="X97" s="20">
        <f t="shared" si="90"/>
        <v>0</v>
      </c>
      <c r="Y97" s="20">
        <f t="shared" si="90"/>
        <v>0</v>
      </c>
      <c r="Z97" s="20">
        <f t="shared" si="91"/>
        <v>0</v>
      </c>
      <c r="AA97" s="20">
        <f t="shared" si="91"/>
        <v>0</v>
      </c>
      <c r="AB97" s="20">
        <f t="shared" si="91"/>
        <v>0</v>
      </c>
      <c r="AC97" s="20">
        <f t="shared" si="91"/>
        <v>0</v>
      </c>
      <c r="AD97" s="20">
        <f t="shared" si="92"/>
        <v>0</v>
      </c>
      <c r="AE97" s="20">
        <f t="shared" si="93"/>
        <v>0</v>
      </c>
      <c r="AF97" s="20">
        <f t="shared" si="93"/>
        <v>0</v>
      </c>
      <c r="AG97" s="20">
        <f t="shared" si="93"/>
        <v>0</v>
      </c>
      <c r="AH97" s="20">
        <f t="shared" si="93"/>
        <v>0</v>
      </c>
      <c r="AI97" s="20">
        <f t="shared" si="94"/>
        <v>0</v>
      </c>
      <c r="AJ97" s="20">
        <f t="shared" si="94"/>
        <v>0</v>
      </c>
      <c r="AK97" s="20">
        <f t="shared" si="94"/>
        <v>0</v>
      </c>
      <c r="AL97" s="20">
        <f t="shared" si="94"/>
        <v>0</v>
      </c>
      <c r="AM97" s="20">
        <f t="shared" si="95"/>
        <v>0</v>
      </c>
      <c r="AO97">
        <f t="shared" si="96"/>
        <v>0</v>
      </c>
      <c r="AP97">
        <f t="shared" si="96"/>
        <v>0</v>
      </c>
      <c r="AQ97">
        <f t="shared" si="96"/>
        <v>0</v>
      </c>
      <c r="AR97">
        <f t="shared" si="96"/>
        <v>0</v>
      </c>
      <c r="AS97">
        <f t="shared" si="97"/>
        <v>0</v>
      </c>
      <c r="AU97">
        <f t="shared" si="98"/>
        <v>0</v>
      </c>
      <c r="AV97">
        <f t="shared" si="98"/>
        <v>0</v>
      </c>
      <c r="AW97">
        <f t="shared" si="98"/>
        <v>0</v>
      </c>
      <c r="AX97">
        <f t="shared" si="98"/>
        <v>0</v>
      </c>
      <c r="AY97">
        <f t="shared" si="99"/>
        <v>0</v>
      </c>
    </row>
    <row r="98" spans="1:51" ht="15" x14ac:dyDescent="0.25">
      <c r="A98" s="1"/>
      <c r="B98" s="2"/>
      <c r="C98" s="1" t="s">
        <v>13</v>
      </c>
      <c r="D98" s="285">
        <v>0</v>
      </c>
      <c r="E98" s="286">
        <v>0</v>
      </c>
      <c r="F98" s="286">
        <v>0</v>
      </c>
      <c r="G98" s="286">
        <v>0</v>
      </c>
      <c r="H98" s="287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20"/>
      <c r="P98" s="20"/>
      <c r="Q98" s="147"/>
      <c r="R98" s="197">
        <v>0.66599999999999993</v>
      </c>
      <c r="S98" s="197">
        <v>4.5549999999999997</v>
      </c>
      <c r="T98" s="197">
        <v>0.60039794540960334</v>
      </c>
      <c r="U98" s="197">
        <v>0.90789473684210531</v>
      </c>
      <c r="V98" s="20">
        <f t="shared" si="90"/>
        <v>0</v>
      </c>
      <c r="W98" s="20">
        <f t="shared" si="90"/>
        <v>0</v>
      </c>
      <c r="X98" s="20">
        <f t="shared" si="90"/>
        <v>0</v>
      </c>
      <c r="Y98" s="20">
        <f t="shared" si="90"/>
        <v>0</v>
      </c>
      <c r="Z98" s="20">
        <f t="shared" si="91"/>
        <v>0</v>
      </c>
      <c r="AA98" s="20">
        <f t="shared" si="91"/>
        <v>0</v>
      </c>
      <c r="AB98" s="20">
        <f t="shared" si="91"/>
        <v>0</v>
      </c>
      <c r="AC98" s="20">
        <f t="shared" si="91"/>
        <v>0</v>
      </c>
      <c r="AD98" s="20">
        <f t="shared" si="92"/>
        <v>0</v>
      </c>
      <c r="AE98" s="20">
        <f t="shared" si="93"/>
        <v>0</v>
      </c>
      <c r="AF98" s="20">
        <f t="shared" si="93"/>
        <v>0</v>
      </c>
      <c r="AG98" s="20">
        <f t="shared" si="93"/>
        <v>0</v>
      </c>
      <c r="AH98" s="20">
        <f t="shared" si="93"/>
        <v>0</v>
      </c>
      <c r="AI98" s="20">
        <f t="shared" si="94"/>
        <v>0</v>
      </c>
      <c r="AJ98" s="20">
        <f t="shared" si="94"/>
        <v>0</v>
      </c>
      <c r="AK98" s="20">
        <f t="shared" si="94"/>
        <v>0</v>
      </c>
      <c r="AL98" s="20">
        <f t="shared" si="94"/>
        <v>0</v>
      </c>
      <c r="AM98" s="20">
        <f t="shared" si="95"/>
        <v>0</v>
      </c>
      <c r="AO98">
        <f t="shared" si="96"/>
        <v>0</v>
      </c>
      <c r="AP98">
        <f t="shared" si="96"/>
        <v>0</v>
      </c>
      <c r="AQ98">
        <f t="shared" si="96"/>
        <v>0</v>
      </c>
      <c r="AR98">
        <f t="shared" si="96"/>
        <v>0</v>
      </c>
      <c r="AS98">
        <f t="shared" si="97"/>
        <v>0</v>
      </c>
      <c r="AU98">
        <f t="shared" si="98"/>
        <v>0</v>
      </c>
      <c r="AV98">
        <f t="shared" si="98"/>
        <v>0</v>
      </c>
      <c r="AW98">
        <f t="shared" si="98"/>
        <v>0</v>
      </c>
      <c r="AX98">
        <f t="shared" si="98"/>
        <v>0</v>
      </c>
      <c r="AY98">
        <f t="shared" si="99"/>
        <v>0</v>
      </c>
    </row>
    <row r="99" spans="1:51" ht="15" x14ac:dyDescent="0.25">
      <c r="A99" s="7"/>
      <c r="B99" s="8" t="s">
        <v>14</v>
      </c>
      <c r="C99" s="7"/>
      <c r="D99" s="288">
        <f>SUM(D93:D98)</f>
        <v>0</v>
      </c>
      <c r="E99" s="289">
        <f>SUM(E93:E98)</f>
        <v>5.7486316000000004</v>
      </c>
      <c r="F99" s="289">
        <f>SUM(F93:F98)</f>
        <v>0</v>
      </c>
      <c r="G99" s="289">
        <f>SUM(G93:G98)</f>
        <v>16.296626540000002</v>
      </c>
      <c r="H99" s="290">
        <f>SUM(H93:H98)</f>
        <v>1.9431316199999999</v>
      </c>
      <c r="J99">
        <v>0</v>
      </c>
      <c r="K99">
        <v>-60.247954474739991</v>
      </c>
      <c r="L99">
        <v>-27.526381588570231</v>
      </c>
      <c r="M99">
        <v>-50.881747677395587</v>
      </c>
      <c r="N99">
        <v>-158.79819518076363</v>
      </c>
      <c r="O99" s="20"/>
      <c r="P99" s="20"/>
      <c r="Q99" s="147"/>
      <c r="R99" s="197"/>
      <c r="S99" s="197"/>
      <c r="T99" s="197"/>
      <c r="U99" s="197"/>
    </row>
    <row r="100" spans="1:51" ht="15" x14ac:dyDescent="0.25">
      <c r="A100" s="10"/>
      <c r="B100" s="9" t="s">
        <v>15</v>
      </c>
      <c r="C100" s="5"/>
      <c r="D100" s="291"/>
      <c r="E100" s="292"/>
      <c r="F100" s="292"/>
      <c r="G100" s="292"/>
      <c r="H100" s="293">
        <f>SUM(D99:H99)</f>
        <v>23.98838976</v>
      </c>
      <c r="N100">
        <v>-297.45427892146944</v>
      </c>
      <c r="O100" s="20"/>
      <c r="P100" s="20"/>
      <c r="Q100" s="147"/>
      <c r="R100" s="197"/>
      <c r="S100" s="197"/>
      <c r="T100" s="197"/>
      <c r="U100" s="197"/>
    </row>
    <row r="101" spans="1:51" ht="15.75" thickBot="1" x14ac:dyDescent="0.3">
      <c r="A101" s="1"/>
      <c r="B101" s="2"/>
      <c r="C101" s="1"/>
      <c r="D101" s="297"/>
      <c r="E101" s="298"/>
      <c r="F101" s="298"/>
      <c r="G101" s="298"/>
      <c r="H101" s="299"/>
      <c r="O101" s="20"/>
      <c r="P101" s="20"/>
      <c r="Q101" s="147"/>
      <c r="R101" s="197"/>
      <c r="S101" s="197"/>
      <c r="T101" s="197"/>
      <c r="U101" s="197"/>
    </row>
    <row r="102" spans="1:51" ht="15" x14ac:dyDescent="0.25">
      <c r="A102" s="1">
        <v>11</v>
      </c>
      <c r="B102" s="2" t="s">
        <v>25</v>
      </c>
      <c r="C102" s="1" t="s">
        <v>8</v>
      </c>
      <c r="D102" s="282">
        <v>0</v>
      </c>
      <c r="E102" s="283">
        <v>9.2207803199999994</v>
      </c>
      <c r="F102" s="283">
        <v>31.275141869999999</v>
      </c>
      <c r="G102" s="283">
        <v>74.482870239999997</v>
      </c>
      <c r="H102" s="284">
        <v>51.986484949999998</v>
      </c>
      <c r="J102">
        <v>0</v>
      </c>
      <c r="K102">
        <v>-41.170489095640008</v>
      </c>
      <c r="L102">
        <v>-34.5437547306</v>
      </c>
      <c r="M102">
        <v>-51.238298047768993</v>
      </c>
      <c r="N102">
        <v>-71.698947157092022</v>
      </c>
      <c r="O102" s="20"/>
      <c r="P102" s="20"/>
      <c r="Q102" s="147">
        <v>3.3140208539714611E-2</v>
      </c>
      <c r="R102" s="197">
        <v>0.14000000000000001</v>
      </c>
      <c r="S102" s="197">
        <v>2.0499999999999998</v>
      </c>
      <c r="T102" s="197">
        <v>0.62857142857142845</v>
      </c>
      <c r="U102" s="197">
        <v>0.90789473684210531</v>
      </c>
      <c r="V102" s="20">
        <f t="shared" ref="V102:Y107" si="100">IF(K102&gt;0,((E102-K102)*$Q102*$R102*10)+(K102*$O$12*$Q102*$R102*10),(E102*$Q102*$R102*10))</f>
        <v>0.42781001578517502</v>
      </c>
      <c r="W102" s="20">
        <f t="shared" si="100"/>
        <v>1.451050613153344</v>
      </c>
      <c r="X102" s="20">
        <f t="shared" si="100"/>
        <v>3.455728993346145</v>
      </c>
      <c r="Y102" s="20">
        <f t="shared" si="100"/>
        <v>2.4119801334856295</v>
      </c>
      <c r="Z102" s="20">
        <f t="shared" ref="Z102:AC107" si="101">V102*(EXP(1.01-0.34*LN(Z$8))*(1-$T102)+(1*$T102))</f>
        <v>0.3172255594785679</v>
      </c>
      <c r="AA102" s="20">
        <f t="shared" si="101"/>
        <v>1.0867501362048135</v>
      </c>
      <c r="AB102" s="20">
        <f t="shared" si="101"/>
        <v>2.5975936842641056</v>
      </c>
      <c r="AC102" s="20">
        <f t="shared" si="101"/>
        <v>1.7492511063502925</v>
      </c>
      <c r="AD102" s="20">
        <f t="shared" ref="AD102:AD107" si="102">SUM(Z102:AC102)</f>
        <v>5.750820486297779</v>
      </c>
      <c r="AE102" s="20">
        <f t="shared" ref="AE102:AH107" si="103">IF(K102&gt;0,((E102-K102)*$Q102*$S102*10)+(K102*$P$12*$Q102*$S102)*10,(E102*$Q102*$S102*10))</f>
        <v>6.2643609454257767</v>
      </c>
      <c r="AF102" s="20">
        <f t="shared" si="103"/>
        <v>21.247526835459674</v>
      </c>
      <c r="AG102" s="20">
        <f t="shared" si="103"/>
        <v>50.601745973997112</v>
      </c>
      <c r="AH102" s="20">
        <f t="shared" si="103"/>
        <v>35.318280526039565</v>
      </c>
      <c r="AI102" s="20">
        <f t="shared" ref="AI102:AL107" si="104">AE102*(EXP(1.01-0.34*LN(AI$8))*(1-$T102)+(1*$T102))</f>
        <v>4.6450885495076015</v>
      </c>
      <c r="AJ102" s="20">
        <f t="shared" si="104"/>
        <v>15.913126994427621</v>
      </c>
      <c r="AK102" s="20">
        <f t="shared" si="104"/>
        <v>38.036193233867252</v>
      </c>
      <c r="AL102" s="20">
        <f t="shared" si="104"/>
        <v>25.614034057272136</v>
      </c>
      <c r="AM102" s="20">
        <f t="shared" ref="AM102:AM107" si="105">SUM(AI102:AL102)</f>
        <v>84.208442835074607</v>
      </c>
      <c r="AO102">
        <f t="shared" ref="AO102:AR107" si="106">Z102*AO$10</f>
        <v>0.44015511575756999</v>
      </c>
      <c r="AP102">
        <f t="shared" si="106"/>
        <v>1.6056354430079089</v>
      </c>
      <c r="AQ102">
        <f t="shared" si="106"/>
        <v>3.6803192211438502</v>
      </c>
      <c r="AR102">
        <f t="shared" si="106"/>
        <v>2.6486741614558418</v>
      </c>
      <c r="AS102">
        <f t="shared" ref="AS102:AS107" si="107">SUM(AO102:AR102)</f>
        <v>8.3747839413651715</v>
      </c>
      <c r="AU102">
        <f t="shared" ref="AU102:AX107" si="108">AI102*AU$10</f>
        <v>6.4451284807358471</v>
      </c>
      <c r="AV102">
        <f t="shared" si="108"/>
        <v>23.511090415472946</v>
      </c>
      <c r="AW102">
        <f t="shared" si="108"/>
        <v>53.890388595320651</v>
      </c>
      <c r="AX102">
        <f t="shared" si="108"/>
        <v>38.784157364174824</v>
      </c>
      <c r="AY102">
        <f t="shared" ref="AY102:AY107" si="109">SUM(AU102:AX102)</f>
        <v>122.63076485570426</v>
      </c>
    </row>
    <row r="103" spans="1:51" ht="15" x14ac:dyDescent="0.25">
      <c r="A103" s="1"/>
      <c r="B103" s="2"/>
      <c r="C103" s="1" t="s">
        <v>9</v>
      </c>
      <c r="D103" s="285">
        <v>0</v>
      </c>
      <c r="E103" s="286">
        <v>0</v>
      </c>
      <c r="F103" s="286">
        <v>0</v>
      </c>
      <c r="G103" s="286">
        <v>0</v>
      </c>
      <c r="H103" s="287">
        <v>3.3619200000000002E-2</v>
      </c>
      <c r="J103">
        <v>0</v>
      </c>
      <c r="K103">
        <v>0</v>
      </c>
      <c r="L103">
        <v>-1.0335454985200001</v>
      </c>
      <c r="M103">
        <v>-1.1748921289900001</v>
      </c>
      <c r="N103">
        <v>-2.7248169904819997</v>
      </c>
      <c r="O103" s="20"/>
      <c r="P103" s="20"/>
      <c r="Q103" s="147">
        <v>5.7280417079429234E-2</v>
      </c>
      <c r="R103" s="197">
        <v>0.14000000000000001</v>
      </c>
      <c r="S103" s="197">
        <v>2.0499999999999998</v>
      </c>
      <c r="T103" s="197">
        <v>0.62857142857142845</v>
      </c>
      <c r="U103" s="197">
        <v>0.90789473684210531</v>
      </c>
      <c r="V103" s="20">
        <f t="shared" si="100"/>
        <v>0</v>
      </c>
      <c r="W103" s="20">
        <f t="shared" si="100"/>
        <v>0</v>
      </c>
      <c r="X103" s="20">
        <f t="shared" si="100"/>
        <v>0</v>
      </c>
      <c r="Y103" s="20">
        <f t="shared" si="100"/>
        <v>2.6960105170274465E-3</v>
      </c>
      <c r="Z103" s="20">
        <f t="shared" si="101"/>
        <v>0</v>
      </c>
      <c r="AA103" s="20">
        <f t="shared" si="101"/>
        <v>0</v>
      </c>
      <c r="AB103" s="20">
        <f t="shared" si="101"/>
        <v>0</v>
      </c>
      <c r="AC103" s="20">
        <f t="shared" si="101"/>
        <v>1.9552397277945418E-3</v>
      </c>
      <c r="AD103" s="20">
        <f t="shared" si="102"/>
        <v>1.9552397277945418E-3</v>
      </c>
      <c r="AE103" s="20">
        <f t="shared" si="103"/>
        <v>0</v>
      </c>
      <c r="AF103" s="20">
        <f t="shared" si="103"/>
        <v>0</v>
      </c>
      <c r="AG103" s="20">
        <f t="shared" si="103"/>
        <v>0</v>
      </c>
      <c r="AH103" s="20">
        <f t="shared" si="103"/>
        <v>3.9477296856473318E-2</v>
      </c>
      <c r="AI103" s="20">
        <f t="shared" si="104"/>
        <v>0</v>
      </c>
      <c r="AJ103" s="20">
        <f t="shared" si="104"/>
        <v>0</v>
      </c>
      <c r="AK103" s="20">
        <f t="shared" si="104"/>
        <v>0</v>
      </c>
      <c r="AL103" s="20">
        <f t="shared" si="104"/>
        <v>2.863029601413436E-2</v>
      </c>
      <c r="AM103" s="20">
        <f t="shared" si="105"/>
        <v>2.863029601413436E-2</v>
      </c>
      <c r="AO103">
        <f t="shared" si="106"/>
        <v>0</v>
      </c>
      <c r="AP103">
        <f t="shared" si="106"/>
        <v>0</v>
      </c>
      <c r="AQ103">
        <f t="shared" si="106"/>
        <v>0</v>
      </c>
      <c r="AR103">
        <f t="shared" si="106"/>
        <v>2.9605772022443348E-3</v>
      </c>
      <c r="AS103">
        <f t="shared" si="107"/>
        <v>2.9605772022443348E-3</v>
      </c>
      <c r="AU103">
        <f t="shared" si="108"/>
        <v>0</v>
      </c>
      <c r="AV103">
        <f t="shared" si="108"/>
        <v>0</v>
      </c>
      <c r="AW103">
        <f t="shared" si="108"/>
        <v>0</v>
      </c>
      <c r="AX103">
        <f t="shared" si="108"/>
        <v>4.3351309032863473E-2</v>
      </c>
      <c r="AY103">
        <f t="shared" si="109"/>
        <v>4.3351309032863473E-2</v>
      </c>
    </row>
    <row r="104" spans="1:51" ht="15" x14ac:dyDescent="0.25">
      <c r="A104" s="1"/>
      <c r="B104" s="2"/>
      <c r="C104" s="1" t="s">
        <v>10</v>
      </c>
      <c r="D104" s="285">
        <v>0</v>
      </c>
      <c r="E104" s="286">
        <v>1.44915974</v>
      </c>
      <c r="F104" s="286">
        <v>0</v>
      </c>
      <c r="G104" s="286">
        <v>5.3939721399999998</v>
      </c>
      <c r="H104" s="287">
        <v>3.2603515299999999</v>
      </c>
      <c r="J104">
        <v>0</v>
      </c>
      <c r="K104">
        <v>1.44915974</v>
      </c>
      <c r="L104">
        <v>0</v>
      </c>
      <c r="M104">
        <v>-2.5238044438285199</v>
      </c>
      <c r="N104">
        <v>-5.7941604503700024</v>
      </c>
      <c r="O104" s="20"/>
      <c r="P104" s="20"/>
      <c r="Q104" s="147">
        <v>8.1420625619143844E-2</v>
      </c>
      <c r="R104" s="197">
        <v>0.14000000000000001</v>
      </c>
      <c r="S104" s="197">
        <v>2.0499999999999998</v>
      </c>
      <c r="T104" s="197">
        <v>0.62857142857142845</v>
      </c>
      <c r="U104" s="197">
        <v>0.90789473684210531</v>
      </c>
      <c r="V104" s="20">
        <f t="shared" si="100"/>
        <v>6.0748257835080324E-2</v>
      </c>
      <c r="W104" s="20">
        <f t="shared" si="100"/>
        <v>0</v>
      </c>
      <c r="X104" s="20">
        <f t="shared" si="100"/>
        <v>0.614852820695445</v>
      </c>
      <c r="Y104" s="20">
        <f t="shared" si="100"/>
        <v>0.37164380583530598</v>
      </c>
      <c r="Z104" s="20">
        <f t="shared" si="101"/>
        <v>4.5045462630679836E-2</v>
      </c>
      <c r="AA104" s="20">
        <f t="shared" si="101"/>
        <v>0</v>
      </c>
      <c r="AB104" s="20">
        <f t="shared" si="101"/>
        <v>0.46217102292039614</v>
      </c>
      <c r="AC104" s="20">
        <f t="shared" si="101"/>
        <v>0.26952889433055338</v>
      </c>
      <c r="AD104" s="20">
        <f t="shared" si="102"/>
        <v>0.77674537988162939</v>
      </c>
      <c r="AE104" s="20">
        <f t="shared" si="103"/>
        <v>1.4008149487049266</v>
      </c>
      <c r="AF104" s="20">
        <f t="shared" si="103"/>
        <v>0</v>
      </c>
      <c r="AG104" s="20">
        <f t="shared" si="103"/>
        <v>9.0032020173261564</v>
      </c>
      <c r="AH104" s="20">
        <f t="shared" si="103"/>
        <v>5.4419271568741223</v>
      </c>
      <c r="AI104" s="20">
        <f t="shared" si="104"/>
        <v>1.0387187990755329</v>
      </c>
      <c r="AJ104" s="20">
        <f t="shared" si="104"/>
        <v>0</v>
      </c>
      <c r="AK104" s="20">
        <f t="shared" si="104"/>
        <v>6.7675042641915129</v>
      </c>
      <c r="AL104" s="20">
        <f t="shared" si="104"/>
        <v>3.9466730955545311</v>
      </c>
      <c r="AM104" s="20">
        <f t="shared" si="105"/>
        <v>11.752896158821578</v>
      </c>
      <c r="AO104">
        <f t="shared" si="106"/>
        <v>6.2501239973066267E-2</v>
      </c>
      <c r="AP104">
        <f t="shared" si="106"/>
        <v>0</v>
      </c>
      <c r="AQ104">
        <f t="shared" si="106"/>
        <v>0.65481253261959704</v>
      </c>
      <c r="AR104">
        <f t="shared" si="106"/>
        <v>0.40811420132161363</v>
      </c>
      <c r="AS104">
        <f t="shared" si="107"/>
        <v>1.125427973914277</v>
      </c>
      <c r="AU104">
        <f t="shared" si="108"/>
        <v>1.4412375660970156</v>
      </c>
      <c r="AV104">
        <f t="shared" si="108"/>
        <v>0</v>
      </c>
      <c r="AW104">
        <f t="shared" si="108"/>
        <v>9.5883263705012389</v>
      </c>
      <c r="AX104">
        <f t="shared" si="108"/>
        <v>5.9759579479236278</v>
      </c>
      <c r="AY104">
        <f t="shared" si="109"/>
        <v>17.005521884521883</v>
      </c>
    </row>
    <row r="105" spans="1:51" ht="15" x14ac:dyDescent="0.25">
      <c r="A105" s="1"/>
      <c r="B105" s="2"/>
      <c r="C105" s="1" t="s">
        <v>11</v>
      </c>
      <c r="D105" s="285">
        <v>0</v>
      </c>
      <c r="E105" s="286">
        <v>0</v>
      </c>
      <c r="F105" s="286">
        <v>0</v>
      </c>
      <c r="G105" s="286">
        <v>1.7548434500000001</v>
      </c>
      <c r="H105" s="287">
        <v>0</v>
      </c>
      <c r="J105">
        <v>0</v>
      </c>
      <c r="K105">
        <v>-0.73104295607799996</v>
      </c>
      <c r="L105">
        <v>0</v>
      </c>
      <c r="M105">
        <v>-0.88823641849249979</v>
      </c>
      <c r="N105">
        <v>-0.520974599426</v>
      </c>
      <c r="O105" s="20"/>
      <c r="P105" s="20"/>
      <c r="Q105" s="147">
        <v>0.10556083415885845</v>
      </c>
      <c r="R105" s="197">
        <v>0.14000000000000001</v>
      </c>
      <c r="S105" s="197">
        <v>2.0499999999999998</v>
      </c>
      <c r="T105" s="197">
        <v>0.62857142857142845</v>
      </c>
      <c r="U105" s="197">
        <v>0.90789473684210531</v>
      </c>
      <c r="V105" s="20">
        <f t="shared" si="100"/>
        <v>0</v>
      </c>
      <c r="W105" s="20">
        <f t="shared" si="100"/>
        <v>0</v>
      </c>
      <c r="X105" s="20">
        <f t="shared" si="100"/>
        <v>0.25933983376029263</v>
      </c>
      <c r="Y105" s="20">
        <f t="shared" si="100"/>
        <v>0</v>
      </c>
      <c r="Z105" s="20">
        <f t="shared" si="101"/>
        <v>0</v>
      </c>
      <c r="AA105" s="20">
        <f t="shared" si="101"/>
        <v>0</v>
      </c>
      <c r="AB105" s="20">
        <f t="shared" si="101"/>
        <v>0.19493991442932623</v>
      </c>
      <c r="AC105" s="20">
        <f t="shared" si="101"/>
        <v>0</v>
      </c>
      <c r="AD105" s="20">
        <f t="shared" si="102"/>
        <v>0.19493991442932623</v>
      </c>
      <c r="AE105" s="20">
        <f t="shared" si="103"/>
        <v>0</v>
      </c>
      <c r="AF105" s="20">
        <f t="shared" si="103"/>
        <v>0</v>
      </c>
      <c r="AG105" s="20">
        <f t="shared" si="103"/>
        <v>3.7974761372042849</v>
      </c>
      <c r="AH105" s="20">
        <f t="shared" si="103"/>
        <v>0</v>
      </c>
      <c r="AI105" s="20">
        <f t="shared" si="104"/>
        <v>0</v>
      </c>
      <c r="AJ105" s="20">
        <f t="shared" si="104"/>
        <v>0</v>
      </c>
      <c r="AK105" s="20">
        <f t="shared" si="104"/>
        <v>2.8544773184294199</v>
      </c>
      <c r="AL105" s="20">
        <f t="shared" si="104"/>
        <v>0</v>
      </c>
      <c r="AM105" s="20">
        <f t="shared" si="105"/>
        <v>2.8544773184294199</v>
      </c>
      <c r="AO105">
        <f t="shared" si="106"/>
        <v>0</v>
      </c>
      <c r="AP105">
        <f t="shared" si="106"/>
        <v>0</v>
      </c>
      <c r="AQ105">
        <f t="shared" si="106"/>
        <v>0.276194509706639</v>
      </c>
      <c r="AR105">
        <f t="shared" si="106"/>
        <v>0</v>
      </c>
      <c r="AS105">
        <f t="shared" si="107"/>
        <v>0.276194509706639</v>
      </c>
      <c r="AU105">
        <f t="shared" si="108"/>
        <v>0</v>
      </c>
      <c r="AV105">
        <f t="shared" si="108"/>
        <v>0</v>
      </c>
      <c r="AW105">
        <f t="shared" si="108"/>
        <v>4.0442767492757854</v>
      </c>
      <c r="AX105">
        <f t="shared" si="108"/>
        <v>0</v>
      </c>
      <c r="AY105">
        <f t="shared" si="109"/>
        <v>4.0442767492757854</v>
      </c>
    </row>
    <row r="106" spans="1:51" ht="15" x14ac:dyDescent="0.25">
      <c r="A106" s="1"/>
      <c r="B106" s="2"/>
      <c r="C106" s="1" t="s">
        <v>12</v>
      </c>
      <c r="D106" s="285">
        <v>0</v>
      </c>
      <c r="E106" s="286">
        <v>0</v>
      </c>
      <c r="F106" s="286">
        <v>8.2555900000000002E-3</v>
      </c>
      <c r="G106" s="286">
        <v>0</v>
      </c>
      <c r="H106" s="287">
        <v>0</v>
      </c>
      <c r="J106">
        <v>0</v>
      </c>
      <c r="K106">
        <v>0</v>
      </c>
      <c r="L106">
        <v>-0.153616287957</v>
      </c>
      <c r="M106">
        <v>0</v>
      </c>
      <c r="N106">
        <v>0</v>
      </c>
      <c r="O106" s="20"/>
      <c r="P106" s="20"/>
      <c r="Q106" s="147">
        <v>0.10556083415885846</v>
      </c>
      <c r="R106" s="197">
        <v>0.14000000000000001</v>
      </c>
      <c r="S106" s="197">
        <v>2.0499999999999998</v>
      </c>
      <c r="T106" s="197">
        <v>0.62857142857142845</v>
      </c>
      <c r="U106" s="197">
        <v>0.90789473684210531</v>
      </c>
      <c r="V106" s="20">
        <f t="shared" si="100"/>
        <v>0</v>
      </c>
      <c r="W106" s="20">
        <f t="shared" si="100"/>
        <v>1.2200537536229427E-3</v>
      </c>
      <c r="X106" s="20">
        <f t="shared" si="100"/>
        <v>0</v>
      </c>
      <c r="Y106" s="20">
        <f t="shared" si="100"/>
        <v>0</v>
      </c>
      <c r="Z106" s="20">
        <f t="shared" si="101"/>
        <v>0</v>
      </c>
      <c r="AA106" s="20">
        <f t="shared" si="101"/>
        <v>9.1374730206382493E-4</v>
      </c>
      <c r="AB106" s="20">
        <f t="shared" si="101"/>
        <v>0</v>
      </c>
      <c r="AC106" s="20">
        <f t="shared" si="101"/>
        <v>0</v>
      </c>
      <c r="AD106" s="20">
        <f t="shared" si="102"/>
        <v>9.1374730206382493E-4</v>
      </c>
      <c r="AE106" s="20">
        <f t="shared" si="103"/>
        <v>0</v>
      </c>
      <c r="AF106" s="20">
        <f t="shared" si="103"/>
        <v>1.7865072820907369E-2</v>
      </c>
      <c r="AG106" s="20">
        <f t="shared" si="103"/>
        <v>0</v>
      </c>
      <c r="AH106" s="20">
        <f t="shared" si="103"/>
        <v>0</v>
      </c>
      <c r="AI106" s="20">
        <f t="shared" si="104"/>
        <v>0</v>
      </c>
      <c r="AJ106" s="20">
        <f t="shared" si="104"/>
        <v>1.3379871208791716E-2</v>
      </c>
      <c r="AK106" s="20">
        <f t="shared" si="104"/>
        <v>0</v>
      </c>
      <c r="AL106" s="20">
        <f t="shared" si="104"/>
        <v>0</v>
      </c>
      <c r="AM106" s="20">
        <f t="shared" si="105"/>
        <v>1.3379871208791716E-2</v>
      </c>
      <c r="AO106">
        <f t="shared" si="106"/>
        <v>0</v>
      </c>
      <c r="AP106">
        <f t="shared" si="106"/>
        <v>1.3500297863040956E-3</v>
      </c>
      <c r="AQ106">
        <f t="shared" si="106"/>
        <v>0</v>
      </c>
      <c r="AR106">
        <f t="shared" si="106"/>
        <v>0</v>
      </c>
      <c r="AS106">
        <f t="shared" si="107"/>
        <v>1.3500297863040956E-3</v>
      </c>
      <c r="AU106">
        <f t="shared" si="108"/>
        <v>0</v>
      </c>
      <c r="AV106">
        <f t="shared" si="108"/>
        <v>1.9768293299452819E-2</v>
      </c>
      <c r="AW106">
        <f t="shared" si="108"/>
        <v>0</v>
      </c>
      <c r="AX106">
        <f t="shared" si="108"/>
        <v>0</v>
      </c>
      <c r="AY106">
        <f t="shared" si="109"/>
        <v>1.9768293299452819E-2</v>
      </c>
    </row>
    <row r="107" spans="1:51" ht="15" x14ac:dyDescent="0.25">
      <c r="A107" s="1"/>
      <c r="B107" s="2"/>
      <c r="C107" s="1" t="s">
        <v>13</v>
      </c>
      <c r="D107" s="285">
        <v>0</v>
      </c>
      <c r="E107" s="286">
        <v>0</v>
      </c>
      <c r="F107" s="286">
        <v>0</v>
      </c>
      <c r="G107" s="286">
        <v>0</v>
      </c>
      <c r="H107" s="28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0"/>
      <c r="P107" s="20"/>
      <c r="Q107" s="147"/>
      <c r="R107" s="197">
        <v>0.14000000000000001</v>
      </c>
      <c r="S107" s="197">
        <v>2.0499999999999998</v>
      </c>
      <c r="T107" s="197">
        <v>0.62857142857142845</v>
      </c>
      <c r="U107" s="197">
        <v>0.90789473684210531</v>
      </c>
      <c r="V107" s="20">
        <f t="shared" si="100"/>
        <v>0</v>
      </c>
      <c r="W107" s="20">
        <f t="shared" si="100"/>
        <v>0</v>
      </c>
      <c r="X107" s="20">
        <f t="shared" si="100"/>
        <v>0</v>
      </c>
      <c r="Y107" s="20">
        <f t="shared" si="100"/>
        <v>0</v>
      </c>
      <c r="Z107" s="20">
        <f t="shared" si="101"/>
        <v>0</v>
      </c>
      <c r="AA107" s="20">
        <f t="shared" si="101"/>
        <v>0</v>
      </c>
      <c r="AB107" s="20">
        <f t="shared" si="101"/>
        <v>0</v>
      </c>
      <c r="AC107" s="20">
        <f t="shared" si="101"/>
        <v>0</v>
      </c>
      <c r="AD107" s="20">
        <f t="shared" si="102"/>
        <v>0</v>
      </c>
      <c r="AE107" s="20">
        <f t="shared" si="103"/>
        <v>0</v>
      </c>
      <c r="AF107" s="20">
        <f t="shared" si="103"/>
        <v>0</v>
      </c>
      <c r="AG107" s="20">
        <f t="shared" si="103"/>
        <v>0</v>
      </c>
      <c r="AH107" s="20">
        <f t="shared" si="103"/>
        <v>0</v>
      </c>
      <c r="AI107" s="20">
        <f t="shared" si="104"/>
        <v>0</v>
      </c>
      <c r="AJ107" s="20">
        <f t="shared" si="104"/>
        <v>0</v>
      </c>
      <c r="AK107" s="20">
        <f t="shared" si="104"/>
        <v>0</v>
      </c>
      <c r="AL107" s="20">
        <f t="shared" si="104"/>
        <v>0</v>
      </c>
      <c r="AM107" s="20">
        <f t="shared" si="105"/>
        <v>0</v>
      </c>
      <c r="AO107">
        <f t="shared" si="106"/>
        <v>0</v>
      </c>
      <c r="AP107">
        <f t="shared" si="106"/>
        <v>0</v>
      </c>
      <c r="AQ107">
        <f t="shared" si="106"/>
        <v>0</v>
      </c>
      <c r="AR107">
        <f t="shared" si="106"/>
        <v>0</v>
      </c>
      <c r="AS107">
        <f t="shared" si="107"/>
        <v>0</v>
      </c>
      <c r="AU107">
        <f t="shared" si="108"/>
        <v>0</v>
      </c>
      <c r="AV107">
        <f t="shared" si="108"/>
        <v>0</v>
      </c>
      <c r="AW107">
        <f t="shared" si="108"/>
        <v>0</v>
      </c>
      <c r="AX107">
        <f t="shared" si="108"/>
        <v>0</v>
      </c>
      <c r="AY107">
        <f t="shared" si="109"/>
        <v>0</v>
      </c>
    </row>
    <row r="108" spans="1:51" ht="15" x14ac:dyDescent="0.25">
      <c r="A108" s="7"/>
      <c r="B108" s="8" t="s">
        <v>14</v>
      </c>
      <c r="C108" s="7"/>
      <c r="D108" s="288">
        <f>SUM(D102:D107)</f>
        <v>0</v>
      </c>
      <c r="E108" s="289">
        <f>SUM(E102:E107)</f>
        <v>10.66994006</v>
      </c>
      <c r="F108" s="289">
        <f>SUM(F102:F107)</f>
        <v>31.28339746</v>
      </c>
      <c r="G108" s="289">
        <f>SUM(G102:G107)</f>
        <v>81.631685829999995</v>
      </c>
      <c r="H108" s="290">
        <f>SUM(H102:H107)</f>
        <v>55.280455679999996</v>
      </c>
      <c r="J108">
        <v>0</v>
      </c>
      <c r="K108">
        <v>-40.452372311718008</v>
      </c>
      <c r="L108">
        <v>-35.730916517076999</v>
      </c>
      <c r="M108">
        <v>-55.825231039080009</v>
      </c>
      <c r="N108">
        <v>-80.738899197370017</v>
      </c>
      <c r="O108" s="20"/>
      <c r="P108" s="20"/>
      <c r="Q108" s="147"/>
      <c r="R108" s="197"/>
      <c r="S108" s="197"/>
      <c r="T108" s="197"/>
      <c r="U108" s="197"/>
    </row>
    <row r="109" spans="1:51" ht="15" x14ac:dyDescent="0.25">
      <c r="A109" s="10"/>
      <c r="B109" s="9" t="s">
        <v>15</v>
      </c>
      <c r="C109" s="5"/>
      <c r="D109" s="291"/>
      <c r="E109" s="292"/>
      <c r="F109" s="292"/>
      <c r="G109" s="292"/>
      <c r="H109" s="293">
        <f>SUM(D108:H108)</f>
        <v>178.86547902999999</v>
      </c>
      <c r="N109">
        <v>-212.74741906524503</v>
      </c>
      <c r="O109" s="20"/>
      <c r="P109" s="20"/>
      <c r="Q109" s="147"/>
      <c r="R109" s="197"/>
      <c r="S109" s="197"/>
      <c r="T109" s="197"/>
      <c r="U109" s="197"/>
    </row>
    <row r="110" spans="1:51" ht="15.75" thickBot="1" x14ac:dyDescent="0.3">
      <c r="A110" s="1"/>
      <c r="B110" s="2"/>
      <c r="C110" s="1"/>
      <c r="D110" s="294"/>
      <c r="E110" s="295"/>
      <c r="F110" s="295"/>
      <c r="G110" s="295"/>
      <c r="H110" s="296"/>
      <c r="O110" s="20"/>
      <c r="P110" s="20"/>
      <c r="Q110" s="147"/>
      <c r="R110" s="197"/>
      <c r="S110" s="197"/>
      <c r="T110" s="197"/>
      <c r="U110" s="197"/>
    </row>
    <row r="111" spans="1:51" ht="15" x14ac:dyDescent="0.25">
      <c r="A111" s="1">
        <v>12</v>
      </c>
      <c r="B111" s="2" t="s">
        <v>26</v>
      </c>
      <c r="C111" s="1" t="s">
        <v>8</v>
      </c>
      <c r="D111" s="285">
        <v>0</v>
      </c>
      <c r="E111" s="286">
        <v>0</v>
      </c>
      <c r="F111" s="286">
        <v>0</v>
      </c>
      <c r="G111" s="286">
        <v>0</v>
      </c>
      <c r="H111" s="287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 s="20"/>
      <c r="P111" s="20"/>
      <c r="Q111" s="147"/>
      <c r="R111" s="197">
        <v>6.531704360902256</v>
      </c>
      <c r="S111" s="197">
        <v>78.227142857142866</v>
      </c>
      <c r="T111" s="197">
        <v>0.5825685654008439</v>
      </c>
      <c r="U111" s="197">
        <v>0.90789473684210531</v>
      </c>
      <c r="V111" s="20">
        <f t="shared" ref="V111:Y116" si="110">IF(K111&gt;0,((E111-K111)*$Q111*$R111*10)+(K111*$O$12*$Q111*$R111*10),(E111*$Q111*$R111*10))</f>
        <v>0</v>
      </c>
      <c r="W111" s="20">
        <f t="shared" si="110"/>
        <v>0</v>
      </c>
      <c r="X111" s="20">
        <f t="shared" si="110"/>
        <v>0</v>
      </c>
      <c r="Y111" s="20">
        <f t="shared" si="110"/>
        <v>0</v>
      </c>
      <c r="Z111" s="20">
        <f t="shared" ref="Z111:AC116" si="111">V111*(EXP(1.01-0.34*LN(Z$8))*(1-$T111)+(1*$T111))</f>
        <v>0</v>
      </c>
      <c r="AA111" s="20">
        <f t="shared" si="111"/>
        <v>0</v>
      </c>
      <c r="AB111" s="20">
        <f t="shared" si="111"/>
        <v>0</v>
      </c>
      <c r="AC111" s="20">
        <f t="shared" si="111"/>
        <v>0</v>
      </c>
      <c r="AD111" s="20">
        <f t="shared" ref="AD111:AD116" si="112">SUM(Z111:AC111)</f>
        <v>0</v>
      </c>
      <c r="AE111" s="20">
        <f t="shared" ref="AE111:AH116" si="113">IF(K111&gt;0,((E111-K111)*$Q111*$S111*10)+(K111*$P$12*$Q111*$S111)*10,(E111*$Q111*$S111*10))</f>
        <v>0</v>
      </c>
      <c r="AF111" s="20">
        <f t="shared" si="113"/>
        <v>0</v>
      </c>
      <c r="AG111" s="20">
        <f t="shared" si="113"/>
        <v>0</v>
      </c>
      <c r="AH111" s="20">
        <f t="shared" si="113"/>
        <v>0</v>
      </c>
      <c r="AI111" s="20">
        <f t="shared" ref="AI111:AL116" si="114">AE111*(EXP(1.01-0.34*LN(AI$8))*(1-$T111)+(1*$T111))</f>
        <v>0</v>
      </c>
      <c r="AJ111" s="20">
        <f t="shared" si="114"/>
        <v>0</v>
      </c>
      <c r="AK111" s="20">
        <f t="shared" si="114"/>
        <v>0</v>
      </c>
      <c r="AL111" s="20">
        <f t="shared" si="114"/>
        <v>0</v>
      </c>
      <c r="AM111" s="20">
        <f t="shared" ref="AM111:AM116" si="115">SUM(AI111:AL111)</f>
        <v>0</v>
      </c>
      <c r="AO111">
        <f t="shared" ref="AO111:AR116" si="116">Z111*AO$10</f>
        <v>0</v>
      </c>
      <c r="AP111">
        <f t="shared" si="116"/>
        <v>0</v>
      </c>
      <c r="AQ111">
        <f t="shared" si="116"/>
        <v>0</v>
      </c>
      <c r="AR111">
        <f t="shared" si="116"/>
        <v>0</v>
      </c>
      <c r="AS111">
        <f t="shared" ref="AS111:AS116" si="117">SUM(AO111:AR111)</f>
        <v>0</v>
      </c>
      <c r="AU111">
        <f t="shared" ref="AU111:AX116" si="118">AI111*AU$10</f>
        <v>0</v>
      </c>
      <c r="AV111">
        <f t="shared" si="118"/>
        <v>0</v>
      </c>
      <c r="AW111">
        <f t="shared" si="118"/>
        <v>0</v>
      </c>
      <c r="AX111">
        <f t="shared" si="118"/>
        <v>0</v>
      </c>
      <c r="AY111">
        <f t="shared" ref="AY111:AY116" si="119">SUM(AU111:AX111)</f>
        <v>0</v>
      </c>
    </row>
    <row r="112" spans="1:51" ht="15" x14ac:dyDescent="0.25">
      <c r="A112" s="1"/>
      <c r="B112" s="2"/>
      <c r="C112" s="1" t="s">
        <v>9</v>
      </c>
      <c r="D112" s="285">
        <v>0</v>
      </c>
      <c r="E112" s="286">
        <v>0</v>
      </c>
      <c r="F112" s="286">
        <v>0</v>
      </c>
      <c r="G112" s="286">
        <v>0</v>
      </c>
      <c r="H112" s="287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 s="20"/>
      <c r="P112" s="20"/>
      <c r="Q112" s="147"/>
      <c r="R112" s="197">
        <v>6.531704360902256</v>
      </c>
      <c r="S112" s="197">
        <v>78.227142857142866</v>
      </c>
      <c r="T112" s="197">
        <v>0.5825685654008439</v>
      </c>
      <c r="U112" s="197">
        <v>0.90789473684210531</v>
      </c>
      <c r="V112" s="20">
        <f t="shared" si="110"/>
        <v>0</v>
      </c>
      <c r="W112" s="20">
        <f t="shared" si="110"/>
        <v>0</v>
      </c>
      <c r="X112" s="20">
        <f t="shared" si="110"/>
        <v>0</v>
      </c>
      <c r="Y112" s="20">
        <f t="shared" si="110"/>
        <v>0</v>
      </c>
      <c r="Z112" s="20">
        <f t="shared" si="111"/>
        <v>0</v>
      </c>
      <c r="AA112" s="20">
        <f t="shared" si="111"/>
        <v>0</v>
      </c>
      <c r="AB112" s="20">
        <f t="shared" si="111"/>
        <v>0</v>
      </c>
      <c r="AC112" s="20">
        <f t="shared" si="111"/>
        <v>0</v>
      </c>
      <c r="AD112" s="20">
        <f t="shared" si="112"/>
        <v>0</v>
      </c>
      <c r="AE112" s="20">
        <f t="shared" si="113"/>
        <v>0</v>
      </c>
      <c r="AF112" s="20">
        <f t="shared" si="113"/>
        <v>0</v>
      </c>
      <c r="AG112" s="20">
        <f t="shared" si="113"/>
        <v>0</v>
      </c>
      <c r="AH112" s="20">
        <f t="shared" si="113"/>
        <v>0</v>
      </c>
      <c r="AI112" s="20">
        <f t="shared" si="114"/>
        <v>0</v>
      </c>
      <c r="AJ112" s="20">
        <f t="shared" si="114"/>
        <v>0</v>
      </c>
      <c r="AK112" s="20">
        <f t="shared" si="114"/>
        <v>0</v>
      </c>
      <c r="AL112" s="20">
        <f t="shared" si="114"/>
        <v>0</v>
      </c>
      <c r="AM112" s="20">
        <f t="shared" si="115"/>
        <v>0</v>
      </c>
      <c r="AO112">
        <f t="shared" si="116"/>
        <v>0</v>
      </c>
      <c r="AP112">
        <f t="shared" si="116"/>
        <v>0</v>
      </c>
      <c r="AQ112">
        <f t="shared" si="116"/>
        <v>0</v>
      </c>
      <c r="AR112">
        <f t="shared" si="116"/>
        <v>0</v>
      </c>
      <c r="AS112">
        <f t="shared" si="117"/>
        <v>0</v>
      </c>
      <c r="AU112">
        <f t="shared" si="118"/>
        <v>0</v>
      </c>
      <c r="AV112">
        <f t="shared" si="118"/>
        <v>0</v>
      </c>
      <c r="AW112">
        <f t="shared" si="118"/>
        <v>0</v>
      </c>
      <c r="AX112">
        <f t="shared" si="118"/>
        <v>0</v>
      </c>
      <c r="AY112">
        <f t="shared" si="119"/>
        <v>0</v>
      </c>
    </row>
    <row r="113" spans="1:51" ht="15" x14ac:dyDescent="0.25">
      <c r="A113" s="1"/>
      <c r="B113" s="2"/>
      <c r="C113" s="1" t="s">
        <v>10</v>
      </c>
      <c r="D113" s="285">
        <v>0</v>
      </c>
      <c r="E113" s="286">
        <v>0</v>
      </c>
      <c r="F113" s="286">
        <v>0</v>
      </c>
      <c r="G113" s="286">
        <v>0</v>
      </c>
      <c r="H113" s="287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 s="20"/>
      <c r="P113" s="20"/>
      <c r="Q113" s="147"/>
      <c r="R113" s="197">
        <v>6.531704360902256</v>
      </c>
      <c r="S113" s="197">
        <v>78.227142857142866</v>
      </c>
      <c r="T113" s="197">
        <v>0.5825685654008439</v>
      </c>
      <c r="U113" s="197">
        <v>0.90789473684210531</v>
      </c>
      <c r="V113" s="20">
        <f t="shared" si="110"/>
        <v>0</v>
      </c>
      <c r="W113" s="20">
        <f t="shared" si="110"/>
        <v>0</v>
      </c>
      <c r="X113" s="20">
        <f t="shared" si="110"/>
        <v>0</v>
      </c>
      <c r="Y113" s="20">
        <f t="shared" si="110"/>
        <v>0</v>
      </c>
      <c r="Z113" s="20">
        <f t="shared" si="111"/>
        <v>0</v>
      </c>
      <c r="AA113" s="20">
        <f t="shared" si="111"/>
        <v>0</v>
      </c>
      <c r="AB113" s="20">
        <f t="shared" si="111"/>
        <v>0</v>
      </c>
      <c r="AC113" s="20">
        <f t="shared" si="111"/>
        <v>0</v>
      </c>
      <c r="AD113" s="20">
        <f t="shared" si="112"/>
        <v>0</v>
      </c>
      <c r="AE113" s="20">
        <f t="shared" si="113"/>
        <v>0</v>
      </c>
      <c r="AF113" s="20">
        <f t="shared" si="113"/>
        <v>0</v>
      </c>
      <c r="AG113" s="20">
        <f t="shared" si="113"/>
        <v>0</v>
      </c>
      <c r="AH113" s="20">
        <f t="shared" si="113"/>
        <v>0</v>
      </c>
      <c r="AI113" s="20">
        <f t="shared" si="114"/>
        <v>0</v>
      </c>
      <c r="AJ113" s="20">
        <f t="shared" si="114"/>
        <v>0</v>
      </c>
      <c r="AK113" s="20">
        <f t="shared" si="114"/>
        <v>0</v>
      </c>
      <c r="AL113" s="20">
        <f t="shared" si="114"/>
        <v>0</v>
      </c>
      <c r="AM113" s="20">
        <f t="shared" si="115"/>
        <v>0</v>
      </c>
      <c r="AO113">
        <f t="shared" si="116"/>
        <v>0</v>
      </c>
      <c r="AP113">
        <f t="shared" si="116"/>
        <v>0</v>
      </c>
      <c r="AQ113">
        <f t="shared" si="116"/>
        <v>0</v>
      </c>
      <c r="AR113">
        <f t="shared" si="116"/>
        <v>0</v>
      </c>
      <c r="AS113">
        <f t="shared" si="117"/>
        <v>0</v>
      </c>
      <c r="AU113">
        <f t="shared" si="118"/>
        <v>0</v>
      </c>
      <c r="AV113">
        <f t="shared" si="118"/>
        <v>0</v>
      </c>
      <c r="AW113">
        <f t="shared" si="118"/>
        <v>0</v>
      </c>
      <c r="AX113">
        <f t="shared" si="118"/>
        <v>0</v>
      </c>
      <c r="AY113">
        <f t="shared" si="119"/>
        <v>0</v>
      </c>
    </row>
    <row r="114" spans="1:51" ht="15" x14ac:dyDescent="0.25">
      <c r="A114" s="1"/>
      <c r="B114" s="2"/>
      <c r="C114" s="1" t="s">
        <v>11</v>
      </c>
      <c r="D114" s="285">
        <v>0</v>
      </c>
      <c r="E114" s="286">
        <v>0</v>
      </c>
      <c r="F114" s="286">
        <v>0</v>
      </c>
      <c r="G114" s="286">
        <v>0</v>
      </c>
      <c r="H114" s="287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 s="20"/>
      <c r="P114" s="20"/>
      <c r="Q114" s="147"/>
      <c r="R114" s="197">
        <v>6.531704360902256</v>
      </c>
      <c r="S114" s="197">
        <v>78.227142857142866</v>
      </c>
      <c r="T114" s="197">
        <v>0.5825685654008439</v>
      </c>
      <c r="U114" s="197">
        <v>0.90789473684210531</v>
      </c>
      <c r="V114" s="20">
        <f t="shared" si="110"/>
        <v>0</v>
      </c>
      <c r="W114" s="20">
        <f t="shared" si="110"/>
        <v>0</v>
      </c>
      <c r="X114" s="20">
        <f t="shared" si="110"/>
        <v>0</v>
      </c>
      <c r="Y114" s="20">
        <f t="shared" si="110"/>
        <v>0</v>
      </c>
      <c r="Z114" s="20">
        <f t="shared" si="111"/>
        <v>0</v>
      </c>
      <c r="AA114" s="20">
        <f t="shared" si="111"/>
        <v>0</v>
      </c>
      <c r="AB114" s="20">
        <f t="shared" si="111"/>
        <v>0</v>
      </c>
      <c r="AC114" s="20">
        <f t="shared" si="111"/>
        <v>0</v>
      </c>
      <c r="AD114" s="20">
        <f t="shared" si="112"/>
        <v>0</v>
      </c>
      <c r="AE114" s="20">
        <f t="shared" si="113"/>
        <v>0</v>
      </c>
      <c r="AF114" s="20">
        <f t="shared" si="113"/>
        <v>0</v>
      </c>
      <c r="AG114" s="20">
        <f t="shared" si="113"/>
        <v>0</v>
      </c>
      <c r="AH114" s="20">
        <f t="shared" si="113"/>
        <v>0</v>
      </c>
      <c r="AI114" s="20">
        <f t="shared" si="114"/>
        <v>0</v>
      </c>
      <c r="AJ114" s="20">
        <f t="shared" si="114"/>
        <v>0</v>
      </c>
      <c r="AK114" s="20">
        <f t="shared" si="114"/>
        <v>0</v>
      </c>
      <c r="AL114" s="20">
        <f t="shared" si="114"/>
        <v>0</v>
      </c>
      <c r="AM114" s="20">
        <f t="shared" si="115"/>
        <v>0</v>
      </c>
      <c r="AO114">
        <f t="shared" si="116"/>
        <v>0</v>
      </c>
      <c r="AP114">
        <f t="shared" si="116"/>
        <v>0</v>
      </c>
      <c r="AQ114">
        <f t="shared" si="116"/>
        <v>0</v>
      </c>
      <c r="AR114">
        <f t="shared" si="116"/>
        <v>0</v>
      </c>
      <c r="AS114">
        <f t="shared" si="117"/>
        <v>0</v>
      </c>
      <c r="AU114">
        <f t="shared" si="118"/>
        <v>0</v>
      </c>
      <c r="AV114">
        <f t="shared" si="118"/>
        <v>0</v>
      </c>
      <c r="AW114">
        <f t="shared" si="118"/>
        <v>0</v>
      </c>
      <c r="AX114">
        <f t="shared" si="118"/>
        <v>0</v>
      </c>
      <c r="AY114">
        <f t="shared" si="119"/>
        <v>0</v>
      </c>
    </row>
    <row r="115" spans="1:51" ht="15" x14ac:dyDescent="0.25">
      <c r="A115" s="1"/>
      <c r="B115" s="2"/>
      <c r="C115" s="1" t="s">
        <v>12</v>
      </c>
      <c r="D115" s="285">
        <v>0</v>
      </c>
      <c r="E115" s="286">
        <v>0</v>
      </c>
      <c r="F115" s="286">
        <v>0</v>
      </c>
      <c r="G115" s="286">
        <v>0</v>
      </c>
      <c r="H115" s="287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 s="20"/>
      <c r="P115" s="20"/>
      <c r="Q115" s="147"/>
      <c r="R115" s="197">
        <v>6.531704360902256</v>
      </c>
      <c r="S115" s="197">
        <v>78.227142857142866</v>
      </c>
      <c r="T115" s="197">
        <v>0.5825685654008439</v>
      </c>
      <c r="U115" s="197">
        <v>0.90789473684210531</v>
      </c>
      <c r="V115" s="20">
        <f t="shared" si="110"/>
        <v>0</v>
      </c>
      <c r="W115" s="20">
        <f t="shared" si="110"/>
        <v>0</v>
      </c>
      <c r="X115" s="20">
        <f t="shared" si="110"/>
        <v>0</v>
      </c>
      <c r="Y115" s="20">
        <f t="shared" si="110"/>
        <v>0</v>
      </c>
      <c r="Z115" s="20">
        <f t="shared" si="111"/>
        <v>0</v>
      </c>
      <c r="AA115" s="20">
        <f t="shared" si="111"/>
        <v>0</v>
      </c>
      <c r="AB115" s="20">
        <f t="shared" si="111"/>
        <v>0</v>
      </c>
      <c r="AC115" s="20">
        <f t="shared" si="111"/>
        <v>0</v>
      </c>
      <c r="AD115" s="20">
        <f t="shared" si="112"/>
        <v>0</v>
      </c>
      <c r="AE115" s="20">
        <f t="shared" si="113"/>
        <v>0</v>
      </c>
      <c r="AF115" s="20">
        <f t="shared" si="113"/>
        <v>0</v>
      </c>
      <c r="AG115" s="20">
        <f t="shared" si="113"/>
        <v>0</v>
      </c>
      <c r="AH115" s="20">
        <f t="shared" si="113"/>
        <v>0</v>
      </c>
      <c r="AI115" s="20">
        <f t="shared" si="114"/>
        <v>0</v>
      </c>
      <c r="AJ115" s="20">
        <f t="shared" si="114"/>
        <v>0</v>
      </c>
      <c r="AK115" s="20">
        <f t="shared" si="114"/>
        <v>0</v>
      </c>
      <c r="AL115" s="20">
        <f t="shared" si="114"/>
        <v>0</v>
      </c>
      <c r="AM115" s="20">
        <f t="shared" si="115"/>
        <v>0</v>
      </c>
      <c r="AO115">
        <f t="shared" si="116"/>
        <v>0</v>
      </c>
      <c r="AP115">
        <f t="shared" si="116"/>
        <v>0</v>
      </c>
      <c r="AQ115">
        <f t="shared" si="116"/>
        <v>0</v>
      </c>
      <c r="AR115">
        <f t="shared" si="116"/>
        <v>0</v>
      </c>
      <c r="AS115">
        <f t="shared" si="117"/>
        <v>0</v>
      </c>
      <c r="AU115">
        <f t="shared" si="118"/>
        <v>0</v>
      </c>
      <c r="AV115">
        <f t="shared" si="118"/>
        <v>0</v>
      </c>
      <c r="AW115">
        <f t="shared" si="118"/>
        <v>0</v>
      </c>
      <c r="AX115">
        <f t="shared" si="118"/>
        <v>0</v>
      </c>
      <c r="AY115">
        <f t="shared" si="119"/>
        <v>0</v>
      </c>
    </row>
    <row r="116" spans="1:51" ht="15" x14ac:dyDescent="0.25">
      <c r="A116" s="1"/>
      <c r="B116" s="2"/>
      <c r="C116" s="1" t="s">
        <v>13</v>
      </c>
      <c r="D116" s="285">
        <v>0</v>
      </c>
      <c r="E116" s="286">
        <v>0</v>
      </c>
      <c r="F116" s="286">
        <v>0</v>
      </c>
      <c r="G116" s="286">
        <v>0</v>
      </c>
      <c r="H116" s="287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 s="20"/>
      <c r="P116" s="20"/>
      <c r="Q116" s="147"/>
      <c r="R116" s="197">
        <v>6.531704360902256</v>
      </c>
      <c r="S116" s="197">
        <v>78.227142857142866</v>
      </c>
      <c r="T116" s="197">
        <v>0.5825685654008439</v>
      </c>
      <c r="U116" s="197">
        <v>0.90789473684210531</v>
      </c>
      <c r="V116" s="20">
        <f t="shared" si="110"/>
        <v>0</v>
      </c>
      <c r="W116" s="20">
        <f t="shared" si="110"/>
        <v>0</v>
      </c>
      <c r="X116" s="20">
        <f t="shared" si="110"/>
        <v>0</v>
      </c>
      <c r="Y116" s="20">
        <f t="shared" si="110"/>
        <v>0</v>
      </c>
      <c r="Z116" s="20">
        <f t="shared" si="111"/>
        <v>0</v>
      </c>
      <c r="AA116" s="20">
        <f t="shared" si="111"/>
        <v>0</v>
      </c>
      <c r="AB116" s="20">
        <f t="shared" si="111"/>
        <v>0</v>
      </c>
      <c r="AC116" s="20">
        <f t="shared" si="111"/>
        <v>0</v>
      </c>
      <c r="AD116" s="20">
        <f t="shared" si="112"/>
        <v>0</v>
      </c>
      <c r="AE116" s="20">
        <f t="shared" si="113"/>
        <v>0</v>
      </c>
      <c r="AF116" s="20">
        <f t="shared" si="113"/>
        <v>0</v>
      </c>
      <c r="AG116" s="20">
        <f t="shared" si="113"/>
        <v>0</v>
      </c>
      <c r="AH116" s="20">
        <f t="shared" si="113"/>
        <v>0</v>
      </c>
      <c r="AI116" s="20">
        <f t="shared" si="114"/>
        <v>0</v>
      </c>
      <c r="AJ116" s="20">
        <f t="shared" si="114"/>
        <v>0</v>
      </c>
      <c r="AK116" s="20">
        <f t="shared" si="114"/>
        <v>0</v>
      </c>
      <c r="AL116" s="20">
        <f t="shared" si="114"/>
        <v>0</v>
      </c>
      <c r="AM116" s="20">
        <f t="shared" si="115"/>
        <v>0</v>
      </c>
      <c r="AO116">
        <f t="shared" si="116"/>
        <v>0</v>
      </c>
      <c r="AP116">
        <f t="shared" si="116"/>
        <v>0</v>
      </c>
      <c r="AQ116">
        <f t="shared" si="116"/>
        <v>0</v>
      </c>
      <c r="AR116">
        <f t="shared" si="116"/>
        <v>0</v>
      </c>
      <c r="AS116">
        <f t="shared" si="117"/>
        <v>0</v>
      </c>
      <c r="AU116">
        <f t="shared" si="118"/>
        <v>0</v>
      </c>
      <c r="AV116">
        <f t="shared" si="118"/>
        <v>0</v>
      </c>
      <c r="AW116">
        <f t="shared" si="118"/>
        <v>0</v>
      </c>
      <c r="AX116">
        <f t="shared" si="118"/>
        <v>0</v>
      </c>
      <c r="AY116">
        <f t="shared" si="119"/>
        <v>0</v>
      </c>
    </row>
    <row r="117" spans="1:51" ht="15" x14ac:dyDescent="0.25">
      <c r="A117" s="7"/>
      <c r="B117" s="8" t="s">
        <v>14</v>
      </c>
      <c r="C117" s="7"/>
      <c r="D117" s="288">
        <f>SUM(D111:D116)</f>
        <v>0</v>
      </c>
      <c r="E117" s="289">
        <f>SUM(E111:E116)</f>
        <v>0</v>
      </c>
      <c r="F117" s="289">
        <f>SUM(F111:F116)</f>
        <v>0</v>
      </c>
      <c r="G117" s="289">
        <f>SUM(G111:G116)</f>
        <v>0</v>
      </c>
      <c r="H117" s="290">
        <f>SUM(H111:H116)</f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 s="20"/>
      <c r="P117" s="20"/>
      <c r="Q117" s="147"/>
      <c r="R117" s="197"/>
      <c r="S117" s="197"/>
      <c r="T117" s="197"/>
      <c r="U117" s="197"/>
    </row>
    <row r="118" spans="1:51" ht="15" x14ac:dyDescent="0.25">
      <c r="A118" s="10"/>
      <c r="B118" s="9" t="s">
        <v>15</v>
      </c>
      <c r="C118" s="5"/>
      <c r="D118" s="291"/>
      <c r="E118" s="292"/>
      <c r="F118" s="292"/>
      <c r="G118" s="292"/>
      <c r="H118" s="293">
        <f>SUM(D117:H117)</f>
        <v>0</v>
      </c>
      <c r="N118">
        <v>0</v>
      </c>
      <c r="O118" s="20"/>
      <c r="P118" s="20"/>
      <c r="Q118" s="147"/>
      <c r="R118" s="197"/>
      <c r="S118" s="197"/>
      <c r="T118" s="197"/>
      <c r="U118" s="197"/>
    </row>
    <row r="119" spans="1:51" ht="15.75" thickBot="1" x14ac:dyDescent="0.3">
      <c r="A119" s="1"/>
      <c r="B119" s="2"/>
      <c r="C119" s="1"/>
      <c r="D119" s="297"/>
      <c r="E119" s="298"/>
      <c r="F119" s="298"/>
      <c r="G119" s="298"/>
      <c r="H119" s="299"/>
      <c r="O119" s="20"/>
      <c r="P119" s="20"/>
      <c r="Q119" s="147"/>
      <c r="R119" s="197"/>
      <c r="S119" s="197"/>
      <c r="T119" s="197"/>
      <c r="U119" s="197"/>
    </row>
    <row r="120" spans="1:51" ht="15" x14ac:dyDescent="0.25">
      <c r="A120" s="1">
        <v>13</v>
      </c>
      <c r="B120" s="2" t="s">
        <v>27</v>
      </c>
      <c r="C120" s="1" t="s">
        <v>8</v>
      </c>
      <c r="D120" s="282">
        <v>0</v>
      </c>
      <c r="E120" s="283">
        <v>0</v>
      </c>
      <c r="F120" s="283">
        <v>0</v>
      </c>
      <c r="G120" s="283">
        <v>0.85633649999999994</v>
      </c>
      <c r="H120" s="284">
        <v>3.2119332100000002</v>
      </c>
      <c r="J120">
        <v>0</v>
      </c>
      <c r="K120">
        <v>0</v>
      </c>
      <c r="L120">
        <v>0</v>
      </c>
      <c r="M120">
        <v>0.85633649999999994</v>
      </c>
      <c r="N120">
        <v>1.8145753216600002</v>
      </c>
      <c r="O120" s="20"/>
      <c r="P120" s="20"/>
      <c r="Q120" s="147">
        <v>3.3140208539714618E-2</v>
      </c>
      <c r="R120" s="197">
        <v>0.49226666666666663</v>
      </c>
      <c r="S120" s="197">
        <v>2.8337500000000002</v>
      </c>
      <c r="T120" s="197">
        <v>0.68718466195761863</v>
      </c>
      <c r="U120" s="197">
        <v>0.90789473684210531</v>
      </c>
      <c r="V120" s="20">
        <f t="shared" ref="V120:Y125" si="120">IF(K120&gt;0,((E120-K120)*$Q120*$R120*10)+(K120*$O$12*$Q120*$R120*10),(E120*$Q120*$R120*10))</f>
        <v>0</v>
      </c>
      <c r="W120" s="20">
        <f t="shared" si="120"/>
        <v>0</v>
      </c>
      <c r="X120" s="20">
        <f t="shared" si="120"/>
        <v>5.1375400223352394E-2</v>
      </c>
      <c r="Y120" s="20">
        <f t="shared" si="120"/>
        <v>0.33682682029912381</v>
      </c>
      <c r="Z120" s="20">
        <f t="shared" ref="Z120:AC125" si="121">V120*(EXP(1.01-0.34*LN(Z$8))*(1-$T120)+(1*$T120))</f>
        <v>0</v>
      </c>
      <c r="AA120" s="20">
        <f t="shared" si="121"/>
        <v>0</v>
      </c>
      <c r="AB120" s="20">
        <f t="shared" si="121"/>
        <v>4.0630953797088636E-2</v>
      </c>
      <c r="AC120" s="20">
        <f t="shared" si="121"/>
        <v>0.25888300446942347</v>
      </c>
      <c r="AD120" s="20">
        <f t="shared" ref="AD120:AD125" si="122">SUM(Z120:AC120)</f>
        <v>0.29951395826651211</v>
      </c>
      <c r="AE120" s="20">
        <f t="shared" ref="AE120:AH125" si="123">IF(K120&gt;0,((E120-K120)*$Q120*$S120*10)+(K120*$P$12*$Q120*$S120)*10,(E120*$Q120*$S120*10))</f>
        <v>0</v>
      </c>
      <c r="AF120" s="20">
        <f t="shared" si="123"/>
        <v>0</v>
      </c>
      <c r="AG120" s="20">
        <f t="shared" si="123"/>
        <v>0.46573345639901348</v>
      </c>
      <c r="AH120" s="20">
        <f t="shared" si="123"/>
        <v>2.2991619457253134</v>
      </c>
      <c r="AI120" s="20">
        <f t="shared" ref="AI120:AL125" si="124">AE120*(EXP(1.01-0.34*LN(AI$8))*(1-$T120)+(1*$T120))</f>
        <v>0</v>
      </c>
      <c r="AJ120" s="20">
        <f t="shared" si="124"/>
        <v>0</v>
      </c>
      <c r="AK120" s="20">
        <f t="shared" si="124"/>
        <v>0.36833181768782175</v>
      </c>
      <c r="AL120" s="20">
        <f t="shared" si="124"/>
        <v>1.7671216079008987</v>
      </c>
      <c r="AM120" s="20">
        <f t="shared" ref="AM120:AM125" si="125">SUM(AI120:AL120)</f>
        <v>2.1354534255887203</v>
      </c>
      <c r="AO120">
        <f t="shared" ref="AO120:AR125" si="126">Z120*AO$10</f>
        <v>0</v>
      </c>
      <c r="AP120">
        <f t="shared" si="126"/>
        <v>0</v>
      </c>
      <c r="AQ120">
        <f t="shared" si="126"/>
        <v>5.7566693797685302E-2</v>
      </c>
      <c r="AR120">
        <f t="shared" si="126"/>
        <v>0.39199444967560104</v>
      </c>
      <c r="AS120">
        <f t="shared" ref="AS120:AS125" si="127">SUM(AO120:AR120)</f>
        <v>0.44956114347328635</v>
      </c>
      <c r="AU120">
        <f t="shared" ref="AU120:AX125" si="128">AI120*AU$10</f>
        <v>0</v>
      </c>
      <c r="AV120">
        <f t="shared" si="128"/>
        <v>0</v>
      </c>
      <c r="AW120">
        <f t="shared" si="128"/>
        <v>0.52185939494974409</v>
      </c>
      <c r="AX120">
        <f t="shared" si="128"/>
        <v>2.6757332472197519</v>
      </c>
      <c r="AY120">
        <f t="shared" ref="AY120:AY125" si="129">SUM(AU120:AX120)</f>
        <v>3.197592642169496</v>
      </c>
    </row>
    <row r="121" spans="1:51" ht="15" x14ac:dyDescent="0.25">
      <c r="A121" s="1"/>
      <c r="B121" s="2"/>
      <c r="C121" s="1" t="s">
        <v>9</v>
      </c>
      <c r="D121" s="285">
        <v>0</v>
      </c>
      <c r="E121" s="286">
        <v>0</v>
      </c>
      <c r="F121" s="286">
        <v>0</v>
      </c>
      <c r="G121" s="286">
        <v>0</v>
      </c>
      <c r="H121" s="287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20"/>
      <c r="P121" s="20"/>
      <c r="Q121" s="147"/>
      <c r="R121" s="197">
        <v>0.49226666666666663</v>
      </c>
      <c r="S121" s="197">
        <v>2.8337500000000002</v>
      </c>
      <c r="T121" s="197">
        <v>0.68718466195761863</v>
      </c>
      <c r="U121" s="197">
        <v>0.90789473684210531</v>
      </c>
      <c r="V121" s="20">
        <f t="shared" si="120"/>
        <v>0</v>
      </c>
      <c r="W121" s="20">
        <f t="shared" si="120"/>
        <v>0</v>
      </c>
      <c r="X121" s="20">
        <f t="shared" si="120"/>
        <v>0</v>
      </c>
      <c r="Y121" s="20">
        <f t="shared" si="120"/>
        <v>0</v>
      </c>
      <c r="Z121" s="20">
        <f t="shared" si="121"/>
        <v>0</v>
      </c>
      <c r="AA121" s="20">
        <f t="shared" si="121"/>
        <v>0</v>
      </c>
      <c r="AB121" s="20">
        <f t="shared" si="121"/>
        <v>0</v>
      </c>
      <c r="AC121" s="20">
        <f t="shared" si="121"/>
        <v>0</v>
      </c>
      <c r="AD121" s="20">
        <f t="shared" si="122"/>
        <v>0</v>
      </c>
      <c r="AE121" s="20">
        <f t="shared" si="123"/>
        <v>0</v>
      </c>
      <c r="AF121" s="20">
        <f t="shared" si="123"/>
        <v>0</v>
      </c>
      <c r="AG121" s="20">
        <f t="shared" si="123"/>
        <v>0</v>
      </c>
      <c r="AH121" s="20">
        <f t="shared" si="123"/>
        <v>0</v>
      </c>
      <c r="AI121" s="20">
        <f t="shared" si="124"/>
        <v>0</v>
      </c>
      <c r="AJ121" s="20">
        <f t="shared" si="124"/>
        <v>0</v>
      </c>
      <c r="AK121" s="20">
        <f t="shared" si="124"/>
        <v>0</v>
      </c>
      <c r="AL121" s="20">
        <f t="shared" si="124"/>
        <v>0</v>
      </c>
      <c r="AM121" s="20">
        <f t="shared" si="125"/>
        <v>0</v>
      </c>
      <c r="AO121">
        <f t="shared" si="126"/>
        <v>0</v>
      </c>
      <c r="AP121">
        <f t="shared" si="126"/>
        <v>0</v>
      </c>
      <c r="AQ121">
        <f t="shared" si="126"/>
        <v>0</v>
      </c>
      <c r="AR121">
        <f t="shared" si="126"/>
        <v>0</v>
      </c>
      <c r="AS121">
        <f t="shared" si="127"/>
        <v>0</v>
      </c>
      <c r="AU121">
        <f t="shared" si="128"/>
        <v>0</v>
      </c>
      <c r="AV121">
        <f t="shared" si="128"/>
        <v>0</v>
      </c>
      <c r="AW121">
        <f t="shared" si="128"/>
        <v>0</v>
      </c>
      <c r="AX121">
        <f t="shared" si="128"/>
        <v>0</v>
      </c>
      <c r="AY121">
        <f t="shared" si="129"/>
        <v>0</v>
      </c>
    </row>
    <row r="122" spans="1:51" ht="15" x14ac:dyDescent="0.25">
      <c r="A122" s="1"/>
      <c r="B122" s="2"/>
      <c r="C122" s="1" t="s">
        <v>10</v>
      </c>
      <c r="D122" s="285">
        <v>0</v>
      </c>
      <c r="E122" s="286">
        <v>0</v>
      </c>
      <c r="F122" s="286">
        <v>0</v>
      </c>
      <c r="G122" s="286">
        <v>0</v>
      </c>
      <c r="H122" s="287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s="20"/>
      <c r="P122" s="20"/>
      <c r="Q122" s="147"/>
      <c r="R122" s="197">
        <v>0.49226666666666663</v>
      </c>
      <c r="S122" s="197">
        <v>2.8337500000000002</v>
      </c>
      <c r="T122" s="197">
        <v>0.68718466195761863</v>
      </c>
      <c r="U122" s="197">
        <v>0.90789473684210531</v>
      </c>
      <c r="V122" s="20">
        <f t="shared" si="120"/>
        <v>0</v>
      </c>
      <c r="W122" s="20">
        <f t="shared" si="120"/>
        <v>0</v>
      </c>
      <c r="X122" s="20">
        <f t="shared" si="120"/>
        <v>0</v>
      </c>
      <c r="Y122" s="20">
        <f t="shared" si="120"/>
        <v>0</v>
      </c>
      <c r="Z122" s="20">
        <f t="shared" si="121"/>
        <v>0</v>
      </c>
      <c r="AA122" s="20">
        <f t="shared" si="121"/>
        <v>0</v>
      </c>
      <c r="AB122" s="20">
        <f t="shared" si="121"/>
        <v>0</v>
      </c>
      <c r="AC122" s="20">
        <f t="shared" si="121"/>
        <v>0</v>
      </c>
      <c r="AD122" s="20">
        <f t="shared" si="122"/>
        <v>0</v>
      </c>
      <c r="AE122" s="20">
        <f t="shared" si="123"/>
        <v>0</v>
      </c>
      <c r="AF122" s="20">
        <f t="shared" si="123"/>
        <v>0</v>
      </c>
      <c r="AG122" s="20">
        <f t="shared" si="123"/>
        <v>0</v>
      </c>
      <c r="AH122" s="20">
        <f t="shared" si="123"/>
        <v>0</v>
      </c>
      <c r="AI122" s="20">
        <f t="shared" si="124"/>
        <v>0</v>
      </c>
      <c r="AJ122" s="20">
        <f t="shared" si="124"/>
        <v>0</v>
      </c>
      <c r="AK122" s="20">
        <f t="shared" si="124"/>
        <v>0</v>
      </c>
      <c r="AL122" s="20">
        <f t="shared" si="124"/>
        <v>0</v>
      </c>
      <c r="AM122" s="20">
        <f t="shared" si="125"/>
        <v>0</v>
      </c>
      <c r="AO122">
        <f t="shared" si="126"/>
        <v>0</v>
      </c>
      <c r="AP122">
        <f t="shared" si="126"/>
        <v>0</v>
      </c>
      <c r="AQ122">
        <f t="shared" si="126"/>
        <v>0</v>
      </c>
      <c r="AR122">
        <f t="shared" si="126"/>
        <v>0</v>
      </c>
      <c r="AS122">
        <f t="shared" si="127"/>
        <v>0</v>
      </c>
      <c r="AU122">
        <f t="shared" si="128"/>
        <v>0</v>
      </c>
      <c r="AV122">
        <f t="shared" si="128"/>
        <v>0</v>
      </c>
      <c r="AW122">
        <f t="shared" si="128"/>
        <v>0</v>
      </c>
      <c r="AX122">
        <f t="shared" si="128"/>
        <v>0</v>
      </c>
      <c r="AY122">
        <f t="shared" si="129"/>
        <v>0</v>
      </c>
    </row>
    <row r="123" spans="1:51" ht="15" x14ac:dyDescent="0.25">
      <c r="A123" s="1"/>
      <c r="B123" s="2"/>
      <c r="C123" s="1" t="s">
        <v>11</v>
      </c>
      <c r="D123" s="285">
        <v>0</v>
      </c>
      <c r="E123" s="286">
        <v>0</v>
      </c>
      <c r="F123" s="286">
        <v>0</v>
      </c>
      <c r="G123" s="286">
        <v>0</v>
      </c>
      <c r="H123" s="287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 s="20"/>
      <c r="P123" s="20"/>
      <c r="Q123" s="147"/>
      <c r="R123" s="197">
        <v>0.49226666666666663</v>
      </c>
      <c r="S123" s="197">
        <v>2.8337500000000002</v>
      </c>
      <c r="T123" s="197">
        <v>0.68718466195761863</v>
      </c>
      <c r="U123" s="197">
        <v>0.90789473684210531</v>
      </c>
      <c r="V123" s="20">
        <f t="shared" si="120"/>
        <v>0</v>
      </c>
      <c r="W123" s="20">
        <f t="shared" si="120"/>
        <v>0</v>
      </c>
      <c r="X123" s="20">
        <f t="shared" si="120"/>
        <v>0</v>
      </c>
      <c r="Y123" s="20">
        <f t="shared" si="120"/>
        <v>0</v>
      </c>
      <c r="Z123" s="20">
        <f t="shared" si="121"/>
        <v>0</v>
      </c>
      <c r="AA123" s="20">
        <f t="shared" si="121"/>
        <v>0</v>
      </c>
      <c r="AB123" s="20">
        <f t="shared" si="121"/>
        <v>0</v>
      </c>
      <c r="AC123" s="20">
        <f t="shared" si="121"/>
        <v>0</v>
      </c>
      <c r="AD123" s="20">
        <f t="shared" si="122"/>
        <v>0</v>
      </c>
      <c r="AE123" s="20">
        <f t="shared" si="123"/>
        <v>0</v>
      </c>
      <c r="AF123" s="20">
        <f t="shared" si="123"/>
        <v>0</v>
      </c>
      <c r="AG123" s="20">
        <f t="shared" si="123"/>
        <v>0</v>
      </c>
      <c r="AH123" s="20">
        <f t="shared" si="123"/>
        <v>0</v>
      </c>
      <c r="AI123" s="20">
        <f t="shared" si="124"/>
        <v>0</v>
      </c>
      <c r="AJ123" s="20">
        <f t="shared" si="124"/>
        <v>0</v>
      </c>
      <c r="AK123" s="20">
        <f t="shared" si="124"/>
        <v>0</v>
      </c>
      <c r="AL123" s="20">
        <f t="shared" si="124"/>
        <v>0</v>
      </c>
      <c r="AM123" s="20">
        <f t="shared" si="125"/>
        <v>0</v>
      </c>
      <c r="AO123">
        <f t="shared" si="126"/>
        <v>0</v>
      </c>
      <c r="AP123">
        <f t="shared" si="126"/>
        <v>0</v>
      </c>
      <c r="AQ123">
        <f t="shared" si="126"/>
        <v>0</v>
      </c>
      <c r="AR123">
        <f t="shared" si="126"/>
        <v>0</v>
      </c>
      <c r="AS123">
        <f t="shared" si="127"/>
        <v>0</v>
      </c>
      <c r="AU123">
        <f t="shared" si="128"/>
        <v>0</v>
      </c>
      <c r="AV123">
        <f t="shared" si="128"/>
        <v>0</v>
      </c>
      <c r="AW123">
        <f t="shared" si="128"/>
        <v>0</v>
      </c>
      <c r="AX123">
        <f t="shared" si="128"/>
        <v>0</v>
      </c>
      <c r="AY123">
        <f t="shared" si="129"/>
        <v>0</v>
      </c>
    </row>
    <row r="124" spans="1:51" ht="15" x14ac:dyDescent="0.25">
      <c r="A124" s="1"/>
      <c r="B124" s="2"/>
      <c r="C124" s="1" t="s">
        <v>12</v>
      </c>
      <c r="D124" s="285">
        <v>0</v>
      </c>
      <c r="E124" s="286">
        <v>0</v>
      </c>
      <c r="F124" s="286">
        <v>0</v>
      </c>
      <c r="G124" s="286">
        <v>0</v>
      </c>
      <c r="H124" s="287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 s="20"/>
      <c r="P124" s="20"/>
      <c r="Q124" s="147"/>
      <c r="R124" s="197">
        <v>0.49226666666666663</v>
      </c>
      <c r="S124" s="197">
        <v>2.8337500000000002</v>
      </c>
      <c r="T124" s="197">
        <v>0.68718466195761863</v>
      </c>
      <c r="U124" s="197">
        <v>0.90789473684210531</v>
      </c>
      <c r="V124" s="20">
        <f t="shared" si="120"/>
        <v>0</v>
      </c>
      <c r="W124" s="20">
        <f t="shared" si="120"/>
        <v>0</v>
      </c>
      <c r="X124" s="20">
        <f t="shared" si="120"/>
        <v>0</v>
      </c>
      <c r="Y124" s="20">
        <f t="shared" si="120"/>
        <v>0</v>
      </c>
      <c r="Z124" s="20">
        <f t="shared" si="121"/>
        <v>0</v>
      </c>
      <c r="AA124" s="20">
        <f t="shared" si="121"/>
        <v>0</v>
      </c>
      <c r="AB124" s="20">
        <f t="shared" si="121"/>
        <v>0</v>
      </c>
      <c r="AC124" s="20">
        <f t="shared" si="121"/>
        <v>0</v>
      </c>
      <c r="AD124" s="20">
        <f t="shared" si="122"/>
        <v>0</v>
      </c>
      <c r="AE124" s="20">
        <f t="shared" si="123"/>
        <v>0</v>
      </c>
      <c r="AF124" s="20">
        <f t="shared" si="123"/>
        <v>0</v>
      </c>
      <c r="AG124" s="20">
        <f t="shared" si="123"/>
        <v>0</v>
      </c>
      <c r="AH124" s="20">
        <f t="shared" si="123"/>
        <v>0</v>
      </c>
      <c r="AI124" s="20">
        <f t="shared" si="124"/>
        <v>0</v>
      </c>
      <c r="AJ124" s="20">
        <f t="shared" si="124"/>
        <v>0</v>
      </c>
      <c r="AK124" s="20">
        <f t="shared" si="124"/>
        <v>0</v>
      </c>
      <c r="AL124" s="20">
        <f t="shared" si="124"/>
        <v>0</v>
      </c>
      <c r="AM124" s="20">
        <f t="shared" si="125"/>
        <v>0</v>
      </c>
      <c r="AO124">
        <f t="shared" si="126"/>
        <v>0</v>
      </c>
      <c r="AP124">
        <f t="shared" si="126"/>
        <v>0</v>
      </c>
      <c r="AQ124">
        <f t="shared" si="126"/>
        <v>0</v>
      </c>
      <c r="AR124">
        <f t="shared" si="126"/>
        <v>0</v>
      </c>
      <c r="AS124">
        <f t="shared" si="127"/>
        <v>0</v>
      </c>
      <c r="AU124">
        <f t="shared" si="128"/>
        <v>0</v>
      </c>
      <c r="AV124">
        <f t="shared" si="128"/>
        <v>0</v>
      </c>
      <c r="AW124">
        <f t="shared" si="128"/>
        <v>0</v>
      </c>
      <c r="AX124">
        <f t="shared" si="128"/>
        <v>0</v>
      </c>
      <c r="AY124">
        <f t="shared" si="129"/>
        <v>0</v>
      </c>
    </row>
    <row r="125" spans="1:51" ht="15" x14ac:dyDescent="0.25">
      <c r="A125" s="1"/>
      <c r="B125" s="2"/>
      <c r="C125" s="1" t="s">
        <v>13</v>
      </c>
      <c r="D125" s="285">
        <v>0</v>
      </c>
      <c r="E125" s="286">
        <v>0</v>
      </c>
      <c r="F125" s="286">
        <v>0</v>
      </c>
      <c r="G125" s="286">
        <v>0</v>
      </c>
      <c r="H125" s="287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20"/>
      <c r="P125" s="20"/>
      <c r="Q125" s="147"/>
      <c r="R125" s="197">
        <v>0.49226666666666663</v>
      </c>
      <c r="S125" s="197">
        <v>2.8337500000000002</v>
      </c>
      <c r="T125" s="197">
        <v>0.68718466195761863</v>
      </c>
      <c r="U125" s="197">
        <v>0.90789473684210531</v>
      </c>
      <c r="V125" s="20">
        <f t="shared" si="120"/>
        <v>0</v>
      </c>
      <c r="W125" s="20">
        <f t="shared" si="120"/>
        <v>0</v>
      </c>
      <c r="X125" s="20">
        <f t="shared" si="120"/>
        <v>0</v>
      </c>
      <c r="Y125" s="20">
        <f t="shared" si="120"/>
        <v>0</v>
      </c>
      <c r="Z125" s="20">
        <f t="shared" si="121"/>
        <v>0</v>
      </c>
      <c r="AA125" s="20">
        <f t="shared" si="121"/>
        <v>0</v>
      </c>
      <c r="AB125" s="20">
        <f t="shared" si="121"/>
        <v>0</v>
      </c>
      <c r="AC125" s="20">
        <f t="shared" si="121"/>
        <v>0</v>
      </c>
      <c r="AD125" s="20">
        <f t="shared" si="122"/>
        <v>0</v>
      </c>
      <c r="AE125" s="20">
        <f t="shared" si="123"/>
        <v>0</v>
      </c>
      <c r="AF125" s="20">
        <f t="shared" si="123"/>
        <v>0</v>
      </c>
      <c r="AG125" s="20">
        <f t="shared" si="123"/>
        <v>0</v>
      </c>
      <c r="AH125" s="20">
        <f t="shared" si="123"/>
        <v>0</v>
      </c>
      <c r="AI125" s="20">
        <f t="shared" si="124"/>
        <v>0</v>
      </c>
      <c r="AJ125" s="20">
        <f t="shared" si="124"/>
        <v>0</v>
      </c>
      <c r="AK125" s="20">
        <f t="shared" si="124"/>
        <v>0</v>
      </c>
      <c r="AL125" s="20">
        <f t="shared" si="124"/>
        <v>0</v>
      </c>
      <c r="AM125" s="20">
        <f t="shared" si="125"/>
        <v>0</v>
      </c>
      <c r="AO125">
        <f t="shared" si="126"/>
        <v>0</v>
      </c>
      <c r="AP125">
        <f t="shared" si="126"/>
        <v>0</v>
      </c>
      <c r="AQ125">
        <f t="shared" si="126"/>
        <v>0</v>
      </c>
      <c r="AR125">
        <f t="shared" si="126"/>
        <v>0</v>
      </c>
      <c r="AS125">
        <f t="shared" si="127"/>
        <v>0</v>
      </c>
      <c r="AU125">
        <f t="shared" si="128"/>
        <v>0</v>
      </c>
      <c r="AV125">
        <f t="shared" si="128"/>
        <v>0</v>
      </c>
      <c r="AW125">
        <f t="shared" si="128"/>
        <v>0</v>
      </c>
      <c r="AX125">
        <f t="shared" si="128"/>
        <v>0</v>
      </c>
      <c r="AY125">
        <f t="shared" si="129"/>
        <v>0</v>
      </c>
    </row>
    <row r="126" spans="1:51" ht="15" x14ac:dyDescent="0.25">
      <c r="A126" s="7"/>
      <c r="B126" s="8" t="s">
        <v>14</v>
      </c>
      <c r="C126" s="7"/>
      <c r="D126" s="288">
        <f>SUM(D120:D125)</f>
        <v>0</v>
      </c>
      <c r="E126" s="289">
        <f>SUM(E120:E125)</f>
        <v>0</v>
      </c>
      <c r="F126" s="289">
        <f>SUM(F120:F125)</f>
        <v>0</v>
      </c>
      <c r="G126" s="289">
        <f>SUM(G120:G125)</f>
        <v>0.85633649999999994</v>
      </c>
      <c r="H126" s="290">
        <f>SUM(H120:H125)</f>
        <v>3.2119332100000002</v>
      </c>
      <c r="J126">
        <v>0</v>
      </c>
      <c r="K126">
        <v>0</v>
      </c>
      <c r="L126">
        <v>0</v>
      </c>
      <c r="M126">
        <v>0.85633649999999994</v>
      </c>
      <c r="N126">
        <v>1.8145753216600002</v>
      </c>
      <c r="O126" s="20"/>
      <c r="P126" s="20"/>
      <c r="Q126" s="147"/>
      <c r="R126" s="197"/>
      <c r="S126" s="197"/>
      <c r="T126" s="197"/>
      <c r="U126" s="197"/>
    </row>
    <row r="127" spans="1:51" ht="15" x14ac:dyDescent="0.25">
      <c r="A127" s="10"/>
      <c r="B127" s="9" t="s">
        <v>15</v>
      </c>
      <c r="C127" s="5"/>
      <c r="D127" s="291"/>
      <c r="E127" s="292"/>
      <c r="F127" s="292"/>
      <c r="G127" s="292"/>
      <c r="H127" s="293">
        <f>SUM(D126:H126)</f>
        <v>4.06826971</v>
      </c>
      <c r="N127">
        <v>2.6709118216600003</v>
      </c>
      <c r="O127" s="20"/>
      <c r="P127" s="20"/>
      <c r="Q127" s="147"/>
      <c r="R127" s="197"/>
      <c r="S127" s="197"/>
      <c r="T127" s="197"/>
      <c r="U127" s="197"/>
    </row>
    <row r="128" spans="1:51" ht="15.75" thickBot="1" x14ac:dyDescent="0.3">
      <c r="A128" s="1"/>
      <c r="B128" s="2"/>
      <c r="C128" s="1"/>
      <c r="D128" s="294"/>
      <c r="E128" s="295"/>
      <c r="F128" s="295"/>
      <c r="G128" s="295"/>
      <c r="H128" s="296"/>
      <c r="O128" s="20"/>
      <c r="P128" s="20"/>
      <c r="Q128" s="147"/>
      <c r="R128" s="197"/>
      <c r="S128" s="197"/>
      <c r="T128" s="197"/>
      <c r="U128" s="197"/>
    </row>
    <row r="129" spans="1:51" ht="15" x14ac:dyDescent="0.25">
      <c r="A129" s="1">
        <v>14</v>
      </c>
      <c r="B129" s="2" t="s">
        <v>28</v>
      </c>
      <c r="C129" s="1" t="s">
        <v>8</v>
      </c>
      <c r="D129" s="285">
        <v>0</v>
      </c>
      <c r="E129" s="286">
        <v>205.75650567</v>
      </c>
      <c r="F129" s="286">
        <v>125.23605369000001</v>
      </c>
      <c r="G129" s="286">
        <v>88.385856290000007</v>
      </c>
      <c r="H129" s="287">
        <v>151.35131722</v>
      </c>
      <c r="J129">
        <v>0</v>
      </c>
      <c r="K129">
        <v>203.79153314417979</v>
      </c>
      <c r="L129">
        <v>65.246735951449409</v>
      </c>
      <c r="M129">
        <v>-27.193078708682066</v>
      </c>
      <c r="N129">
        <v>-33.440094379870033</v>
      </c>
      <c r="O129" s="20"/>
      <c r="P129" s="20"/>
      <c r="Q129" s="147">
        <v>3.3140208539714618E-2</v>
      </c>
      <c r="R129" s="197">
        <v>5.6499999999999995E-2</v>
      </c>
      <c r="S129" s="197">
        <v>1.25</v>
      </c>
      <c r="T129" s="197">
        <v>0.50078889239507718</v>
      </c>
      <c r="U129" s="197">
        <v>0.75268470790377973</v>
      </c>
      <c r="V129" s="20">
        <f t="shared" ref="V129:Y134" si="130">E129*$Q129*$R129*10</f>
        <v>3.8526296310633263</v>
      </c>
      <c r="W129" s="20">
        <f t="shared" si="130"/>
        <v>2.3449471488272851</v>
      </c>
      <c r="X129" s="20">
        <f t="shared" si="130"/>
        <v>1.6549560258176934</v>
      </c>
      <c r="Y129" s="20">
        <f t="shared" si="130"/>
        <v>2.8339350317186844</v>
      </c>
      <c r="Z129" s="20">
        <f t="shared" ref="Z129:AC134" si="131">V129*(EXP(1.01-0.34*LN(Z$8))*(1-$T129)+(1*$T129))</f>
        <v>2.5141575041050799</v>
      </c>
      <c r="AA129" s="20">
        <f t="shared" si="131"/>
        <v>1.553687225374984</v>
      </c>
      <c r="AB129" s="20">
        <f t="shared" si="131"/>
        <v>1.1026096792272271</v>
      </c>
      <c r="AC129" s="20">
        <f t="shared" si="131"/>
        <v>1.787382365958057</v>
      </c>
      <c r="AD129" s="20">
        <f t="shared" ref="AD129:AD134" si="132">SUM(Z129:AC129)</f>
        <v>6.9578367746653482</v>
      </c>
      <c r="AE129" s="20">
        <f t="shared" ref="AE129:AH134" si="133">E129*$Q129*$S129*10</f>
        <v>85.235168828834674</v>
      </c>
      <c r="AF129" s="20">
        <f t="shared" si="133"/>
        <v>51.879361699718707</v>
      </c>
      <c r="AG129" s="20">
        <f t="shared" si="133"/>
        <v>36.614071367648087</v>
      </c>
      <c r="AH129" s="20">
        <f t="shared" si="133"/>
        <v>62.697677692891247</v>
      </c>
      <c r="AI129" s="20">
        <f t="shared" ref="AI129:AL134" si="134">AE129*(EXP(1.01-0.34*LN(AI$8))*(1-$T129)+(1*$T129))</f>
        <v>55.622953630643373</v>
      </c>
      <c r="AJ129" s="20">
        <f t="shared" si="134"/>
        <v>34.37361118086249</v>
      </c>
      <c r="AK129" s="20">
        <f t="shared" si="134"/>
        <v>24.394019451929804</v>
      </c>
      <c r="AL129" s="20">
        <f t="shared" si="134"/>
        <v>39.543857653939313</v>
      </c>
      <c r="AM129" s="20">
        <f t="shared" ref="AM129:AM134" si="135">SUM(AI129:AL129)</f>
        <v>153.93444191737498</v>
      </c>
      <c r="AO129">
        <f t="shared" ref="AO129:AR134" si="136">Z129*AO$10</f>
        <v>3.4884304060212372</v>
      </c>
      <c r="AP129">
        <f t="shared" si="136"/>
        <v>2.2955187152058825</v>
      </c>
      <c r="AQ129">
        <f t="shared" si="136"/>
        <v>1.5621979759428124</v>
      </c>
      <c r="AR129">
        <f t="shared" si="136"/>
        <v>2.7064116021813049</v>
      </c>
      <c r="AS129">
        <f t="shared" ref="AS129:AS134" si="137">SUM(AO129:AR129)</f>
        <v>10.052558699351238</v>
      </c>
      <c r="AU129">
        <f t="shared" ref="AU129:AX134" si="138">AI129*AU$10</f>
        <v>77.177663850027386</v>
      </c>
      <c r="AV129">
        <f t="shared" si="138"/>
        <v>50.785812283316005</v>
      </c>
      <c r="AW129">
        <f t="shared" si="138"/>
        <v>34.561902122628595</v>
      </c>
      <c r="AX129">
        <f t="shared" si="138"/>
        <v>59.876362880117362</v>
      </c>
      <c r="AY129">
        <f t="shared" ref="AY129:AY134" si="139">SUM(AU129:AX129)</f>
        <v>222.40174113608936</v>
      </c>
    </row>
    <row r="130" spans="1:51" ht="15" x14ac:dyDescent="0.25">
      <c r="A130" s="1"/>
      <c r="B130" s="2"/>
      <c r="C130" s="1" t="s">
        <v>9</v>
      </c>
      <c r="D130" s="285">
        <v>0</v>
      </c>
      <c r="E130" s="286">
        <v>12.3301552</v>
      </c>
      <c r="F130" s="286">
        <v>3.0073229399999999</v>
      </c>
      <c r="G130" s="286">
        <v>5.9471532500000004</v>
      </c>
      <c r="H130" s="287">
        <v>16.722947560000001</v>
      </c>
      <c r="J130">
        <v>0</v>
      </c>
      <c r="K130">
        <v>9.17773939892</v>
      </c>
      <c r="L130">
        <v>-1.2248109612200002</v>
      </c>
      <c r="M130">
        <v>-1.7604358408086993</v>
      </c>
      <c r="N130">
        <v>11.570974827964051</v>
      </c>
      <c r="O130" s="20"/>
      <c r="P130" s="20"/>
      <c r="Q130" s="147">
        <v>5.7280417079429234E-2</v>
      </c>
      <c r="R130" s="197">
        <v>5.6499999999999995E-2</v>
      </c>
      <c r="S130" s="197">
        <v>1.25</v>
      </c>
      <c r="T130" s="197">
        <v>0.50078889239507718</v>
      </c>
      <c r="U130" s="197">
        <v>0.75268470790377973</v>
      </c>
      <c r="V130" s="20">
        <f t="shared" si="130"/>
        <v>0.39904618436820261</v>
      </c>
      <c r="W130" s="20">
        <f t="shared" si="130"/>
        <v>9.7327302447090452E-2</v>
      </c>
      <c r="X130" s="20">
        <f t="shared" si="130"/>
        <v>0.19247031150633492</v>
      </c>
      <c r="Y130" s="20">
        <f t="shared" si="130"/>
        <v>0.54121203723433631</v>
      </c>
      <c r="Z130" s="20">
        <f t="shared" si="131"/>
        <v>0.26041043520628132</v>
      </c>
      <c r="AA130" s="20">
        <f t="shared" si="131"/>
        <v>6.4485967868348551E-2</v>
      </c>
      <c r="AB130" s="20">
        <f t="shared" si="131"/>
        <v>0.12823278994733972</v>
      </c>
      <c r="AC130" s="20">
        <f t="shared" si="131"/>
        <v>0.34134616382162497</v>
      </c>
      <c r="AD130" s="20">
        <f t="shared" si="132"/>
        <v>0.79447535684359449</v>
      </c>
      <c r="AE130" s="20">
        <f t="shared" si="133"/>
        <v>8.8284554063761647</v>
      </c>
      <c r="AF130" s="20">
        <f t="shared" si="133"/>
        <v>2.1532589036966918</v>
      </c>
      <c r="AG130" s="20">
        <f t="shared" si="133"/>
        <v>4.2581927324410387</v>
      </c>
      <c r="AH130" s="20">
        <f t="shared" si="133"/>
        <v>11.973717637927795</v>
      </c>
      <c r="AI130" s="20">
        <f t="shared" si="134"/>
        <v>5.7612928142982591</v>
      </c>
      <c r="AJ130" s="20">
        <f t="shared" si="134"/>
        <v>1.4266807050519594</v>
      </c>
      <c r="AK130" s="20">
        <f t="shared" si="134"/>
        <v>2.8370086271535344</v>
      </c>
      <c r="AL130" s="20">
        <f t="shared" si="134"/>
        <v>7.5519062792394909</v>
      </c>
      <c r="AM130" s="20">
        <f t="shared" si="135"/>
        <v>17.576888425743242</v>
      </c>
      <c r="AO130">
        <f t="shared" si="136"/>
        <v>0.36132329765957544</v>
      </c>
      <c r="AP130">
        <f t="shared" si="136"/>
        <v>9.5275769596568832E-2</v>
      </c>
      <c r="AQ130">
        <f t="shared" si="136"/>
        <v>0.18168261051874071</v>
      </c>
      <c r="AR130">
        <f t="shared" si="136"/>
        <v>0.51685819202526739</v>
      </c>
      <c r="AS130">
        <f t="shared" si="137"/>
        <v>1.1551398698001525</v>
      </c>
      <c r="AU130">
        <f t="shared" si="138"/>
        <v>7.9938782668047663</v>
      </c>
      <c r="AV130">
        <f t="shared" si="138"/>
        <v>2.1078710087736474</v>
      </c>
      <c r="AW130">
        <f t="shared" si="138"/>
        <v>4.0195267813880697</v>
      </c>
      <c r="AX130">
        <f t="shared" si="138"/>
        <v>11.434915752771403</v>
      </c>
      <c r="AY130">
        <f t="shared" si="139"/>
        <v>25.556191809737886</v>
      </c>
    </row>
    <row r="131" spans="1:51" ht="15" x14ac:dyDescent="0.25">
      <c r="A131" s="1"/>
      <c r="B131" s="2"/>
      <c r="C131" s="1" t="s">
        <v>10</v>
      </c>
      <c r="D131" s="285">
        <v>0</v>
      </c>
      <c r="E131" s="286">
        <v>13.047018769999999</v>
      </c>
      <c r="F131" s="286">
        <v>0</v>
      </c>
      <c r="G131" s="286">
        <v>9.8751932300000007</v>
      </c>
      <c r="H131" s="287">
        <v>20.371878110000001</v>
      </c>
      <c r="J131">
        <v>0</v>
      </c>
      <c r="K131">
        <v>10.92853275565</v>
      </c>
      <c r="L131">
        <v>0</v>
      </c>
      <c r="M131">
        <v>-6.000383137154703</v>
      </c>
      <c r="N131">
        <v>4.4073456085640021</v>
      </c>
      <c r="O131" s="20"/>
      <c r="P131" s="20"/>
      <c r="Q131" s="147">
        <v>8.1420625619143844E-2</v>
      </c>
      <c r="R131" s="197">
        <v>5.6499999999999995E-2</v>
      </c>
      <c r="S131" s="197">
        <v>1.25</v>
      </c>
      <c r="T131" s="197">
        <v>0.50078889239507718</v>
      </c>
      <c r="U131" s="197">
        <v>0.75268470790377973</v>
      </c>
      <c r="V131" s="20">
        <f t="shared" si="130"/>
        <v>0.60019748335573353</v>
      </c>
      <c r="W131" s="20">
        <f t="shared" si="130"/>
        <v>0</v>
      </c>
      <c r="X131" s="20">
        <f t="shared" si="130"/>
        <v>0.45428509215654161</v>
      </c>
      <c r="Y131" s="20">
        <f t="shared" si="130"/>
        <v>0.937160449325525</v>
      </c>
      <c r="Z131" s="20">
        <f t="shared" si="131"/>
        <v>0.3916781915803621</v>
      </c>
      <c r="AA131" s="20">
        <f t="shared" si="131"/>
        <v>0</v>
      </c>
      <c r="AB131" s="20">
        <f t="shared" si="131"/>
        <v>0.30266613246895641</v>
      </c>
      <c r="AC131" s="20">
        <f t="shared" si="131"/>
        <v>0.5910735575973679</v>
      </c>
      <c r="AD131" s="20">
        <f t="shared" si="132"/>
        <v>1.2854178816466866</v>
      </c>
      <c r="AE131" s="20">
        <f t="shared" si="133"/>
        <v>13.278705383976408</v>
      </c>
      <c r="AF131" s="20">
        <f t="shared" si="133"/>
        <v>0</v>
      </c>
      <c r="AG131" s="20">
        <f t="shared" si="133"/>
        <v>10.050555136206674</v>
      </c>
      <c r="AH131" s="20">
        <f t="shared" si="133"/>
        <v>20.733638259414274</v>
      </c>
      <c r="AI131" s="20">
        <f t="shared" si="134"/>
        <v>8.6654467163796944</v>
      </c>
      <c r="AJ131" s="20">
        <f t="shared" si="134"/>
        <v>0</v>
      </c>
      <c r="AK131" s="20">
        <f t="shared" si="134"/>
        <v>6.6961533732070011</v>
      </c>
      <c r="AL131" s="20">
        <f t="shared" si="134"/>
        <v>13.076848619410798</v>
      </c>
      <c r="AM131" s="20">
        <f t="shared" si="135"/>
        <v>28.438448708997491</v>
      </c>
      <c r="AO131">
        <f t="shared" si="136"/>
        <v>0.54345923461573231</v>
      </c>
      <c r="AP131">
        <f t="shared" si="136"/>
        <v>0</v>
      </c>
      <c r="AQ131">
        <f t="shared" si="136"/>
        <v>0.42882302635038144</v>
      </c>
      <c r="AR131">
        <f t="shared" si="136"/>
        <v>0.89498943510424833</v>
      </c>
      <c r="AS131">
        <f t="shared" si="137"/>
        <v>1.8672716960703619</v>
      </c>
      <c r="AU131">
        <f t="shared" si="138"/>
        <v>12.023434394153371</v>
      </c>
      <c r="AV131">
        <f t="shared" si="138"/>
        <v>0</v>
      </c>
      <c r="AW131">
        <f t="shared" si="138"/>
        <v>9.4872350962473782</v>
      </c>
      <c r="AX131">
        <f t="shared" si="138"/>
        <v>19.800651219120542</v>
      </c>
      <c r="AY131">
        <f t="shared" si="139"/>
        <v>41.311320709521297</v>
      </c>
    </row>
    <row r="132" spans="1:51" ht="15" x14ac:dyDescent="0.25">
      <c r="A132" s="1"/>
      <c r="B132" s="2"/>
      <c r="C132" s="1" t="s">
        <v>11</v>
      </c>
      <c r="D132" s="285">
        <v>0</v>
      </c>
      <c r="E132" s="286">
        <v>3.6542285300000001</v>
      </c>
      <c r="F132" s="286">
        <v>0</v>
      </c>
      <c r="G132" s="286">
        <v>0.52885936</v>
      </c>
      <c r="H132" s="287">
        <v>1.53279024</v>
      </c>
      <c r="J132">
        <v>0</v>
      </c>
      <c r="K132">
        <v>3.6106651612824003</v>
      </c>
      <c r="L132">
        <v>0</v>
      </c>
      <c r="M132">
        <v>-0.93481941024640114</v>
      </c>
      <c r="N132">
        <v>0.52758528633285007</v>
      </c>
      <c r="O132" s="20"/>
      <c r="P132" s="20"/>
      <c r="Q132" s="147">
        <v>0.10556083415885847</v>
      </c>
      <c r="R132" s="197">
        <v>5.6499999999999995E-2</v>
      </c>
      <c r="S132" s="197">
        <v>1.25</v>
      </c>
      <c r="T132" s="197">
        <v>0.50078889239507718</v>
      </c>
      <c r="U132" s="197">
        <v>0.75268470790377973</v>
      </c>
      <c r="V132" s="20">
        <f t="shared" si="130"/>
        <v>0.21794502768615304</v>
      </c>
      <c r="W132" s="20">
        <f t="shared" si="130"/>
        <v>0</v>
      </c>
      <c r="X132" s="20">
        <f t="shared" si="130"/>
        <v>3.1542161884790816E-2</v>
      </c>
      <c r="Y132" s="20">
        <f t="shared" si="130"/>
        <v>9.1418478223600635E-2</v>
      </c>
      <c r="Z132" s="20">
        <f t="shared" si="131"/>
        <v>0.14222704472329392</v>
      </c>
      <c r="AA132" s="20">
        <f t="shared" si="131"/>
        <v>0</v>
      </c>
      <c r="AB132" s="20">
        <f t="shared" si="131"/>
        <v>2.1014874386610208E-2</v>
      </c>
      <c r="AC132" s="20">
        <f t="shared" si="131"/>
        <v>5.7658264593485775E-2</v>
      </c>
      <c r="AD132" s="20">
        <f t="shared" si="132"/>
        <v>0.2209001837033899</v>
      </c>
      <c r="AE132" s="20">
        <f t="shared" si="133"/>
        <v>4.8217926479237398</v>
      </c>
      <c r="AF132" s="20">
        <f t="shared" si="133"/>
        <v>0</v>
      </c>
      <c r="AG132" s="20">
        <f t="shared" si="133"/>
        <v>0.69783543992900043</v>
      </c>
      <c r="AH132" s="20">
        <f t="shared" si="133"/>
        <v>2.0225327040619607</v>
      </c>
      <c r="AI132" s="20">
        <f t="shared" si="134"/>
        <v>3.1466160337011928</v>
      </c>
      <c r="AJ132" s="20">
        <f t="shared" si="134"/>
        <v>0</v>
      </c>
      <c r="AK132" s="20">
        <f t="shared" si="134"/>
        <v>0.46493084926128786</v>
      </c>
      <c r="AL132" s="20">
        <f t="shared" si="134"/>
        <v>1.2756253228647294</v>
      </c>
      <c r="AM132" s="20">
        <f t="shared" si="135"/>
        <v>4.88717220582721</v>
      </c>
      <c r="AO132">
        <f t="shared" si="136"/>
        <v>0.19734211025410131</v>
      </c>
      <c r="AP132">
        <f t="shared" si="136"/>
        <v>0</v>
      </c>
      <c r="AQ132">
        <f t="shared" si="136"/>
        <v>2.9774266315586551E-2</v>
      </c>
      <c r="AR132">
        <f t="shared" si="136"/>
        <v>8.7304764346719119E-2</v>
      </c>
      <c r="AS132">
        <f t="shared" si="137"/>
        <v>0.31442114091640699</v>
      </c>
      <c r="AU132">
        <f t="shared" si="138"/>
        <v>4.365975890577463</v>
      </c>
      <c r="AV132">
        <f t="shared" si="138"/>
        <v>0</v>
      </c>
      <c r="AW132">
        <f t="shared" si="138"/>
        <v>0.65872270609704764</v>
      </c>
      <c r="AX132">
        <f t="shared" si="138"/>
        <v>1.9315213351044052</v>
      </c>
      <c r="AY132">
        <f t="shared" si="139"/>
        <v>6.9562199317789162</v>
      </c>
    </row>
    <row r="133" spans="1:51" ht="15" x14ac:dyDescent="0.25">
      <c r="A133" s="1"/>
      <c r="B133" s="2"/>
      <c r="C133" s="1" t="s">
        <v>12</v>
      </c>
      <c r="D133" s="285">
        <v>0</v>
      </c>
      <c r="E133" s="286">
        <v>0</v>
      </c>
      <c r="F133" s="286">
        <v>6.1662000000000002E-4</v>
      </c>
      <c r="G133" s="286">
        <v>3.8841319999999999E-2</v>
      </c>
      <c r="H133" s="287">
        <v>0.95121202999999999</v>
      </c>
      <c r="J133">
        <v>0</v>
      </c>
      <c r="K133">
        <v>-6.23391774727E-2</v>
      </c>
      <c r="L133">
        <v>1.5121812209100002E-4</v>
      </c>
      <c r="M133">
        <v>3.7657015823829999E-2</v>
      </c>
      <c r="N133">
        <v>0.93438461692219998</v>
      </c>
      <c r="O133" s="20"/>
      <c r="P133" s="20"/>
      <c r="Q133" s="147">
        <v>0.10556083415885845</v>
      </c>
      <c r="R133" s="197">
        <v>5.6499999999999995E-2</v>
      </c>
      <c r="S133" s="197">
        <v>1.25</v>
      </c>
      <c r="T133" s="197">
        <v>0.50078889239507718</v>
      </c>
      <c r="U133" s="197">
        <v>0.75268470790377973</v>
      </c>
      <c r="V133" s="20">
        <f t="shared" si="130"/>
        <v>0</v>
      </c>
      <c r="W133" s="20">
        <f t="shared" si="130"/>
        <v>3.6776370680854943E-5</v>
      </c>
      <c r="X133" s="20">
        <f t="shared" si="130"/>
        <v>2.3165690085526006E-3</v>
      </c>
      <c r="Y133" s="20">
        <f t="shared" si="130"/>
        <v>5.6732065472038712E-2</v>
      </c>
      <c r="Z133" s="20">
        <f t="shared" si="131"/>
        <v>0</v>
      </c>
      <c r="AA133" s="20">
        <f t="shared" si="131"/>
        <v>2.4366850805603358E-5</v>
      </c>
      <c r="AB133" s="20">
        <f t="shared" si="131"/>
        <v>1.5434074208502818E-3</v>
      </c>
      <c r="AC133" s="20">
        <f t="shared" si="131"/>
        <v>3.5781304890254724E-2</v>
      </c>
      <c r="AD133" s="20">
        <f t="shared" si="132"/>
        <v>3.734907916191061E-2</v>
      </c>
      <c r="AE133" s="20">
        <f t="shared" si="133"/>
        <v>0</v>
      </c>
      <c r="AF133" s="20">
        <f t="shared" si="133"/>
        <v>8.1363651948794134E-4</v>
      </c>
      <c r="AG133" s="20">
        <f t="shared" si="133"/>
        <v>5.1251526737889394E-2</v>
      </c>
      <c r="AH133" s="20">
        <f t="shared" si="133"/>
        <v>1.2551341918592636</v>
      </c>
      <c r="AI133" s="20">
        <f t="shared" si="134"/>
        <v>0</v>
      </c>
      <c r="AJ133" s="20">
        <f t="shared" si="134"/>
        <v>5.3908961959299472E-4</v>
      </c>
      <c r="AK133" s="20">
        <f t="shared" si="134"/>
        <v>3.4146181877218622E-2</v>
      </c>
      <c r="AL133" s="20">
        <f t="shared" si="134"/>
        <v>0.79162178960740548</v>
      </c>
      <c r="AM133" s="20">
        <f t="shared" si="135"/>
        <v>0.82630706110421714</v>
      </c>
      <c r="AO133">
        <f t="shared" si="136"/>
        <v>0</v>
      </c>
      <c r="AP133">
        <f t="shared" si="136"/>
        <v>3.600117265647993E-5</v>
      </c>
      <c r="AQ133">
        <f t="shared" si="136"/>
        <v>2.1867284446453177E-3</v>
      </c>
      <c r="AR133">
        <f t="shared" si="136"/>
        <v>5.4179195532269499E-2</v>
      </c>
      <c r="AS133">
        <f t="shared" si="137"/>
        <v>5.6401925149571298E-2</v>
      </c>
      <c r="AU133">
        <f t="shared" si="138"/>
        <v>0</v>
      </c>
      <c r="AV133">
        <f t="shared" si="138"/>
        <v>7.964861207185826E-4</v>
      </c>
      <c r="AW133">
        <f t="shared" si="138"/>
        <v>4.8378947890383127E-2</v>
      </c>
      <c r="AX133">
        <f t="shared" si="138"/>
        <v>1.1986547684130422</v>
      </c>
      <c r="AY133">
        <f t="shared" si="139"/>
        <v>1.2478302024241439</v>
      </c>
    </row>
    <row r="134" spans="1:51" ht="15" x14ac:dyDescent="0.25">
      <c r="A134" s="1"/>
      <c r="B134" s="2"/>
      <c r="C134" s="1" t="s">
        <v>13</v>
      </c>
      <c r="D134" s="285">
        <v>0</v>
      </c>
      <c r="E134" s="286">
        <v>0</v>
      </c>
      <c r="F134" s="286">
        <v>0</v>
      </c>
      <c r="G134" s="286">
        <v>0</v>
      </c>
      <c r="H134" s="287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20"/>
      <c r="P134" s="20"/>
      <c r="Q134" s="147"/>
      <c r="R134" s="197">
        <v>5.6499999999999995E-2</v>
      </c>
      <c r="S134" s="197">
        <v>1.25</v>
      </c>
      <c r="T134" s="197">
        <v>0.50078889239507718</v>
      </c>
      <c r="U134" s="197">
        <v>0.75268470790377973</v>
      </c>
      <c r="V134" s="20">
        <f t="shared" si="130"/>
        <v>0</v>
      </c>
      <c r="W134" s="20">
        <f t="shared" si="130"/>
        <v>0</v>
      </c>
      <c r="X134" s="20">
        <f t="shared" si="130"/>
        <v>0</v>
      </c>
      <c r="Y134" s="20">
        <f t="shared" si="130"/>
        <v>0</v>
      </c>
      <c r="Z134" s="20">
        <f t="shared" si="131"/>
        <v>0</v>
      </c>
      <c r="AA134" s="20">
        <f t="shared" si="131"/>
        <v>0</v>
      </c>
      <c r="AB134" s="20">
        <f t="shared" si="131"/>
        <v>0</v>
      </c>
      <c r="AC134" s="20">
        <f t="shared" si="131"/>
        <v>0</v>
      </c>
      <c r="AD134" s="20">
        <f t="shared" si="132"/>
        <v>0</v>
      </c>
      <c r="AE134" s="20">
        <f t="shared" si="133"/>
        <v>0</v>
      </c>
      <c r="AF134" s="20">
        <f t="shared" si="133"/>
        <v>0</v>
      </c>
      <c r="AG134" s="20">
        <f t="shared" si="133"/>
        <v>0</v>
      </c>
      <c r="AH134" s="20">
        <f t="shared" si="133"/>
        <v>0</v>
      </c>
      <c r="AI134" s="20">
        <f t="shared" si="134"/>
        <v>0</v>
      </c>
      <c r="AJ134" s="20">
        <f t="shared" si="134"/>
        <v>0</v>
      </c>
      <c r="AK134" s="20">
        <f t="shared" si="134"/>
        <v>0</v>
      </c>
      <c r="AL134" s="20">
        <f t="shared" si="134"/>
        <v>0</v>
      </c>
      <c r="AM134" s="20">
        <f t="shared" si="135"/>
        <v>0</v>
      </c>
      <c r="AO134">
        <f t="shared" si="136"/>
        <v>0</v>
      </c>
      <c r="AP134">
        <f t="shared" si="136"/>
        <v>0</v>
      </c>
      <c r="AQ134">
        <f t="shared" si="136"/>
        <v>0</v>
      </c>
      <c r="AR134">
        <f t="shared" si="136"/>
        <v>0</v>
      </c>
      <c r="AS134">
        <f t="shared" si="137"/>
        <v>0</v>
      </c>
      <c r="AU134">
        <f t="shared" si="138"/>
        <v>0</v>
      </c>
      <c r="AV134">
        <f t="shared" si="138"/>
        <v>0</v>
      </c>
      <c r="AW134">
        <f t="shared" si="138"/>
        <v>0</v>
      </c>
      <c r="AX134">
        <f t="shared" si="138"/>
        <v>0</v>
      </c>
      <c r="AY134">
        <f t="shared" si="139"/>
        <v>0</v>
      </c>
    </row>
    <row r="135" spans="1:51" ht="15" x14ac:dyDescent="0.25">
      <c r="A135" s="7"/>
      <c r="B135" s="8" t="s">
        <v>14</v>
      </c>
      <c r="C135" s="7"/>
      <c r="D135" s="288">
        <f>SUM(D129:D134)</f>
        <v>0</v>
      </c>
      <c r="E135" s="289">
        <f>SUM(E129:E134)</f>
        <v>234.78790817000001</v>
      </c>
      <c r="F135" s="289">
        <f>SUM(F129:F134)</f>
        <v>128.24399324999999</v>
      </c>
      <c r="G135" s="289">
        <f>SUM(G129:G134)</f>
        <v>104.77590345000002</v>
      </c>
      <c r="H135" s="290">
        <f>SUM(H129:H134)</f>
        <v>190.93014516</v>
      </c>
      <c r="J135">
        <v>0</v>
      </c>
      <c r="K135">
        <v>227.44613128255952</v>
      </c>
      <c r="L135">
        <v>64.022076208351493</v>
      </c>
      <c r="M135">
        <v>-35.851060081068034</v>
      </c>
      <c r="N135">
        <v>-15.99980404008693</v>
      </c>
      <c r="O135" s="20"/>
      <c r="P135" s="20"/>
      <c r="Q135" s="147"/>
      <c r="R135" s="197"/>
      <c r="S135" s="197"/>
      <c r="T135" s="197"/>
      <c r="U135" s="197"/>
    </row>
    <row r="136" spans="1:51" ht="15" x14ac:dyDescent="0.25">
      <c r="A136" s="10"/>
      <c r="B136" s="9" t="s">
        <v>15</v>
      </c>
      <c r="C136" s="5"/>
      <c r="D136" s="291"/>
      <c r="E136" s="292"/>
      <c r="F136" s="292"/>
      <c r="G136" s="292"/>
      <c r="H136" s="293">
        <f>SUM(D135:H135)</f>
        <v>658.73795003000009</v>
      </c>
      <c r="N136">
        <v>239.61734336975607</v>
      </c>
      <c r="O136" s="20"/>
      <c r="P136" s="20"/>
      <c r="Q136" s="147"/>
      <c r="R136" s="197"/>
      <c r="S136" s="197"/>
      <c r="T136" s="197"/>
      <c r="U136" s="197"/>
    </row>
    <row r="137" spans="1:51" ht="15.75" thickBot="1" x14ac:dyDescent="0.3">
      <c r="A137" s="1"/>
      <c r="B137" s="2"/>
      <c r="C137" s="1"/>
      <c r="D137" s="297"/>
      <c r="E137" s="298"/>
      <c r="F137" s="298"/>
      <c r="G137" s="298"/>
      <c r="H137" s="299"/>
      <c r="O137" s="20"/>
      <c r="P137" s="20"/>
      <c r="Q137" s="147"/>
      <c r="R137" s="197"/>
      <c r="S137" s="197"/>
      <c r="T137" s="197"/>
      <c r="U137" s="197"/>
    </row>
    <row r="138" spans="1:51" ht="15" x14ac:dyDescent="0.25">
      <c r="A138" s="1">
        <v>15</v>
      </c>
      <c r="B138" s="2" t="s">
        <v>29</v>
      </c>
      <c r="C138" s="1" t="s">
        <v>8</v>
      </c>
      <c r="D138" s="282">
        <v>2.8999999999999998E-7</v>
      </c>
      <c r="E138" s="283">
        <v>0.74276288000000001</v>
      </c>
      <c r="F138" s="283">
        <v>2.1326700700000001</v>
      </c>
      <c r="G138" s="283">
        <v>2.1078223500000002</v>
      </c>
      <c r="H138" s="284">
        <v>2.7190599600000001</v>
      </c>
      <c r="J138">
        <v>2.8999999999999998E-7</v>
      </c>
      <c r="K138">
        <v>-1.3670043037932302</v>
      </c>
      <c r="L138">
        <v>0.11639199987680016</v>
      </c>
      <c r="M138">
        <v>1.7483973642800001</v>
      </c>
      <c r="N138">
        <v>-1.1583838125034203</v>
      </c>
      <c r="O138" s="20"/>
      <c r="P138" s="20"/>
      <c r="Q138" s="147">
        <v>0.76865760735450228</v>
      </c>
      <c r="R138" s="197">
        <v>1.2861473139312608E-2</v>
      </c>
      <c r="S138" s="197">
        <v>0.49282807343291918</v>
      </c>
      <c r="T138" s="197">
        <v>0.11808671869809276</v>
      </c>
      <c r="U138" s="197">
        <v>0.41263016220713056</v>
      </c>
      <c r="V138" s="20">
        <f t="shared" ref="V138:Y143" si="140">E138*$Q138*$R138*10</f>
        <v>7.3430052088247794E-2</v>
      </c>
      <c r="W138" s="20">
        <f t="shared" si="140"/>
        <v>0.21083723829487419</v>
      </c>
      <c r="X138" s="20">
        <f t="shared" si="140"/>
        <v>0.20838077550842721</v>
      </c>
      <c r="Y138" s="20">
        <f t="shared" si="140"/>
        <v>0.26880814842802714</v>
      </c>
      <c r="Z138" s="20">
        <f t="shared" ref="Z138:AC143" si="141">V138*(EXP(1.01-0.34*LN(Z$8))*(1-$T138)+(1*$T138))</f>
        <v>2.8362128387113834E-2</v>
      </c>
      <c r="AA138" s="20">
        <f t="shared" si="141"/>
        <v>8.5154662524624072E-2</v>
      </c>
      <c r="AB138" s="20">
        <f t="shared" si="141"/>
        <v>8.5516868876428356E-2</v>
      </c>
      <c r="AC138" s="20">
        <f t="shared" si="141"/>
        <v>9.3438160971476669E-2</v>
      </c>
      <c r="AD138" s="20">
        <f t="shared" ref="AD138:AD143" si="142">SUM(Z138:AC138)</f>
        <v>0.29247182075964295</v>
      </c>
      <c r="AE138" s="20">
        <f t="shared" ref="AE138:AH143" si="143">E138*$Q138*$S138*10</f>
        <v>2.8137049862597765</v>
      </c>
      <c r="AF138" s="20">
        <f t="shared" si="143"/>
        <v>8.0788964709787123</v>
      </c>
      <c r="AG138" s="20">
        <f t="shared" si="143"/>
        <v>7.9847693201157268</v>
      </c>
      <c r="AH138" s="20">
        <f t="shared" si="143"/>
        <v>10.300235476753102</v>
      </c>
      <c r="AI138" s="20">
        <f t="shared" ref="AI138:AL143" si="144">AE138*(EXP(1.01-0.34*LN(AI$8))*(1-$T138)+(1*$T138))</f>
        <v>1.0867847671938975</v>
      </c>
      <c r="AJ138" s="20">
        <f t="shared" si="144"/>
        <v>3.2629705649786729</v>
      </c>
      <c r="AK138" s="20">
        <f t="shared" si="144"/>
        <v>3.2768496483940281</v>
      </c>
      <c r="AL138" s="20">
        <f t="shared" si="144"/>
        <v>3.5803790404019731</v>
      </c>
      <c r="AM138" s="20">
        <f t="shared" ref="AM138:AM143" si="145">SUM(AI138:AL138)</f>
        <v>11.206984020968573</v>
      </c>
      <c r="AO138">
        <f t="shared" ref="AO138:AR143" si="146">Z138*AO$10</f>
        <v>3.9352869055951867E-2</v>
      </c>
      <c r="AP138">
        <f t="shared" si="146"/>
        <v>0.12581304545716251</v>
      </c>
      <c r="AQ138">
        <f t="shared" si="146"/>
        <v>0.12116189616742155</v>
      </c>
      <c r="AR138">
        <f t="shared" si="146"/>
        <v>0.1414818271434278</v>
      </c>
      <c r="AS138">
        <f t="shared" ref="AS138:AS143" si="147">SUM(AO138:AR138)</f>
        <v>0.42780963782396375</v>
      </c>
      <c r="AU138">
        <f t="shared" ref="AU138:AX143" si="148">AI138*AU$10</f>
        <v>1.5079298017287028</v>
      </c>
      <c r="AV138">
        <f t="shared" si="148"/>
        <v>4.8209252652294197</v>
      </c>
      <c r="AW138">
        <f t="shared" si="148"/>
        <v>4.6427017507934645</v>
      </c>
      <c r="AX138">
        <f t="shared" si="148"/>
        <v>5.4213242559080133</v>
      </c>
      <c r="AY138">
        <f t="shared" ref="AY138:AY143" si="149">SUM(AU138:AX138)</f>
        <v>16.392881073659602</v>
      </c>
    </row>
    <row r="139" spans="1:51" ht="15" x14ac:dyDescent="0.25">
      <c r="A139" s="1"/>
      <c r="B139" s="2"/>
      <c r="C139" s="1" t="s">
        <v>9</v>
      </c>
      <c r="D139" s="285">
        <v>0</v>
      </c>
      <c r="E139" s="286">
        <v>0.99528508000000004</v>
      </c>
      <c r="F139" s="286">
        <v>8.0709839999999993</v>
      </c>
      <c r="G139" s="286">
        <v>0</v>
      </c>
      <c r="H139" s="287">
        <v>4.0279706199999996</v>
      </c>
      <c r="J139">
        <v>0</v>
      </c>
      <c r="K139">
        <v>0.67071804207000008</v>
      </c>
      <c r="L139">
        <v>5.5814322178129991</v>
      </c>
      <c r="M139">
        <v>0</v>
      </c>
      <c r="N139">
        <v>0.24564055415049957</v>
      </c>
      <c r="O139" s="20"/>
      <c r="P139" s="20"/>
      <c r="Q139" s="147">
        <v>0.77231521470900444</v>
      </c>
      <c r="R139" s="197">
        <v>1.2861473139312608E-2</v>
      </c>
      <c r="S139" s="197">
        <v>0.49282807343291918</v>
      </c>
      <c r="T139" s="197">
        <v>0.11808671869809276</v>
      </c>
      <c r="U139" s="197">
        <v>0.41263016220713056</v>
      </c>
      <c r="V139" s="20">
        <f t="shared" si="140"/>
        <v>9.886277563511793E-2</v>
      </c>
      <c r="W139" s="20">
        <f t="shared" si="140"/>
        <v>0.80169983091339669</v>
      </c>
      <c r="X139" s="20">
        <f t="shared" si="140"/>
        <v>0</v>
      </c>
      <c r="Y139" s="20">
        <f t="shared" si="140"/>
        <v>0.4001028084033037</v>
      </c>
      <c r="Z139" s="20">
        <f t="shared" si="141"/>
        <v>3.8185438461896544E-2</v>
      </c>
      <c r="AA139" s="20">
        <f t="shared" si="141"/>
        <v>0.32379706307857764</v>
      </c>
      <c r="AB139" s="20">
        <f t="shared" si="141"/>
        <v>0</v>
      </c>
      <c r="AC139" s="20">
        <f t="shared" si="141"/>
        <v>0.13907640387894529</v>
      </c>
      <c r="AD139" s="20">
        <f t="shared" si="142"/>
        <v>0.50105890541941944</v>
      </c>
      <c r="AE139" s="20">
        <f t="shared" si="143"/>
        <v>3.7882403300723384</v>
      </c>
      <c r="AF139" s="20">
        <f t="shared" si="143"/>
        <v>30.719667868595558</v>
      </c>
      <c r="AG139" s="20">
        <f t="shared" si="143"/>
        <v>0</v>
      </c>
      <c r="AH139" s="20">
        <f t="shared" si="143"/>
        <v>15.331206161585865</v>
      </c>
      <c r="AI139" s="20">
        <f t="shared" si="144"/>
        <v>1.4631960014631384</v>
      </c>
      <c r="AJ139" s="20">
        <f t="shared" si="144"/>
        <v>12.407309882138549</v>
      </c>
      <c r="AK139" s="20">
        <f t="shared" si="144"/>
        <v>0</v>
      </c>
      <c r="AL139" s="20">
        <f t="shared" si="144"/>
        <v>5.3291528459625894</v>
      </c>
      <c r="AM139" s="20">
        <f t="shared" si="145"/>
        <v>19.199658729564277</v>
      </c>
      <c r="AO139">
        <f t="shared" si="146"/>
        <v>5.2982855839474603E-2</v>
      </c>
      <c r="AP139">
        <f t="shared" si="146"/>
        <v>0.47839887339369913</v>
      </c>
      <c r="AQ139">
        <f t="shared" si="146"/>
        <v>0</v>
      </c>
      <c r="AR139">
        <f t="shared" si="146"/>
        <v>0.21058616232116459</v>
      </c>
      <c r="AS139">
        <f t="shared" si="147"/>
        <v>0.74196789155433829</v>
      </c>
      <c r="AU139">
        <f t="shared" si="148"/>
        <v>2.0302059091916673</v>
      </c>
      <c r="AV139">
        <f t="shared" si="148"/>
        <v>18.331367842027511</v>
      </c>
      <c r="AW139">
        <f t="shared" si="148"/>
        <v>0</v>
      </c>
      <c r="AX139">
        <f t="shared" si="148"/>
        <v>8.0692756999310813</v>
      </c>
      <c r="AY139">
        <f t="shared" si="149"/>
        <v>28.430849451150259</v>
      </c>
    </row>
    <row r="140" spans="1:51" ht="15" x14ac:dyDescent="0.25">
      <c r="A140" s="1"/>
      <c r="B140" s="2"/>
      <c r="C140" s="1" t="s">
        <v>10</v>
      </c>
      <c r="D140" s="285">
        <v>0</v>
      </c>
      <c r="E140" s="286">
        <v>0.88419579000000004</v>
      </c>
      <c r="F140" s="286">
        <v>0.2260906</v>
      </c>
      <c r="G140" s="286">
        <v>2.8523884399999999</v>
      </c>
      <c r="H140" s="287">
        <v>1.2091729099999999</v>
      </c>
      <c r="J140">
        <v>0</v>
      </c>
      <c r="K140">
        <v>-3.3081961745840993E-2</v>
      </c>
      <c r="L140">
        <v>-9.0744787999999993E-2</v>
      </c>
      <c r="M140">
        <v>2.8523884399999999</v>
      </c>
      <c r="N140">
        <v>-0.60437976020900019</v>
      </c>
      <c r="O140" s="20"/>
      <c r="P140" s="20"/>
      <c r="Q140" s="147">
        <v>0.77597282206350648</v>
      </c>
      <c r="R140" s="197">
        <v>1.2861473139312608E-2</v>
      </c>
      <c r="S140" s="197">
        <v>0.49282807343291918</v>
      </c>
      <c r="T140" s="197">
        <v>0.11808671869809276</v>
      </c>
      <c r="U140" s="197">
        <v>0.41263016220713056</v>
      </c>
      <c r="V140" s="20">
        <f t="shared" si="140"/>
        <v>8.8244098035757224E-2</v>
      </c>
      <c r="W140" s="20">
        <f t="shared" si="140"/>
        <v>2.2564189172811114E-2</v>
      </c>
      <c r="X140" s="20">
        <f t="shared" si="140"/>
        <v>0.28467274780331242</v>
      </c>
      <c r="Y140" s="20">
        <f t="shared" si="140"/>
        <v>0.12067731380198252</v>
      </c>
      <c r="Z140" s="20">
        <f t="shared" si="141"/>
        <v>3.4084007388247087E-2</v>
      </c>
      <c r="AA140" s="20">
        <f t="shared" si="141"/>
        <v>9.1134086639154226E-3</v>
      </c>
      <c r="AB140" s="20">
        <f t="shared" si="141"/>
        <v>0.11682614188948495</v>
      </c>
      <c r="AC140" s="20">
        <f t="shared" si="141"/>
        <v>4.1947635659765489E-2</v>
      </c>
      <c r="AD140" s="20">
        <f t="shared" si="142"/>
        <v>0.20197119360141297</v>
      </c>
      <c r="AE140" s="20">
        <f t="shared" si="143"/>
        <v>3.3813520703050814</v>
      </c>
      <c r="AF140" s="20">
        <f t="shared" si="143"/>
        <v>0.86461836510951717</v>
      </c>
      <c r="AG140" s="20">
        <f t="shared" si="143"/>
        <v>10.908137842307845</v>
      </c>
      <c r="AH140" s="20">
        <f t="shared" si="143"/>
        <v>4.624133442871651</v>
      </c>
      <c r="AI140" s="20">
        <f t="shared" si="144"/>
        <v>1.3060366813409179</v>
      </c>
      <c r="AJ140" s="20">
        <f t="shared" si="144"/>
        <v>0.34920911357471107</v>
      </c>
      <c r="AK140" s="20">
        <f t="shared" si="144"/>
        <v>4.4765635950372076</v>
      </c>
      <c r="AL140" s="20">
        <f t="shared" si="144"/>
        <v>1.6073565013387827</v>
      </c>
      <c r="AM140" s="20">
        <f t="shared" si="145"/>
        <v>7.7391658912916199</v>
      </c>
      <c r="AO140">
        <f t="shared" si="146"/>
        <v>4.7292060079002989E-2</v>
      </c>
      <c r="AP140">
        <f t="shared" si="146"/>
        <v>1.3464743614847079E-2</v>
      </c>
      <c r="AQ140">
        <f t="shared" si="146"/>
        <v>0.16552145862248527</v>
      </c>
      <c r="AR140">
        <f t="shared" si="146"/>
        <v>6.3516106008359052E-2</v>
      </c>
      <c r="AS140">
        <f t="shared" si="147"/>
        <v>0.28979436832469441</v>
      </c>
      <c r="AU140">
        <f t="shared" si="148"/>
        <v>1.8121450478459393</v>
      </c>
      <c r="AV140">
        <f t="shared" si="148"/>
        <v>0.51594429215811766</v>
      </c>
      <c r="AW140">
        <f t="shared" si="148"/>
        <v>6.3424788654564521</v>
      </c>
      <c r="AX140">
        <f t="shared" si="148"/>
        <v>2.4338207464260693</v>
      </c>
      <c r="AY140">
        <f t="shared" si="149"/>
        <v>11.104388951886577</v>
      </c>
    </row>
    <row r="141" spans="1:51" ht="15" x14ac:dyDescent="0.25">
      <c r="A141" s="1"/>
      <c r="B141" s="2"/>
      <c r="C141" s="1" t="s">
        <v>11</v>
      </c>
      <c r="D141" s="285">
        <v>0</v>
      </c>
      <c r="E141" s="286">
        <v>0.43953955</v>
      </c>
      <c r="F141" s="286">
        <v>0</v>
      </c>
      <c r="G141" s="286">
        <v>1.73005024</v>
      </c>
      <c r="H141" s="287">
        <v>0.12323297</v>
      </c>
      <c r="J141">
        <v>0</v>
      </c>
      <c r="K141">
        <v>0.17753138272800001</v>
      </c>
      <c r="L141">
        <v>0</v>
      </c>
      <c r="M141">
        <v>0.59518854873799998</v>
      </c>
      <c r="N141">
        <v>-2.8028399382600017E-2</v>
      </c>
      <c r="O141" s="20"/>
      <c r="P141" s="20"/>
      <c r="Q141" s="147">
        <v>0.77963042941800886</v>
      </c>
      <c r="R141" s="197">
        <v>1.2861473139312608E-2</v>
      </c>
      <c r="S141" s="197">
        <v>0.49282807343291918</v>
      </c>
      <c r="T141" s="197">
        <v>0.11808671869809276</v>
      </c>
      <c r="U141" s="197">
        <v>0.41263016220713056</v>
      </c>
      <c r="V141" s="20">
        <f t="shared" si="140"/>
        <v>4.4073491413638741E-2</v>
      </c>
      <c r="W141" s="20">
        <f t="shared" si="140"/>
        <v>0</v>
      </c>
      <c r="X141" s="20">
        <f t="shared" si="140"/>
        <v>0.17347552546250647</v>
      </c>
      <c r="Y141" s="20">
        <f t="shared" si="140"/>
        <v>1.2356811224774198E-2</v>
      </c>
      <c r="Z141" s="20">
        <f t="shared" si="141"/>
        <v>1.7023248471071721E-2</v>
      </c>
      <c r="AA141" s="20">
        <f t="shared" si="141"/>
        <v>0</v>
      </c>
      <c r="AB141" s="20">
        <f t="shared" si="141"/>
        <v>7.119219000913414E-2</v>
      </c>
      <c r="AC141" s="20">
        <f t="shared" si="141"/>
        <v>4.2952482023577588E-3</v>
      </c>
      <c r="AD141" s="20">
        <f t="shared" si="142"/>
        <v>9.2510686682563611E-2</v>
      </c>
      <c r="AE141" s="20">
        <f t="shared" si="143"/>
        <v>1.6888153967724076</v>
      </c>
      <c r="AF141" s="20">
        <f t="shared" si="143"/>
        <v>0</v>
      </c>
      <c r="AG141" s="20">
        <f t="shared" si="143"/>
        <v>6.6472641256100822</v>
      </c>
      <c r="AH141" s="20">
        <f t="shared" si="143"/>
        <v>0.47349035399884309</v>
      </c>
      <c r="AI141" s="20">
        <f t="shared" si="144"/>
        <v>0.65229967490462359</v>
      </c>
      <c r="AJ141" s="20">
        <f t="shared" si="144"/>
        <v>0</v>
      </c>
      <c r="AK141" s="20">
        <f t="shared" si="144"/>
        <v>2.7279542137695643</v>
      </c>
      <c r="AL141" s="20">
        <f t="shared" si="144"/>
        <v>0.16458603719459455</v>
      </c>
      <c r="AM141" s="20">
        <f t="shared" si="145"/>
        <v>3.5448399258687822</v>
      </c>
      <c r="AO141">
        <f t="shared" si="146"/>
        <v>2.3620006892479534E-2</v>
      </c>
      <c r="AP141">
        <f t="shared" si="146"/>
        <v>0</v>
      </c>
      <c r="AQ141">
        <f t="shared" si="146"/>
        <v>0.10086642374947434</v>
      </c>
      <c r="AR141">
        <f t="shared" si="146"/>
        <v>6.5037620324056725E-3</v>
      </c>
      <c r="AS141">
        <f t="shared" si="147"/>
        <v>0.13099019267435955</v>
      </c>
      <c r="AU141">
        <f t="shared" si="148"/>
        <v>0.90507536463393823</v>
      </c>
      <c r="AV141">
        <f t="shared" si="148"/>
        <v>0</v>
      </c>
      <c r="AW141">
        <f t="shared" si="148"/>
        <v>3.8650164527870459</v>
      </c>
      <c r="AX141">
        <f t="shared" si="148"/>
        <v>0.2492122385809345</v>
      </c>
      <c r="AY141">
        <f t="shared" si="149"/>
        <v>5.0193040560019186</v>
      </c>
    </row>
    <row r="142" spans="1:51" ht="15" x14ac:dyDescent="0.25">
      <c r="A142" s="1"/>
      <c r="B142" s="2"/>
      <c r="C142" s="1" t="s">
        <v>12</v>
      </c>
      <c r="D142" s="285">
        <v>0</v>
      </c>
      <c r="E142" s="286">
        <v>6.0469334300000002</v>
      </c>
      <c r="F142" s="286">
        <v>123.17674611</v>
      </c>
      <c r="G142" s="286">
        <v>3.4736843799999999</v>
      </c>
      <c r="H142" s="287">
        <v>18.900544279999998</v>
      </c>
      <c r="J142">
        <v>-1.5613202036099999E-5</v>
      </c>
      <c r="K142">
        <v>2.4036797743580003</v>
      </c>
      <c r="L142">
        <v>5.9536632966499923</v>
      </c>
      <c r="M142">
        <v>3.333351149836</v>
      </c>
      <c r="N142">
        <v>0.22494520368259785</v>
      </c>
      <c r="O142" s="20"/>
      <c r="P142" s="20"/>
      <c r="Q142" s="147">
        <v>0.77963042941800875</v>
      </c>
      <c r="R142" s="197">
        <v>1.2861473139312608E-2</v>
      </c>
      <c r="S142" s="197">
        <v>0.49282807343291918</v>
      </c>
      <c r="T142" s="197">
        <v>0.11808671869809276</v>
      </c>
      <c r="U142" s="197">
        <v>0.41263016220713056</v>
      </c>
      <c r="V142" s="20">
        <f t="shared" si="140"/>
        <v>0.60633785652724548</v>
      </c>
      <c r="W142" s="20">
        <f t="shared" si="140"/>
        <v>12.351173545222593</v>
      </c>
      <c r="X142" s="20">
        <f t="shared" si="140"/>
        <v>0.34831313517889567</v>
      </c>
      <c r="Y142" s="20">
        <f t="shared" si="140"/>
        <v>1.895194587239484</v>
      </c>
      <c r="Z142" s="20">
        <f t="shared" si="141"/>
        <v>0.23419610423435155</v>
      </c>
      <c r="AA142" s="20">
        <f t="shared" si="141"/>
        <v>4.988492656859397</v>
      </c>
      <c r="AB142" s="20">
        <f t="shared" si="141"/>
        <v>0.14294336239202005</v>
      </c>
      <c r="AC142" s="20">
        <f t="shared" si="141"/>
        <v>0.65877280116070569</v>
      </c>
      <c r="AD142" s="20">
        <f t="shared" si="142"/>
        <v>6.0244049246464746</v>
      </c>
      <c r="AE142" s="20">
        <f t="shared" si="143"/>
        <v>23.233755141810981</v>
      </c>
      <c r="AF142" s="20">
        <f t="shared" si="143"/>
        <v>473.27432845325006</v>
      </c>
      <c r="AG142" s="20">
        <f t="shared" si="143"/>
        <v>13.346720822897083</v>
      </c>
      <c r="AH142" s="20">
        <f t="shared" si="143"/>
        <v>72.620382369328652</v>
      </c>
      <c r="AI142" s="20">
        <f t="shared" si="144"/>
        <v>8.9739653930093439</v>
      </c>
      <c r="AJ142" s="20">
        <f t="shared" si="144"/>
        <v>191.14989385622397</v>
      </c>
      <c r="AK142" s="20">
        <f t="shared" si="144"/>
        <v>5.4773276073916293</v>
      </c>
      <c r="AL142" s="20">
        <f t="shared" si="144"/>
        <v>25.242966098002512</v>
      </c>
      <c r="AM142" s="20">
        <f t="shared" si="145"/>
        <v>230.84415295462745</v>
      </c>
      <c r="AO142">
        <f t="shared" si="146"/>
        <v>0.32495052901374838</v>
      </c>
      <c r="AP142">
        <f t="shared" si="146"/>
        <v>7.3703240056724475</v>
      </c>
      <c r="AQ142">
        <f t="shared" si="146"/>
        <v>0.20252482416060355</v>
      </c>
      <c r="AR142">
        <f t="shared" si="146"/>
        <v>0.99749800950237733</v>
      </c>
      <c r="AS142">
        <f t="shared" si="147"/>
        <v>8.8952973683491763</v>
      </c>
      <c r="AU142">
        <f t="shared" si="148"/>
        <v>12.451508582275247</v>
      </c>
      <c r="AV142">
        <f t="shared" si="148"/>
        <v>282.41730484118392</v>
      </c>
      <c r="AW142">
        <f t="shared" si="148"/>
        <v>7.7603799994209215</v>
      </c>
      <c r="AX142">
        <f t="shared" si="148"/>
        <v>38.222295140796135</v>
      </c>
      <c r="AY142">
        <f t="shared" si="149"/>
        <v>340.85148856367624</v>
      </c>
    </row>
    <row r="143" spans="1:51" ht="15" x14ac:dyDescent="0.25">
      <c r="A143" s="1"/>
      <c r="B143" s="2"/>
      <c r="C143" s="1" t="s">
        <v>13</v>
      </c>
      <c r="D143" s="285">
        <v>0</v>
      </c>
      <c r="E143" s="286">
        <v>0</v>
      </c>
      <c r="F143" s="286">
        <v>0</v>
      </c>
      <c r="G143" s="286">
        <v>0</v>
      </c>
      <c r="H143" s="287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20"/>
      <c r="P143" s="20"/>
      <c r="Q143" s="147"/>
      <c r="R143" s="197">
        <v>1.2861473139312608E-2</v>
      </c>
      <c r="S143" s="197">
        <v>0.49282807343291918</v>
      </c>
      <c r="T143" s="197">
        <v>0.11808671869809276</v>
      </c>
      <c r="U143" s="197">
        <v>0.41263016220713056</v>
      </c>
      <c r="V143" s="20">
        <f t="shared" si="140"/>
        <v>0</v>
      </c>
      <c r="W143" s="20">
        <f t="shared" si="140"/>
        <v>0</v>
      </c>
      <c r="X143" s="20">
        <f t="shared" si="140"/>
        <v>0</v>
      </c>
      <c r="Y143" s="20">
        <f t="shared" si="140"/>
        <v>0</v>
      </c>
      <c r="Z143" s="20">
        <f t="shared" si="141"/>
        <v>0</v>
      </c>
      <c r="AA143" s="20">
        <f t="shared" si="141"/>
        <v>0</v>
      </c>
      <c r="AB143" s="20">
        <f t="shared" si="141"/>
        <v>0</v>
      </c>
      <c r="AC143" s="20">
        <f t="shared" si="141"/>
        <v>0</v>
      </c>
      <c r="AD143" s="20">
        <f t="shared" si="142"/>
        <v>0</v>
      </c>
      <c r="AE143" s="20">
        <f t="shared" si="143"/>
        <v>0</v>
      </c>
      <c r="AF143" s="20">
        <f t="shared" si="143"/>
        <v>0</v>
      </c>
      <c r="AG143" s="20">
        <f t="shared" si="143"/>
        <v>0</v>
      </c>
      <c r="AH143" s="20">
        <f t="shared" si="143"/>
        <v>0</v>
      </c>
      <c r="AI143" s="20">
        <f t="shared" si="144"/>
        <v>0</v>
      </c>
      <c r="AJ143" s="20">
        <f t="shared" si="144"/>
        <v>0</v>
      </c>
      <c r="AK143" s="20">
        <f t="shared" si="144"/>
        <v>0</v>
      </c>
      <c r="AL143" s="20">
        <f t="shared" si="144"/>
        <v>0</v>
      </c>
      <c r="AM143" s="20">
        <f t="shared" si="145"/>
        <v>0</v>
      </c>
      <c r="AO143">
        <f t="shared" si="146"/>
        <v>0</v>
      </c>
      <c r="AP143">
        <f t="shared" si="146"/>
        <v>0</v>
      </c>
      <c r="AQ143">
        <f t="shared" si="146"/>
        <v>0</v>
      </c>
      <c r="AR143">
        <f t="shared" si="146"/>
        <v>0</v>
      </c>
      <c r="AS143">
        <f t="shared" si="147"/>
        <v>0</v>
      </c>
      <c r="AU143">
        <f t="shared" si="148"/>
        <v>0</v>
      </c>
      <c r="AV143">
        <f t="shared" si="148"/>
        <v>0</v>
      </c>
      <c r="AW143">
        <f t="shared" si="148"/>
        <v>0</v>
      </c>
      <c r="AX143">
        <f t="shared" si="148"/>
        <v>0</v>
      </c>
      <c r="AY143">
        <f t="shared" si="149"/>
        <v>0</v>
      </c>
    </row>
    <row r="144" spans="1:51" ht="15" x14ac:dyDescent="0.25">
      <c r="A144" s="7"/>
      <c r="B144" s="8" t="s">
        <v>14</v>
      </c>
      <c r="C144" s="7"/>
      <c r="D144" s="288">
        <f>SUM(D138:D143)</f>
        <v>2.8999999999999998E-7</v>
      </c>
      <c r="E144" s="289">
        <f>SUM(E138:E143)</f>
        <v>9.1087167300000011</v>
      </c>
      <c r="F144" s="289">
        <f>SUM(F138:F143)</f>
        <v>133.60649078</v>
      </c>
      <c r="G144" s="289">
        <f>SUM(G138:G143)</f>
        <v>10.16394541</v>
      </c>
      <c r="H144" s="290">
        <f>SUM(H138:H143)</f>
        <v>26.979980739999998</v>
      </c>
      <c r="J144">
        <v>-1.53232020361E-5</v>
      </c>
      <c r="K144">
        <v>1.8518429336169291</v>
      </c>
      <c r="L144">
        <v>11.560742726339791</v>
      </c>
      <c r="M144">
        <v>8.5293255028540003</v>
      </c>
      <c r="N144">
        <v>-1.3202062142619231</v>
      </c>
      <c r="O144" s="20"/>
      <c r="P144" s="20"/>
      <c r="Q144" s="147"/>
      <c r="R144" s="197"/>
      <c r="S144" s="197"/>
      <c r="T144" s="197"/>
      <c r="U144" s="197"/>
    </row>
    <row r="145" spans="1:51" ht="15" x14ac:dyDescent="0.25">
      <c r="A145" s="10"/>
      <c r="B145" s="9" t="s">
        <v>15</v>
      </c>
      <c r="C145" s="5"/>
      <c r="D145" s="291"/>
      <c r="E145" s="292"/>
      <c r="F145" s="292"/>
      <c r="G145" s="292"/>
      <c r="H145" s="293">
        <f>SUM(D144:H144)</f>
        <v>179.85913395</v>
      </c>
      <c r="N145">
        <v>20.621689625346761</v>
      </c>
      <c r="O145" s="20"/>
      <c r="P145" s="20"/>
      <c r="Q145" s="147"/>
      <c r="R145" s="197"/>
      <c r="S145" s="197"/>
      <c r="T145" s="197"/>
      <c r="U145" s="197"/>
    </row>
    <row r="146" spans="1:51" ht="15.75" thickBot="1" x14ac:dyDescent="0.3">
      <c r="A146" s="1"/>
      <c r="B146" s="2"/>
      <c r="C146" s="1"/>
      <c r="D146" s="294"/>
      <c r="E146" s="295"/>
      <c r="F146" s="295"/>
      <c r="G146" s="295"/>
      <c r="H146" s="296"/>
      <c r="O146" s="20"/>
      <c r="P146" s="20"/>
      <c r="Q146" s="147"/>
      <c r="R146" s="197"/>
      <c r="S146" s="197"/>
      <c r="T146" s="197"/>
      <c r="U146" s="197"/>
    </row>
    <row r="147" spans="1:51" ht="15" x14ac:dyDescent="0.25">
      <c r="A147" s="1">
        <v>16</v>
      </c>
      <c r="B147" s="2" t="s">
        <v>30</v>
      </c>
      <c r="C147" s="1" t="s">
        <v>8</v>
      </c>
      <c r="D147" s="285">
        <v>2.2000000000000001E-7</v>
      </c>
      <c r="E147" s="286">
        <v>5.45373777</v>
      </c>
      <c r="F147" s="286">
        <v>4.9587283800000002</v>
      </c>
      <c r="G147" s="286">
        <v>7.9732721599999996</v>
      </c>
      <c r="H147" s="287">
        <v>6.0085408899999999</v>
      </c>
      <c r="J147">
        <v>2.2000000000000001E-7</v>
      </c>
      <c r="K147">
        <v>2.6633107807999998</v>
      </c>
      <c r="L147">
        <v>-1.0630718480597299</v>
      </c>
      <c r="M147">
        <v>1.4502093472370987</v>
      </c>
      <c r="N147">
        <v>-3.6833894152023179</v>
      </c>
      <c r="O147" s="20"/>
      <c r="P147" s="20"/>
      <c r="Q147" s="147">
        <v>0.6810960122575036</v>
      </c>
      <c r="R147" s="197">
        <v>5.6499999999999995E-2</v>
      </c>
      <c r="S147" s="197">
        <v>1.25</v>
      </c>
      <c r="T147" s="197">
        <v>0.50650413159351704</v>
      </c>
      <c r="U147" s="197">
        <v>0.77519673403474398</v>
      </c>
      <c r="V147" s="20">
        <f t="shared" ref="V147:Y152" si="150">E147*$Q147*$R147*10</f>
        <v>2.0987032615804986</v>
      </c>
      <c r="W147" s="20">
        <f t="shared" si="150"/>
        <v>1.9082141208996528</v>
      </c>
      <c r="X147" s="20">
        <f t="shared" si="150"/>
        <v>3.0682685881431708</v>
      </c>
      <c r="Y147" s="20">
        <f t="shared" si="150"/>
        <v>2.3122021804108104</v>
      </c>
      <c r="Z147" s="20">
        <f t="shared" ref="Z147:AC152" si="151">V147*(EXP(1.01-0.34*LN(Z$8))*(1-$T147)+(1*$T147))</f>
        <v>1.3779238222001624</v>
      </c>
      <c r="AA147" s="20">
        <f t="shared" si="151"/>
        <v>1.2716934714486745</v>
      </c>
      <c r="AB147" s="20">
        <f t="shared" si="151"/>
        <v>2.0559489024485917</v>
      </c>
      <c r="AC147" s="20">
        <f t="shared" si="151"/>
        <v>1.4680975435128429</v>
      </c>
      <c r="AD147" s="20">
        <f t="shared" ref="AD147:AD152" si="152">SUM(Z147:AC147)</f>
        <v>6.173663739610272</v>
      </c>
      <c r="AE147" s="20">
        <f t="shared" ref="AE147:AH152" si="153">E147*$Q147*$S147*10</f>
        <v>46.431488088064128</v>
      </c>
      <c r="AF147" s="20">
        <f t="shared" si="153"/>
        <v>42.21712656857639</v>
      </c>
      <c r="AG147" s="20">
        <f t="shared" si="153"/>
        <v>67.882048410247151</v>
      </c>
      <c r="AH147" s="20">
        <f t="shared" si="153"/>
        <v>51.154915495814386</v>
      </c>
      <c r="AI147" s="20">
        <f t="shared" ref="AI147:AL152" si="154">AE147*(EXP(1.01-0.34*LN(AI$8))*(1-$T147)+(1*$T147))</f>
        <v>30.485040314162887</v>
      </c>
      <c r="AJ147" s="20">
        <f t="shared" si="154"/>
        <v>28.134811315236163</v>
      </c>
      <c r="AK147" s="20">
        <f t="shared" si="154"/>
        <v>45.485595186915752</v>
      </c>
      <c r="AL147" s="20">
        <f t="shared" si="154"/>
        <v>32.480034148514221</v>
      </c>
      <c r="AM147" s="20">
        <f t="shared" ref="AM147:AM152" si="155">SUM(AI147:AL147)</f>
        <v>136.58548096482903</v>
      </c>
      <c r="AO147">
        <f t="shared" ref="AO147:AR152" si="156">Z147*AO$10</f>
        <v>1.9118895099832005</v>
      </c>
      <c r="AP147">
        <f t="shared" si="156"/>
        <v>1.8788827738549623</v>
      </c>
      <c r="AQ147">
        <f t="shared" si="156"/>
        <v>2.9129067833850799</v>
      </c>
      <c r="AR147">
        <f t="shared" si="156"/>
        <v>2.22295816528732</v>
      </c>
      <c r="AS147">
        <f t="shared" ref="AS147:AS152" si="157">SUM(AO147:AR147)</f>
        <v>8.9266372325105632</v>
      </c>
      <c r="AU147">
        <f t="shared" ref="AU147:AX152" si="158">AI147*AU$10</f>
        <v>42.298440486353996</v>
      </c>
      <c r="AV147">
        <f t="shared" si="158"/>
        <v>41.568202961392977</v>
      </c>
      <c r="AW147">
        <f t="shared" si="158"/>
        <v>64.44484034037788</v>
      </c>
      <c r="AX147">
        <f t="shared" si="158"/>
        <v>49.180490382462821</v>
      </c>
      <c r="AY147">
        <f t="shared" ref="AY147:AY152" si="159">SUM(AU147:AX147)</f>
        <v>197.4919741705877</v>
      </c>
    </row>
    <row r="148" spans="1:51" ht="15" x14ac:dyDescent="0.25">
      <c r="A148" s="1"/>
      <c r="B148" s="2"/>
      <c r="C148" s="1" t="s">
        <v>9</v>
      </c>
      <c r="D148" s="285">
        <v>0</v>
      </c>
      <c r="E148" s="286">
        <v>41.935854540000001</v>
      </c>
      <c r="F148" s="286">
        <v>14.96406541</v>
      </c>
      <c r="G148" s="286">
        <v>2.8986047899999998</v>
      </c>
      <c r="H148" s="287">
        <v>126.15924793000001</v>
      </c>
      <c r="J148">
        <v>0</v>
      </c>
      <c r="K148">
        <v>4.5738231290820011</v>
      </c>
      <c r="L148">
        <v>-6.2654238883294013</v>
      </c>
      <c r="M148">
        <v>0.97063325629679964</v>
      </c>
      <c r="N148">
        <v>-5.1351474589921651</v>
      </c>
      <c r="O148" s="20"/>
      <c r="P148" s="20"/>
      <c r="Q148" s="147">
        <v>0.68719202451500749</v>
      </c>
      <c r="R148" s="197">
        <v>5.6499999999999995E-2</v>
      </c>
      <c r="S148" s="197">
        <v>1.25</v>
      </c>
      <c r="T148" s="197">
        <v>0.50650413159351704</v>
      </c>
      <c r="U148" s="197">
        <v>0.77519673403474398</v>
      </c>
      <c r="V148" s="20">
        <f t="shared" si="150"/>
        <v>16.282161401326849</v>
      </c>
      <c r="W148" s="20">
        <f t="shared" si="150"/>
        <v>5.810000318301185</v>
      </c>
      <c r="X148" s="20">
        <f t="shared" si="150"/>
        <v>1.1254224230585839</v>
      </c>
      <c r="Y148" s="20">
        <f t="shared" si="150"/>
        <v>48.983030382913725</v>
      </c>
      <c r="Z148" s="20">
        <f t="shared" si="151"/>
        <v>10.69020975118721</v>
      </c>
      <c r="AA148" s="20">
        <f t="shared" si="151"/>
        <v>3.8719656211405211</v>
      </c>
      <c r="AB148" s="20">
        <f t="shared" si="151"/>
        <v>0.75410966446017136</v>
      </c>
      <c r="AC148" s="20">
        <f t="shared" si="151"/>
        <v>31.101028789010989</v>
      </c>
      <c r="AD148" s="20">
        <f t="shared" si="152"/>
        <v>46.417313825798892</v>
      </c>
      <c r="AE148" s="20">
        <f t="shared" si="153"/>
        <v>360.22480976386839</v>
      </c>
      <c r="AF148" s="20">
        <f t="shared" si="153"/>
        <v>128.53983005091118</v>
      </c>
      <c r="AG148" s="20">
        <f t="shared" si="153"/>
        <v>24.898726173862475</v>
      </c>
      <c r="AH148" s="20">
        <f t="shared" si="153"/>
        <v>1083.6953624538435</v>
      </c>
      <c r="AI148" s="20">
        <f t="shared" si="154"/>
        <v>236.50906529175245</v>
      </c>
      <c r="AJ148" s="20">
        <f t="shared" si="154"/>
        <v>85.662956219923046</v>
      </c>
      <c r="AK148" s="20">
        <f t="shared" si="154"/>
        <v>16.683842134074588</v>
      </c>
      <c r="AL148" s="20">
        <f t="shared" si="154"/>
        <v>688.07585816395988</v>
      </c>
      <c r="AM148" s="20">
        <f t="shared" si="155"/>
        <v>1026.9317218097099</v>
      </c>
      <c r="AO148">
        <f t="shared" si="156"/>
        <v>14.832822797257636</v>
      </c>
      <c r="AP148">
        <f t="shared" si="156"/>
        <v>5.7206942316312519</v>
      </c>
      <c r="AQ148">
        <f t="shared" si="156"/>
        <v>1.068436649571453</v>
      </c>
      <c r="AR148">
        <f t="shared" si="156"/>
        <v>47.092433470012942</v>
      </c>
      <c r="AS148">
        <f t="shared" si="157"/>
        <v>68.714387148473278</v>
      </c>
      <c r="AU148">
        <f t="shared" si="158"/>
        <v>328.15979639950524</v>
      </c>
      <c r="AV148">
        <f t="shared" si="158"/>
        <v>126.56403167325782</v>
      </c>
      <c r="AW148">
        <f t="shared" si="158"/>
        <v>23.637978972819759</v>
      </c>
      <c r="AX148">
        <f t="shared" si="158"/>
        <v>1041.86799712418</v>
      </c>
      <c r="AY148">
        <f t="shared" si="159"/>
        <v>1520.2298041697627</v>
      </c>
    </row>
    <row r="149" spans="1:51" ht="15" x14ac:dyDescent="0.25">
      <c r="A149" s="1"/>
      <c r="B149" s="2"/>
      <c r="C149" s="1" t="s">
        <v>10</v>
      </c>
      <c r="D149" s="285">
        <v>0</v>
      </c>
      <c r="E149" s="286">
        <v>5.2743174799999997</v>
      </c>
      <c r="F149" s="286">
        <v>1.365359E-2</v>
      </c>
      <c r="G149" s="286">
        <v>4.8973834099999998</v>
      </c>
      <c r="H149" s="287">
        <v>5.7491299800000002</v>
      </c>
      <c r="J149">
        <v>0</v>
      </c>
      <c r="K149">
        <v>-0.8971836360248</v>
      </c>
      <c r="L149">
        <v>-1.1367706362200001E-2</v>
      </c>
      <c r="M149">
        <v>0.49997130005349977</v>
      </c>
      <c r="N149">
        <v>-1.6893558908485096</v>
      </c>
      <c r="O149" s="20"/>
      <c r="P149" s="20"/>
      <c r="Q149" s="147">
        <v>0.69328803677251116</v>
      </c>
      <c r="R149" s="197">
        <v>5.6499999999999995E-2</v>
      </c>
      <c r="S149" s="197">
        <v>1.25</v>
      </c>
      <c r="T149" s="197">
        <v>0.50650413159351704</v>
      </c>
      <c r="U149" s="197">
        <v>0.77519673403474398</v>
      </c>
      <c r="V149" s="20">
        <f t="shared" si="150"/>
        <v>2.0659909842286379</v>
      </c>
      <c r="W149" s="20">
        <f t="shared" si="150"/>
        <v>5.3482168923881853E-3</v>
      </c>
      <c r="X149" s="20">
        <f t="shared" si="150"/>
        <v>1.9183429912472589</v>
      </c>
      <c r="Y149" s="20">
        <f t="shared" si="150"/>
        <v>2.2519787158960654</v>
      </c>
      <c r="Z149" s="20">
        <f t="shared" si="151"/>
        <v>1.3564462617147404</v>
      </c>
      <c r="AA149" s="20">
        <f t="shared" si="151"/>
        <v>3.5642187275791745E-3</v>
      </c>
      <c r="AB149" s="20">
        <f t="shared" si="151"/>
        <v>1.2854204428568481</v>
      </c>
      <c r="AC149" s="20">
        <f t="shared" si="151"/>
        <v>1.4298595723419043</v>
      </c>
      <c r="AD149" s="20">
        <f t="shared" si="152"/>
        <v>4.075290495641072</v>
      </c>
      <c r="AE149" s="20">
        <f t="shared" si="153"/>
        <v>45.707765137801729</v>
      </c>
      <c r="AF149" s="20">
        <f t="shared" si="153"/>
        <v>0.11832338257495988</v>
      </c>
      <c r="AG149" s="20">
        <f t="shared" si="153"/>
        <v>42.441216620514581</v>
      </c>
      <c r="AH149" s="20">
        <f t="shared" si="153"/>
        <v>49.822537962302327</v>
      </c>
      <c r="AI149" s="20">
        <f t="shared" si="154"/>
        <v>30.009873046786296</v>
      </c>
      <c r="AJ149" s="20">
        <f t="shared" si="154"/>
        <v>7.8854396627857856E-2</v>
      </c>
      <c r="AK149" s="20">
        <f t="shared" si="154"/>
        <v>28.438505372939115</v>
      </c>
      <c r="AL149" s="20">
        <f t="shared" si="154"/>
        <v>31.634061334997881</v>
      </c>
      <c r="AM149" s="20">
        <f t="shared" si="155"/>
        <v>90.161294151351143</v>
      </c>
      <c r="AO149">
        <f t="shared" si="156"/>
        <v>1.8820890798501744</v>
      </c>
      <c r="AP149">
        <f t="shared" si="156"/>
        <v>5.2660089242032755E-3</v>
      </c>
      <c r="AQ149">
        <f t="shared" si="156"/>
        <v>1.8212076783815845</v>
      </c>
      <c r="AR149">
        <f t="shared" si="156"/>
        <v>2.1650591444667624</v>
      </c>
      <c r="AS149">
        <f t="shared" si="157"/>
        <v>5.8736219116227248</v>
      </c>
      <c r="AU149">
        <f t="shared" si="158"/>
        <v>41.639138934738384</v>
      </c>
      <c r="AV149">
        <f t="shared" si="158"/>
        <v>0.11650462221688665</v>
      </c>
      <c r="AW149">
        <f t="shared" si="158"/>
        <v>40.292205273928857</v>
      </c>
      <c r="AX149">
        <f t="shared" si="158"/>
        <v>47.899538594397399</v>
      </c>
      <c r="AY149">
        <f t="shared" si="159"/>
        <v>129.94738742528153</v>
      </c>
    </row>
    <row r="150" spans="1:51" ht="15" x14ac:dyDescent="0.25">
      <c r="A150" s="1"/>
      <c r="B150" s="2"/>
      <c r="C150" s="1" t="s">
        <v>11</v>
      </c>
      <c r="D150" s="285">
        <v>0</v>
      </c>
      <c r="E150" s="286">
        <v>66.577786029999999</v>
      </c>
      <c r="F150" s="286">
        <v>0</v>
      </c>
      <c r="G150" s="286">
        <v>6.3816839099999996</v>
      </c>
      <c r="H150" s="287">
        <v>12.503161629999999</v>
      </c>
      <c r="J150">
        <v>0</v>
      </c>
      <c r="K150">
        <v>5.5479843179559936</v>
      </c>
      <c r="L150">
        <v>0</v>
      </c>
      <c r="M150">
        <v>-1.6756596079230004</v>
      </c>
      <c r="N150">
        <v>-1.0813139623608574</v>
      </c>
      <c r="O150" s="20"/>
      <c r="P150" s="20"/>
      <c r="Q150" s="147">
        <v>0.69938404903001483</v>
      </c>
      <c r="R150" s="197">
        <v>5.6499999999999995E-2</v>
      </c>
      <c r="S150" s="197">
        <v>1.25</v>
      </c>
      <c r="T150" s="197">
        <v>0.50650413159351704</v>
      </c>
      <c r="U150" s="197">
        <v>0.77519673403474398</v>
      </c>
      <c r="V150" s="20">
        <f t="shared" si="150"/>
        <v>26.308344486550173</v>
      </c>
      <c r="W150" s="20">
        <f t="shared" si="150"/>
        <v>0</v>
      </c>
      <c r="X150" s="20">
        <f t="shared" si="150"/>
        <v>2.5217350819221056</v>
      </c>
      <c r="Y150" s="20">
        <f t="shared" si="150"/>
        <v>4.9406491706533568</v>
      </c>
      <c r="Z150" s="20">
        <f t="shared" si="151"/>
        <v>17.272996737693084</v>
      </c>
      <c r="AA150" s="20">
        <f t="shared" si="151"/>
        <v>0</v>
      </c>
      <c r="AB150" s="20">
        <f t="shared" si="151"/>
        <v>1.6897342344730681</v>
      </c>
      <c r="AC150" s="20">
        <f t="shared" si="151"/>
        <v>3.1369899104178902</v>
      </c>
      <c r="AD150" s="20">
        <f t="shared" si="152"/>
        <v>22.099720882584045</v>
      </c>
      <c r="AE150" s="20">
        <f t="shared" si="153"/>
        <v>582.04301961394196</v>
      </c>
      <c r="AF150" s="20">
        <f t="shared" si="153"/>
        <v>0</v>
      </c>
      <c r="AG150" s="20">
        <f t="shared" si="153"/>
        <v>55.790599157568714</v>
      </c>
      <c r="AH150" s="20">
        <f t="shared" si="153"/>
        <v>109.3063975808265</v>
      </c>
      <c r="AI150" s="20">
        <f t="shared" si="154"/>
        <v>382.14594552418333</v>
      </c>
      <c r="AJ150" s="20">
        <f t="shared" si="154"/>
        <v>0</v>
      </c>
      <c r="AK150" s="20">
        <f t="shared" si="154"/>
        <v>37.383500762678501</v>
      </c>
      <c r="AL150" s="20">
        <f t="shared" si="154"/>
        <v>69.402431646413504</v>
      </c>
      <c r="AM150" s="20">
        <f t="shared" si="155"/>
        <v>488.93187793327536</v>
      </c>
      <c r="AO150">
        <f t="shared" si="156"/>
        <v>23.966536274871263</v>
      </c>
      <c r="AP150">
        <f t="shared" si="156"/>
        <v>0</v>
      </c>
      <c r="AQ150">
        <f t="shared" si="156"/>
        <v>2.394047005668551</v>
      </c>
      <c r="AR150">
        <f t="shared" si="156"/>
        <v>4.7499550466527865</v>
      </c>
      <c r="AS150">
        <f t="shared" si="157"/>
        <v>31.1105383271926</v>
      </c>
      <c r="AU150">
        <f t="shared" si="158"/>
        <v>530.23310342635546</v>
      </c>
      <c r="AV150">
        <f t="shared" si="158"/>
        <v>0</v>
      </c>
      <c r="AW150">
        <f t="shared" si="158"/>
        <v>52.965641718330779</v>
      </c>
      <c r="AX150">
        <f t="shared" si="158"/>
        <v>105.0875010321413</v>
      </c>
      <c r="AY150">
        <f t="shared" si="159"/>
        <v>688.28624617682749</v>
      </c>
    </row>
    <row r="151" spans="1:51" ht="15" x14ac:dyDescent="0.25">
      <c r="A151" s="1"/>
      <c r="B151" s="2"/>
      <c r="C151" s="1" t="s">
        <v>12</v>
      </c>
      <c r="D151" s="285">
        <v>0</v>
      </c>
      <c r="E151" s="286">
        <v>4.1764414299999997</v>
      </c>
      <c r="F151" s="286">
        <v>4.6641048300000003</v>
      </c>
      <c r="G151" s="286">
        <v>1.17776418</v>
      </c>
      <c r="H151" s="287">
        <v>14.44994544</v>
      </c>
      <c r="J151">
        <v>0</v>
      </c>
      <c r="K151">
        <v>3.3621401326199996</v>
      </c>
      <c r="L151">
        <v>-5.8425427582538996</v>
      </c>
      <c r="M151">
        <v>-0.17859052863429992</v>
      </c>
      <c r="N151">
        <v>-0.16637524561381589</v>
      </c>
      <c r="O151" s="20"/>
      <c r="P151" s="20"/>
      <c r="Q151" s="147">
        <v>0.69938404903001472</v>
      </c>
      <c r="R151" s="197">
        <v>5.6499999999999995E-2</v>
      </c>
      <c r="S151" s="197">
        <v>1.25</v>
      </c>
      <c r="T151" s="197">
        <v>0.50650413159351704</v>
      </c>
      <c r="U151" s="197">
        <v>0.77519673403474398</v>
      </c>
      <c r="V151" s="20">
        <f t="shared" si="150"/>
        <v>1.6503291325853089</v>
      </c>
      <c r="W151" s="20">
        <f t="shared" si="150"/>
        <v>1.8430302944248045</v>
      </c>
      <c r="X151" s="20">
        <f t="shared" si="150"/>
        <v>0.46539585677116696</v>
      </c>
      <c r="Y151" s="20">
        <f t="shared" si="150"/>
        <v>5.709924662800848</v>
      </c>
      <c r="Z151" s="20">
        <f t="shared" si="151"/>
        <v>1.0835394731066912</v>
      </c>
      <c r="AA151" s="20">
        <f t="shared" si="151"/>
        <v>1.228252934213248</v>
      </c>
      <c r="AB151" s="20">
        <f t="shared" si="151"/>
        <v>0.31184691738862702</v>
      </c>
      <c r="AC151" s="20">
        <f t="shared" si="151"/>
        <v>3.6254296627347524</v>
      </c>
      <c r="AD151" s="20">
        <f t="shared" si="152"/>
        <v>6.2490689874433185</v>
      </c>
      <c r="AE151" s="20">
        <f t="shared" si="153"/>
        <v>36.51170647312631</v>
      </c>
      <c r="AF151" s="20">
        <f t="shared" si="153"/>
        <v>40.775006513823101</v>
      </c>
      <c r="AG151" s="20">
        <f t="shared" si="153"/>
        <v>10.296368512636441</v>
      </c>
      <c r="AH151" s="20">
        <f t="shared" si="153"/>
        <v>126.32576687612499</v>
      </c>
      <c r="AI151" s="20">
        <f t="shared" si="154"/>
        <v>23.972112236873702</v>
      </c>
      <c r="AJ151" s="20">
        <f t="shared" si="154"/>
        <v>27.173737482593978</v>
      </c>
      <c r="AK151" s="20">
        <f t="shared" si="154"/>
        <v>6.8992680838191847</v>
      </c>
      <c r="AL151" s="20">
        <f t="shared" si="154"/>
        <v>80.208620856963563</v>
      </c>
      <c r="AM151" s="20">
        <f t="shared" si="155"/>
        <v>138.25373866025043</v>
      </c>
      <c r="AO151">
        <f t="shared" si="156"/>
        <v>1.5034269085918144</v>
      </c>
      <c r="AP151">
        <f t="shared" si="156"/>
        <v>1.8147008943917697</v>
      </c>
      <c r="AQ151">
        <f t="shared" si="156"/>
        <v>0.44183053380227283</v>
      </c>
      <c r="AR151">
        <f t="shared" si="156"/>
        <v>5.4895388300747268</v>
      </c>
      <c r="AS151">
        <f t="shared" si="157"/>
        <v>9.2494971668605839</v>
      </c>
      <c r="AU151">
        <f t="shared" si="158"/>
        <v>33.261657269730414</v>
      </c>
      <c r="AV151">
        <f t="shared" si="158"/>
        <v>40.148249875924101</v>
      </c>
      <c r="AW151">
        <f t="shared" si="158"/>
        <v>9.775011809784802</v>
      </c>
      <c r="AX151">
        <f t="shared" si="158"/>
        <v>121.44997411669752</v>
      </c>
      <c r="AY151">
        <f t="shared" si="159"/>
        <v>204.63489307213683</v>
      </c>
    </row>
    <row r="152" spans="1:51" ht="15" x14ac:dyDescent="0.25">
      <c r="A152" s="1"/>
      <c r="B152" s="2"/>
      <c r="C152" s="1" t="s">
        <v>13</v>
      </c>
      <c r="D152" s="285">
        <v>0</v>
      </c>
      <c r="E152" s="286">
        <v>0</v>
      </c>
      <c r="F152" s="286">
        <v>0</v>
      </c>
      <c r="G152" s="286">
        <v>0</v>
      </c>
      <c r="H152" s="287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20"/>
      <c r="P152" s="20"/>
      <c r="Q152" s="147"/>
      <c r="R152" s="197">
        <v>5.6499999999999995E-2</v>
      </c>
      <c r="S152" s="197">
        <v>1.25</v>
      </c>
      <c r="T152" s="197">
        <v>0.50650413159351704</v>
      </c>
      <c r="U152" s="197">
        <v>0.77519673403474398</v>
      </c>
      <c r="V152" s="20">
        <f t="shared" si="150"/>
        <v>0</v>
      </c>
      <c r="W152" s="20">
        <f t="shared" si="150"/>
        <v>0</v>
      </c>
      <c r="X152" s="20">
        <f t="shared" si="150"/>
        <v>0</v>
      </c>
      <c r="Y152" s="20">
        <f t="shared" si="150"/>
        <v>0</v>
      </c>
      <c r="Z152" s="20">
        <f t="shared" si="151"/>
        <v>0</v>
      </c>
      <c r="AA152" s="20">
        <f t="shared" si="151"/>
        <v>0</v>
      </c>
      <c r="AB152" s="20">
        <f t="shared" si="151"/>
        <v>0</v>
      </c>
      <c r="AC152" s="20">
        <f t="shared" si="151"/>
        <v>0</v>
      </c>
      <c r="AD152" s="20">
        <f t="shared" si="152"/>
        <v>0</v>
      </c>
      <c r="AE152" s="20">
        <f t="shared" si="153"/>
        <v>0</v>
      </c>
      <c r="AF152" s="20">
        <f t="shared" si="153"/>
        <v>0</v>
      </c>
      <c r="AG152" s="20">
        <f t="shared" si="153"/>
        <v>0</v>
      </c>
      <c r="AH152" s="20">
        <f t="shared" si="153"/>
        <v>0</v>
      </c>
      <c r="AI152" s="20">
        <f t="shared" si="154"/>
        <v>0</v>
      </c>
      <c r="AJ152" s="20">
        <f t="shared" si="154"/>
        <v>0</v>
      </c>
      <c r="AK152" s="20">
        <f t="shared" si="154"/>
        <v>0</v>
      </c>
      <c r="AL152" s="20">
        <f t="shared" si="154"/>
        <v>0</v>
      </c>
      <c r="AM152" s="20">
        <f t="shared" si="155"/>
        <v>0</v>
      </c>
      <c r="AO152">
        <f t="shared" si="156"/>
        <v>0</v>
      </c>
      <c r="AP152">
        <f t="shared" si="156"/>
        <v>0</v>
      </c>
      <c r="AQ152">
        <f t="shared" si="156"/>
        <v>0</v>
      </c>
      <c r="AR152">
        <f t="shared" si="156"/>
        <v>0</v>
      </c>
      <c r="AS152">
        <f t="shared" si="157"/>
        <v>0</v>
      </c>
      <c r="AU152">
        <f t="shared" si="158"/>
        <v>0</v>
      </c>
      <c r="AV152">
        <f t="shared" si="158"/>
        <v>0</v>
      </c>
      <c r="AW152">
        <f t="shared" si="158"/>
        <v>0</v>
      </c>
      <c r="AX152">
        <f t="shared" si="158"/>
        <v>0</v>
      </c>
      <c r="AY152">
        <f t="shared" si="159"/>
        <v>0</v>
      </c>
    </row>
    <row r="153" spans="1:51" ht="15" x14ac:dyDescent="0.25">
      <c r="A153" s="7"/>
      <c r="B153" s="8" t="s">
        <v>14</v>
      </c>
      <c r="C153" s="7"/>
      <c r="D153" s="288">
        <f>SUM(D147:D152)</f>
        <v>2.2000000000000001E-7</v>
      </c>
      <c r="E153" s="289">
        <f>SUM(E147:E152)</f>
        <v>123.41813724999999</v>
      </c>
      <c r="F153" s="289">
        <f>SUM(F147:F152)</f>
        <v>24.60055221</v>
      </c>
      <c r="G153" s="289">
        <f>SUM(G147:G152)</f>
        <v>23.328708449999997</v>
      </c>
      <c r="H153" s="290">
        <f>SUM(H147:H152)</f>
        <v>164.87002586999998</v>
      </c>
      <c r="J153">
        <v>2.2000000000000001E-7</v>
      </c>
      <c r="K153">
        <v>15.250074724433194</v>
      </c>
      <c r="L153">
        <v>-13.182406201005231</v>
      </c>
      <c r="M153">
        <v>1.0665637670300978</v>
      </c>
      <c r="N153">
        <v>-11.755581973017666</v>
      </c>
      <c r="O153" s="20"/>
      <c r="P153" s="20"/>
      <c r="Q153" s="147"/>
      <c r="R153" s="197"/>
      <c r="S153" s="197"/>
      <c r="T153" s="197"/>
      <c r="U153" s="197"/>
    </row>
    <row r="154" spans="1:51" ht="15" x14ac:dyDescent="0.25">
      <c r="A154" s="10"/>
      <c r="B154" s="9" t="s">
        <v>15</v>
      </c>
      <c r="C154" s="5"/>
      <c r="D154" s="291"/>
      <c r="E154" s="292"/>
      <c r="F154" s="292"/>
      <c r="G154" s="292"/>
      <c r="H154" s="293">
        <f>SUM(D153:H153)</f>
        <v>336.21742399999994</v>
      </c>
      <c r="N154">
        <v>-8.6213494625596034</v>
      </c>
      <c r="O154" s="20"/>
      <c r="P154" s="20"/>
      <c r="Q154" s="147"/>
      <c r="R154" s="197"/>
      <c r="S154" s="197"/>
      <c r="T154" s="197"/>
      <c r="U154" s="197"/>
    </row>
    <row r="155" spans="1:51" ht="15.75" thickBot="1" x14ac:dyDescent="0.3">
      <c r="A155" s="1"/>
      <c r="B155" s="2"/>
      <c r="C155" s="1"/>
      <c r="D155" s="297"/>
      <c r="E155" s="298"/>
      <c r="F155" s="298"/>
      <c r="G155" s="298"/>
      <c r="H155" s="299"/>
      <c r="O155" s="20"/>
      <c r="P155" s="20"/>
      <c r="Q155" s="147"/>
      <c r="R155" s="197"/>
      <c r="S155" s="197"/>
      <c r="T155" s="197"/>
      <c r="U155" s="197"/>
    </row>
    <row r="156" spans="1:51" ht="15" x14ac:dyDescent="0.25">
      <c r="A156" s="1">
        <v>17</v>
      </c>
      <c r="B156" s="2" t="s">
        <v>31</v>
      </c>
      <c r="C156" s="1" t="s">
        <v>8</v>
      </c>
      <c r="D156" s="282">
        <v>0</v>
      </c>
      <c r="E156" s="283">
        <v>0</v>
      </c>
      <c r="F156" s="283">
        <v>0</v>
      </c>
      <c r="G156" s="283">
        <v>0</v>
      </c>
      <c r="H156" s="284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 s="20"/>
      <c r="P156" s="20"/>
      <c r="Q156" s="147"/>
      <c r="R156" s="197"/>
      <c r="S156" s="197"/>
      <c r="T156" s="197"/>
      <c r="U156" s="197"/>
      <c r="V156" s="20">
        <f t="shared" ref="V156:Y161" si="160">IF(K156&gt;0,((E156-K156)*$Q156*$R156*10)+(K156*$O$12*$Q156*$R156*10),(E156*$Q156*$R156*10))</f>
        <v>0</v>
      </c>
      <c r="W156" s="20">
        <f t="shared" si="160"/>
        <v>0</v>
      </c>
      <c r="X156" s="20">
        <f t="shared" si="160"/>
        <v>0</v>
      </c>
      <c r="Y156" s="20">
        <f t="shared" si="160"/>
        <v>0</v>
      </c>
      <c r="Z156" s="20">
        <f t="shared" ref="Z156:AC161" si="161">V156*(EXP(1.01-0.34*LN(Z$8))*(1-$T156)+(1*$T156))</f>
        <v>0</v>
      </c>
      <c r="AA156" s="20">
        <f t="shared" si="161"/>
        <v>0</v>
      </c>
      <c r="AB156" s="20">
        <f t="shared" si="161"/>
        <v>0</v>
      </c>
      <c r="AC156" s="20">
        <f t="shared" si="161"/>
        <v>0</v>
      </c>
      <c r="AD156" s="20">
        <f t="shared" ref="AD156:AD161" si="162">SUM(Z156:AC156)</f>
        <v>0</v>
      </c>
      <c r="AE156" s="20">
        <f t="shared" ref="AE156:AH161" si="163">IF(K156&gt;0,((E156-K156)*$Q156*$S156*10)+(K156*$P$12*$Q156*$S156)*10,(E156*$Q156*$S156*10))</f>
        <v>0</v>
      </c>
      <c r="AF156" s="20">
        <f t="shared" si="163"/>
        <v>0</v>
      </c>
      <c r="AG156" s="20">
        <f t="shared" si="163"/>
        <v>0</v>
      </c>
      <c r="AH156" s="20">
        <f t="shared" si="163"/>
        <v>0</v>
      </c>
      <c r="AI156" s="20">
        <f t="shared" ref="AI156:AL161" si="164">AE156*(EXP(1.01-0.34*LN(AI$8))*(1-$T156)+(1*$T156))</f>
        <v>0</v>
      </c>
      <c r="AJ156" s="20">
        <f t="shared" si="164"/>
        <v>0</v>
      </c>
      <c r="AK156" s="20">
        <f t="shared" si="164"/>
        <v>0</v>
      </c>
      <c r="AL156" s="20">
        <f t="shared" si="164"/>
        <v>0</v>
      </c>
      <c r="AM156" s="20">
        <f t="shared" ref="AM156:AM161" si="165">SUM(AI156:AL156)</f>
        <v>0</v>
      </c>
      <c r="AO156">
        <f t="shared" ref="AO156:AR161" si="166">Z156*AO$10</f>
        <v>0</v>
      </c>
      <c r="AP156">
        <f t="shared" si="166"/>
        <v>0</v>
      </c>
      <c r="AQ156">
        <f t="shared" si="166"/>
        <v>0</v>
      </c>
      <c r="AR156">
        <f t="shared" si="166"/>
        <v>0</v>
      </c>
      <c r="AS156">
        <f t="shared" ref="AS156:AS161" si="167">SUM(AO156:AR156)</f>
        <v>0</v>
      </c>
      <c r="AU156">
        <f t="shared" ref="AU156:AX161" si="168">AI156*AU$10</f>
        <v>0</v>
      </c>
      <c r="AV156">
        <f t="shared" si="168"/>
        <v>0</v>
      </c>
      <c r="AW156">
        <f t="shared" si="168"/>
        <v>0</v>
      </c>
      <c r="AX156">
        <f t="shared" si="168"/>
        <v>0</v>
      </c>
      <c r="AY156">
        <f t="shared" ref="AY156:AY161" si="169">SUM(AU156:AX156)</f>
        <v>0</v>
      </c>
    </row>
    <row r="157" spans="1:51" ht="15" x14ac:dyDescent="0.25">
      <c r="A157" s="1"/>
      <c r="B157" s="2"/>
      <c r="C157" s="1" t="s">
        <v>9</v>
      </c>
      <c r="D157" s="285">
        <v>0</v>
      </c>
      <c r="E157" s="286">
        <v>0</v>
      </c>
      <c r="F157" s="286">
        <v>0</v>
      </c>
      <c r="G157" s="286">
        <v>0</v>
      </c>
      <c r="H157" s="28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 s="20"/>
      <c r="P157" s="20"/>
      <c r="Q157" s="147"/>
      <c r="R157" s="197"/>
      <c r="S157" s="197"/>
      <c r="T157" s="197"/>
      <c r="U157" s="197"/>
      <c r="V157" s="20">
        <f t="shared" si="160"/>
        <v>0</v>
      </c>
      <c r="W157" s="20">
        <f t="shared" si="160"/>
        <v>0</v>
      </c>
      <c r="X157" s="20">
        <f t="shared" si="160"/>
        <v>0</v>
      </c>
      <c r="Y157" s="20">
        <f t="shared" si="160"/>
        <v>0</v>
      </c>
      <c r="Z157" s="20">
        <f t="shared" si="161"/>
        <v>0</v>
      </c>
      <c r="AA157" s="20">
        <f t="shared" si="161"/>
        <v>0</v>
      </c>
      <c r="AB157" s="20">
        <f t="shared" si="161"/>
        <v>0</v>
      </c>
      <c r="AC157" s="20">
        <f t="shared" si="161"/>
        <v>0</v>
      </c>
      <c r="AD157" s="20">
        <f t="shared" si="162"/>
        <v>0</v>
      </c>
      <c r="AE157" s="20">
        <f t="shared" si="163"/>
        <v>0</v>
      </c>
      <c r="AF157" s="20">
        <f t="shared" si="163"/>
        <v>0</v>
      </c>
      <c r="AG157" s="20">
        <f t="shared" si="163"/>
        <v>0</v>
      </c>
      <c r="AH157" s="20">
        <f t="shared" si="163"/>
        <v>0</v>
      </c>
      <c r="AI157" s="20">
        <f t="shared" si="164"/>
        <v>0</v>
      </c>
      <c r="AJ157" s="20">
        <f t="shared" si="164"/>
        <v>0</v>
      </c>
      <c r="AK157" s="20">
        <f t="shared" si="164"/>
        <v>0</v>
      </c>
      <c r="AL157" s="20">
        <f t="shared" si="164"/>
        <v>0</v>
      </c>
      <c r="AM157" s="20">
        <f t="shared" si="165"/>
        <v>0</v>
      </c>
      <c r="AO157">
        <f t="shared" si="166"/>
        <v>0</v>
      </c>
      <c r="AP157">
        <f t="shared" si="166"/>
        <v>0</v>
      </c>
      <c r="AQ157">
        <f t="shared" si="166"/>
        <v>0</v>
      </c>
      <c r="AR157">
        <f t="shared" si="166"/>
        <v>0</v>
      </c>
      <c r="AS157">
        <f t="shared" si="167"/>
        <v>0</v>
      </c>
      <c r="AU157">
        <f t="shared" si="168"/>
        <v>0</v>
      </c>
      <c r="AV157">
        <f t="shared" si="168"/>
        <v>0</v>
      </c>
      <c r="AW157">
        <f t="shared" si="168"/>
        <v>0</v>
      </c>
      <c r="AX157">
        <f t="shared" si="168"/>
        <v>0</v>
      </c>
      <c r="AY157">
        <f t="shared" si="169"/>
        <v>0</v>
      </c>
    </row>
    <row r="158" spans="1:51" ht="15" x14ac:dyDescent="0.25">
      <c r="A158" s="1"/>
      <c r="B158" s="2"/>
      <c r="C158" s="1" t="s">
        <v>10</v>
      </c>
      <c r="D158" s="285">
        <v>0</v>
      </c>
      <c r="E158" s="286">
        <v>0</v>
      </c>
      <c r="F158" s="286">
        <v>0</v>
      </c>
      <c r="G158" s="286">
        <v>0</v>
      </c>
      <c r="H158" s="287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 s="20"/>
      <c r="P158" s="20"/>
      <c r="Q158" s="147"/>
      <c r="R158" s="197"/>
      <c r="S158" s="197"/>
      <c r="T158" s="197"/>
      <c r="U158" s="197"/>
      <c r="V158" s="20">
        <f t="shared" si="160"/>
        <v>0</v>
      </c>
      <c r="W158" s="20">
        <f t="shared" si="160"/>
        <v>0</v>
      </c>
      <c r="X158" s="20">
        <f t="shared" si="160"/>
        <v>0</v>
      </c>
      <c r="Y158" s="20">
        <f t="shared" si="160"/>
        <v>0</v>
      </c>
      <c r="Z158" s="20">
        <f t="shared" si="161"/>
        <v>0</v>
      </c>
      <c r="AA158" s="20">
        <f t="shared" si="161"/>
        <v>0</v>
      </c>
      <c r="AB158" s="20">
        <f t="shared" si="161"/>
        <v>0</v>
      </c>
      <c r="AC158" s="20">
        <f t="shared" si="161"/>
        <v>0</v>
      </c>
      <c r="AD158" s="20">
        <f t="shared" si="162"/>
        <v>0</v>
      </c>
      <c r="AE158" s="20">
        <f t="shared" si="163"/>
        <v>0</v>
      </c>
      <c r="AF158" s="20">
        <f t="shared" si="163"/>
        <v>0</v>
      </c>
      <c r="AG158" s="20">
        <f t="shared" si="163"/>
        <v>0</v>
      </c>
      <c r="AH158" s="20">
        <f t="shared" si="163"/>
        <v>0</v>
      </c>
      <c r="AI158" s="20">
        <f t="shared" si="164"/>
        <v>0</v>
      </c>
      <c r="AJ158" s="20">
        <f t="shared" si="164"/>
        <v>0</v>
      </c>
      <c r="AK158" s="20">
        <f t="shared" si="164"/>
        <v>0</v>
      </c>
      <c r="AL158" s="20">
        <f t="shared" si="164"/>
        <v>0</v>
      </c>
      <c r="AM158" s="20">
        <f t="shared" si="165"/>
        <v>0</v>
      </c>
      <c r="AO158">
        <f t="shared" si="166"/>
        <v>0</v>
      </c>
      <c r="AP158">
        <f t="shared" si="166"/>
        <v>0</v>
      </c>
      <c r="AQ158">
        <f t="shared" si="166"/>
        <v>0</v>
      </c>
      <c r="AR158">
        <f t="shared" si="166"/>
        <v>0</v>
      </c>
      <c r="AS158">
        <f t="shared" si="167"/>
        <v>0</v>
      </c>
      <c r="AU158">
        <f t="shared" si="168"/>
        <v>0</v>
      </c>
      <c r="AV158">
        <f t="shared" si="168"/>
        <v>0</v>
      </c>
      <c r="AW158">
        <f t="shared" si="168"/>
        <v>0</v>
      </c>
      <c r="AX158">
        <f t="shared" si="168"/>
        <v>0</v>
      </c>
      <c r="AY158">
        <f t="shared" si="169"/>
        <v>0</v>
      </c>
    </row>
    <row r="159" spans="1:51" ht="15" x14ac:dyDescent="0.25">
      <c r="A159" s="1"/>
      <c r="B159" s="2"/>
      <c r="C159" s="1" t="s">
        <v>11</v>
      </c>
      <c r="D159" s="285">
        <v>0</v>
      </c>
      <c r="E159" s="286">
        <v>0</v>
      </c>
      <c r="F159" s="286">
        <v>0</v>
      </c>
      <c r="G159" s="286">
        <v>0</v>
      </c>
      <c r="H159" s="287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 s="20"/>
      <c r="P159" s="20"/>
      <c r="Q159" s="147"/>
      <c r="R159" s="197"/>
      <c r="S159" s="197"/>
      <c r="T159" s="197"/>
      <c r="U159" s="197"/>
      <c r="V159" s="20">
        <f t="shared" si="160"/>
        <v>0</v>
      </c>
      <c r="W159" s="20">
        <f t="shared" si="160"/>
        <v>0</v>
      </c>
      <c r="X159" s="20">
        <f t="shared" si="160"/>
        <v>0</v>
      </c>
      <c r="Y159" s="20">
        <f t="shared" si="160"/>
        <v>0</v>
      </c>
      <c r="Z159" s="20">
        <f t="shared" si="161"/>
        <v>0</v>
      </c>
      <c r="AA159" s="20">
        <f t="shared" si="161"/>
        <v>0</v>
      </c>
      <c r="AB159" s="20">
        <f t="shared" si="161"/>
        <v>0</v>
      </c>
      <c r="AC159" s="20">
        <f t="shared" si="161"/>
        <v>0</v>
      </c>
      <c r="AD159" s="20">
        <f t="shared" si="162"/>
        <v>0</v>
      </c>
      <c r="AE159" s="20">
        <f t="shared" si="163"/>
        <v>0</v>
      </c>
      <c r="AF159" s="20">
        <f t="shared" si="163"/>
        <v>0</v>
      </c>
      <c r="AG159" s="20">
        <f t="shared" si="163"/>
        <v>0</v>
      </c>
      <c r="AH159" s="20">
        <f t="shared" si="163"/>
        <v>0</v>
      </c>
      <c r="AI159" s="20">
        <f t="shared" si="164"/>
        <v>0</v>
      </c>
      <c r="AJ159" s="20">
        <f t="shared" si="164"/>
        <v>0</v>
      </c>
      <c r="AK159" s="20">
        <f t="shared" si="164"/>
        <v>0</v>
      </c>
      <c r="AL159" s="20">
        <f t="shared" si="164"/>
        <v>0</v>
      </c>
      <c r="AM159" s="20">
        <f t="shared" si="165"/>
        <v>0</v>
      </c>
      <c r="AO159">
        <f t="shared" si="166"/>
        <v>0</v>
      </c>
      <c r="AP159">
        <f t="shared" si="166"/>
        <v>0</v>
      </c>
      <c r="AQ159">
        <f t="shared" si="166"/>
        <v>0</v>
      </c>
      <c r="AR159">
        <f t="shared" si="166"/>
        <v>0</v>
      </c>
      <c r="AS159">
        <f t="shared" si="167"/>
        <v>0</v>
      </c>
      <c r="AU159">
        <f t="shared" si="168"/>
        <v>0</v>
      </c>
      <c r="AV159">
        <f t="shared" si="168"/>
        <v>0</v>
      </c>
      <c r="AW159">
        <f t="shared" si="168"/>
        <v>0</v>
      </c>
      <c r="AX159">
        <f t="shared" si="168"/>
        <v>0</v>
      </c>
      <c r="AY159">
        <f t="shared" si="169"/>
        <v>0</v>
      </c>
    </row>
    <row r="160" spans="1:51" ht="15" x14ac:dyDescent="0.25">
      <c r="A160" s="1"/>
      <c r="B160" s="2"/>
      <c r="C160" s="1" t="s">
        <v>12</v>
      </c>
      <c r="D160" s="285">
        <v>0</v>
      </c>
      <c r="E160" s="286">
        <v>0</v>
      </c>
      <c r="F160" s="286">
        <v>0</v>
      </c>
      <c r="G160" s="286">
        <v>0</v>
      </c>
      <c r="H160" s="287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 s="20"/>
      <c r="P160" s="20"/>
      <c r="Q160" s="147"/>
      <c r="R160" s="197"/>
      <c r="S160" s="197"/>
      <c r="T160" s="197"/>
      <c r="U160" s="197"/>
      <c r="V160" s="20">
        <f t="shared" si="160"/>
        <v>0</v>
      </c>
      <c r="W160" s="20">
        <f t="shared" si="160"/>
        <v>0</v>
      </c>
      <c r="X160" s="20">
        <f t="shared" si="160"/>
        <v>0</v>
      </c>
      <c r="Y160" s="20">
        <f t="shared" si="160"/>
        <v>0</v>
      </c>
      <c r="Z160" s="20">
        <f t="shared" si="161"/>
        <v>0</v>
      </c>
      <c r="AA160" s="20">
        <f t="shared" si="161"/>
        <v>0</v>
      </c>
      <c r="AB160" s="20">
        <f t="shared" si="161"/>
        <v>0</v>
      </c>
      <c r="AC160" s="20">
        <f t="shared" si="161"/>
        <v>0</v>
      </c>
      <c r="AD160" s="20">
        <f t="shared" si="162"/>
        <v>0</v>
      </c>
      <c r="AE160" s="20">
        <f t="shared" si="163"/>
        <v>0</v>
      </c>
      <c r="AF160" s="20">
        <f t="shared" si="163"/>
        <v>0</v>
      </c>
      <c r="AG160" s="20">
        <f t="shared" si="163"/>
        <v>0</v>
      </c>
      <c r="AH160" s="20">
        <f t="shared" si="163"/>
        <v>0</v>
      </c>
      <c r="AI160" s="20">
        <f t="shared" si="164"/>
        <v>0</v>
      </c>
      <c r="AJ160" s="20">
        <f t="shared" si="164"/>
        <v>0</v>
      </c>
      <c r="AK160" s="20">
        <f t="shared" si="164"/>
        <v>0</v>
      </c>
      <c r="AL160" s="20">
        <f t="shared" si="164"/>
        <v>0</v>
      </c>
      <c r="AM160" s="20">
        <f t="shared" si="165"/>
        <v>0</v>
      </c>
      <c r="AO160">
        <f t="shared" si="166"/>
        <v>0</v>
      </c>
      <c r="AP160">
        <f t="shared" si="166"/>
        <v>0</v>
      </c>
      <c r="AQ160">
        <f t="shared" si="166"/>
        <v>0</v>
      </c>
      <c r="AR160">
        <f t="shared" si="166"/>
        <v>0</v>
      </c>
      <c r="AS160">
        <f t="shared" si="167"/>
        <v>0</v>
      </c>
      <c r="AU160">
        <f t="shared" si="168"/>
        <v>0</v>
      </c>
      <c r="AV160">
        <f t="shared" si="168"/>
        <v>0</v>
      </c>
      <c r="AW160">
        <f t="shared" si="168"/>
        <v>0</v>
      </c>
      <c r="AX160">
        <f t="shared" si="168"/>
        <v>0</v>
      </c>
      <c r="AY160">
        <f t="shared" si="169"/>
        <v>0</v>
      </c>
    </row>
    <row r="161" spans="1:51" ht="15" x14ac:dyDescent="0.25">
      <c r="A161" s="1"/>
      <c r="B161" s="2"/>
      <c r="C161" s="1" t="s">
        <v>13</v>
      </c>
      <c r="D161" s="285">
        <v>0</v>
      </c>
      <c r="E161" s="285">
        <v>0</v>
      </c>
      <c r="F161" s="285">
        <v>0</v>
      </c>
      <c r="G161" s="285">
        <v>0</v>
      </c>
      <c r="H161" s="285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 s="20"/>
      <c r="P161" s="20"/>
      <c r="Q161" s="147"/>
      <c r="R161" s="197"/>
      <c r="S161" s="197"/>
      <c r="T161" s="197"/>
      <c r="U161" s="197"/>
      <c r="V161" s="20">
        <f t="shared" si="160"/>
        <v>0</v>
      </c>
      <c r="W161" s="20">
        <f t="shared" si="160"/>
        <v>0</v>
      </c>
      <c r="X161" s="20">
        <f t="shared" si="160"/>
        <v>0</v>
      </c>
      <c r="Y161" s="20">
        <f t="shared" si="160"/>
        <v>0</v>
      </c>
      <c r="Z161" s="20">
        <f t="shared" si="161"/>
        <v>0</v>
      </c>
      <c r="AA161" s="20">
        <f t="shared" si="161"/>
        <v>0</v>
      </c>
      <c r="AB161" s="20">
        <f t="shared" si="161"/>
        <v>0</v>
      </c>
      <c r="AC161" s="20">
        <f t="shared" si="161"/>
        <v>0</v>
      </c>
      <c r="AD161" s="20">
        <f t="shared" si="162"/>
        <v>0</v>
      </c>
      <c r="AE161" s="20">
        <f t="shared" si="163"/>
        <v>0</v>
      </c>
      <c r="AF161" s="20">
        <f t="shared" si="163"/>
        <v>0</v>
      </c>
      <c r="AG161" s="20">
        <f t="shared" si="163"/>
        <v>0</v>
      </c>
      <c r="AH161" s="20">
        <f t="shared" si="163"/>
        <v>0</v>
      </c>
      <c r="AI161" s="20">
        <f t="shared" si="164"/>
        <v>0</v>
      </c>
      <c r="AJ161" s="20">
        <f t="shared" si="164"/>
        <v>0</v>
      </c>
      <c r="AK161" s="20">
        <f t="shared" si="164"/>
        <v>0</v>
      </c>
      <c r="AL161" s="20">
        <f t="shared" si="164"/>
        <v>0</v>
      </c>
      <c r="AM161" s="20">
        <f t="shared" si="165"/>
        <v>0</v>
      </c>
      <c r="AO161">
        <f t="shared" si="166"/>
        <v>0</v>
      </c>
      <c r="AP161">
        <f t="shared" si="166"/>
        <v>0</v>
      </c>
      <c r="AQ161">
        <f t="shared" si="166"/>
        <v>0</v>
      </c>
      <c r="AR161">
        <f t="shared" si="166"/>
        <v>0</v>
      </c>
      <c r="AS161">
        <f t="shared" si="167"/>
        <v>0</v>
      </c>
      <c r="AU161">
        <f t="shared" si="168"/>
        <v>0</v>
      </c>
      <c r="AV161">
        <f t="shared" si="168"/>
        <v>0</v>
      </c>
      <c r="AW161">
        <f t="shared" si="168"/>
        <v>0</v>
      </c>
      <c r="AX161">
        <f t="shared" si="168"/>
        <v>0</v>
      </c>
      <c r="AY161">
        <f t="shared" si="169"/>
        <v>0</v>
      </c>
    </row>
    <row r="162" spans="1:51" ht="15" x14ac:dyDescent="0.25">
      <c r="A162" s="7"/>
      <c r="B162" s="8" t="s">
        <v>14</v>
      </c>
      <c r="C162" s="7"/>
      <c r="D162" s="288">
        <f>SUM(D156:D161)</f>
        <v>0</v>
      </c>
      <c r="E162" s="289">
        <f>SUM(E156:E160)</f>
        <v>0</v>
      </c>
      <c r="F162" s="289">
        <f>SUM(F156:F160)</f>
        <v>0</v>
      </c>
      <c r="G162" s="289">
        <f>SUM(G156:G160)</f>
        <v>0</v>
      </c>
      <c r="H162" s="290">
        <f>SUM(H156:H160)</f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 s="20"/>
      <c r="P162" s="20"/>
      <c r="Q162" s="147"/>
      <c r="R162" s="197"/>
      <c r="S162" s="197"/>
      <c r="T162" s="197"/>
      <c r="U162" s="197"/>
    </row>
    <row r="163" spans="1:51" ht="15" x14ac:dyDescent="0.25">
      <c r="A163" s="10"/>
      <c r="B163" s="9" t="s">
        <v>15</v>
      </c>
      <c r="C163" s="5"/>
      <c r="D163" s="291"/>
      <c r="E163" s="292"/>
      <c r="F163" s="292"/>
      <c r="G163" s="292"/>
      <c r="H163" s="293">
        <f>SUM(D162:H162)</f>
        <v>0</v>
      </c>
      <c r="N163">
        <v>0</v>
      </c>
      <c r="O163" s="20"/>
      <c r="P163" s="20"/>
      <c r="Q163" s="147"/>
      <c r="R163" s="197"/>
      <c r="S163" s="197"/>
      <c r="T163" s="197"/>
      <c r="U163" s="197"/>
    </row>
    <row r="164" spans="1:51" ht="15.75" thickBot="1" x14ac:dyDescent="0.3">
      <c r="A164" s="1"/>
      <c r="B164" s="2"/>
      <c r="C164" s="1"/>
      <c r="D164" s="294"/>
      <c r="E164" s="295"/>
      <c r="F164" s="295"/>
      <c r="G164" s="295"/>
      <c r="H164" s="296"/>
      <c r="O164" s="20"/>
      <c r="P164" s="20"/>
      <c r="Q164" s="147"/>
      <c r="R164" s="197"/>
      <c r="S164" s="197"/>
      <c r="T164" s="197"/>
      <c r="U164" s="197"/>
    </row>
    <row r="165" spans="1:51" ht="15" x14ac:dyDescent="0.25">
      <c r="A165" s="1">
        <v>18</v>
      </c>
      <c r="B165" s="2" t="s">
        <v>709</v>
      </c>
      <c r="C165" s="1" t="s">
        <v>8</v>
      </c>
      <c r="D165" s="285">
        <v>0</v>
      </c>
      <c r="E165" s="286">
        <v>0</v>
      </c>
      <c r="F165" s="286">
        <v>0</v>
      </c>
      <c r="G165" s="286">
        <v>0</v>
      </c>
      <c r="H165" s="287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 s="20"/>
      <c r="P165" s="20"/>
      <c r="Q165" s="147"/>
      <c r="R165" s="197">
        <v>0.66599999999999993</v>
      </c>
      <c r="S165" s="197">
        <v>4.5549999999999997</v>
      </c>
      <c r="T165" s="197">
        <v>0.60039794540960334</v>
      </c>
      <c r="U165" s="197">
        <v>0.90789473684210531</v>
      </c>
      <c r="V165" s="20">
        <f t="shared" ref="V165:Y170" si="170">IF(K165&gt;0,((E165-K165)*$Q165*$R165*10)+(K165*$O$12*$Q165*$R165*10),(E165*$Q165*$R165*10))</f>
        <v>0</v>
      </c>
      <c r="W165" s="20">
        <f t="shared" si="170"/>
        <v>0</v>
      </c>
      <c r="X165" s="20">
        <f t="shared" si="170"/>
        <v>0</v>
      </c>
      <c r="Y165" s="20">
        <f t="shared" si="170"/>
        <v>0</v>
      </c>
      <c r="Z165" s="20">
        <f t="shared" ref="Z165:AC170" si="171">V165*(EXP(1.01-0.34*LN(Z$8))*(1-$T165)+(1*$T165))</f>
        <v>0</v>
      </c>
      <c r="AA165" s="20">
        <f t="shared" si="171"/>
        <v>0</v>
      </c>
      <c r="AB165" s="20">
        <f t="shared" si="171"/>
        <v>0</v>
      </c>
      <c r="AC165" s="20">
        <f t="shared" si="171"/>
        <v>0</v>
      </c>
      <c r="AD165" s="20">
        <f t="shared" ref="AD165:AD170" si="172">SUM(Z165:AC165)</f>
        <v>0</v>
      </c>
      <c r="AE165" s="20">
        <f t="shared" ref="AE165:AH170" si="173">IF(K165&gt;0,((E165-K165)*$Q165*$S165*10)+(K165*$P$12*$Q165*$S165)*10,(E165*$Q165*$S165*10))</f>
        <v>0</v>
      </c>
      <c r="AF165" s="20">
        <f t="shared" si="173"/>
        <v>0</v>
      </c>
      <c r="AG165" s="20">
        <f t="shared" si="173"/>
        <v>0</v>
      </c>
      <c r="AH165" s="20">
        <f t="shared" si="173"/>
        <v>0</v>
      </c>
      <c r="AI165" s="20">
        <f t="shared" ref="AI165:AL170" si="174">AE165*(EXP(1.01-0.34*LN(AI$8))*(1-$T165)+(1*$T165))</f>
        <v>0</v>
      </c>
      <c r="AJ165" s="20">
        <f t="shared" si="174"/>
        <v>0</v>
      </c>
      <c r="AK165" s="20">
        <f t="shared" si="174"/>
        <v>0</v>
      </c>
      <c r="AL165" s="20">
        <f t="shared" si="174"/>
        <v>0</v>
      </c>
      <c r="AM165" s="20">
        <f t="shared" ref="AM165:AM170" si="175">SUM(AI165:AL165)</f>
        <v>0</v>
      </c>
      <c r="AO165">
        <f t="shared" ref="AO165:AR170" si="176">Z165*AO$10</f>
        <v>0</v>
      </c>
      <c r="AP165">
        <f t="shared" si="176"/>
        <v>0</v>
      </c>
      <c r="AQ165">
        <f t="shared" si="176"/>
        <v>0</v>
      </c>
      <c r="AR165">
        <f t="shared" si="176"/>
        <v>0</v>
      </c>
      <c r="AS165">
        <f t="shared" ref="AS165:AS170" si="177">SUM(AO165:AR165)</f>
        <v>0</v>
      </c>
      <c r="AU165">
        <f t="shared" ref="AU165:AX170" si="178">AI165*AU$10</f>
        <v>0</v>
      </c>
      <c r="AV165">
        <f t="shared" si="178"/>
        <v>0</v>
      </c>
      <c r="AW165">
        <f t="shared" si="178"/>
        <v>0</v>
      </c>
      <c r="AX165">
        <f t="shared" si="178"/>
        <v>0</v>
      </c>
      <c r="AY165">
        <f t="shared" ref="AY165:AY170" si="179">SUM(AU165:AX165)</f>
        <v>0</v>
      </c>
    </row>
    <row r="166" spans="1:51" ht="15" x14ac:dyDescent="0.25">
      <c r="A166" s="1"/>
      <c r="B166" s="2"/>
      <c r="C166" s="1" t="s">
        <v>9</v>
      </c>
      <c r="D166" s="285">
        <v>0</v>
      </c>
      <c r="E166" s="286">
        <v>0</v>
      </c>
      <c r="F166" s="286">
        <v>0</v>
      </c>
      <c r="G166" s="286">
        <v>0</v>
      </c>
      <c r="H166" s="287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 s="20"/>
      <c r="P166" s="20"/>
      <c r="Q166" s="147"/>
      <c r="R166" s="197">
        <v>0.66599999999999993</v>
      </c>
      <c r="S166" s="197">
        <v>4.5549999999999997</v>
      </c>
      <c r="T166" s="197">
        <v>0.60039794540960334</v>
      </c>
      <c r="U166" s="197">
        <v>0.90789473684210531</v>
      </c>
      <c r="V166" s="20">
        <f t="shared" si="170"/>
        <v>0</v>
      </c>
      <c r="W166" s="20">
        <f t="shared" si="170"/>
        <v>0</v>
      </c>
      <c r="X166" s="20">
        <f t="shared" si="170"/>
        <v>0</v>
      </c>
      <c r="Y166" s="20">
        <f t="shared" si="170"/>
        <v>0</v>
      </c>
      <c r="Z166" s="20">
        <f t="shared" si="171"/>
        <v>0</v>
      </c>
      <c r="AA166" s="20">
        <f t="shared" si="171"/>
        <v>0</v>
      </c>
      <c r="AB166" s="20">
        <f t="shared" si="171"/>
        <v>0</v>
      </c>
      <c r="AC166" s="20">
        <f t="shared" si="171"/>
        <v>0</v>
      </c>
      <c r="AD166" s="20">
        <f t="shared" si="172"/>
        <v>0</v>
      </c>
      <c r="AE166" s="20">
        <f t="shared" si="173"/>
        <v>0</v>
      </c>
      <c r="AF166" s="20">
        <f t="shared" si="173"/>
        <v>0</v>
      </c>
      <c r="AG166" s="20">
        <f t="shared" si="173"/>
        <v>0</v>
      </c>
      <c r="AH166" s="20">
        <f t="shared" si="173"/>
        <v>0</v>
      </c>
      <c r="AI166" s="20">
        <f t="shared" si="174"/>
        <v>0</v>
      </c>
      <c r="AJ166" s="20">
        <f t="shared" si="174"/>
        <v>0</v>
      </c>
      <c r="AK166" s="20">
        <f t="shared" si="174"/>
        <v>0</v>
      </c>
      <c r="AL166" s="20">
        <f t="shared" si="174"/>
        <v>0</v>
      </c>
      <c r="AM166" s="20">
        <f t="shared" si="175"/>
        <v>0</v>
      </c>
      <c r="AO166">
        <f t="shared" si="176"/>
        <v>0</v>
      </c>
      <c r="AP166">
        <f t="shared" si="176"/>
        <v>0</v>
      </c>
      <c r="AQ166">
        <f t="shared" si="176"/>
        <v>0</v>
      </c>
      <c r="AR166">
        <f t="shared" si="176"/>
        <v>0</v>
      </c>
      <c r="AS166">
        <f t="shared" si="177"/>
        <v>0</v>
      </c>
      <c r="AU166">
        <f t="shared" si="178"/>
        <v>0</v>
      </c>
      <c r="AV166">
        <f t="shared" si="178"/>
        <v>0</v>
      </c>
      <c r="AW166">
        <f t="shared" si="178"/>
        <v>0</v>
      </c>
      <c r="AX166">
        <f t="shared" si="178"/>
        <v>0</v>
      </c>
      <c r="AY166">
        <f t="shared" si="179"/>
        <v>0</v>
      </c>
    </row>
    <row r="167" spans="1:51" ht="15" x14ac:dyDescent="0.25">
      <c r="A167" s="1"/>
      <c r="B167" s="2"/>
      <c r="C167" s="1" t="s">
        <v>10</v>
      </c>
      <c r="D167" s="285">
        <v>0</v>
      </c>
      <c r="E167" s="286">
        <v>0</v>
      </c>
      <c r="F167" s="286">
        <v>0</v>
      </c>
      <c r="G167" s="286">
        <v>0</v>
      </c>
      <c r="H167" s="28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 s="20"/>
      <c r="P167" s="20"/>
      <c r="Q167" s="147"/>
      <c r="R167" s="197">
        <v>0.66599999999999993</v>
      </c>
      <c r="S167" s="197">
        <v>4.5549999999999997</v>
      </c>
      <c r="T167" s="197">
        <v>0.60039794540960334</v>
      </c>
      <c r="U167" s="197">
        <v>0.90789473684210531</v>
      </c>
      <c r="V167" s="20">
        <f t="shared" si="170"/>
        <v>0</v>
      </c>
      <c r="W167" s="20">
        <f t="shared" si="170"/>
        <v>0</v>
      </c>
      <c r="X167" s="20">
        <f t="shared" si="170"/>
        <v>0</v>
      </c>
      <c r="Y167" s="20">
        <f t="shared" si="170"/>
        <v>0</v>
      </c>
      <c r="Z167" s="20">
        <f t="shared" si="171"/>
        <v>0</v>
      </c>
      <c r="AA167" s="20">
        <f t="shared" si="171"/>
        <v>0</v>
      </c>
      <c r="AB167" s="20">
        <f t="shared" si="171"/>
        <v>0</v>
      </c>
      <c r="AC167" s="20">
        <f t="shared" si="171"/>
        <v>0</v>
      </c>
      <c r="AD167" s="20">
        <f t="shared" si="172"/>
        <v>0</v>
      </c>
      <c r="AE167" s="20">
        <f t="shared" si="173"/>
        <v>0</v>
      </c>
      <c r="AF167" s="20">
        <f t="shared" si="173"/>
        <v>0</v>
      </c>
      <c r="AG167" s="20">
        <f t="shared" si="173"/>
        <v>0</v>
      </c>
      <c r="AH167" s="20">
        <f t="shared" si="173"/>
        <v>0</v>
      </c>
      <c r="AI167" s="20">
        <f t="shared" si="174"/>
        <v>0</v>
      </c>
      <c r="AJ167" s="20">
        <f t="shared" si="174"/>
        <v>0</v>
      </c>
      <c r="AK167" s="20">
        <f t="shared" si="174"/>
        <v>0</v>
      </c>
      <c r="AL167" s="20">
        <f t="shared" si="174"/>
        <v>0</v>
      </c>
      <c r="AM167" s="20">
        <f t="shared" si="175"/>
        <v>0</v>
      </c>
      <c r="AO167">
        <f t="shared" si="176"/>
        <v>0</v>
      </c>
      <c r="AP167">
        <f t="shared" si="176"/>
        <v>0</v>
      </c>
      <c r="AQ167">
        <f t="shared" si="176"/>
        <v>0</v>
      </c>
      <c r="AR167">
        <f t="shared" si="176"/>
        <v>0</v>
      </c>
      <c r="AS167">
        <f t="shared" si="177"/>
        <v>0</v>
      </c>
      <c r="AU167">
        <f t="shared" si="178"/>
        <v>0</v>
      </c>
      <c r="AV167">
        <f t="shared" si="178"/>
        <v>0</v>
      </c>
      <c r="AW167">
        <f t="shared" si="178"/>
        <v>0</v>
      </c>
      <c r="AX167">
        <f t="shared" si="178"/>
        <v>0</v>
      </c>
      <c r="AY167">
        <f t="shared" si="179"/>
        <v>0</v>
      </c>
    </row>
    <row r="168" spans="1:51" ht="15" x14ac:dyDescent="0.25">
      <c r="A168" s="1"/>
      <c r="B168" s="2"/>
      <c r="C168" s="1" t="s">
        <v>11</v>
      </c>
      <c r="D168" s="285">
        <v>0</v>
      </c>
      <c r="E168" s="286">
        <v>0</v>
      </c>
      <c r="F168" s="286">
        <v>0</v>
      </c>
      <c r="G168" s="286">
        <v>0</v>
      </c>
      <c r="H168" s="287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 s="20"/>
      <c r="P168" s="20"/>
      <c r="Q168" s="147"/>
      <c r="R168" s="197">
        <v>0.66599999999999993</v>
      </c>
      <c r="S168" s="197">
        <v>4.5549999999999997</v>
      </c>
      <c r="T168" s="197">
        <v>0.60039794540960334</v>
      </c>
      <c r="U168" s="197">
        <v>0.90789473684210531</v>
      </c>
      <c r="V168" s="20">
        <f t="shared" si="170"/>
        <v>0</v>
      </c>
      <c r="W168" s="20">
        <f t="shared" si="170"/>
        <v>0</v>
      </c>
      <c r="X168" s="20">
        <f t="shared" si="170"/>
        <v>0</v>
      </c>
      <c r="Y168" s="20">
        <f t="shared" si="170"/>
        <v>0</v>
      </c>
      <c r="Z168" s="20">
        <f t="shared" si="171"/>
        <v>0</v>
      </c>
      <c r="AA168" s="20">
        <f t="shared" si="171"/>
        <v>0</v>
      </c>
      <c r="AB168" s="20">
        <f t="shared" si="171"/>
        <v>0</v>
      </c>
      <c r="AC168" s="20">
        <f t="shared" si="171"/>
        <v>0</v>
      </c>
      <c r="AD168" s="20">
        <f t="shared" si="172"/>
        <v>0</v>
      </c>
      <c r="AE168" s="20">
        <f t="shared" si="173"/>
        <v>0</v>
      </c>
      <c r="AF168" s="20">
        <f t="shared" si="173"/>
        <v>0</v>
      </c>
      <c r="AG168" s="20">
        <f t="shared" si="173"/>
        <v>0</v>
      </c>
      <c r="AH168" s="20">
        <f t="shared" si="173"/>
        <v>0</v>
      </c>
      <c r="AI168" s="20">
        <f t="shared" si="174"/>
        <v>0</v>
      </c>
      <c r="AJ168" s="20">
        <f t="shared" si="174"/>
        <v>0</v>
      </c>
      <c r="AK168" s="20">
        <f t="shared" si="174"/>
        <v>0</v>
      </c>
      <c r="AL168" s="20">
        <f t="shared" si="174"/>
        <v>0</v>
      </c>
      <c r="AM168" s="20">
        <f t="shared" si="175"/>
        <v>0</v>
      </c>
      <c r="AO168">
        <f t="shared" si="176"/>
        <v>0</v>
      </c>
      <c r="AP168">
        <f t="shared" si="176"/>
        <v>0</v>
      </c>
      <c r="AQ168">
        <f t="shared" si="176"/>
        <v>0</v>
      </c>
      <c r="AR168">
        <f t="shared" si="176"/>
        <v>0</v>
      </c>
      <c r="AS168">
        <f t="shared" si="177"/>
        <v>0</v>
      </c>
      <c r="AU168">
        <f t="shared" si="178"/>
        <v>0</v>
      </c>
      <c r="AV168">
        <f t="shared" si="178"/>
        <v>0</v>
      </c>
      <c r="AW168">
        <f t="shared" si="178"/>
        <v>0</v>
      </c>
      <c r="AX168">
        <f t="shared" si="178"/>
        <v>0</v>
      </c>
      <c r="AY168">
        <f t="shared" si="179"/>
        <v>0</v>
      </c>
    </row>
    <row r="169" spans="1:51" ht="15" x14ac:dyDescent="0.25">
      <c r="A169" s="1"/>
      <c r="B169" s="2"/>
      <c r="C169" s="1" t="s">
        <v>12</v>
      </c>
      <c r="D169" s="285">
        <v>0</v>
      </c>
      <c r="E169" s="286">
        <v>0</v>
      </c>
      <c r="F169" s="286">
        <v>0</v>
      </c>
      <c r="G169" s="286">
        <v>0</v>
      </c>
      <c r="H169" s="287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 s="20"/>
      <c r="P169" s="20"/>
      <c r="Q169" s="147"/>
      <c r="R169" s="197">
        <v>0.66599999999999993</v>
      </c>
      <c r="S169" s="197">
        <v>4.5549999999999997</v>
      </c>
      <c r="T169" s="197">
        <v>0.60039794540960334</v>
      </c>
      <c r="U169" s="197">
        <v>0.90789473684210531</v>
      </c>
      <c r="V169" s="20">
        <f t="shared" si="170"/>
        <v>0</v>
      </c>
      <c r="W169" s="20">
        <f t="shared" si="170"/>
        <v>0</v>
      </c>
      <c r="X169" s="20">
        <f t="shared" si="170"/>
        <v>0</v>
      </c>
      <c r="Y169" s="20">
        <f t="shared" si="170"/>
        <v>0</v>
      </c>
      <c r="Z169" s="20">
        <f t="shared" si="171"/>
        <v>0</v>
      </c>
      <c r="AA169" s="20">
        <f t="shared" si="171"/>
        <v>0</v>
      </c>
      <c r="AB169" s="20">
        <f t="shared" si="171"/>
        <v>0</v>
      </c>
      <c r="AC169" s="20">
        <f t="shared" si="171"/>
        <v>0</v>
      </c>
      <c r="AD169" s="20">
        <f t="shared" si="172"/>
        <v>0</v>
      </c>
      <c r="AE169" s="20">
        <f t="shared" si="173"/>
        <v>0</v>
      </c>
      <c r="AF169" s="20">
        <f t="shared" si="173"/>
        <v>0</v>
      </c>
      <c r="AG169" s="20">
        <f t="shared" si="173"/>
        <v>0</v>
      </c>
      <c r="AH169" s="20">
        <f t="shared" si="173"/>
        <v>0</v>
      </c>
      <c r="AI169" s="20">
        <f t="shared" si="174"/>
        <v>0</v>
      </c>
      <c r="AJ169" s="20">
        <f t="shared" si="174"/>
        <v>0</v>
      </c>
      <c r="AK169" s="20">
        <f t="shared" si="174"/>
        <v>0</v>
      </c>
      <c r="AL169" s="20">
        <f t="shared" si="174"/>
        <v>0</v>
      </c>
      <c r="AM169" s="20">
        <f t="shared" si="175"/>
        <v>0</v>
      </c>
      <c r="AO169">
        <f t="shared" si="176"/>
        <v>0</v>
      </c>
      <c r="AP169">
        <f t="shared" si="176"/>
        <v>0</v>
      </c>
      <c r="AQ169">
        <f t="shared" si="176"/>
        <v>0</v>
      </c>
      <c r="AR169">
        <f t="shared" si="176"/>
        <v>0</v>
      </c>
      <c r="AS169">
        <f t="shared" si="177"/>
        <v>0</v>
      </c>
      <c r="AU169">
        <f t="shared" si="178"/>
        <v>0</v>
      </c>
      <c r="AV169">
        <f t="shared" si="178"/>
        <v>0</v>
      </c>
      <c r="AW169">
        <f t="shared" si="178"/>
        <v>0</v>
      </c>
      <c r="AX169">
        <f t="shared" si="178"/>
        <v>0</v>
      </c>
      <c r="AY169">
        <f t="shared" si="179"/>
        <v>0</v>
      </c>
    </row>
    <row r="170" spans="1:51" ht="15" x14ac:dyDescent="0.25">
      <c r="A170" s="1"/>
      <c r="B170" s="2"/>
      <c r="C170" s="1" t="s">
        <v>13</v>
      </c>
      <c r="D170" s="285">
        <v>0</v>
      </c>
      <c r="E170" s="286">
        <v>0</v>
      </c>
      <c r="F170" s="286">
        <v>0</v>
      </c>
      <c r="G170" s="286">
        <v>0</v>
      </c>
      <c r="H170" s="287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 s="20"/>
      <c r="P170" s="20"/>
      <c r="Q170" s="147"/>
      <c r="R170" s="197">
        <v>0.66599999999999993</v>
      </c>
      <c r="S170" s="197">
        <v>4.5549999999999997</v>
      </c>
      <c r="T170" s="197">
        <v>0.60039794540960334</v>
      </c>
      <c r="U170" s="197">
        <v>0.90789473684210531</v>
      </c>
      <c r="V170" s="20">
        <f t="shared" si="170"/>
        <v>0</v>
      </c>
      <c r="W170" s="20">
        <f t="shared" si="170"/>
        <v>0</v>
      </c>
      <c r="X170" s="20">
        <f t="shared" si="170"/>
        <v>0</v>
      </c>
      <c r="Y170" s="20">
        <f t="shared" si="170"/>
        <v>0</v>
      </c>
      <c r="Z170" s="20">
        <f t="shared" si="171"/>
        <v>0</v>
      </c>
      <c r="AA170" s="20">
        <f t="shared" si="171"/>
        <v>0</v>
      </c>
      <c r="AB170" s="20">
        <f t="shared" si="171"/>
        <v>0</v>
      </c>
      <c r="AC170" s="20">
        <f t="shared" si="171"/>
        <v>0</v>
      </c>
      <c r="AD170" s="20">
        <f t="shared" si="172"/>
        <v>0</v>
      </c>
      <c r="AE170" s="20">
        <f t="shared" si="173"/>
        <v>0</v>
      </c>
      <c r="AF170" s="20">
        <f t="shared" si="173"/>
        <v>0</v>
      </c>
      <c r="AG170" s="20">
        <f t="shared" si="173"/>
        <v>0</v>
      </c>
      <c r="AH170" s="20">
        <f t="shared" si="173"/>
        <v>0</v>
      </c>
      <c r="AI170" s="20">
        <f t="shared" si="174"/>
        <v>0</v>
      </c>
      <c r="AJ170" s="20">
        <f t="shared" si="174"/>
        <v>0</v>
      </c>
      <c r="AK170" s="20">
        <f t="shared" si="174"/>
        <v>0</v>
      </c>
      <c r="AL170" s="20">
        <f t="shared" si="174"/>
        <v>0</v>
      </c>
      <c r="AM170" s="20">
        <f t="shared" si="175"/>
        <v>0</v>
      </c>
      <c r="AO170">
        <f t="shared" si="176"/>
        <v>0</v>
      </c>
      <c r="AP170">
        <f t="shared" si="176"/>
        <v>0</v>
      </c>
      <c r="AQ170">
        <f t="shared" si="176"/>
        <v>0</v>
      </c>
      <c r="AR170">
        <f t="shared" si="176"/>
        <v>0</v>
      </c>
      <c r="AS170">
        <f t="shared" si="177"/>
        <v>0</v>
      </c>
      <c r="AU170">
        <f t="shared" si="178"/>
        <v>0</v>
      </c>
      <c r="AV170">
        <f t="shared" si="178"/>
        <v>0</v>
      </c>
      <c r="AW170">
        <f t="shared" si="178"/>
        <v>0</v>
      </c>
      <c r="AX170">
        <f t="shared" si="178"/>
        <v>0</v>
      </c>
      <c r="AY170">
        <f t="shared" si="179"/>
        <v>0</v>
      </c>
    </row>
    <row r="171" spans="1:51" ht="15" x14ac:dyDescent="0.25">
      <c r="A171" s="7"/>
      <c r="B171" s="8" t="s">
        <v>14</v>
      </c>
      <c r="C171" s="7"/>
      <c r="D171" s="288">
        <f>SUM(D165:D170)</f>
        <v>0</v>
      </c>
      <c r="E171" s="289">
        <f>SUM(E165:E170)</f>
        <v>0</v>
      </c>
      <c r="F171" s="289">
        <f>SUM(F165:F170)</f>
        <v>0</v>
      </c>
      <c r="G171" s="289">
        <f>SUM(G165:G170)</f>
        <v>0</v>
      </c>
      <c r="H171" s="290">
        <f>SUM(H165:H170)</f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 s="20"/>
      <c r="P171" s="20"/>
      <c r="Q171" s="147"/>
      <c r="R171" s="20"/>
      <c r="S171" s="20"/>
      <c r="T171" s="20"/>
      <c r="U171" s="20"/>
    </row>
    <row r="172" spans="1:51" ht="15" x14ac:dyDescent="0.25">
      <c r="A172" s="1"/>
      <c r="B172" s="9" t="s">
        <v>15</v>
      </c>
      <c r="C172" s="5"/>
      <c r="D172" s="291"/>
      <c r="E172" s="292"/>
      <c r="F172" s="292"/>
      <c r="G172" s="292"/>
      <c r="H172" s="293">
        <f>SUM(D171:H171)</f>
        <v>0</v>
      </c>
      <c r="N172">
        <v>0</v>
      </c>
      <c r="O172" s="20"/>
      <c r="P172" s="20"/>
      <c r="Q172" s="147"/>
      <c r="R172" s="20"/>
      <c r="S172" s="20"/>
      <c r="T172" s="20"/>
      <c r="U172" s="20"/>
    </row>
    <row r="173" spans="1:51" ht="15.75" thickBot="1" x14ac:dyDescent="0.3">
      <c r="A173" s="1"/>
      <c r="B173" s="2"/>
      <c r="C173" s="1"/>
      <c r="D173" s="297"/>
      <c r="E173" s="298"/>
      <c r="F173" s="298"/>
      <c r="G173" s="298"/>
      <c r="H173" s="299"/>
      <c r="O173" s="20"/>
      <c r="P173" s="20"/>
      <c r="Q173" s="147"/>
      <c r="R173" s="20"/>
      <c r="S173" s="20"/>
      <c r="T173" s="20"/>
      <c r="U173" s="20"/>
    </row>
    <row r="174" spans="1:51" ht="15" x14ac:dyDescent="0.25">
      <c r="A174" s="1">
        <v>19</v>
      </c>
      <c r="B174" s="2" t="s">
        <v>526</v>
      </c>
      <c r="C174" s="1" t="s">
        <v>8</v>
      </c>
      <c r="D174" s="282">
        <v>10.362623149999999</v>
      </c>
      <c r="E174" s="283">
        <v>0</v>
      </c>
      <c r="F174" s="283">
        <v>0</v>
      </c>
      <c r="G174" s="283">
        <v>0</v>
      </c>
      <c r="H174" s="284">
        <v>0</v>
      </c>
      <c r="J174">
        <v>-1.1042644558756365E-6</v>
      </c>
      <c r="K174">
        <v>0</v>
      </c>
      <c r="L174">
        <v>0</v>
      </c>
      <c r="M174">
        <v>0</v>
      </c>
      <c r="N174">
        <v>-7.2965769813300004E-10</v>
      </c>
      <c r="O174" s="20"/>
      <c r="P174" s="20"/>
      <c r="Q174" s="146">
        <v>0.9</v>
      </c>
      <c r="R174" s="20"/>
      <c r="S174" s="20"/>
      <c r="T174" s="20"/>
      <c r="U174" s="20"/>
    </row>
    <row r="175" spans="1:51" ht="15" x14ac:dyDescent="0.25">
      <c r="A175" s="1"/>
      <c r="B175" s="2"/>
      <c r="C175" s="1" t="s">
        <v>9</v>
      </c>
      <c r="D175" s="285">
        <v>5.0702140199999999</v>
      </c>
      <c r="E175" s="286">
        <v>0</v>
      </c>
      <c r="F175" s="286">
        <v>0</v>
      </c>
      <c r="G175" s="286">
        <v>0</v>
      </c>
      <c r="H175" s="287">
        <v>0</v>
      </c>
      <c r="J175">
        <v>-5.9277974084892548E-7</v>
      </c>
      <c r="K175">
        <v>0</v>
      </c>
      <c r="L175">
        <v>0</v>
      </c>
      <c r="M175">
        <v>0</v>
      </c>
      <c r="N175">
        <v>0</v>
      </c>
      <c r="O175" s="20"/>
      <c r="P175" s="20"/>
      <c r="Q175" s="147">
        <v>0.90000000000000013</v>
      </c>
      <c r="R175" s="20"/>
      <c r="S175" s="20"/>
      <c r="T175" s="20"/>
      <c r="U175" s="20"/>
    </row>
    <row r="176" spans="1:51" ht="15" x14ac:dyDescent="0.25">
      <c r="A176" s="1"/>
      <c r="B176" s="2"/>
      <c r="C176" s="1" t="s">
        <v>10</v>
      </c>
      <c r="D176" s="285">
        <v>6.0503388200000003</v>
      </c>
      <c r="E176" s="286">
        <v>0</v>
      </c>
      <c r="F176" s="286">
        <v>0</v>
      </c>
      <c r="G176" s="286">
        <v>0</v>
      </c>
      <c r="H176" s="287">
        <v>0</v>
      </c>
      <c r="J176">
        <v>-1.5226914760191335E-6</v>
      </c>
      <c r="K176">
        <v>0</v>
      </c>
      <c r="L176">
        <v>0</v>
      </c>
      <c r="M176">
        <v>0</v>
      </c>
      <c r="N176">
        <v>0</v>
      </c>
      <c r="O176" s="20"/>
      <c r="P176" s="20"/>
      <c r="Q176" s="146">
        <v>0.9</v>
      </c>
      <c r="R176" s="20"/>
      <c r="S176" s="20"/>
      <c r="T176" s="20"/>
      <c r="U176" s="20"/>
    </row>
    <row r="177" spans="1:21" ht="15" x14ac:dyDescent="0.25">
      <c r="A177" s="1"/>
      <c r="B177" s="2"/>
      <c r="C177" s="1" t="s">
        <v>11</v>
      </c>
      <c r="D177" s="285">
        <v>1.9530215</v>
      </c>
      <c r="E177" s="286">
        <v>0</v>
      </c>
      <c r="F177" s="286">
        <v>0</v>
      </c>
      <c r="G177" s="286">
        <v>0</v>
      </c>
      <c r="H177" s="287">
        <v>0</v>
      </c>
      <c r="J177">
        <v>3.9409888019648065E-7</v>
      </c>
      <c r="K177">
        <v>0</v>
      </c>
      <c r="L177">
        <v>0</v>
      </c>
      <c r="M177">
        <v>0</v>
      </c>
      <c r="N177">
        <v>0</v>
      </c>
      <c r="O177" s="20"/>
      <c r="P177" s="20"/>
      <c r="Q177" s="146">
        <v>0.89999999999999991</v>
      </c>
      <c r="R177" s="20"/>
      <c r="S177" s="20"/>
      <c r="T177" s="20"/>
      <c r="U177" s="20"/>
    </row>
    <row r="178" spans="1:21" ht="15" x14ac:dyDescent="0.25">
      <c r="A178" s="1"/>
      <c r="B178" s="2"/>
      <c r="C178" s="1" t="s">
        <v>12</v>
      </c>
      <c r="D178" s="285">
        <v>2239.5971424999998</v>
      </c>
      <c r="E178" s="286">
        <v>0</v>
      </c>
      <c r="F178" s="286">
        <v>0</v>
      </c>
      <c r="G178" s="286">
        <v>0</v>
      </c>
      <c r="H178" s="287">
        <v>0</v>
      </c>
      <c r="J178">
        <v>2.0651242266467307E-5</v>
      </c>
      <c r="K178">
        <v>0</v>
      </c>
      <c r="L178">
        <v>0</v>
      </c>
      <c r="M178">
        <v>0</v>
      </c>
      <c r="N178">
        <v>-1.1895432099971E-6</v>
      </c>
      <c r="O178" s="20"/>
      <c r="P178" s="20"/>
      <c r="Q178" s="146">
        <v>0.9</v>
      </c>
      <c r="R178" s="20"/>
      <c r="S178" s="20"/>
      <c r="T178" s="20"/>
      <c r="U178" s="20"/>
    </row>
    <row r="179" spans="1:21" ht="15" x14ac:dyDescent="0.25">
      <c r="A179" s="1"/>
      <c r="B179" s="2"/>
      <c r="C179" s="1" t="s">
        <v>13</v>
      </c>
      <c r="D179" s="285">
        <v>0</v>
      </c>
      <c r="E179" s="286">
        <v>0</v>
      </c>
      <c r="F179" s="286">
        <v>0</v>
      </c>
      <c r="G179" s="286">
        <v>0</v>
      </c>
      <c r="H179" s="287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 s="20"/>
      <c r="P179" s="20"/>
      <c r="Q179" s="146"/>
      <c r="R179" s="20"/>
      <c r="S179" s="20"/>
      <c r="T179" s="20"/>
      <c r="U179" s="20"/>
    </row>
    <row r="180" spans="1:21" ht="15" x14ac:dyDescent="0.25">
      <c r="A180" s="7"/>
      <c r="B180" s="8" t="s">
        <v>14</v>
      </c>
      <c r="C180" s="7"/>
      <c r="D180" s="288">
        <f>SUM(D174:D179)</f>
        <v>2263.0333399899996</v>
      </c>
      <c r="E180" s="289">
        <f>SUM(E174:E179)</f>
        <v>0</v>
      </c>
      <c r="F180" s="289">
        <f>SUM(F174:F179)</f>
        <v>0</v>
      </c>
      <c r="G180" s="289">
        <f>SUM(G174:G179)</f>
        <v>0</v>
      </c>
      <c r="H180" s="290">
        <f>SUM(H174:H179)</f>
        <v>0</v>
      </c>
      <c r="J180">
        <v>1.7825605473920092E-5</v>
      </c>
      <c r="K180">
        <v>0</v>
      </c>
      <c r="L180">
        <v>0</v>
      </c>
      <c r="M180">
        <v>0</v>
      </c>
      <c r="N180">
        <v>-1.190272867695233E-6</v>
      </c>
    </row>
    <row r="181" spans="1:21" ht="15" x14ac:dyDescent="0.25">
      <c r="A181" s="5"/>
      <c r="B181" s="9" t="s">
        <v>15</v>
      </c>
      <c r="C181" s="5"/>
      <c r="D181" s="185"/>
      <c r="E181" s="185"/>
      <c r="F181" s="185"/>
      <c r="G181" s="185"/>
      <c r="H181" s="235">
        <f>SUM(D180:H180)</f>
        <v>2263.0333399899996</v>
      </c>
    </row>
    <row r="182" spans="1:21" s="79" customFormat="1" ht="15" x14ac:dyDescent="0.25">
      <c r="A182" s="199"/>
      <c r="B182" s="198" t="s">
        <v>661</v>
      </c>
      <c r="C182" s="199"/>
    </row>
  </sheetData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Y182"/>
  <sheetViews>
    <sheetView defaultGridColor="0" colorId="11" zoomScale="75" workbookViewId="0">
      <pane xSplit="3" ySplit="11" topLeftCell="D12" activePane="bottomRight" state="frozen"/>
      <selection pane="topRight" activeCell="D1" sqref="D1"/>
      <selection pane="bottomLeft" activeCell="A14" sqref="A14"/>
      <selection pane="bottomRight" activeCell="Q21" sqref="Q21"/>
    </sheetView>
  </sheetViews>
  <sheetFormatPr defaultRowHeight="12.75" x14ac:dyDescent="0.2"/>
  <cols>
    <col min="2" max="2" width="26.42578125" bestFit="1" customWidth="1"/>
    <col min="4" max="8" width="13.7109375" customWidth="1"/>
    <col min="10" max="14" width="13.5703125" customWidth="1"/>
    <col min="15" max="15" width="12" bestFit="1" customWidth="1"/>
    <col min="17" max="17" width="15.7109375" style="108" bestFit="1" customWidth="1"/>
    <col min="18" max="19" width="12" bestFit="1" customWidth="1"/>
    <col min="20" max="21" width="12" customWidth="1"/>
    <col min="22" max="25" width="11.5703125" customWidth="1"/>
    <col min="26" max="29" width="10.7109375" customWidth="1"/>
    <col min="30" max="30" width="11.42578125" customWidth="1"/>
    <col min="31" max="34" width="13.42578125" customWidth="1"/>
    <col min="35" max="39" width="10.85546875" customWidth="1"/>
    <col min="45" max="45" width="28.140625" customWidth="1"/>
    <col min="51" max="51" width="28.42578125" customWidth="1"/>
  </cols>
  <sheetData>
    <row r="1" spans="1:51" ht="15" x14ac:dyDescent="0.25">
      <c r="A1" s="15"/>
      <c r="B1" s="16"/>
    </row>
    <row r="2" spans="1:51" ht="15" x14ac:dyDescent="0.25">
      <c r="A2" s="15"/>
      <c r="B2" s="16"/>
      <c r="V2" s="99"/>
      <c r="W2" s="99"/>
      <c r="X2" s="99"/>
      <c r="Y2" s="99"/>
      <c r="Z2" s="26"/>
      <c r="AA2" s="26"/>
      <c r="AB2" s="26"/>
      <c r="AC2" s="26"/>
      <c r="AD2" s="26"/>
      <c r="AE2" s="28"/>
      <c r="AF2" s="28"/>
      <c r="AG2" s="28"/>
      <c r="AH2" s="28"/>
      <c r="AI2" s="124"/>
      <c r="AJ2" s="124"/>
      <c r="AK2" s="124"/>
      <c r="AL2" s="124"/>
      <c r="AM2" s="124"/>
    </row>
    <row r="3" spans="1:51" ht="78.75" x14ac:dyDescent="0.25">
      <c r="B3" s="16"/>
      <c r="D3" s="179" t="s">
        <v>759</v>
      </c>
      <c r="E3" s="179"/>
      <c r="F3" s="179"/>
      <c r="G3" s="179"/>
      <c r="H3" s="179"/>
      <c r="J3" s="181" t="s">
        <v>758</v>
      </c>
      <c r="K3" s="181"/>
      <c r="L3" s="181"/>
      <c r="M3" s="181"/>
      <c r="N3" s="181"/>
      <c r="V3" s="99" t="s">
        <v>534</v>
      </c>
      <c r="W3" s="99"/>
      <c r="X3" s="99"/>
      <c r="Y3" s="99"/>
      <c r="Z3" s="26" t="s">
        <v>535</v>
      </c>
      <c r="AA3" s="26"/>
      <c r="AB3" s="26"/>
      <c r="AC3" s="26"/>
      <c r="AD3" s="125"/>
      <c r="AE3" s="28" t="s">
        <v>536</v>
      </c>
      <c r="AF3" s="28"/>
      <c r="AG3" s="28"/>
      <c r="AH3" s="28"/>
      <c r="AI3" s="124" t="s">
        <v>537</v>
      </c>
      <c r="AJ3" s="131"/>
      <c r="AK3" s="131"/>
      <c r="AL3" s="131"/>
      <c r="AM3" s="131"/>
    </row>
    <row r="4" spans="1:51" ht="15.75" x14ac:dyDescent="0.25">
      <c r="D4" s="180"/>
      <c r="E4" s="180"/>
      <c r="F4" s="180"/>
      <c r="G4" s="180"/>
      <c r="H4" s="180"/>
      <c r="J4" s="182"/>
      <c r="K4" s="182"/>
      <c r="L4" s="182"/>
      <c r="M4" s="182"/>
      <c r="N4" s="182"/>
      <c r="V4" s="101" t="s">
        <v>40</v>
      </c>
      <c r="W4" s="101"/>
      <c r="X4" s="101"/>
      <c r="Y4" s="101"/>
      <c r="Z4" s="27" t="s">
        <v>40</v>
      </c>
      <c r="AA4" s="27"/>
      <c r="AB4" s="27"/>
      <c r="AC4" s="27"/>
      <c r="AD4" s="126"/>
      <c r="AE4" s="30" t="s">
        <v>40</v>
      </c>
      <c r="AF4" s="30"/>
      <c r="AG4" s="30"/>
      <c r="AH4" s="30"/>
      <c r="AI4" s="132" t="s">
        <v>40</v>
      </c>
      <c r="AJ4" s="133"/>
      <c r="AK4" s="133"/>
      <c r="AL4" s="133"/>
      <c r="AM4" s="133"/>
    </row>
    <row r="5" spans="1:51" ht="94.5" x14ac:dyDescent="0.25">
      <c r="A5" s="1"/>
      <c r="B5" s="2"/>
      <c r="C5" s="3"/>
      <c r="D5" s="103" t="s">
        <v>524</v>
      </c>
      <c r="E5" s="229"/>
      <c r="F5" s="229"/>
      <c r="G5" s="229"/>
      <c r="H5" s="229"/>
      <c r="J5" s="115" t="s">
        <v>524</v>
      </c>
      <c r="K5" s="232"/>
      <c r="L5" s="232"/>
      <c r="M5" s="232"/>
      <c r="N5" s="232"/>
      <c r="V5" s="103" t="s">
        <v>524</v>
      </c>
      <c r="W5" s="103"/>
      <c r="X5" s="103"/>
      <c r="Y5" s="103"/>
      <c r="Z5" s="93" t="s">
        <v>524</v>
      </c>
      <c r="AA5" s="236"/>
      <c r="AB5" s="236"/>
      <c r="AC5" s="236"/>
      <c r="AD5" s="127"/>
      <c r="AE5" s="90" t="s">
        <v>524</v>
      </c>
      <c r="AF5" s="90"/>
      <c r="AG5" s="90"/>
      <c r="AH5" s="90"/>
      <c r="AI5" s="134" t="s">
        <v>524</v>
      </c>
      <c r="AJ5" s="135"/>
      <c r="AK5" s="135"/>
      <c r="AL5" s="135"/>
      <c r="AM5" s="135"/>
      <c r="AO5" s="240" t="s">
        <v>727</v>
      </c>
      <c r="AP5" s="241"/>
      <c r="AQ5" s="241"/>
      <c r="AR5" s="241"/>
      <c r="AS5" s="242" t="s">
        <v>727</v>
      </c>
      <c r="AU5" s="244" t="s">
        <v>728</v>
      </c>
      <c r="AV5" s="245"/>
      <c r="AW5" s="245"/>
      <c r="AX5" s="245"/>
      <c r="AY5" s="246" t="s">
        <v>728</v>
      </c>
    </row>
    <row r="6" spans="1:51" ht="39" x14ac:dyDescent="0.25">
      <c r="A6" s="1"/>
      <c r="B6" s="2" t="s">
        <v>0</v>
      </c>
      <c r="C6" s="3"/>
      <c r="D6" s="234" t="s">
        <v>716</v>
      </c>
      <c r="E6" s="234" t="s">
        <v>717</v>
      </c>
      <c r="F6" s="234" t="s">
        <v>718</v>
      </c>
      <c r="G6" s="234" t="s">
        <v>719</v>
      </c>
      <c r="H6" s="234" t="s">
        <v>720</v>
      </c>
      <c r="J6" s="117" t="s">
        <v>716</v>
      </c>
      <c r="K6" s="117" t="s">
        <v>717</v>
      </c>
      <c r="L6" s="117" t="s">
        <v>718</v>
      </c>
      <c r="M6" s="117" t="s">
        <v>719</v>
      </c>
      <c r="N6" s="117" t="s">
        <v>720</v>
      </c>
      <c r="O6" s="17" t="s">
        <v>35</v>
      </c>
      <c r="P6" s="18"/>
      <c r="Q6" s="146">
        <v>2008</v>
      </c>
      <c r="R6" s="22" t="s">
        <v>38</v>
      </c>
      <c r="S6" s="22" t="s">
        <v>39</v>
      </c>
      <c r="T6" s="196" t="s">
        <v>659</v>
      </c>
      <c r="U6" s="196" t="s">
        <v>660</v>
      </c>
      <c r="V6" s="105" t="s">
        <v>717</v>
      </c>
      <c r="W6" s="105" t="s">
        <v>718</v>
      </c>
      <c r="X6" s="105" t="s">
        <v>719</v>
      </c>
      <c r="Y6" s="105" t="s">
        <v>720</v>
      </c>
      <c r="Z6" s="78" t="s">
        <v>717</v>
      </c>
      <c r="AA6" s="78" t="s">
        <v>718</v>
      </c>
      <c r="AB6" s="78" t="s">
        <v>719</v>
      </c>
      <c r="AC6" s="78" t="s">
        <v>720</v>
      </c>
      <c r="AD6" s="128" t="s">
        <v>42</v>
      </c>
      <c r="AE6" s="72" t="s">
        <v>717</v>
      </c>
      <c r="AF6" s="72" t="s">
        <v>718</v>
      </c>
      <c r="AG6" s="72" t="s">
        <v>719</v>
      </c>
      <c r="AH6" s="72" t="s">
        <v>720</v>
      </c>
      <c r="AI6" s="137" t="s">
        <v>717</v>
      </c>
      <c r="AJ6" s="137" t="s">
        <v>718</v>
      </c>
      <c r="AK6" s="137" t="s">
        <v>719</v>
      </c>
      <c r="AL6" s="137" t="s">
        <v>720</v>
      </c>
      <c r="AM6" s="137" t="s">
        <v>42</v>
      </c>
      <c r="AO6" s="118" t="s">
        <v>717</v>
      </c>
      <c r="AP6" s="118" t="s">
        <v>718</v>
      </c>
      <c r="AQ6" s="118" t="s">
        <v>719</v>
      </c>
      <c r="AR6" s="118" t="s">
        <v>720</v>
      </c>
      <c r="AS6" s="129"/>
      <c r="AU6" s="118" t="s">
        <v>717</v>
      </c>
      <c r="AV6" s="118" t="s">
        <v>718</v>
      </c>
      <c r="AW6" s="118" t="s">
        <v>719</v>
      </c>
      <c r="AX6" s="118" t="s">
        <v>720</v>
      </c>
      <c r="AY6" s="247"/>
    </row>
    <row r="7" spans="1:51" ht="26.25" x14ac:dyDescent="0.25">
      <c r="A7" s="1"/>
      <c r="B7" s="2" t="s">
        <v>1</v>
      </c>
      <c r="C7" s="2"/>
      <c r="D7" s="107" t="s">
        <v>721</v>
      </c>
      <c r="E7" s="107" t="s">
        <v>722</v>
      </c>
      <c r="F7" s="107" t="s">
        <v>723</v>
      </c>
      <c r="G7" s="107" t="s">
        <v>724</v>
      </c>
      <c r="H7" s="107" t="s">
        <v>725</v>
      </c>
      <c r="J7" s="119" t="s">
        <v>721</v>
      </c>
      <c r="K7" s="233" t="s">
        <v>722</v>
      </c>
      <c r="L7" s="233" t="s">
        <v>723</v>
      </c>
      <c r="M7" s="233" t="s">
        <v>724</v>
      </c>
      <c r="N7" s="233" t="s">
        <v>725</v>
      </c>
      <c r="O7" s="21" t="s">
        <v>36</v>
      </c>
      <c r="P7" s="21" t="s">
        <v>37</v>
      </c>
      <c r="Q7" s="148" t="s">
        <v>538</v>
      </c>
      <c r="R7" s="22"/>
      <c r="S7" s="22"/>
      <c r="T7" s="22"/>
      <c r="U7" s="22"/>
      <c r="V7" s="107" t="s">
        <v>722</v>
      </c>
      <c r="W7" s="107" t="s">
        <v>723</v>
      </c>
      <c r="X7" s="107" t="s">
        <v>724</v>
      </c>
      <c r="Y7" s="107" t="s">
        <v>725</v>
      </c>
      <c r="Z7" s="237" t="s">
        <v>722</v>
      </c>
      <c r="AA7" s="237" t="s">
        <v>723</v>
      </c>
      <c r="AB7" s="237" t="s">
        <v>724</v>
      </c>
      <c r="AC7" s="237" t="s">
        <v>725</v>
      </c>
      <c r="AD7" s="129"/>
      <c r="AE7" s="91" t="s">
        <v>722</v>
      </c>
      <c r="AF7" s="91" t="s">
        <v>723</v>
      </c>
      <c r="AG7" s="91" t="s">
        <v>724</v>
      </c>
      <c r="AH7" s="91" t="s">
        <v>725</v>
      </c>
      <c r="AI7" s="139" t="s">
        <v>722</v>
      </c>
      <c r="AJ7" s="139" t="s">
        <v>723</v>
      </c>
      <c r="AK7" s="139" t="s">
        <v>724</v>
      </c>
      <c r="AL7" s="139" t="s">
        <v>725</v>
      </c>
      <c r="AM7" s="139"/>
      <c r="AS7" s="129"/>
      <c r="AY7" s="247"/>
    </row>
    <row r="8" spans="1:51" ht="15.75" x14ac:dyDescent="0.25">
      <c r="A8" s="1"/>
      <c r="B8" s="2" t="s">
        <v>4</v>
      </c>
      <c r="C8" s="2"/>
      <c r="D8" s="107"/>
      <c r="E8" s="230"/>
      <c r="F8" s="230"/>
      <c r="G8" s="230"/>
      <c r="H8" s="230"/>
      <c r="J8" s="183"/>
      <c r="K8" s="183"/>
      <c r="L8" s="183"/>
      <c r="M8" s="183"/>
      <c r="N8" s="183"/>
      <c r="O8" s="20"/>
      <c r="P8" s="20"/>
      <c r="Q8" s="145"/>
      <c r="R8" s="20"/>
      <c r="S8" s="20"/>
      <c r="T8" s="20"/>
      <c r="U8" s="20"/>
      <c r="V8" s="107"/>
      <c r="W8" s="107"/>
      <c r="X8" s="107"/>
      <c r="Y8" s="107"/>
      <c r="Z8" s="237">
        <v>646.83176063829774</v>
      </c>
      <c r="AA8" s="237">
        <v>536.30093137254926</v>
      </c>
      <c r="AB8" s="237">
        <v>501.97975742574283</v>
      </c>
      <c r="AC8" s="237">
        <v>1022.2701422018349</v>
      </c>
      <c r="AD8" s="129"/>
      <c r="AE8" s="91"/>
      <c r="AF8" s="91"/>
      <c r="AG8" s="91"/>
      <c r="AH8" s="91"/>
      <c r="AI8" s="139">
        <v>646.83176063829774</v>
      </c>
      <c r="AJ8" s="139">
        <v>536.30093137254926</v>
      </c>
      <c r="AK8" s="139">
        <v>501.97975742574283</v>
      </c>
      <c r="AL8" s="139">
        <v>1022.2701422018349</v>
      </c>
      <c r="AM8" s="139"/>
      <c r="AS8" s="129"/>
      <c r="AY8" s="247"/>
    </row>
    <row r="9" spans="1:51" ht="15.75" x14ac:dyDescent="0.25">
      <c r="A9" s="1"/>
      <c r="B9" s="15" t="s">
        <v>558</v>
      </c>
      <c r="C9" s="2"/>
      <c r="D9" s="109"/>
      <c r="E9" s="231"/>
      <c r="F9" s="231"/>
      <c r="G9" s="231"/>
      <c r="H9" s="231"/>
      <c r="J9" s="119"/>
      <c r="K9" s="233"/>
      <c r="L9" s="233"/>
      <c r="M9" s="233"/>
      <c r="N9" s="233"/>
      <c r="O9" s="21"/>
      <c r="P9" s="21"/>
      <c r="Q9" s="145"/>
      <c r="R9" s="20"/>
      <c r="S9" s="20"/>
      <c r="T9" s="20"/>
      <c r="U9" s="20"/>
      <c r="V9" s="109"/>
      <c r="W9" s="109"/>
      <c r="X9" s="109"/>
      <c r="Y9" s="109"/>
      <c r="Z9" s="238"/>
      <c r="AA9" s="238"/>
      <c r="AB9" s="238"/>
      <c r="AC9" s="238"/>
      <c r="AD9" s="129"/>
      <c r="AE9" s="92"/>
      <c r="AF9" s="92"/>
      <c r="AG9" s="92"/>
      <c r="AH9" s="92"/>
      <c r="AI9" s="139"/>
      <c r="AJ9" s="139"/>
      <c r="AK9" s="139"/>
      <c r="AL9" s="139"/>
      <c r="AM9" s="139"/>
      <c r="AO9" s="239">
        <v>2008</v>
      </c>
      <c r="AP9" s="239">
        <v>2008</v>
      </c>
      <c r="AQ9" s="239">
        <v>2008</v>
      </c>
      <c r="AR9" s="239">
        <v>2008</v>
      </c>
      <c r="AS9" s="243">
        <v>2008</v>
      </c>
      <c r="AU9" s="239">
        <v>2008</v>
      </c>
      <c r="AV9" s="239">
        <v>2008</v>
      </c>
      <c r="AW9" s="239">
        <v>2008</v>
      </c>
      <c r="AX9" s="239">
        <v>2008</v>
      </c>
      <c r="AY9" s="248">
        <v>2008</v>
      </c>
    </row>
    <row r="10" spans="1:51" ht="15" x14ac:dyDescent="0.2">
      <c r="B10" s="15" t="s">
        <v>726</v>
      </c>
      <c r="AO10" s="239">
        <v>1.4246916540352133</v>
      </c>
      <c r="AP10" s="239">
        <v>1.248406197485989</v>
      </c>
      <c r="AQ10" s="239">
        <v>1.3167387629247649</v>
      </c>
      <c r="AR10" s="239">
        <v>1.2174161142408551</v>
      </c>
      <c r="AU10" s="239">
        <v>1.4246916540352133</v>
      </c>
      <c r="AV10" s="239">
        <v>1.248406197485989</v>
      </c>
      <c r="AW10" s="239">
        <v>1.3167387629247649</v>
      </c>
      <c r="AX10" s="239">
        <v>1.2174161142408551</v>
      </c>
    </row>
    <row r="11" spans="1:51" ht="27.75" thickBot="1" x14ac:dyDescent="0.3">
      <c r="A11" s="1"/>
      <c r="B11" s="2" t="s">
        <v>5</v>
      </c>
      <c r="C11" s="4" t="s">
        <v>6</v>
      </c>
      <c r="D11" s="107"/>
      <c r="E11" s="230"/>
      <c r="F11" s="230"/>
      <c r="G11" s="230"/>
      <c r="H11" s="230"/>
      <c r="J11" s="183"/>
      <c r="K11" s="183"/>
      <c r="L11" s="183"/>
      <c r="M11" s="183"/>
      <c r="N11" s="183"/>
      <c r="O11" s="20"/>
      <c r="P11" s="20"/>
      <c r="Q11" s="147"/>
      <c r="R11" s="20"/>
      <c r="S11" s="20"/>
      <c r="T11" s="20"/>
      <c r="U11" s="20"/>
      <c r="V11" s="230"/>
      <c r="W11" s="230"/>
      <c r="X11" s="230"/>
      <c r="Y11" s="230"/>
      <c r="Z11" s="130"/>
      <c r="AA11" s="130"/>
      <c r="AB11" s="130"/>
      <c r="AC11" s="130"/>
      <c r="AD11" s="129"/>
      <c r="AE11" s="91"/>
      <c r="AF11" s="91"/>
      <c r="AG11" s="91"/>
      <c r="AH11" s="91"/>
      <c r="AI11" s="139"/>
      <c r="AJ11" s="139"/>
      <c r="AK11" s="139"/>
      <c r="AL11" s="139"/>
      <c r="AM11" s="139"/>
    </row>
    <row r="12" spans="1:51" ht="15" x14ac:dyDescent="0.25">
      <c r="A12" s="1">
        <v>1</v>
      </c>
      <c r="B12" s="2" t="s">
        <v>7</v>
      </c>
      <c r="C12" s="3" t="s">
        <v>8</v>
      </c>
      <c r="D12" s="282">
        <v>0</v>
      </c>
      <c r="E12" s="283">
        <v>59.619004480000001</v>
      </c>
      <c r="F12" s="283">
        <v>103.33968289000001</v>
      </c>
      <c r="G12" s="283">
        <v>131.82942186</v>
      </c>
      <c r="H12" s="284">
        <v>286.90933188000002</v>
      </c>
      <c r="J12">
        <v>0</v>
      </c>
      <c r="K12">
        <v>-9.079778811340006</v>
      </c>
      <c r="L12">
        <v>-29.116011425489972</v>
      </c>
      <c r="M12">
        <v>85.872521085660992</v>
      </c>
      <c r="N12">
        <v>89.873884540558521</v>
      </c>
      <c r="O12" s="20">
        <v>0.36775204520040022</v>
      </c>
      <c r="P12" s="20">
        <v>0.57913019816794442</v>
      </c>
      <c r="Q12" s="147">
        <v>6.8472310191862146E-2</v>
      </c>
      <c r="R12" s="197">
        <v>0.17699999999999999</v>
      </c>
      <c r="S12" s="197">
        <v>1.77</v>
      </c>
      <c r="T12" s="197">
        <v>0.50078889239507718</v>
      </c>
      <c r="U12" s="197">
        <v>0.75268470790377973</v>
      </c>
      <c r="V12" s="20">
        <f t="shared" ref="V12:Y17" si="0">IF(K12&gt;0,((E12-K12)*$Q12*$R12*10)+(K12*$O$12*$Q12*$R12*10),(E12*$Q12*$R12*10))</f>
        <v>7.2255842135097037</v>
      </c>
      <c r="W12" s="20">
        <f t="shared" si="0"/>
        <v>12.524355074891766</v>
      </c>
      <c r="X12" s="20">
        <f t="shared" si="0"/>
        <v>9.3971365622311325</v>
      </c>
      <c r="Y12" s="20">
        <f t="shared" si="0"/>
        <v>27.885591496495071</v>
      </c>
      <c r="Z12" s="20">
        <f t="shared" ref="Z12:AC17" si="1">V12*(EXP(1.01-0.34*LN(Z$8))*(1-$T12)+(1*$T12))</f>
        <v>4.7152876117304672</v>
      </c>
      <c r="AA12" s="20">
        <f t="shared" si="1"/>
        <v>8.2982384040728405</v>
      </c>
      <c r="AB12" s="20">
        <f t="shared" si="1"/>
        <v>6.2608151327867994</v>
      </c>
      <c r="AC12" s="20">
        <f t="shared" si="1"/>
        <v>17.587634842467661</v>
      </c>
      <c r="AD12" s="20">
        <f t="shared" ref="AD12:AD17" si="2">SUM(Z12:AC12)</f>
        <v>36.861975991057768</v>
      </c>
      <c r="AE12" s="20">
        <f t="shared" ref="AE12:AH17" si="3">IF(K12&gt;0,((E12-K12)*$Q12*$S12*10)+(K12*$P$12*$Q12*$S12)*10,(E12*$Q12*$S12*10))</f>
        <v>72.255842135097041</v>
      </c>
      <c r="AF12" s="20">
        <f t="shared" si="3"/>
        <v>125.24355074891766</v>
      </c>
      <c r="AG12" s="20">
        <f t="shared" si="3"/>
        <v>115.97034634590672</v>
      </c>
      <c r="AH12" s="20">
        <f t="shared" si="3"/>
        <v>301.87997235334535</v>
      </c>
      <c r="AI12" s="20">
        <f t="shared" ref="AI12:AL17" si="4">AE12*(EXP(1.01-0.34*LN(AI$8))*(1-$T12)+(1*$T12))</f>
        <v>47.152876117304672</v>
      </c>
      <c r="AJ12" s="20">
        <f t="shared" si="4"/>
        <v>82.982384040728405</v>
      </c>
      <c r="AK12" s="20">
        <f t="shared" si="4"/>
        <v>77.264908788831193</v>
      </c>
      <c r="AL12" s="20">
        <f t="shared" si="4"/>
        <v>190.39778018236413</v>
      </c>
      <c r="AM12" s="20">
        <f t="shared" ref="AM12:AM17" si="5">SUM(AI12:AL12)</f>
        <v>397.79794912922841</v>
      </c>
      <c r="AO12">
        <f t="shared" ref="AO12:AR17" si="6">Z12*AO$10</f>
        <v>6.7178309068080297</v>
      </c>
      <c r="AP12">
        <f t="shared" si="6"/>
        <v>10.359572251860778</v>
      </c>
      <c r="AQ12">
        <f t="shared" si="6"/>
        <v>8.243857972846337</v>
      </c>
      <c r="AR12">
        <f t="shared" si="6"/>
        <v>21.411470068604054</v>
      </c>
      <c r="AS12">
        <f t="shared" ref="AS12:AS17" si="7">SUM(AO12:AR12)</f>
        <v>46.732731200119197</v>
      </c>
      <c r="AU12">
        <f t="shared" ref="AU12:AX17" si="8">AI12*AU$10</f>
        <v>67.178309068080296</v>
      </c>
      <c r="AV12">
        <f t="shared" si="8"/>
        <v>103.59572251860777</v>
      </c>
      <c r="AW12">
        <f t="shared" si="8"/>
        <v>101.73770041610038</v>
      </c>
      <c r="AX12">
        <f t="shared" si="8"/>
        <v>231.79332570969822</v>
      </c>
      <c r="AY12">
        <f t="shared" ref="AY12:AY17" si="9">SUM(AU12:AX12)</f>
        <v>504.3050577124867</v>
      </c>
    </row>
    <row r="13" spans="1:51" ht="15" x14ac:dyDescent="0.25">
      <c r="A13" s="1"/>
      <c r="B13" s="2"/>
      <c r="C13" s="1" t="s">
        <v>9</v>
      </c>
      <c r="D13" s="285">
        <v>0</v>
      </c>
      <c r="E13" s="286">
        <v>16.468376460000002</v>
      </c>
      <c r="F13" s="286">
        <v>2.3555724800000002</v>
      </c>
      <c r="G13" s="286">
        <v>1.3500851700000001</v>
      </c>
      <c r="H13" s="287">
        <v>4.5430571000000004</v>
      </c>
      <c r="J13">
        <v>0</v>
      </c>
      <c r="K13">
        <v>-18.377520842300001</v>
      </c>
      <c r="L13">
        <v>-0.27297732333999969</v>
      </c>
      <c r="M13">
        <v>0.83979939983900009</v>
      </c>
      <c r="N13">
        <v>-4.5675684421400007</v>
      </c>
      <c r="O13" s="20"/>
      <c r="P13" s="20"/>
      <c r="Q13" s="147">
        <v>9.1944620383724307E-2</v>
      </c>
      <c r="R13" s="197">
        <v>0.17699999999999999</v>
      </c>
      <c r="S13" s="197">
        <v>1.77</v>
      </c>
      <c r="T13" s="197">
        <v>0.50078889239507718</v>
      </c>
      <c r="U13" s="197">
        <v>0.75268470790377973</v>
      </c>
      <c r="V13" s="20">
        <f t="shared" si="0"/>
        <v>2.6800961608532021</v>
      </c>
      <c r="W13" s="20">
        <f t="shared" si="0"/>
        <v>0.38335052490410804</v>
      </c>
      <c r="X13" s="20">
        <f t="shared" si="0"/>
        <v>0.13330581399776506</v>
      </c>
      <c r="Y13" s="20">
        <f t="shared" si="0"/>
        <v>0.73934609898071768</v>
      </c>
      <c r="Z13" s="20">
        <f t="shared" si="1"/>
        <v>1.7489830375084754</v>
      </c>
      <c r="AA13" s="20">
        <f t="shared" si="1"/>
        <v>0.25399583682820831</v>
      </c>
      <c r="AB13" s="20">
        <f t="shared" si="1"/>
        <v>8.8814614115548488E-2</v>
      </c>
      <c r="AC13" s="20">
        <f t="shared" si="1"/>
        <v>0.46631068280227089</v>
      </c>
      <c r="AD13" s="20">
        <f t="shared" si="2"/>
        <v>2.5581041712545027</v>
      </c>
      <c r="AE13" s="20">
        <f t="shared" si="3"/>
        <v>26.80096160853202</v>
      </c>
      <c r="AF13" s="20">
        <f t="shared" si="3"/>
        <v>3.8335052490410804</v>
      </c>
      <c r="AG13" s="20">
        <f t="shared" si="3"/>
        <v>1.6219499627121801</v>
      </c>
      <c r="AH13" s="20">
        <f t="shared" si="3"/>
        <v>7.3934609898071777</v>
      </c>
      <c r="AI13" s="20">
        <f t="shared" si="4"/>
        <v>17.489830375084754</v>
      </c>
      <c r="AJ13" s="20">
        <f t="shared" si="4"/>
        <v>2.539958368282083</v>
      </c>
      <c r="AK13" s="20">
        <f t="shared" si="4"/>
        <v>1.080619484874273</v>
      </c>
      <c r="AL13" s="20">
        <f t="shared" si="4"/>
        <v>4.663106828022709</v>
      </c>
      <c r="AM13" s="20">
        <f t="shared" si="5"/>
        <v>25.773515056263818</v>
      </c>
      <c r="AO13">
        <f t="shared" si="6"/>
        <v>2.491761536587481</v>
      </c>
      <c r="AP13">
        <f t="shared" si="6"/>
        <v>0.31708997683197526</v>
      </c>
      <c r="AQ13">
        <f t="shared" si="6"/>
        <v>0.11694564512014767</v>
      </c>
      <c r="AR13">
        <f t="shared" si="6"/>
        <v>0.56769413948614056</v>
      </c>
      <c r="AS13">
        <f t="shared" si="7"/>
        <v>3.4934912980257442</v>
      </c>
      <c r="AU13">
        <f t="shared" si="8"/>
        <v>24.917615365874813</v>
      </c>
      <c r="AV13">
        <f t="shared" si="8"/>
        <v>3.1708997683197526</v>
      </c>
      <c r="AW13">
        <f t="shared" si="8"/>
        <v>1.4228935637057469</v>
      </c>
      <c r="AX13">
        <f t="shared" si="8"/>
        <v>5.6769413948614051</v>
      </c>
      <c r="AY13">
        <f t="shared" si="9"/>
        <v>35.188350092761716</v>
      </c>
    </row>
    <row r="14" spans="1:51" ht="15" x14ac:dyDescent="0.25">
      <c r="A14" s="1"/>
      <c r="B14" s="2"/>
      <c r="C14" s="1" t="s">
        <v>10</v>
      </c>
      <c r="D14" s="285">
        <v>0</v>
      </c>
      <c r="E14" s="286">
        <v>25.549139530000001</v>
      </c>
      <c r="F14" s="286">
        <v>1.74590717</v>
      </c>
      <c r="G14" s="286">
        <v>7.3518532800000003</v>
      </c>
      <c r="H14" s="287">
        <v>31.52930001</v>
      </c>
      <c r="J14">
        <v>0</v>
      </c>
      <c r="K14">
        <v>-23.779906410477995</v>
      </c>
      <c r="L14">
        <v>0.10211229999999993</v>
      </c>
      <c r="M14">
        <v>3.1334984716888004</v>
      </c>
      <c r="N14">
        <v>3.4199885461904991</v>
      </c>
      <c r="O14" s="20"/>
      <c r="P14" s="20"/>
      <c r="Q14" s="147">
        <v>0.11541693057558645</v>
      </c>
      <c r="R14" s="197">
        <v>0.17699999999999999</v>
      </c>
      <c r="S14" s="197">
        <v>1.77</v>
      </c>
      <c r="T14" s="197">
        <v>0.50078889239507718</v>
      </c>
      <c r="U14" s="197">
        <v>0.75268470790377973</v>
      </c>
      <c r="V14" s="20">
        <f t="shared" si="0"/>
        <v>5.2193817762179675</v>
      </c>
      <c r="W14" s="20">
        <f t="shared" si="0"/>
        <v>0.3434789355575843</v>
      </c>
      <c r="X14" s="20">
        <f t="shared" si="0"/>
        <v>1.0971704636263597</v>
      </c>
      <c r="Y14" s="20">
        <f t="shared" si="0"/>
        <v>5.9993286621512611</v>
      </c>
      <c r="Z14" s="20">
        <f t="shared" si="1"/>
        <v>3.4060756200553683</v>
      </c>
      <c r="AA14" s="20">
        <f t="shared" si="1"/>
        <v>0.22757819280835409</v>
      </c>
      <c r="AB14" s="20">
        <f t="shared" si="1"/>
        <v>0.73098665709798882</v>
      </c>
      <c r="AC14" s="20">
        <f t="shared" si="1"/>
        <v>3.7838179557040572</v>
      </c>
      <c r="AD14" s="20">
        <f t="shared" si="2"/>
        <v>8.1484584256657691</v>
      </c>
      <c r="AE14" s="20">
        <f t="shared" si="3"/>
        <v>52.193817762179677</v>
      </c>
      <c r="AF14" s="20">
        <f t="shared" si="3"/>
        <v>3.4788835024029501</v>
      </c>
      <c r="AG14" s="20">
        <f t="shared" si="3"/>
        <v>12.324812358772659</v>
      </c>
      <c r="AH14" s="20">
        <f t="shared" si="3"/>
        <v>61.470106525703876</v>
      </c>
      <c r="AI14" s="20">
        <f t="shared" si="4"/>
        <v>34.060756200553683</v>
      </c>
      <c r="AJ14" s="20">
        <f t="shared" si="4"/>
        <v>2.3049973040775571</v>
      </c>
      <c r="AK14" s="20">
        <f t="shared" si="4"/>
        <v>8.2113706886729521</v>
      </c>
      <c r="AL14" s="20">
        <f t="shared" si="4"/>
        <v>38.769620054053831</v>
      </c>
      <c r="AM14" s="20">
        <f t="shared" si="5"/>
        <v>83.346744247358032</v>
      </c>
      <c r="AO14">
        <f t="shared" si="6"/>
        <v>4.852607508905697</v>
      </c>
      <c r="AP14">
        <f t="shared" si="6"/>
        <v>0.28411002631461058</v>
      </c>
      <c r="AQ14">
        <f t="shared" si="6"/>
        <v>0.96251846658171514</v>
      </c>
      <c r="AR14">
        <f t="shared" si="6"/>
        <v>4.6064809526280088</v>
      </c>
      <c r="AS14">
        <f t="shared" si="7"/>
        <v>10.705716954430031</v>
      </c>
      <c r="AU14">
        <f t="shared" si="8"/>
        <v>48.526075089056974</v>
      </c>
      <c r="AV14">
        <f t="shared" si="8"/>
        <v>2.877572919598919</v>
      </c>
      <c r="AW14">
        <f t="shared" si="8"/>
        <v>10.812230082519898</v>
      </c>
      <c r="AX14">
        <f t="shared" si="8"/>
        <v>47.198760196800542</v>
      </c>
      <c r="AY14">
        <f t="shared" si="9"/>
        <v>109.41463828797633</v>
      </c>
    </row>
    <row r="15" spans="1:51" ht="15" x14ac:dyDescent="0.25">
      <c r="A15" s="1"/>
      <c r="B15" s="2"/>
      <c r="C15" s="1" t="s">
        <v>11</v>
      </c>
      <c r="D15" s="285">
        <v>0</v>
      </c>
      <c r="E15" s="286">
        <v>5.49007735</v>
      </c>
      <c r="F15" s="286">
        <v>0</v>
      </c>
      <c r="G15" s="286">
        <v>0.88141493000000004</v>
      </c>
      <c r="H15" s="287">
        <v>4.6729596600000001</v>
      </c>
      <c r="J15">
        <v>0</v>
      </c>
      <c r="K15">
        <v>3.9938709975900002</v>
      </c>
      <c r="L15">
        <v>0</v>
      </c>
      <c r="M15">
        <v>0.51122100110900004</v>
      </c>
      <c r="N15">
        <v>1.5881206718100001</v>
      </c>
      <c r="O15" s="20"/>
      <c r="P15" s="20"/>
      <c r="Q15" s="147">
        <v>0.1388892407674486</v>
      </c>
      <c r="R15" s="197">
        <v>0.17699999999999999</v>
      </c>
      <c r="S15" s="197">
        <v>1.77</v>
      </c>
      <c r="T15" s="197">
        <v>0.50078889239507718</v>
      </c>
      <c r="U15" s="197">
        <v>0.75268470790377973</v>
      </c>
      <c r="V15" s="20">
        <f t="shared" si="0"/>
        <v>0.72888798924496023</v>
      </c>
      <c r="W15" s="20">
        <f t="shared" si="0"/>
        <v>0</v>
      </c>
      <c r="X15" s="20">
        <f t="shared" si="0"/>
        <v>0.13722365331832698</v>
      </c>
      <c r="Y15" s="20">
        <f t="shared" si="0"/>
        <v>0.90193371499604624</v>
      </c>
      <c r="Z15" s="20">
        <f t="shared" si="1"/>
        <v>0.47565932448754444</v>
      </c>
      <c r="AA15" s="20">
        <f t="shared" si="1"/>
        <v>0</v>
      </c>
      <c r="AB15" s="20">
        <f t="shared" si="1"/>
        <v>9.1424863263633374E-2</v>
      </c>
      <c r="AC15" s="20">
        <f t="shared" si="1"/>
        <v>0.56885581334914703</v>
      </c>
      <c r="AD15" s="20">
        <f t="shared" si="2"/>
        <v>1.1359400011003249</v>
      </c>
      <c r="AE15" s="20">
        <f t="shared" si="3"/>
        <v>9.3642521256538522</v>
      </c>
      <c r="AF15" s="20">
        <f t="shared" si="3"/>
        <v>0</v>
      </c>
      <c r="AG15" s="20">
        <f t="shared" si="3"/>
        <v>1.6378870440216808</v>
      </c>
      <c r="AH15" s="20">
        <f t="shared" si="3"/>
        <v>9.8445870258931123</v>
      </c>
      <c r="AI15" s="20">
        <f t="shared" si="4"/>
        <v>6.1109442138476853</v>
      </c>
      <c r="AJ15" s="20">
        <f t="shared" si="4"/>
        <v>0</v>
      </c>
      <c r="AK15" s="20">
        <f t="shared" si="4"/>
        <v>1.091237519333409</v>
      </c>
      <c r="AL15" s="20">
        <f t="shared" si="4"/>
        <v>6.209048920768458</v>
      </c>
      <c r="AM15" s="20">
        <f t="shared" si="5"/>
        <v>13.411230653949552</v>
      </c>
      <c r="AO15">
        <f t="shared" si="6"/>
        <v>0.6776678697614319</v>
      </c>
      <c r="AP15">
        <f t="shared" si="6"/>
        <v>0</v>
      </c>
      <c r="AQ15">
        <f t="shared" si="6"/>
        <v>0.12038266135432239</v>
      </c>
      <c r="AR15">
        <f t="shared" si="6"/>
        <v>0.69253423385083968</v>
      </c>
      <c r="AS15">
        <f t="shared" si="7"/>
        <v>1.490584764966594</v>
      </c>
      <c r="AU15">
        <f t="shared" si="8"/>
        <v>8.7062112197435741</v>
      </c>
      <c r="AV15">
        <f t="shared" si="8"/>
        <v>0</v>
      </c>
      <c r="AW15">
        <f t="shared" si="8"/>
        <v>1.436874741264162</v>
      </c>
      <c r="AX15">
        <f t="shared" si="8"/>
        <v>7.5589962102533113</v>
      </c>
      <c r="AY15">
        <f t="shared" si="9"/>
        <v>17.702082171261047</v>
      </c>
    </row>
    <row r="16" spans="1:51" ht="15" x14ac:dyDescent="0.25">
      <c r="A16" s="5"/>
      <c r="B16" s="6"/>
      <c r="C16" s="5" t="s">
        <v>12</v>
      </c>
      <c r="D16" s="285">
        <v>0</v>
      </c>
      <c r="E16" s="286">
        <v>0.53741125000000001</v>
      </c>
      <c r="F16" s="286">
        <v>1.67781421</v>
      </c>
      <c r="G16" s="286">
        <v>0.18883026999999999</v>
      </c>
      <c r="H16" s="287">
        <v>1.40021354</v>
      </c>
      <c r="J16">
        <v>0</v>
      </c>
      <c r="K16">
        <v>0.53741125000000001</v>
      </c>
      <c r="L16">
        <v>0.66395307587289998</v>
      </c>
      <c r="M16">
        <v>0.18883026999999999</v>
      </c>
      <c r="N16">
        <v>-7.2158026833202271E-3</v>
      </c>
      <c r="O16" s="20"/>
      <c r="P16" s="20"/>
      <c r="Q16" s="147">
        <v>0.1388892407674486</v>
      </c>
      <c r="R16" s="197">
        <v>0.17699999999999999</v>
      </c>
      <c r="S16" s="197">
        <v>1.77</v>
      </c>
      <c r="T16" s="197">
        <v>0.50078889239507718</v>
      </c>
      <c r="U16" s="197">
        <v>0.75268470790377973</v>
      </c>
      <c r="V16" s="20">
        <f t="shared" si="0"/>
        <v>4.8585169307172361E-2</v>
      </c>
      <c r="W16" s="20">
        <f t="shared" si="0"/>
        <v>0.30926679564208009</v>
      </c>
      <c r="X16" s="20">
        <f t="shared" si="0"/>
        <v>1.7071378089440946E-2</v>
      </c>
      <c r="Y16" s="20">
        <f t="shared" si="0"/>
        <v>0.34422003400473572</v>
      </c>
      <c r="Z16" s="20">
        <f t="shared" si="1"/>
        <v>3.1705816468044337E-2</v>
      </c>
      <c r="AA16" s="20">
        <f t="shared" si="1"/>
        <v>0.20491031956181061</v>
      </c>
      <c r="AB16" s="20">
        <f t="shared" si="1"/>
        <v>1.1373756417403869E-2</v>
      </c>
      <c r="AC16" s="20">
        <f t="shared" si="1"/>
        <v>0.21710194902259902</v>
      </c>
      <c r="AD16" s="20">
        <f t="shared" si="2"/>
        <v>0.46509184146985783</v>
      </c>
      <c r="AE16" s="20">
        <f t="shared" si="3"/>
        <v>0.76511168587935396</v>
      </c>
      <c r="AF16" s="20">
        <f t="shared" si="3"/>
        <v>3.4376840519954106</v>
      </c>
      <c r="AG16" s="20">
        <f t="shared" si="3"/>
        <v>0.26883740566419778</v>
      </c>
      <c r="AH16" s="20">
        <f t="shared" si="3"/>
        <v>3.4422003400473571</v>
      </c>
      <c r="AI16" s="20">
        <f t="shared" si="4"/>
        <v>0.49929826397590921</v>
      </c>
      <c r="AJ16" s="20">
        <f t="shared" si="4"/>
        <v>2.2776998616500479</v>
      </c>
      <c r="AK16" s="20">
        <f t="shared" si="4"/>
        <v>0.17911214618359556</v>
      </c>
      <c r="AL16" s="20">
        <f t="shared" si="4"/>
        <v>2.1710194902259903</v>
      </c>
      <c r="AM16" s="20">
        <f t="shared" si="5"/>
        <v>5.1271297620355423</v>
      </c>
      <c r="AO16">
        <f t="shared" si="6"/>
        <v>4.5171012106394987E-2</v>
      </c>
      <c r="AP16">
        <f t="shared" si="6"/>
        <v>0.25581131286979886</v>
      </c>
      <c r="AQ16">
        <f t="shared" si="6"/>
        <v>1.4976265954859977E-2</v>
      </c>
      <c r="AR16">
        <f t="shared" si="6"/>
        <v>0.26430341117320871</v>
      </c>
      <c r="AS16">
        <f t="shared" si="7"/>
        <v>0.58026200210426249</v>
      </c>
      <c r="AU16">
        <f t="shared" si="8"/>
        <v>0.71134606956074864</v>
      </c>
      <c r="AV16">
        <f t="shared" si="8"/>
        <v>2.8434946232968996</v>
      </c>
      <c r="AW16">
        <f t="shared" si="8"/>
        <v>0.23584390579058725</v>
      </c>
      <c r="AX16">
        <f t="shared" si="8"/>
        <v>2.6430341117320872</v>
      </c>
      <c r="AY16">
        <f t="shared" si="9"/>
        <v>6.4337187103803224</v>
      </c>
    </row>
    <row r="17" spans="1:51" ht="15" x14ac:dyDescent="0.25">
      <c r="A17" s="5"/>
      <c r="B17" s="6"/>
      <c r="C17" s="5" t="s">
        <v>13</v>
      </c>
      <c r="D17" s="285">
        <v>0</v>
      </c>
      <c r="E17" s="286">
        <v>0</v>
      </c>
      <c r="F17" s="286">
        <v>0</v>
      </c>
      <c r="G17" s="286">
        <v>0</v>
      </c>
      <c r="H17" s="287">
        <v>0</v>
      </c>
      <c r="J17">
        <v>0</v>
      </c>
      <c r="K17">
        <v>0</v>
      </c>
      <c r="L17">
        <v>0</v>
      </c>
      <c r="M17">
        <v>0</v>
      </c>
      <c r="N17">
        <v>0</v>
      </c>
      <c r="O17" s="20"/>
      <c r="P17" s="20"/>
      <c r="Q17" s="147"/>
      <c r="R17" s="197">
        <v>0.17699999999999999</v>
      </c>
      <c r="S17" s="197">
        <v>1.77</v>
      </c>
      <c r="T17" s="197">
        <v>0.50078889239507718</v>
      </c>
      <c r="U17" s="197">
        <v>0.75268470790377973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1"/>
        <v>0</v>
      </c>
      <c r="AA17" s="20">
        <f t="shared" si="1"/>
        <v>0</v>
      </c>
      <c r="AB17" s="20">
        <f t="shared" si="1"/>
        <v>0</v>
      </c>
      <c r="AC17" s="20">
        <f t="shared" si="1"/>
        <v>0</v>
      </c>
      <c r="AD17" s="20">
        <f t="shared" si="2"/>
        <v>0</v>
      </c>
      <c r="AE17" s="20">
        <f t="shared" si="3"/>
        <v>0</v>
      </c>
      <c r="AF17" s="20">
        <f t="shared" si="3"/>
        <v>0</v>
      </c>
      <c r="AG17" s="20">
        <f t="shared" si="3"/>
        <v>0</v>
      </c>
      <c r="AH17" s="20">
        <f t="shared" si="3"/>
        <v>0</v>
      </c>
      <c r="AI17" s="20">
        <f t="shared" si="4"/>
        <v>0</v>
      </c>
      <c r="AJ17" s="20">
        <f t="shared" si="4"/>
        <v>0</v>
      </c>
      <c r="AK17" s="20">
        <f t="shared" si="4"/>
        <v>0</v>
      </c>
      <c r="AL17" s="20">
        <f t="shared" si="4"/>
        <v>0</v>
      </c>
      <c r="AM17" s="20">
        <f t="shared" si="5"/>
        <v>0</v>
      </c>
      <c r="AO17">
        <f t="shared" si="6"/>
        <v>0</v>
      </c>
      <c r="AP17">
        <f t="shared" si="6"/>
        <v>0</v>
      </c>
      <c r="AQ17">
        <f t="shared" si="6"/>
        <v>0</v>
      </c>
      <c r="AR17">
        <f t="shared" si="6"/>
        <v>0</v>
      </c>
      <c r="AS17">
        <f t="shared" si="7"/>
        <v>0</v>
      </c>
      <c r="AU17">
        <f t="shared" si="8"/>
        <v>0</v>
      </c>
      <c r="AV17">
        <f t="shared" si="8"/>
        <v>0</v>
      </c>
      <c r="AW17">
        <f t="shared" si="8"/>
        <v>0</v>
      </c>
      <c r="AX17">
        <f t="shared" si="8"/>
        <v>0</v>
      </c>
      <c r="AY17">
        <f t="shared" si="9"/>
        <v>0</v>
      </c>
    </row>
    <row r="18" spans="1:51" ht="15" x14ac:dyDescent="0.25">
      <c r="A18" s="7"/>
      <c r="B18" s="8" t="s">
        <v>14</v>
      </c>
      <c r="C18" s="7"/>
      <c r="D18" s="288">
        <f>SUM(D12:D17)</f>
        <v>0</v>
      </c>
      <c r="E18" s="289">
        <f>SUM(E12:E17)</f>
        <v>107.66400907000001</v>
      </c>
      <c r="F18" s="289">
        <f>SUM(F12:F17)</f>
        <v>109.11897675</v>
      </c>
      <c r="G18" s="289">
        <f>SUM(G12:G17)</f>
        <v>141.60160551000001</v>
      </c>
      <c r="H18" s="290">
        <f>SUM(H12:H17)</f>
        <v>329.05486218999999</v>
      </c>
      <c r="J18">
        <v>0</v>
      </c>
      <c r="K18">
        <v>-46.705923816527999</v>
      </c>
      <c r="L18">
        <v>-28.622923372957072</v>
      </c>
      <c r="M18">
        <v>90.545870228297787</v>
      </c>
      <c r="N18">
        <v>90.3072095137357</v>
      </c>
      <c r="O18" s="20"/>
      <c r="P18" s="20"/>
      <c r="Q18" s="147"/>
      <c r="R18" s="197"/>
      <c r="S18" s="197"/>
      <c r="T18" s="197"/>
      <c r="U18" s="197"/>
    </row>
    <row r="19" spans="1:51" ht="15" x14ac:dyDescent="0.25">
      <c r="A19" s="5"/>
      <c r="B19" s="9" t="s">
        <v>15</v>
      </c>
      <c r="C19" s="5"/>
      <c r="D19" s="291"/>
      <c r="E19" s="292"/>
      <c r="F19" s="292"/>
      <c r="G19" s="292"/>
      <c r="H19" s="293">
        <f>SUM(D18:H18)</f>
        <v>687.43945352000003</v>
      </c>
      <c r="N19">
        <v>105.52423255254841</v>
      </c>
      <c r="O19" s="20"/>
      <c r="P19" s="20"/>
      <c r="Q19" s="147"/>
      <c r="R19" s="197"/>
      <c r="S19" s="197"/>
      <c r="T19" s="197"/>
      <c r="U19" s="197"/>
    </row>
    <row r="20" spans="1:51" ht="15.75" thickBot="1" x14ac:dyDescent="0.3">
      <c r="A20" s="1"/>
      <c r="B20" s="2"/>
      <c r="C20" s="1"/>
      <c r="D20" s="294"/>
      <c r="E20" s="295"/>
      <c r="F20" s="295"/>
      <c r="G20" s="295"/>
      <c r="H20" s="296"/>
      <c r="O20" s="20"/>
      <c r="P20" s="20"/>
      <c r="Q20" s="147"/>
      <c r="R20" s="197"/>
      <c r="S20" s="197"/>
      <c r="T20" s="197"/>
      <c r="U20" s="197"/>
    </row>
    <row r="21" spans="1:51" ht="15" x14ac:dyDescent="0.25">
      <c r="A21" s="1">
        <v>2</v>
      </c>
      <c r="B21" s="2" t="s">
        <v>16</v>
      </c>
      <c r="C21" s="1" t="s">
        <v>8</v>
      </c>
      <c r="D21" s="285">
        <v>4.0000000000000001E-8</v>
      </c>
      <c r="E21" s="286">
        <v>22.754948899999999</v>
      </c>
      <c r="F21" s="286">
        <v>36.947473600000002</v>
      </c>
      <c r="G21" s="286">
        <v>1.79408514</v>
      </c>
      <c r="H21" s="287">
        <v>109.38445659</v>
      </c>
      <c r="J21">
        <v>4.0000000000000001E-8</v>
      </c>
      <c r="K21">
        <v>7.4074821020299986</v>
      </c>
      <c r="L21">
        <v>14.755486059700001</v>
      </c>
      <c r="M21">
        <v>-27.071073666</v>
      </c>
      <c r="N21">
        <v>32.206011137549979</v>
      </c>
      <c r="O21" s="20"/>
      <c r="P21" s="20"/>
      <c r="Q21" s="147">
        <v>0.15600154069798192</v>
      </c>
      <c r="R21" s="197">
        <v>0.3</v>
      </c>
      <c r="S21" s="197">
        <v>2.29</v>
      </c>
      <c r="T21" s="197">
        <v>0.50078889239507718</v>
      </c>
      <c r="U21" s="197">
        <v>0.75268470790377973</v>
      </c>
      <c r="V21" s="20">
        <f t="shared" ref="V21:Y26" si="10">IF(K21&gt;0,((E21-K21)*$Q21*$R21*10)+(K21*$O$12*$Q21*$R21*10),(E21*$Q21*$R21*10))</f>
        <v>8.4575846022402281</v>
      </c>
      <c r="W21" s="20">
        <f t="shared" si="10"/>
        <v>12.925514386004327</v>
      </c>
      <c r="X21" s="20">
        <f t="shared" si="10"/>
        <v>0.83964013795006376</v>
      </c>
      <c r="Y21" s="20">
        <f t="shared" si="10"/>
        <v>41.662834726006515</v>
      </c>
      <c r="Z21" s="20">
        <f t="shared" ref="Z21:AC26" si="11">V21*(EXP(1.01-0.34*LN(Z$8))*(1-$T21)+(1*$T21))</f>
        <v>5.5192691305904384</v>
      </c>
      <c r="AA21" s="20">
        <f t="shared" si="11"/>
        <v>8.564033774909884</v>
      </c>
      <c r="AB21" s="20">
        <f t="shared" si="11"/>
        <v>0.55940782034616321</v>
      </c>
      <c r="AC21" s="20">
        <f t="shared" si="11"/>
        <v>26.277037148564087</v>
      </c>
      <c r="AD21" s="20">
        <f t="shared" ref="AD21:AD26" si="12">SUM(Z21:AC21)</f>
        <v>40.919747874410575</v>
      </c>
      <c r="AE21" s="20">
        <f t="shared" ref="AE21:AH26" si="13">IF(K21&gt;0,((E21-K21)*$Q21*$S21*10)+(K21*$P$12*$Q21*$S21)*10,(E21*$Q21*$S21*10))</f>
        <v>70.153209768287326</v>
      </c>
      <c r="AF21" s="20">
        <f t="shared" si="13"/>
        <v>109.80714040725624</v>
      </c>
      <c r="AG21" s="20">
        <f t="shared" si="13"/>
        <v>6.4092530530188192</v>
      </c>
      <c r="AH21" s="20">
        <f t="shared" si="13"/>
        <v>342.34618393652204</v>
      </c>
      <c r="AI21" s="20">
        <f t="shared" ref="AI21:AL26" si="14">AE21*(EXP(1.01-0.34*LN(AI$8))*(1-$T21)+(1*$T21))</f>
        <v>45.78073567048736</v>
      </c>
      <c r="AJ21" s="20">
        <f t="shared" si="14"/>
        <v>72.754710651381544</v>
      </c>
      <c r="AK21" s="20">
        <f t="shared" si="14"/>
        <v>4.2701463619757121</v>
      </c>
      <c r="AL21" s="20">
        <f t="shared" si="14"/>
        <v>215.92009886340776</v>
      </c>
      <c r="AM21" s="20">
        <f t="shared" ref="AM21:AM26" si="15">SUM(AI21:AL21)</f>
        <v>338.72569154725238</v>
      </c>
      <c r="AO21">
        <f t="shared" ref="AO21:AR26" si="16">Z21*AO$10</f>
        <v>7.863256666726385</v>
      </c>
      <c r="AP21">
        <f t="shared" si="16"/>
        <v>10.691392840076828</v>
      </c>
      <c r="AQ21">
        <f t="shared" si="16"/>
        <v>0.73659396133304611</v>
      </c>
      <c r="AR21">
        <f t="shared" si="16"/>
        <v>31.990088459167488</v>
      </c>
      <c r="AS21">
        <f t="shared" ref="AS21:AS26" si="17">SUM(AO21:AR21)</f>
        <v>51.281331927303746</v>
      </c>
      <c r="AU21">
        <f t="shared" ref="AU21:AX26" si="18">AI21*AU$10</f>
        <v>65.223432025335526</v>
      </c>
      <c r="AV21">
        <f t="shared" si="18"/>
        <v>90.827431673484611</v>
      </c>
      <c r="AW21">
        <f t="shared" si="18"/>
        <v>5.622667238175584</v>
      </c>
      <c r="AX21">
        <f t="shared" si="18"/>
        <v>262.86460774479116</v>
      </c>
      <c r="AY21">
        <f t="shared" ref="AY21:AY26" si="19">SUM(AU21:AX21)</f>
        <v>424.5381386817869</v>
      </c>
    </row>
    <row r="22" spans="1:51" ht="15" x14ac:dyDescent="0.25">
      <c r="A22" s="1"/>
      <c r="B22" s="2"/>
      <c r="C22" s="1" t="s">
        <v>9</v>
      </c>
      <c r="D22" s="285">
        <v>0</v>
      </c>
      <c r="E22" s="286">
        <v>23.523934709999999</v>
      </c>
      <c r="F22" s="286">
        <v>0.88824144999999999</v>
      </c>
      <c r="G22" s="286">
        <v>0</v>
      </c>
      <c r="H22" s="287">
        <v>5.99048392</v>
      </c>
      <c r="J22">
        <v>0</v>
      </c>
      <c r="K22">
        <v>22.265284125969998</v>
      </c>
      <c r="L22">
        <v>0.88824144999999999</v>
      </c>
      <c r="M22">
        <v>0</v>
      </c>
      <c r="N22">
        <v>5.99048392</v>
      </c>
      <c r="O22" s="20"/>
      <c r="P22" s="20"/>
      <c r="Q22" s="147">
        <v>0.17700308139596385</v>
      </c>
      <c r="R22" s="197">
        <v>0.3</v>
      </c>
      <c r="S22" s="197">
        <v>2.29</v>
      </c>
      <c r="T22" s="197">
        <v>0.50078889239507718</v>
      </c>
      <c r="U22" s="197">
        <v>0.75268470790377973</v>
      </c>
      <c r="V22" s="20">
        <f t="shared" si="10"/>
        <v>5.0163138918420174</v>
      </c>
      <c r="W22" s="20">
        <f t="shared" si="10"/>
        <v>0.17345555547868274</v>
      </c>
      <c r="X22" s="20">
        <f t="shared" si="10"/>
        <v>0</v>
      </c>
      <c r="Y22" s="20">
        <f t="shared" si="10"/>
        <v>1.1698201158364281</v>
      </c>
      <c r="Z22" s="20">
        <f t="shared" si="11"/>
        <v>3.2735571341801433</v>
      </c>
      <c r="AA22" s="20">
        <f t="shared" si="11"/>
        <v>0.11492612140632968</v>
      </c>
      <c r="AB22" s="20">
        <f t="shared" si="11"/>
        <v>0</v>
      </c>
      <c r="AC22" s="20">
        <f t="shared" si="11"/>
        <v>0.73781361357496411</v>
      </c>
      <c r="AD22" s="20">
        <f t="shared" si="12"/>
        <v>4.126296869161437</v>
      </c>
      <c r="AE22" s="20">
        <f t="shared" si="13"/>
        <v>57.367957512303491</v>
      </c>
      <c r="AF22" s="20">
        <f t="shared" si="13"/>
        <v>2.0850840033912759</v>
      </c>
      <c r="AG22" s="20">
        <f t="shared" si="13"/>
        <v>0</v>
      </c>
      <c r="AH22" s="20">
        <f t="shared" si="13"/>
        <v>14.062237462758198</v>
      </c>
      <c r="AI22" s="20">
        <f t="shared" si="14"/>
        <v>37.437307679879709</v>
      </c>
      <c r="AJ22" s="20">
        <f t="shared" si="14"/>
        <v>1.3815101894824677</v>
      </c>
      <c r="AK22" s="20">
        <f t="shared" si="14"/>
        <v>0</v>
      </c>
      <c r="AL22" s="20">
        <f t="shared" si="14"/>
        <v>8.8691501341883274</v>
      </c>
      <c r="AM22" s="20">
        <f t="shared" si="15"/>
        <v>47.687968003550509</v>
      </c>
      <c r="AO22">
        <f t="shared" si="16"/>
        <v>4.6638095280738812</v>
      </c>
      <c r="AP22">
        <f t="shared" si="16"/>
        <v>0.14347448221668915</v>
      </c>
      <c r="AQ22">
        <f t="shared" si="16"/>
        <v>0</v>
      </c>
      <c r="AR22">
        <f t="shared" si="16"/>
        <v>0.89822618247243657</v>
      </c>
      <c r="AS22">
        <f t="shared" si="17"/>
        <v>5.7055101927630067</v>
      </c>
      <c r="AU22">
        <f t="shared" si="18"/>
        <v>53.336619801073013</v>
      </c>
      <c r="AV22">
        <f t="shared" si="18"/>
        <v>1.7246858824399558</v>
      </c>
      <c r="AW22">
        <f t="shared" si="18"/>
        <v>0</v>
      </c>
      <c r="AX22">
        <f t="shared" si="18"/>
        <v>10.797446292982311</v>
      </c>
      <c r="AY22">
        <f t="shared" si="19"/>
        <v>65.858751976495284</v>
      </c>
    </row>
    <row r="23" spans="1:51" ht="15" x14ac:dyDescent="0.25">
      <c r="A23" s="1"/>
      <c r="B23" s="2"/>
      <c r="C23" s="1" t="s">
        <v>10</v>
      </c>
      <c r="D23" s="285">
        <v>0</v>
      </c>
      <c r="E23" s="286">
        <v>21.99833061</v>
      </c>
      <c r="F23" s="286">
        <v>0</v>
      </c>
      <c r="G23" s="286">
        <v>0.20472351999999999</v>
      </c>
      <c r="H23" s="287">
        <v>1.57032422</v>
      </c>
      <c r="J23">
        <v>0</v>
      </c>
      <c r="K23">
        <v>19.940238007249999</v>
      </c>
      <c r="L23">
        <v>0</v>
      </c>
      <c r="M23">
        <v>-1.02222272788</v>
      </c>
      <c r="N23">
        <v>1.1131592694234009</v>
      </c>
      <c r="O23" s="20"/>
      <c r="P23" s="20"/>
      <c r="Q23" s="147">
        <v>0.19800462209394576</v>
      </c>
      <c r="R23" s="197">
        <v>0.3</v>
      </c>
      <c r="S23" s="197">
        <v>2.29</v>
      </c>
      <c r="T23" s="197">
        <v>0.50078889239507718</v>
      </c>
      <c r="U23" s="197">
        <v>0.75268470790377973</v>
      </c>
      <c r="V23" s="20">
        <f t="shared" si="10"/>
        <v>5.5784768319638207</v>
      </c>
      <c r="W23" s="20">
        <f t="shared" si="10"/>
        <v>0</v>
      </c>
      <c r="X23" s="20">
        <f t="shared" si="10"/>
        <v>0.12160860963402703</v>
      </c>
      <c r="Y23" s="20">
        <f t="shared" si="10"/>
        <v>0.51473175540393079</v>
      </c>
      <c r="Z23" s="20">
        <f t="shared" si="11"/>
        <v>3.6404146600220235</v>
      </c>
      <c r="AA23" s="20">
        <f t="shared" si="11"/>
        <v>0</v>
      </c>
      <c r="AB23" s="20">
        <f t="shared" si="11"/>
        <v>8.1021385443515323E-2</v>
      </c>
      <c r="AC23" s="20">
        <f t="shared" si="11"/>
        <v>0.3246448674758996</v>
      </c>
      <c r="AD23" s="20">
        <f t="shared" si="12"/>
        <v>4.0460809129414379</v>
      </c>
      <c r="AE23" s="20">
        <f t="shared" si="13"/>
        <v>61.694157971926586</v>
      </c>
      <c r="AF23" s="20">
        <f t="shared" si="13"/>
        <v>0</v>
      </c>
      <c r="AG23" s="20">
        <f t="shared" si="13"/>
        <v>0.92827905353973983</v>
      </c>
      <c r="AH23" s="20">
        <f t="shared" si="13"/>
        <v>4.996030124246726</v>
      </c>
      <c r="AI23" s="20">
        <f t="shared" si="14"/>
        <v>40.260509075136142</v>
      </c>
      <c r="AJ23" s="20">
        <f t="shared" si="14"/>
        <v>0</v>
      </c>
      <c r="AK23" s="20">
        <f t="shared" si="14"/>
        <v>0.61846324221883364</v>
      </c>
      <c r="AL23" s="20">
        <f t="shared" si="14"/>
        <v>3.1510306495834559</v>
      </c>
      <c r="AM23" s="20">
        <f t="shared" si="15"/>
        <v>44.030002966938433</v>
      </c>
      <c r="AO23">
        <f t="shared" si="16"/>
        <v>5.1864683833608156</v>
      </c>
      <c r="AP23">
        <f t="shared" si="16"/>
        <v>0</v>
      </c>
      <c r="AQ23">
        <f t="shared" si="16"/>
        <v>0.10668399883934492</v>
      </c>
      <c r="AR23">
        <f t="shared" si="16"/>
        <v>0.39522789307074702</v>
      </c>
      <c r="AS23">
        <f t="shared" si="17"/>
        <v>5.6883802752709078</v>
      </c>
      <c r="AU23">
        <f t="shared" si="18"/>
        <v>57.358811266555421</v>
      </c>
      <c r="AV23">
        <f t="shared" si="18"/>
        <v>0</v>
      </c>
      <c r="AW23">
        <f t="shared" si="18"/>
        <v>0.81435452447366619</v>
      </c>
      <c r="AX23">
        <f t="shared" si="18"/>
        <v>3.8361154892697282</v>
      </c>
      <c r="AY23">
        <f t="shared" si="19"/>
        <v>62.009281280298815</v>
      </c>
    </row>
    <row r="24" spans="1:51" ht="15" x14ac:dyDescent="0.25">
      <c r="A24" s="1"/>
      <c r="B24" s="2"/>
      <c r="C24" s="1" t="s">
        <v>11</v>
      </c>
      <c r="D24" s="285">
        <v>0</v>
      </c>
      <c r="E24" s="286">
        <v>8.9315889999999995E-2</v>
      </c>
      <c r="F24" s="286">
        <v>0</v>
      </c>
      <c r="G24" s="286">
        <v>0</v>
      </c>
      <c r="H24" s="287">
        <v>0.1163059</v>
      </c>
      <c r="J24">
        <v>0</v>
      </c>
      <c r="K24">
        <v>-0.372491127423</v>
      </c>
      <c r="L24">
        <v>0</v>
      </c>
      <c r="M24">
        <v>0</v>
      </c>
      <c r="N24">
        <v>2.6938042983200003E-2</v>
      </c>
      <c r="O24" s="20"/>
      <c r="P24" s="20"/>
      <c r="Q24" s="147">
        <v>0.21900616279192769</v>
      </c>
      <c r="R24" s="197">
        <v>0.3</v>
      </c>
      <c r="S24" s="197">
        <v>2.29</v>
      </c>
      <c r="T24" s="197">
        <v>0.50078889239507718</v>
      </c>
      <c r="U24" s="197">
        <v>0.75268470790377973</v>
      </c>
      <c r="V24" s="20">
        <f t="shared" si="10"/>
        <v>5.868219103573772E-2</v>
      </c>
      <c r="W24" s="20">
        <f t="shared" si="10"/>
        <v>0</v>
      </c>
      <c r="X24" s="20">
        <f t="shared" si="10"/>
        <v>0</v>
      </c>
      <c r="Y24" s="20">
        <f t="shared" si="10"/>
        <v>6.5225101385337561E-2</v>
      </c>
      <c r="Z24" s="20">
        <f t="shared" si="11"/>
        <v>3.8294953078349188E-2</v>
      </c>
      <c r="AA24" s="20">
        <f t="shared" si="11"/>
        <v>0</v>
      </c>
      <c r="AB24" s="20">
        <f t="shared" si="11"/>
        <v>0</v>
      </c>
      <c r="AC24" s="20">
        <f t="shared" si="11"/>
        <v>4.1137921204663495E-2</v>
      </c>
      <c r="AD24" s="20">
        <f t="shared" si="12"/>
        <v>7.9432874283012683E-2</v>
      </c>
      <c r="AE24" s="20">
        <f t="shared" si="13"/>
        <v>0.44794072490613124</v>
      </c>
      <c r="AF24" s="20">
        <f t="shared" si="13"/>
        <v>0</v>
      </c>
      <c r="AG24" s="20">
        <f t="shared" si="13"/>
        <v>0</v>
      </c>
      <c r="AH24" s="20">
        <f t="shared" si="13"/>
        <v>0.52644229414294019</v>
      </c>
      <c r="AI24" s="20">
        <f t="shared" si="14"/>
        <v>0.29231814183139881</v>
      </c>
      <c r="AJ24" s="20">
        <f t="shared" si="14"/>
        <v>0</v>
      </c>
      <c r="AK24" s="20">
        <f t="shared" si="14"/>
        <v>0</v>
      </c>
      <c r="AL24" s="20">
        <f t="shared" si="14"/>
        <v>0.33203078500883615</v>
      </c>
      <c r="AM24" s="20">
        <f t="shared" si="15"/>
        <v>0.62434892684023491</v>
      </c>
      <c r="AO24">
        <f t="shared" si="16"/>
        <v>5.4558500042394188E-2</v>
      </c>
      <c r="AP24">
        <f t="shared" si="16"/>
        <v>0</v>
      </c>
      <c r="AQ24">
        <f t="shared" si="16"/>
        <v>0</v>
      </c>
      <c r="AR24">
        <f t="shared" si="16"/>
        <v>5.0081968180927909E-2</v>
      </c>
      <c r="AS24">
        <f t="shared" si="17"/>
        <v>0.1046404682233221</v>
      </c>
      <c r="AU24">
        <f t="shared" si="18"/>
        <v>0.41646321699027566</v>
      </c>
      <c r="AV24">
        <f t="shared" si="18"/>
        <v>0</v>
      </c>
      <c r="AW24">
        <f t="shared" si="18"/>
        <v>0</v>
      </c>
      <c r="AX24">
        <f t="shared" si="18"/>
        <v>0.40421962809379808</v>
      </c>
      <c r="AY24">
        <f t="shared" si="19"/>
        <v>0.82068284508407374</v>
      </c>
    </row>
    <row r="25" spans="1:51" ht="15" x14ac:dyDescent="0.25">
      <c r="A25" s="1"/>
      <c r="B25" s="2"/>
      <c r="C25" s="1" t="s">
        <v>12</v>
      </c>
      <c r="D25" s="285">
        <v>0</v>
      </c>
      <c r="E25" s="286">
        <v>0.35930684000000002</v>
      </c>
      <c r="F25" s="286">
        <v>0.23843792</v>
      </c>
      <c r="G25" s="286">
        <v>0</v>
      </c>
      <c r="H25" s="287">
        <v>3.2241675500000002</v>
      </c>
      <c r="J25">
        <v>0</v>
      </c>
      <c r="K25">
        <v>0.15206683195700002</v>
      </c>
      <c r="L25">
        <v>0.23843792</v>
      </c>
      <c r="M25">
        <v>0</v>
      </c>
      <c r="N25">
        <v>1.8653058131290001</v>
      </c>
      <c r="O25" s="20"/>
      <c r="P25" s="20"/>
      <c r="Q25" s="147">
        <v>0.21900616279192767</v>
      </c>
      <c r="R25" s="197">
        <v>0.3</v>
      </c>
      <c r="S25" s="197">
        <v>2.29</v>
      </c>
      <c r="T25" s="197">
        <v>0.50078889239507718</v>
      </c>
      <c r="U25" s="197">
        <v>0.75268470790377973</v>
      </c>
      <c r="V25" s="20">
        <f t="shared" si="10"/>
        <v>0.17290288845655505</v>
      </c>
      <c r="W25" s="20">
        <f t="shared" si="10"/>
        <v>5.7611344678121512E-2</v>
      </c>
      <c r="X25" s="20">
        <f t="shared" si="10"/>
        <v>0</v>
      </c>
      <c r="Y25" s="20">
        <f t="shared" si="10"/>
        <v>1.3434922749427907</v>
      </c>
      <c r="Z25" s="20">
        <f t="shared" si="11"/>
        <v>0.11283334660293125</v>
      </c>
      <c r="AA25" s="20">
        <f t="shared" si="11"/>
        <v>3.8171440370345526E-2</v>
      </c>
      <c r="AB25" s="20">
        <f t="shared" si="11"/>
        <v>0</v>
      </c>
      <c r="AC25" s="20">
        <f t="shared" si="11"/>
        <v>0.84734984188303375</v>
      </c>
      <c r="AD25" s="20">
        <f t="shared" si="12"/>
        <v>0.99835462885631054</v>
      </c>
      <c r="AE25" s="20">
        <f t="shared" si="13"/>
        <v>1.4810333170308789</v>
      </c>
      <c r="AF25" s="20">
        <f t="shared" si="13"/>
        <v>0.69253759483636312</v>
      </c>
      <c r="AG25" s="20">
        <f t="shared" si="13"/>
        <v>0</v>
      </c>
      <c r="AH25" s="20">
        <f t="shared" si="13"/>
        <v>12.232758199456466</v>
      </c>
      <c r="AI25" s="20">
        <f t="shared" si="14"/>
        <v>0.96649597402777632</v>
      </c>
      <c r="AJ25" s="20">
        <f t="shared" si="14"/>
        <v>0.45885333267629425</v>
      </c>
      <c r="AK25" s="20">
        <f t="shared" si="14"/>
        <v>0</v>
      </c>
      <c r="AL25" s="20">
        <f t="shared" si="14"/>
        <v>7.7152849476147587</v>
      </c>
      <c r="AM25" s="20">
        <f t="shared" si="15"/>
        <v>9.1406342543188295</v>
      </c>
      <c r="AO25">
        <f t="shared" si="16"/>
        <v>0.16075272720205863</v>
      </c>
      <c r="AP25">
        <f t="shared" si="16"/>
        <v>4.7653462725306232E-2</v>
      </c>
      <c r="AQ25">
        <f t="shared" si="16"/>
        <v>0</v>
      </c>
      <c r="AR25">
        <f t="shared" si="16"/>
        <v>1.0315773519078459</v>
      </c>
      <c r="AS25">
        <f t="shared" si="17"/>
        <v>1.2399835418352108</v>
      </c>
      <c r="AU25">
        <f t="shared" si="18"/>
        <v>1.3769587478560072</v>
      </c>
      <c r="AV25">
        <f t="shared" si="18"/>
        <v>0.57283534425018601</v>
      </c>
      <c r="AW25">
        <f t="shared" si="18"/>
        <v>0</v>
      </c>
      <c r="AX25">
        <f t="shared" si="18"/>
        <v>9.3927122211861178</v>
      </c>
      <c r="AY25">
        <f t="shared" si="19"/>
        <v>11.342506313292311</v>
      </c>
    </row>
    <row r="26" spans="1:51" ht="15" x14ac:dyDescent="0.25">
      <c r="A26" s="1"/>
      <c r="B26" s="2"/>
      <c r="C26" s="1" t="s">
        <v>13</v>
      </c>
      <c r="D26" s="285">
        <v>0</v>
      </c>
      <c r="E26" s="286">
        <v>0</v>
      </c>
      <c r="F26" s="286">
        <v>0</v>
      </c>
      <c r="G26" s="286">
        <v>0</v>
      </c>
      <c r="H26" s="287">
        <v>0</v>
      </c>
      <c r="J26">
        <v>0</v>
      </c>
      <c r="K26">
        <v>0</v>
      </c>
      <c r="L26">
        <v>0</v>
      </c>
      <c r="M26">
        <v>0</v>
      </c>
      <c r="N26">
        <v>0</v>
      </c>
      <c r="O26" s="20"/>
      <c r="P26" s="20"/>
      <c r="Q26" s="147"/>
      <c r="R26" s="197">
        <v>0.3</v>
      </c>
      <c r="S26" s="197">
        <v>2.29</v>
      </c>
      <c r="T26" s="197">
        <v>0.50078889239507718</v>
      </c>
      <c r="U26" s="197">
        <v>0.75268470790377973</v>
      </c>
      <c r="V26" s="20">
        <f t="shared" si="10"/>
        <v>0</v>
      </c>
      <c r="W26" s="20">
        <f t="shared" si="10"/>
        <v>0</v>
      </c>
      <c r="X26" s="20">
        <f t="shared" si="10"/>
        <v>0</v>
      </c>
      <c r="Y26" s="20">
        <f t="shared" si="10"/>
        <v>0</v>
      </c>
      <c r="Z26" s="20">
        <f t="shared" si="11"/>
        <v>0</v>
      </c>
      <c r="AA26" s="20">
        <f t="shared" si="11"/>
        <v>0</v>
      </c>
      <c r="AB26" s="20">
        <f t="shared" si="11"/>
        <v>0</v>
      </c>
      <c r="AC26" s="20">
        <f t="shared" si="11"/>
        <v>0</v>
      </c>
      <c r="AD26" s="20">
        <f t="shared" si="12"/>
        <v>0</v>
      </c>
      <c r="AE26" s="20">
        <f t="shared" si="13"/>
        <v>0</v>
      </c>
      <c r="AF26" s="20">
        <f t="shared" si="13"/>
        <v>0</v>
      </c>
      <c r="AG26" s="20">
        <f t="shared" si="13"/>
        <v>0</v>
      </c>
      <c r="AH26" s="20">
        <f t="shared" si="13"/>
        <v>0</v>
      </c>
      <c r="AI26" s="20">
        <f t="shared" si="14"/>
        <v>0</v>
      </c>
      <c r="AJ26" s="20">
        <f t="shared" si="14"/>
        <v>0</v>
      </c>
      <c r="AK26" s="20">
        <f t="shared" si="14"/>
        <v>0</v>
      </c>
      <c r="AL26" s="20">
        <f t="shared" si="14"/>
        <v>0</v>
      </c>
      <c r="AM26" s="20">
        <f t="shared" si="15"/>
        <v>0</v>
      </c>
      <c r="AO26">
        <f t="shared" si="16"/>
        <v>0</v>
      </c>
      <c r="AP26">
        <f t="shared" si="16"/>
        <v>0</v>
      </c>
      <c r="AQ26">
        <f t="shared" si="16"/>
        <v>0</v>
      </c>
      <c r="AR26">
        <f t="shared" si="16"/>
        <v>0</v>
      </c>
      <c r="AS26">
        <f t="shared" si="17"/>
        <v>0</v>
      </c>
      <c r="AU26">
        <f t="shared" si="18"/>
        <v>0</v>
      </c>
      <c r="AV26">
        <f t="shared" si="18"/>
        <v>0</v>
      </c>
      <c r="AW26">
        <f t="shared" si="18"/>
        <v>0</v>
      </c>
      <c r="AX26">
        <f t="shared" si="18"/>
        <v>0</v>
      </c>
      <c r="AY26">
        <f t="shared" si="19"/>
        <v>0</v>
      </c>
    </row>
    <row r="27" spans="1:51" ht="15" x14ac:dyDescent="0.25">
      <c r="A27" s="7"/>
      <c r="B27" s="8" t="s">
        <v>14</v>
      </c>
      <c r="C27" s="7"/>
      <c r="D27" s="288">
        <f>SUM(D21:D26)</f>
        <v>4.0000000000000001E-8</v>
      </c>
      <c r="E27" s="289">
        <f>SUM(E21:E26)</f>
        <v>68.725836949999987</v>
      </c>
      <c r="F27" s="289">
        <f>SUM(F21:F26)</f>
        <v>38.074152970000007</v>
      </c>
      <c r="G27" s="289">
        <f>SUM(G21:G26)</f>
        <v>1.9988086599999999</v>
      </c>
      <c r="H27" s="290">
        <f>SUM(H21:H26)</f>
        <v>120.28573818000001</v>
      </c>
      <c r="J27">
        <v>4.0000000000000001E-8</v>
      </c>
      <c r="K27">
        <v>49.392579939784</v>
      </c>
      <c r="L27">
        <v>15.882165429700002</v>
      </c>
      <c r="M27">
        <v>-28.093296393879999</v>
      </c>
      <c r="N27">
        <v>41.201898183085575</v>
      </c>
      <c r="O27" s="20"/>
      <c r="P27" s="20"/>
      <c r="Q27" s="147"/>
      <c r="R27" s="197"/>
      <c r="S27" s="197"/>
      <c r="T27" s="197"/>
      <c r="U27" s="197"/>
    </row>
    <row r="28" spans="1:51" ht="15" x14ac:dyDescent="0.25">
      <c r="A28" s="5"/>
      <c r="B28" s="9" t="s">
        <v>15</v>
      </c>
      <c r="C28" s="5"/>
      <c r="D28" s="291"/>
      <c r="E28" s="292"/>
      <c r="F28" s="292"/>
      <c r="G28" s="292"/>
      <c r="H28" s="293">
        <f>SUM(D27:H27)</f>
        <v>229.08453680000002</v>
      </c>
      <c r="N28">
        <v>78.383347198689592</v>
      </c>
      <c r="O28" s="20"/>
      <c r="P28" s="20"/>
      <c r="Q28" s="147"/>
      <c r="R28" s="197"/>
      <c r="S28" s="197"/>
      <c r="T28" s="197"/>
      <c r="U28" s="197"/>
    </row>
    <row r="29" spans="1:51" ht="15.75" thickBot="1" x14ac:dyDescent="0.3">
      <c r="A29" s="1"/>
      <c r="B29" s="2"/>
      <c r="C29" s="1"/>
      <c r="D29" s="297"/>
      <c r="E29" s="298"/>
      <c r="F29" s="298"/>
      <c r="G29" s="298"/>
      <c r="H29" s="299"/>
      <c r="O29" s="20"/>
      <c r="P29" s="20"/>
      <c r="Q29" s="147"/>
      <c r="R29" s="197"/>
      <c r="S29" s="197"/>
      <c r="T29" s="197"/>
      <c r="U29" s="197"/>
    </row>
    <row r="30" spans="1:51" ht="15" x14ac:dyDescent="0.25">
      <c r="A30" s="1">
        <v>3</v>
      </c>
      <c r="B30" s="2" t="s">
        <v>17</v>
      </c>
      <c r="C30" s="1" t="s">
        <v>8</v>
      </c>
      <c r="D30" s="282">
        <v>0</v>
      </c>
      <c r="E30" s="283">
        <v>0</v>
      </c>
      <c r="F30" s="283">
        <v>0</v>
      </c>
      <c r="G30" s="283">
        <v>0</v>
      </c>
      <c r="H30" s="284">
        <v>6.1000772200000002</v>
      </c>
      <c r="J30">
        <v>0</v>
      </c>
      <c r="K30">
        <v>0</v>
      </c>
      <c r="L30">
        <v>0</v>
      </c>
      <c r="M30">
        <v>0</v>
      </c>
      <c r="N30">
        <v>1.4420044916599997</v>
      </c>
      <c r="O30" s="20"/>
      <c r="P30" s="20"/>
      <c r="Q30" s="147">
        <v>0.24353077120410171</v>
      </c>
      <c r="R30" s="197">
        <v>0.49</v>
      </c>
      <c r="S30" s="197">
        <v>2.42</v>
      </c>
      <c r="T30" s="197">
        <v>0.50078889239507718</v>
      </c>
      <c r="U30" s="197">
        <v>0.75268470790377973</v>
      </c>
      <c r="V30" s="20">
        <f t="shared" ref="V30:Y35" si="20">IF(K30&gt;0,((E30-K30)*$Q30*$R30*10)+(K30*$O$12*$Q30*$R30*10),(E30*$Q30*$R30*10))</f>
        <v>0</v>
      </c>
      <c r="W30" s="20">
        <f t="shared" si="20"/>
        <v>0</v>
      </c>
      <c r="X30" s="20">
        <f t="shared" si="20"/>
        <v>0</v>
      </c>
      <c r="Y30" s="20">
        <f t="shared" si="20"/>
        <v>6.1912893384709093</v>
      </c>
      <c r="Z30" s="20">
        <f t="shared" ref="Z30:AC35" si="21">V30*(EXP(1.01-0.34*LN(Z$8))*(1-$T30)+(1*$T30))</f>
        <v>0</v>
      </c>
      <c r="AA30" s="20">
        <f t="shared" si="21"/>
        <v>0</v>
      </c>
      <c r="AB30" s="20">
        <f t="shared" si="21"/>
        <v>0</v>
      </c>
      <c r="AC30" s="20">
        <f t="shared" si="21"/>
        <v>3.9048888779273656</v>
      </c>
      <c r="AD30" s="20">
        <f t="shared" ref="AD30:AD35" si="22">SUM(Z30:AC30)</f>
        <v>3.9048888779273656</v>
      </c>
      <c r="AE30" s="20">
        <f t="shared" ref="AE30:AH35" si="23">IF(K30&gt;0,((E30-K30)*$Q30*$S30*10)+(K30*$P$12*$Q30*$S30)*10,(E30*$Q30*$S30*10))</f>
        <v>0</v>
      </c>
      <c r="AF30" s="20">
        <f t="shared" si="23"/>
        <v>0</v>
      </c>
      <c r="AG30" s="20">
        <f t="shared" si="23"/>
        <v>0</v>
      </c>
      <c r="AH30" s="20">
        <f t="shared" si="23"/>
        <v>32.373758692203339</v>
      </c>
      <c r="AI30" s="20">
        <f t="shared" ref="AI30:AL35" si="24">AE30*(EXP(1.01-0.34*LN(AI$8))*(1-$T30)+(1*$T30))</f>
        <v>0</v>
      </c>
      <c r="AJ30" s="20">
        <f t="shared" si="24"/>
        <v>0</v>
      </c>
      <c r="AK30" s="20">
        <f t="shared" si="24"/>
        <v>0</v>
      </c>
      <c r="AL30" s="20">
        <f t="shared" si="24"/>
        <v>20.418352841043397</v>
      </c>
      <c r="AM30" s="20">
        <f t="shared" ref="AM30:AM35" si="25">SUM(AI30:AL30)</f>
        <v>20.418352841043397</v>
      </c>
      <c r="AO30">
        <f t="shared" ref="AO30:AR35" si="26">Z30*AO$10</f>
        <v>0</v>
      </c>
      <c r="AP30">
        <f t="shared" si="26"/>
        <v>0</v>
      </c>
      <c r="AQ30">
        <f t="shared" si="26"/>
        <v>0</v>
      </c>
      <c r="AR30">
        <f t="shared" si="26"/>
        <v>4.7538746443086657</v>
      </c>
      <c r="AS30">
        <f t="shared" ref="AS30:AS35" si="27">SUM(AO30:AR30)</f>
        <v>4.7538746443086657</v>
      </c>
      <c r="AU30">
        <f t="shared" ref="AU30:AX35" si="28">AI30*AU$10</f>
        <v>0</v>
      </c>
      <c r="AV30">
        <f t="shared" si="28"/>
        <v>0</v>
      </c>
      <c r="AW30">
        <f t="shared" si="28"/>
        <v>0</v>
      </c>
      <c r="AX30">
        <f t="shared" si="28"/>
        <v>24.857631774941776</v>
      </c>
      <c r="AY30">
        <f t="shared" ref="AY30:AY35" si="29">SUM(AU30:AX30)</f>
        <v>24.857631774941776</v>
      </c>
    </row>
    <row r="31" spans="1:51" ht="15" x14ac:dyDescent="0.25">
      <c r="A31" s="1"/>
      <c r="B31" s="2"/>
      <c r="C31" s="1" t="s">
        <v>9</v>
      </c>
      <c r="D31" s="285">
        <v>0</v>
      </c>
      <c r="E31" s="286">
        <v>0</v>
      </c>
      <c r="F31" s="286">
        <v>0</v>
      </c>
      <c r="G31" s="286">
        <v>0</v>
      </c>
      <c r="H31" s="287">
        <v>0</v>
      </c>
      <c r="J31">
        <v>0</v>
      </c>
      <c r="K31">
        <v>0</v>
      </c>
      <c r="L31">
        <v>0</v>
      </c>
      <c r="M31">
        <v>0</v>
      </c>
      <c r="N31">
        <v>0</v>
      </c>
      <c r="O31" s="20"/>
      <c r="P31" s="20"/>
      <c r="Q31" s="147"/>
      <c r="R31" s="197">
        <v>0.49</v>
      </c>
      <c r="S31" s="197">
        <v>2.42</v>
      </c>
      <c r="T31" s="197">
        <v>0.50078889239507718</v>
      </c>
      <c r="U31" s="197">
        <v>0.75268470790377973</v>
      </c>
      <c r="V31" s="20">
        <f t="shared" si="20"/>
        <v>0</v>
      </c>
      <c r="W31" s="20">
        <f t="shared" si="20"/>
        <v>0</v>
      </c>
      <c r="X31" s="20">
        <f t="shared" si="20"/>
        <v>0</v>
      </c>
      <c r="Y31" s="20">
        <f t="shared" si="20"/>
        <v>0</v>
      </c>
      <c r="Z31" s="20">
        <f t="shared" si="21"/>
        <v>0</v>
      </c>
      <c r="AA31" s="20">
        <f t="shared" si="21"/>
        <v>0</v>
      </c>
      <c r="AB31" s="20">
        <f t="shared" si="21"/>
        <v>0</v>
      </c>
      <c r="AC31" s="20">
        <f t="shared" si="21"/>
        <v>0</v>
      </c>
      <c r="AD31" s="20">
        <f t="shared" si="22"/>
        <v>0</v>
      </c>
      <c r="AE31" s="20">
        <f t="shared" si="23"/>
        <v>0</v>
      </c>
      <c r="AF31" s="20">
        <f t="shared" si="23"/>
        <v>0</v>
      </c>
      <c r="AG31" s="20">
        <f t="shared" si="23"/>
        <v>0</v>
      </c>
      <c r="AH31" s="20">
        <f t="shared" si="23"/>
        <v>0</v>
      </c>
      <c r="AI31" s="20">
        <f t="shared" si="24"/>
        <v>0</v>
      </c>
      <c r="AJ31" s="20">
        <f t="shared" si="24"/>
        <v>0</v>
      </c>
      <c r="AK31" s="20">
        <f t="shared" si="24"/>
        <v>0</v>
      </c>
      <c r="AL31" s="20">
        <f t="shared" si="24"/>
        <v>0</v>
      </c>
      <c r="AM31" s="20">
        <f t="shared" si="25"/>
        <v>0</v>
      </c>
      <c r="AO31">
        <f t="shared" si="26"/>
        <v>0</v>
      </c>
      <c r="AP31">
        <f t="shared" si="26"/>
        <v>0</v>
      </c>
      <c r="AQ31">
        <f t="shared" si="26"/>
        <v>0</v>
      </c>
      <c r="AR31">
        <f t="shared" si="26"/>
        <v>0</v>
      </c>
      <c r="AS31">
        <f t="shared" si="27"/>
        <v>0</v>
      </c>
      <c r="AU31">
        <f t="shared" si="28"/>
        <v>0</v>
      </c>
      <c r="AV31">
        <f t="shared" si="28"/>
        <v>0</v>
      </c>
      <c r="AW31">
        <f t="shared" si="28"/>
        <v>0</v>
      </c>
      <c r="AX31">
        <f t="shared" si="28"/>
        <v>0</v>
      </c>
      <c r="AY31">
        <f t="shared" si="29"/>
        <v>0</v>
      </c>
    </row>
    <row r="32" spans="1:51" ht="15" x14ac:dyDescent="0.25">
      <c r="A32" s="1"/>
      <c r="B32" s="2"/>
      <c r="C32" s="1" t="s">
        <v>10</v>
      </c>
      <c r="D32" s="285">
        <v>0</v>
      </c>
      <c r="E32" s="286">
        <v>0</v>
      </c>
      <c r="F32" s="286">
        <v>0</v>
      </c>
      <c r="G32" s="286">
        <v>0</v>
      </c>
      <c r="H32" s="287">
        <v>0.26119365999999999</v>
      </c>
      <c r="J32">
        <v>0</v>
      </c>
      <c r="K32">
        <v>0</v>
      </c>
      <c r="L32">
        <v>0</v>
      </c>
      <c r="M32">
        <v>0</v>
      </c>
      <c r="N32">
        <v>1.8588043421999989E-2</v>
      </c>
      <c r="O32" s="20"/>
      <c r="P32" s="20"/>
      <c r="Q32" s="147">
        <v>0.28059231361230513</v>
      </c>
      <c r="R32" s="197">
        <v>0.49</v>
      </c>
      <c r="S32" s="197">
        <v>2.42</v>
      </c>
      <c r="T32" s="197">
        <v>0.50078889239507718</v>
      </c>
      <c r="U32" s="197">
        <v>0.75268470790377973</v>
      </c>
      <c r="V32" s="20">
        <f t="shared" si="20"/>
        <v>0</v>
      </c>
      <c r="W32" s="20">
        <f t="shared" si="20"/>
        <v>0</v>
      </c>
      <c r="X32" s="20">
        <f t="shared" si="20"/>
        <v>0</v>
      </c>
      <c r="Y32" s="20">
        <f t="shared" si="20"/>
        <v>0.3429575741277866</v>
      </c>
      <c r="Z32" s="20">
        <f t="shared" si="21"/>
        <v>0</v>
      </c>
      <c r="AA32" s="20">
        <f t="shared" si="21"/>
        <v>0</v>
      </c>
      <c r="AB32" s="20">
        <f t="shared" si="21"/>
        <v>0</v>
      </c>
      <c r="AC32" s="20">
        <f t="shared" si="21"/>
        <v>0.21630570687289102</v>
      </c>
      <c r="AD32" s="20">
        <f t="shared" si="22"/>
        <v>0.21630570687289102</v>
      </c>
      <c r="AE32" s="20">
        <f t="shared" si="23"/>
        <v>0</v>
      </c>
      <c r="AF32" s="20">
        <f t="shared" si="23"/>
        <v>0</v>
      </c>
      <c r="AG32" s="20">
        <f t="shared" si="23"/>
        <v>0</v>
      </c>
      <c r="AH32" s="20">
        <f t="shared" si="23"/>
        <v>1.7204704121019714</v>
      </c>
      <c r="AI32" s="20">
        <f t="shared" si="24"/>
        <v>0</v>
      </c>
      <c r="AJ32" s="20">
        <f t="shared" si="24"/>
        <v>0</v>
      </c>
      <c r="AK32" s="20">
        <f t="shared" si="24"/>
        <v>0</v>
      </c>
      <c r="AL32" s="20">
        <f t="shared" si="24"/>
        <v>1.0851125524492666</v>
      </c>
      <c r="AM32" s="20">
        <f t="shared" si="25"/>
        <v>1.0851125524492666</v>
      </c>
      <c r="AO32">
        <f t="shared" si="26"/>
        <v>0</v>
      </c>
      <c r="AP32">
        <f t="shared" si="26"/>
        <v>0</v>
      </c>
      <c r="AQ32">
        <f t="shared" si="26"/>
        <v>0</v>
      </c>
      <c r="AR32">
        <f t="shared" si="26"/>
        <v>0.2633340531493164</v>
      </c>
      <c r="AS32">
        <f t="shared" si="27"/>
        <v>0.2633340531493164</v>
      </c>
      <c r="AU32">
        <f t="shared" si="28"/>
        <v>0</v>
      </c>
      <c r="AV32">
        <f t="shared" si="28"/>
        <v>0</v>
      </c>
      <c r="AW32">
        <f t="shared" si="28"/>
        <v>0</v>
      </c>
      <c r="AX32">
        <f t="shared" si="28"/>
        <v>1.3210335071167623</v>
      </c>
      <c r="AY32">
        <f t="shared" si="29"/>
        <v>1.3210335071167623</v>
      </c>
    </row>
    <row r="33" spans="1:51" ht="15" x14ac:dyDescent="0.25">
      <c r="A33" s="1"/>
      <c r="B33" s="2"/>
      <c r="C33" s="1" t="s">
        <v>11</v>
      </c>
      <c r="D33" s="285">
        <v>0</v>
      </c>
      <c r="E33" s="286">
        <v>0</v>
      </c>
      <c r="F33" s="286">
        <v>0</v>
      </c>
      <c r="G33" s="286">
        <v>0</v>
      </c>
      <c r="H33" s="287">
        <v>0</v>
      </c>
      <c r="J33">
        <v>0</v>
      </c>
      <c r="K33">
        <v>0</v>
      </c>
      <c r="L33">
        <v>0</v>
      </c>
      <c r="M33">
        <v>0</v>
      </c>
      <c r="N33">
        <v>0</v>
      </c>
      <c r="O33" s="20"/>
      <c r="P33" s="20"/>
      <c r="Q33" s="147"/>
      <c r="R33" s="197">
        <v>0.49</v>
      </c>
      <c r="S33" s="197">
        <v>2.42</v>
      </c>
      <c r="T33" s="197">
        <v>0.50078889239507718</v>
      </c>
      <c r="U33" s="197">
        <v>0.75268470790377973</v>
      </c>
      <c r="V33" s="20">
        <f t="shared" si="20"/>
        <v>0</v>
      </c>
      <c r="W33" s="20">
        <f t="shared" si="20"/>
        <v>0</v>
      </c>
      <c r="X33" s="20">
        <f t="shared" si="20"/>
        <v>0</v>
      </c>
      <c r="Y33" s="20">
        <f t="shared" si="20"/>
        <v>0</v>
      </c>
      <c r="Z33" s="20">
        <f t="shared" si="21"/>
        <v>0</v>
      </c>
      <c r="AA33" s="20">
        <f t="shared" si="21"/>
        <v>0</v>
      </c>
      <c r="AB33" s="20">
        <f t="shared" si="21"/>
        <v>0</v>
      </c>
      <c r="AC33" s="20">
        <f t="shared" si="21"/>
        <v>0</v>
      </c>
      <c r="AD33" s="20">
        <f t="shared" si="22"/>
        <v>0</v>
      </c>
      <c r="AE33" s="20">
        <f t="shared" si="23"/>
        <v>0</v>
      </c>
      <c r="AF33" s="20">
        <f t="shared" si="23"/>
        <v>0</v>
      </c>
      <c r="AG33" s="20">
        <f t="shared" si="23"/>
        <v>0</v>
      </c>
      <c r="AH33" s="20">
        <f t="shared" si="23"/>
        <v>0</v>
      </c>
      <c r="AI33" s="20">
        <f t="shared" si="24"/>
        <v>0</v>
      </c>
      <c r="AJ33" s="20">
        <f t="shared" si="24"/>
        <v>0</v>
      </c>
      <c r="AK33" s="20">
        <f t="shared" si="24"/>
        <v>0</v>
      </c>
      <c r="AL33" s="20">
        <f t="shared" si="24"/>
        <v>0</v>
      </c>
      <c r="AM33" s="20">
        <f t="shared" si="25"/>
        <v>0</v>
      </c>
      <c r="AO33">
        <f t="shared" si="26"/>
        <v>0</v>
      </c>
      <c r="AP33">
        <f t="shared" si="26"/>
        <v>0</v>
      </c>
      <c r="AQ33">
        <f t="shared" si="26"/>
        <v>0</v>
      </c>
      <c r="AR33">
        <f t="shared" si="26"/>
        <v>0</v>
      </c>
      <c r="AS33">
        <f t="shared" si="27"/>
        <v>0</v>
      </c>
      <c r="AU33">
        <f t="shared" si="28"/>
        <v>0</v>
      </c>
      <c r="AV33">
        <f t="shared" si="28"/>
        <v>0</v>
      </c>
      <c r="AW33">
        <f t="shared" si="28"/>
        <v>0</v>
      </c>
      <c r="AX33">
        <f t="shared" si="28"/>
        <v>0</v>
      </c>
      <c r="AY33">
        <f t="shared" si="29"/>
        <v>0</v>
      </c>
    </row>
    <row r="34" spans="1:51" ht="15" x14ac:dyDescent="0.25">
      <c r="A34" s="1"/>
      <c r="B34" s="2"/>
      <c r="C34" s="1" t="s">
        <v>12</v>
      </c>
      <c r="D34" s="285">
        <v>0</v>
      </c>
      <c r="E34" s="286">
        <v>0</v>
      </c>
      <c r="F34" s="286">
        <v>0</v>
      </c>
      <c r="G34" s="286">
        <v>0</v>
      </c>
      <c r="H34" s="287">
        <v>0</v>
      </c>
      <c r="J34">
        <v>0</v>
      </c>
      <c r="K34">
        <v>0</v>
      </c>
      <c r="L34">
        <v>0</v>
      </c>
      <c r="M34">
        <v>0</v>
      </c>
      <c r="N34">
        <v>0</v>
      </c>
      <c r="O34" s="20"/>
      <c r="P34" s="20"/>
      <c r="Q34" s="147"/>
      <c r="R34" s="197">
        <v>0.49</v>
      </c>
      <c r="S34" s="197">
        <v>2.42</v>
      </c>
      <c r="T34" s="197">
        <v>0.50078889239507718</v>
      </c>
      <c r="U34" s="197">
        <v>0.75268470790377973</v>
      </c>
      <c r="V34" s="20">
        <f t="shared" si="20"/>
        <v>0</v>
      </c>
      <c r="W34" s="20">
        <f t="shared" si="20"/>
        <v>0</v>
      </c>
      <c r="X34" s="20">
        <f t="shared" si="20"/>
        <v>0</v>
      </c>
      <c r="Y34" s="20">
        <f t="shared" si="20"/>
        <v>0</v>
      </c>
      <c r="Z34" s="20">
        <f t="shared" si="21"/>
        <v>0</v>
      </c>
      <c r="AA34" s="20">
        <f t="shared" si="21"/>
        <v>0</v>
      </c>
      <c r="AB34" s="20">
        <f t="shared" si="21"/>
        <v>0</v>
      </c>
      <c r="AC34" s="20">
        <f t="shared" si="21"/>
        <v>0</v>
      </c>
      <c r="AD34" s="20">
        <f t="shared" si="22"/>
        <v>0</v>
      </c>
      <c r="AE34" s="20">
        <f t="shared" si="23"/>
        <v>0</v>
      </c>
      <c r="AF34" s="20">
        <f t="shared" si="23"/>
        <v>0</v>
      </c>
      <c r="AG34" s="20">
        <f t="shared" si="23"/>
        <v>0</v>
      </c>
      <c r="AH34" s="20">
        <f t="shared" si="23"/>
        <v>0</v>
      </c>
      <c r="AI34" s="20">
        <f t="shared" si="24"/>
        <v>0</v>
      </c>
      <c r="AJ34" s="20">
        <f t="shared" si="24"/>
        <v>0</v>
      </c>
      <c r="AK34" s="20">
        <f t="shared" si="24"/>
        <v>0</v>
      </c>
      <c r="AL34" s="20">
        <f t="shared" si="24"/>
        <v>0</v>
      </c>
      <c r="AM34" s="20">
        <f t="shared" si="25"/>
        <v>0</v>
      </c>
      <c r="AO34">
        <f t="shared" si="26"/>
        <v>0</v>
      </c>
      <c r="AP34">
        <f t="shared" si="26"/>
        <v>0</v>
      </c>
      <c r="AQ34">
        <f t="shared" si="26"/>
        <v>0</v>
      </c>
      <c r="AR34">
        <f t="shared" si="26"/>
        <v>0</v>
      </c>
      <c r="AS34">
        <f t="shared" si="27"/>
        <v>0</v>
      </c>
      <c r="AU34">
        <f t="shared" si="28"/>
        <v>0</v>
      </c>
      <c r="AV34">
        <f t="shared" si="28"/>
        <v>0</v>
      </c>
      <c r="AW34">
        <f t="shared" si="28"/>
        <v>0</v>
      </c>
      <c r="AX34">
        <f t="shared" si="28"/>
        <v>0</v>
      </c>
      <c r="AY34">
        <f t="shared" si="29"/>
        <v>0</v>
      </c>
    </row>
    <row r="35" spans="1:51" ht="15" x14ac:dyDescent="0.25">
      <c r="A35" s="1"/>
      <c r="B35" s="2"/>
      <c r="C35" s="1" t="s">
        <v>13</v>
      </c>
      <c r="D35" s="285">
        <v>0</v>
      </c>
      <c r="E35" s="286">
        <v>0</v>
      </c>
      <c r="F35" s="286">
        <v>0</v>
      </c>
      <c r="G35" s="286">
        <v>0</v>
      </c>
      <c r="H35" s="287">
        <v>0</v>
      </c>
      <c r="J35">
        <v>0</v>
      </c>
      <c r="K35">
        <v>0</v>
      </c>
      <c r="L35">
        <v>0</v>
      </c>
      <c r="M35">
        <v>0</v>
      </c>
      <c r="N35">
        <v>0</v>
      </c>
      <c r="O35" s="20"/>
      <c r="P35" s="20"/>
      <c r="Q35" s="147"/>
      <c r="R35" s="197">
        <v>0.49</v>
      </c>
      <c r="S35" s="197">
        <v>2.42</v>
      </c>
      <c r="T35" s="197">
        <v>0.50078889239507718</v>
      </c>
      <c r="U35" s="197">
        <v>0.75268470790377973</v>
      </c>
      <c r="V35" s="20">
        <f t="shared" si="20"/>
        <v>0</v>
      </c>
      <c r="W35" s="20">
        <f t="shared" si="20"/>
        <v>0</v>
      </c>
      <c r="X35" s="20">
        <f t="shared" si="20"/>
        <v>0</v>
      </c>
      <c r="Y35" s="20">
        <f t="shared" si="20"/>
        <v>0</v>
      </c>
      <c r="Z35" s="20">
        <f t="shared" si="21"/>
        <v>0</v>
      </c>
      <c r="AA35" s="20">
        <f t="shared" si="21"/>
        <v>0</v>
      </c>
      <c r="AB35" s="20">
        <f t="shared" si="21"/>
        <v>0</v>
      </c>
      <c r="AC35" s="20">
        <f t="shared" si="21"/>
        <v>0</v>
      </c>
      <c r="AD35" s="20">
        <f t="shared" si="22"/>
        <v>0</v>
      </c>
      <c r="AE35" s="20">
        <f t="shared" si="23"/>
        <v>0</v>
      </c>
      <c r="AF35" s="20">
        <f t="shared" si="23"/>
        <v>0</v>
      </c>
      <c r="AG35" s="20">
        <f t="shared" si="23"/>
        <v>0</v>
      </c>
      <c r="AH35" s="20">
        <f t="shared" si="23"/>
        <v>0</v>
      </c>
      <c r="AI35" s="20">
        <f t="shared" si="24"/>
        <v>0</v>
      </c>
      <c r="AJ35" s="20">
        <f t="shared" si="24"/>
        <v>0</v>
      </c>
      <c r="AK35" s="20">
        <f t="shared" si="24"/>
        <v>0</v>
      </c>
      <c r="AL35" s="20">
        <f t="shared" si="24"/>
        <v>0</v>
      </c>
      <c r="AM35" s="20">
        <f t="shared" si="25"/>
        <v>0</v>
      </c>
      <c r="AO35">
        <f t="shared" si="26"/>
        <v>0</v>
      </c>
      <c r="AP35">
        <f t="shared" si="26"/>
        <v>0</v>
      </c>
      <c r="AQ35">
        <f t="shared" si="26"/>
        <v>0</v>
      </c>
      <c r="AR35">
        <f t="shared" si="26"/>
        <v>0</v>
      </c>
      <c r="AS35">
        <f t="shared" si="27"/>
        <v>0</v>
      </c>
      <c r="AU35">
        <f t="shared" si="28"/>
        <v>0</v>
      </c>
      <c r="AV35">
        <f t="shared" si="28"/>
        <v>0</v>
      </c>
      <c r="AW35">
        <f t="shared" si="28"/>
        <v>0</v>
      </c>
      <c r="AX35">
        <f t="shared" si="28"/>
        <v>0</v>
      </c>
      <c r="AY35">
        <f t="shared" si="29"/>
        <v>0</v>
      </c>
    </row>
    <row r="36" spans="1:51" ht="15" x14ac:dyDescent="0.25">
      <c r="A36" s="7"/>
      <c r="B36" s="8" t="s">
        <v>14</v>
      </c>
      <c r="C36" s="7"/>
      <c r="D36" s="288">
        <f>SUM(D30:D35)</f>
        <v>0</v>
      </c>
      <c r="E36" s="289">
        <f>SUM(E30:E35)</f>
        <v>0</v>
      </c>
      <c r="F36" s="289">
        <f>SUM(F30:F35)</f>
        <v>0</v>
      </c>
      <c r="G36" s="289">
        <f>SUM(G30:G35)</f>
        <v>0</v>
      </c>
      <c r="H36" s="290">
        <f>SUM(H30:H35)</f>
        <v>6.3612708800000002</v>
      </c>
      <c r="J36">
        <v>0</v>
      </c>
      <c r="K36">
        <v>0</v>
      </c>
      <c r="L36">
        <v>0</v>
      </c>
      <c r="M36">
        <v>0</v>
      </c>
      <c r="N36">
        <v>1.4605925350819997</v>
      </c>
      <c r="O36" s="20"/>
      <c r="P36" s="20"/>
      <c r="Q36" s="147"/>
      <c r="R36" s="197"/>
      <c r="S36" s="197"/>
      <c r="T36" s="197"/>
      <c r="U36" s="197"/>
    </row>
    <row r="37" spans="1:51" ht="15" x14ac:dyDescent="0.25">
      <c r="A37" s="5"/>
      <c r="B37" s="9" t="s">
        <v>15</v>
      </c>
      <c r="C37" s="5"/>
      <c r="D37" s="291"/>
      <c r="E37" s="292"/>
      <c r="F37" s="292"/>
      <c r="G37" s="292"/>
      <c r="H37" s="293">
        <f>SUM(D36:H36)</f>
        <v>6.3612708800000002</v>
      </c>
      <c r="N37">
        <v>1.4605925350819997</v>
      </c>
      <c r="O37" s="20"/>
      <c r="P37" s="20"/>
      <c r="Q37" s="147"/>
      <c r="R37" s="197"/>
      <c r="S37" s="197"/>
      <c r="T37" s="197"/>
      <c r="U37" s="197"/>
    </row>
    <row r="38" spans="1:51" ht="15.75" thickBot="1" x14ac:dyDescent="0.3">
      <c r="A38" s="1"/>
      <c r="B38" s="2"/>
      <c r="C38" s="1"/>
      <c r="D38" s="294"/>
      <c r="E38" s="295"/>
      <c r="F38" s="295"/>
      <c r="G38" s="295"/>
      <c r="H38" s="296"/>
      <c r="O38" s="20"/>
      <c r="P38" s="20"/>
      <c r="Q38" s="147"/>
      <c r="R38" s="197"/>
      <c r="S38" s="197"/>
      <c r="T38" s="197"/>
      <c r="U38" s="197"/>
    </row>
    <row r="39" spans="1:51" ht="15" x14ac:dyDescent="0.25">
      <c r="A39" s="1">
        <v>4</v>
      </c>
      <c r="B39" s="2" t="s">
        <v>18</v>
      </c>
      <c r="C39" s="1" t="s">
        <v>8</v>
      </c>
      <c r="D39" s="285">
        <v>0</v>
      </c>
      <c r="E39" s="286">
        <v>0</v>
      </c>
      <c r="F39" s="286">
        <v>9.29167904</v>
      </c>
      <c r="G39" s="286">
        <v>1.2610978799999999</v>
      </c>
      <c r="H39" s="287">
        <v>8.5514406300000001</v>
      </c>
      <c r="J39">
        <v>0</v>
      </c>
      <c r="K39">
        <v>0</v>
      </c>
      <c r="L39">
        <v>9.29167904</v>
      </c>
      <c r="M39">
        <v>1.2610978799999999</v>
      </c>
      <c r="N39">
        <v>-9.9771619833200003</v>
      </c>
      <c r="O39" s="20"/>
      <c r="P39" s="20"/>
      <c r="Q39" s="147">
        <v>0.3748246169632814</v>
      </c>
      <c r="R39" s="197">
        <v>0.19500000000000001</v>
      </c>
      <c r="S39" s="197">
        <v>1.22</v>
      </c>
      <c r="T39" s="197">
        <v>0.4144562334217507</v>
      </c>
      <c r="U39" s="197">
        <v>0.6566321730950142</v>
      </c>
      <c r="V39" s="20">
        <f t="shared" ref="V39:Y44" si="30">IF(K39&gt;0,((E39-K39)*$Q39*$R39*10)+(K39*$O$12*$Q39*$R39*10),(E39*$Q39*$R39*10))</f>
        <v>0</v>
      </c>
      <c r="W39" s="20">
        <f t="shared" si="30"/>
        <v>2.4975374756871855</v>
      </c>
      <c r="X39" s="20">
        <f t="shared" si="30"/>
        <v>0.33897417272493957</v>
      </c>
      <c r="Y39" s="20">
        <f t="shared" si="30"/>
        <v>6.2503163943167834</v>
      </c>
      <c r="Z39" s="20">
        <f t="shared" ref="Z39:AC44" si="31">V39*(EXP(1.01-0.34*LN(Z$8))*(1-$T39)+(1*$T39))</f>
        <v>0</v>
      </c>
      <c r="AA39" s="20">
        <f t="shared" si="31"/>
        <v>1.5090452763707838</v>
      </c>
      <c r="AB39" s="20">
        <f t="shared" si="31"/>
        <v>0.20627544505616771</v>
      </c>
      <c r="AC39" s="20">
        <f t="shared" si="31"/>
        <v>3.5429419655176031</v>
      </c>
      <c r="AD39" s="20">
        <f t="shared" ref="AD39:AD44" si="32">SUM(Z39:AC39)</f>
        <v>5.2582626869445548</v>
      </c>
      <c r="AE39" s="20">
        <f t="shared" ref="AE39:AH44" si="33">IF(K39&gt;0,((E39-K39)*$Q39*$S39*10)+(K39*$P$12*$Q39*$S39)*10,(E39*$Q39*$S39*10))</f>
        <v>0</v>
      </c>
      <c r="AF39" s="20">
        <f t="shared" si="33"/>
        <v>24.60698177378984</v>
      </c>
      <c r="AG39" s="20">
        <f t="shared" si="33"/>
        <v>3.3397421945522781</v>
      </c>
      <c r="AH39" s="20">
        <f t="shared" si="33"/>
        <v>39.104543595212704</v>
      </c>
      <c r="AI39" s="20">
        <f t="shared" ref="AI39:AL44" si="34">AE39*(EXP(1.01-0.34*LN(AI$8))*(1-$T39)+(1*$T39))</f>
        <v>0</v>
      </c>
      <c r="AJ39" s="20">
        <f t="shared" si="34"/>
        <v>14.867864836047174</v>
      </c>
      <c r="AK39" s="20">
        <f t="shared" si="34"/>
        <v>2.0323283099009037</v>
      </c>
      <c r="AL39" s="20">
        <f t="shared" si="34"/>
        <v>22.166098450930651</v>
      </c>
      <c r="AM39" s="20">
        <f t="shared" ref="AM39:AM44" si="35">SUM(AI39:AL39)</f>
        <v>39.066291596878727</v>
      </c>
      <c r="AO39">
        <f t="shared" ref="AO39:AR44" si="36">Z39*AO$10</f>
        <v>0</v>
      </c>
      <c r="AP39">
        <f t="shared" si="36"/>
        <v>1.8839014753082435</v>
      </c>
      <c r="AQ39">
        <f t="shared" si="36"/>
        <v>0.27161087434501358</v>
      </c>
      <c r="AR39">
        <f t="shared" si="36"/>
        <v>4.3132346406412978</v>
      </c>
      <c r="AS39">
        <f t="shared" ref="AS39:AS44" si="37">SUM(AO39:AR39)</f>
        <v>6.4687469902945551</v>
      </c>
      <c r="AU39">
        <f t="shared" ref="AU39:AX44" si="38">AI39*AU$10</f>
        <v>0</v>
      </c>
      <c r="AV39">
        <f t="shared" si="38"/>
        <v>18.561134604705298</v>
      </c>
      <c r="AW39">
        <f t="shared" si="38"/>
        <v>2.676045464635894</v>
      </c>
      <c r="AX39">
        <f t="shared" si="38"/>
        <v>26.985365444012231</v>
      </c>
      <c r="AY39">
        <f t="shared" ref="AY39:AY44" si="39">SUM(AU39:AX39)</f>
        <v>48.222545513353424</v>
      </c>
    </row>
    <row r="40" spans="1:51" ht="15" x14ac:dyDescent="0.25">
      <c r="A40" s="1"/>
      <c r="B40" s="2"/>
      <c r="C40" s="1" t="s">
        <v>9</v>
      </c>
      <c r="D40" s="285">
        <v>0</v>
      </c>
      <c r="E40" s="286">
        <v>5.1513709999999997E-2</v>
      </c>
      <c r="F40" s="286">
        <v>0</v>
      </c>
      <c r="G40" s="286">
        <v>0</v>
      </c>
      <c r="H40" s="287">
        <v>0</v>
      </c>
      <c r="J40">
        <v>0</v>
      </c>
      <c r="K40">
        <v>7.0933910339999948E-3</v>
      </c>
      <c r="L40">
        <v>0</v>
      </c>
      <c r="M40">
        <v>0</v>
      </c>
      <c r="N40">
        <v>0</v>
      </c>
      <c r="O40" s="20"/>
      <c r="P40" s="20"/>
      <c r="Q40" s="147">
        <v>0.3896492339265627</v>
      </c>
      <c r="R40" s="197">
        <v>0.19500000000000001</v>
      </c>
      <c r="S40" s="197">
        <v>1.22</v>
      </c>
      <c r="T40" s="197">
        <v>0.4144562334217507</v>
      </c>
      <c r="U40" s="197">
        <v>0.6566321730950142</v>
      </c>
      <c r="V40" s="20">
        <f t="shared" si="30"/>
        <v>3.5733332266672121E-2</v>
      </c>
      <c r="W40" s="20">
        <f t="shared" si="30"/>
        <v>0</v>
      </c>
      <c r="X40" s="20">
        <f t="shared" si="30"/>
        <v>0</v>
      </c>
      <c r="Y40" s="20">
        <f t="shared" si="30"/>
        <v>0</v>
      </c>
      <c r="Z40" s="20">
        <f t="shared" si="31"/>
        <v>2.1172013446305298E-2</v>
      </c>
      <c r="AA40" s="20">
        <f t="shared" si="31"/>
        <v>0</v>
      </c>
      <c r="AB40" s="20">
        <f t="shared" si="31"/>
        <v>0</v>
      </c>
      <c r="AC40" s="20">
        <f t="shared" si="31"/>
        <v>0</v>
      </c>
      <c r="AD40" s="20">
        <f t="shared" si="32"/>
        <v>2.1172013446305298E-2</v>
      </c>
      <c r="AE40" s="20">
        <f t="shared" si="33"/>
        <v>0.23069005769380482</v>
      </c>
      <c r="AF40" s="20">
        <f t="shared" si="33"/>
        <v>0</v>
      </c>
      <c r="AG40" s="20">
        <f t="shared" si="33"/>
        <v>0</v>
      </c>
      <c r="AH40" s="20">
        <f t="shared" si="33"/>
        <v>0</v>
      </c>
      <c r="AI40" s="20">
        <f t="shared" si="34"/>
        <v>0.13668395007138942</v>
      </c>
      <c r="AJ40" s="20">
        <f t="shared" si="34"/>
        <v>0</v>
      </c>
      <c r="AK40" s="20">
        <f t="shared" si="34"/>
        <v>0</v>
      </c>
      <c r="AL40" s="20">
        <f t="shared" si="34"/>
        <v>0</v>
      </c>
      <c r="AM40" s="20">
        <f t="shared" si="35"/>
        <v>0.13668395007138942</v>
      </c>
      <c r="AO40">
        <f t="shared" si="36"/>
        <v>3.016359085607247E-2</v>
      </c>
      <c r="AP40">
        <f t="shared" si="36"/>
        <v>0</v>
      </c>
      <c r="AQ40">
        <f t="shared" si="36"/>
        <v>0</v>
      </c>
      <c r="AR40">
        <f t="shared" si="36"/>
        <v>0</v>
      </c>
      <c r="AS40">
        <f t="shared" si="37"/>
        <v>3.016359085607247E-2</v>
      </c>
      <c r="AU40">
        <f t="shared" si="38"/>
        <v>0.1947324829072743</v>
      </c>
      <c r="AV40">
        <f t="shared" si="38"/>
        <v>0</v>
      </c>
      <c r="AW40">
        <f t="shared" si="38"/>
        <v>0</v>
      </c>
      <c r="AX40">
        <f t="shared" si="38"/>
        <v>0</v>
      </c>
      <c r="AY40">
        <f t="shared" si="39"/>
        <v>0.1947324829072743</v>
      </c>
    </row>
    <row r="41" spans="1:51" ht="15" x14ac:dyDescent="0.25">
      <c r="A41" s="1"/>
      <c r="B41" s="2"/>
      <c r="C41" s="1" t="s">
        <v>10</v>
      </c>
      <c r="D41" s="285">
        <v>0</v>
      </c>
      <c r="E41" s="286">
        <v>0.88866780000000001</v>
      </c>
      <c r="F41" s="286">
        <v>0</v>
      </c>
      <c r="G41" s="286">
        <v>0</v>
      </c>
      <c r="H41" s="287">
        <v>0.76716918999999995</v>
      </c>
      <c r="J41">
        <v>0</v>
      </c>
      <c r="K41">
        <v>-0.21548125997200007</v>
      </c>
      <c r="L41">
        <v>0</v>
      </c>
      <c r="M41">
        <v>0</v>
      </c>
      <c r="N41">
        <v>0.74679570328749989</v>
      </c>
      <c r="O41" s="20"/>
      <c r="P41" s="20"/>
      <c r="Q41" s="147">
        <v>0.40447385088984411</v>
      </c>
      <c r="R41" s="197">
        <v>0.19500000000000001</v>
      </c>
      <c r="S41" s="197">
        <v>1.22</v>
      </c>
      <c r="T41" s="197">
        <v>0.4144562334217507</v>
      </c>
      <c r="U41" s="197">
        <v>0.6566321730950142</v>
      </c>
      <c r="V41" s="20">
        <f t="shared" si="30"/>
        <v>0.70091363009422136</v>
      </c>
      <c r="W41" s="20">
        <f t="shared" si="30"/>
        <v>0</v>
      </c>
      <c r="X41" s="20">
        <f t="shared" si="30"/>
        <v>0</v>
      </c>
      <c r="Y41" s="20">
        <f t="shared" si="30"/>
        <v>0.23268078688480148</v>
      </c>
      <c r="Z41" s="20">
        <f t="shared" si="31"/>
        <v>0.41529160197842224</v>
      </c>
      <c r="AA41" s="20">
        <f t="shared" si="31"/>
        <v>0</v>
      </c>
      <c r="AB41" s="20">
        <f t="shared" si="31"/>
        <v>0</v>
      </c>
      <c r="AC41" s="20">
        <f t="shared" si="31"/>
        <v>0.13189324706400449</v>
      </c>
      <c r="AD41" s="20">
        <f t="shared" si="32"/>
        <v>0.5471848490424267</v>
      </c>
      <c r="AE41" s="20">
        <f t="shared" si="33"/>
        <v>4.3852032241792314</v>
      </c>
      <c r="AF41" s="20">
        <f t="shared" si="33"/>
        <v>0</v>
      </c>
      <c r="AG41" s="20">
        <f t="shared" si="33"/>
        <v>0</v>
      </c>
      <c r="AH41" s="20">
        <f t="shared" si="33"/>
        <v>2.2347011394842258</v>
      </c>
      <c r="AI41" s="20">
        <f t="shared" si="34"/>
        <v>2.5982346380188472</v>
      </c>
      <c r="AJ41" s="20">
        <f t="shared" si="34"/>
        <v>0</v>
      </c>
      <c r="AK41" s="20">
        <f t="shared" si="34"/>
        <v>0</v>
      </c>
      <c r="AL41" s="20">
        <f t="shared" si="34"/>
        <v>1.2667225061866834</v>
      </c>
      <c r="AM41" s="20">
        <f t="shared" si="35"/>
        <v>3.8649571442055306</v>
      </c>
      <c r="AO41">
        <f t="shared" si="36"/>
        <v>0.59166247932957183</v>
      </c>
      <c r="AP41">
        <f t="shared" si="36"/>
        <v>0</v>
      </c>
      <c r="AQ41">
        <f t="shared" si="36"/>
        <v>0</v>
      </c>
      <c r="AR41">
        <f t="shared" si="36"/>
        <v>0.1605689643352694</v>
      </c>
      <c r="AS41">
        <f t="shared" si="37"/>
        <v>0.75223144366484118</v>
      </c>
      <c r="AU41">
        <f t="shared" si="38"/>
        <v>3.7016832040106551</v>
      </c>
      <c r="AV41">
        <f t="shared" si="38"/>
        <v>0</v>
      </c>
      <c r="AW41">
        <f t="shared" si="38"/>
        <v>0</v>
      </c>
      <c r="AX41">
        <f t="shared" si="38"/>
        <v>1.5421283913032295</v>
      </c>
      <c r="AY41">
        <f t="shared" si="39"/>
        <v>5.2438115953138844</v>
      </c>
    </row>
    <row r="42" spans="1:51" ht="15" x14ac:dyDescent="0.25">
      <c r="A42" s="1"/>
      <c r="B42" s="2"/>
      <c r="C42" s="1" t="s">
        <v>11</v>
      </c>
      <c r="D42" s="285">
        <v>0</v>
      </c>
      <c r="E42" s="286">
        <v>0</v>
      </c>
      <c r="F42" s="286">
        <v>0</v>
      </c>
      <c r="G42" s="286">
        <v>0</v>
      </c>
      <c r="H42" s="287">
        <v>0</v>
      </c>
      <c r="J42">
        <v>0</v>
      </c>
      <c r="K42">
        <v>0</v>
      </c>
      <c r="L42">
        <v>0</v>
      </c>
      <c r="M42">
        <v>0</v>
      </c>
      <c r="N42">
        <v>0</v>
      </c>
      <c r="O42" s="20"/>
      <c r="P42" s="20"/>
      <c r="Q42" s="147"/>
      <c r="R42" s="197">
        <v>0.19500000000000001</v>
      </c>
      <c r="S42" s="197">
        <v>1.22</v>
      </c>
      <c r="T42" s="197">
        <v>0.4144562334217507</v>
      </c>
      <c r="U42" s="197">
        <v>0.6566321730950142</v>
      </c>
      <c r="V42" s="20">
        <f t="shared" si="30"/>
        <v>0</v>
      </c>
      <c r="W42" s="20">
        <f t="shared" si="30"/>
        <v>0</v>
      </c>
      <c r="X42" s="20">
        <f t="shared" si="30"/>
        <v>0</v>
      </c>
      <c r="Y42" s="20">
        <f t="shared" si="30"/>
        <v>0</v>
      </c>
      <c r="Z42" s="20">
        <f t="shared" si="31"/>
        <v>0</v>
      </c>
      <c r="AA42" s="20">
        <f t="shared" si="31"/>
        <v>0</v>
      </c>
      <c r="AB42" s="20">
        <f t="shared" si="31"/>
        <v>0</v>
      </c>
      <c r="AC42" s="20">
        <f t="shared" si="31"/>
        <v>0</v>
      </c>
      <c r="AD42" s="20">
        <f t="shared" si="32"/>
        <v>0</v>
      </c>
      <c r="AE42" s="20">
        <f t="shared" si="33"/>
        <v>0</v>
      </c>
      <c r="AF42" s="20">
        <f t="shared" si="33"/>
        <v>0</v>
      </c>
      <c r="AG42" s="20">
        <f t="shared" si="33"/>
        <v>0</v>
      </c>
      <c r="AH42" s="20">
        <f t="shared" si="33"/>
        <v>0</v>
      </c>
      <c r="AI42" s="20">
        <f t="shared" si="34"/>
        <v>0</v>
      </c>
      <c r="AJ42" s="20">
        <f t="shared" si="34"/>
        <v>0</v>
      </c>
      <c r="AK42" s="20">
        <f t="shared" si="34"/>
        <v>0</v>
      </c>
      <c r="AL42" s="20">
        <f t="shared" si="34"/>
        <v>0</v>
      </c>
      <c r="AM42" s="20">
        <f t="shared" si="35"/>
        <v>0</v>
      </c>
      <c r="AO42">
        <f t="shared" si="36"/>
        <v>0</v>
      </c>
      <c r="AP42">
        <f t="shared" si="36"/>
        <v>0</v>
      </c>
      <c r="AQ42">
        <f t="shared" si="36"/>
        <v>0</v>
      </c>
      <c r="AR42">
        <f t="shared" si="36"/>
        <v>0</v>
      </c>
      <c r="AS42">
        <f t="shared" si="37"/>
        <v>0</v>
      </c>
      <c r="AU42">
        <f t="shared" si="38"/>
        <v>0</v>
      </c>
      <c r="AV42">
        <f t="shared" si="38"/>
        <v>0</v>
      </c>
      <c r="AW42">
        <f t="shared" si="38"/>
        <v>0</v>
      </c>
      <c r="AX42">
        <f t="shared" si="38"/>
        <v>0</v>
      </c>
      <c r="AY42">
        <f t="shared" si="39"/>
        <v>0</v>
      </c>
    </row>
    <row r="43" spans="1:51" ht="15" x14ac:dyDescent="0.25">
      <c r="A43" s="1"/>
      <c r="B43" s="2"/>
      <c r="C43" s="1" t="s">
        <v>12</v>
      </c>
      <c r="D43" s="285">
        <v>0</v>
      </c>
      <c r="E43" s="286">
        <v>0</v>
      </c>
      <c r="F43" s="286">
        <v>0</v>
      </c>
      <c r="G43" s="286">
        <v>0</v>
      </c>
      <c r="H43" s="287">
        <v>9.0651750000000003E-2</v>
      </c>
      <c r="J43">
        <v>0</v>
      </c>
      <c r="K43">
        <v>0</v>
      </c>
      <c r="L43">
        <v>0</v>
      </c>
      <c r="M43">
        <v>0</v>
      </c>
      <c r="N43">
        <v>9.0651750000000003E-2</v>
      </c>
      <c r="O43" s="20"/>
      <c r="P43" s="20"/>
      <c r="Q43" s="147">
        <v>0.41929846785312541</v>
      </c>
      <c r="R43" s="197">
        <v>0.19500000000000001</v>
      </c>
      <c r="S43" s="197">
        <v>1.22</v>
      </c>
      <c r="T43" s="197">
        <v>0.4144562334217507</v>
      </c>
      <c r="U43" s="197">
        <v>0.6566321730950142</v>
      </c>
      <c r="V43" s="20">
        <f t="shared" si="30"/>
        <v>0</v>
      </c>
      <c r="W43" s="20">
        <f t="shared" si="30"/>
        <v>0</v>
      </c>
      <c r="X43" s="20">
        <f t="shared" si="30"/>
        <v>0</v>
      </c>
      <c r="Y43" s="20">
        <f t="shared" si="30"/>
        <v>2.7257698026783472E-2</v>
      </c>
      <c r="Z43" s="20">
        <f t="shared" si="31"/>
        <v>0</v>
      </c>
      <c r="AA43" s="20">
        <f t="shared" si="31"/>
        <v>0</v>
      </c>
      <c r="AB43" s="20">
        <f t="shared" si="31"/>
        <v>0</v>
      </c>
      <c r="AC43" s="20">
        <f t="shared" si="31"/>
        <v>1.5450808587915296E-2</v>
      </c>
      <c r="AD43" s="20">
        <f t="shared" si="32"/>
        <v>1.5450808587915296E-2</v>
      </c>
      <c r="AE43" s="20">
        <f t="shared" si="33"/>
        <v>0</v>
      </c>
      <c r="AF43" s="20">
        <f t="shared" si="33"/>
        <v>0</v>
      </c>
      <c r="AG43" s="20">
        <f t="shared" si="33"/>
        <v>0</v>
      </c>
      <c r="AH43" s="20">
        <f t="shared" si="33"/>
        <v>0.26855640208400888</v>
      </c>
      <c r="AI43" s="20">
        <f t="shared" si="34"/>
        <v>0</v>
      </c>
      <c r="AJ43" s="20">
        <f t="shared" si="34"/>
        <v>0</v>
      </c>
      <c r="AK43" s="20">
        <f t="shared" si="34"/>
        <v>0</v>
      </c>
      <c r="AL43" s="20">
        <f t="shared" si="34"/>
        <v>0.15222905322313041</v>
      </c>
      <c r="AM43" s="20">
        <f t="shared" si="35"/>
        <v>0.15222905322313041</v>
      </c>
      <c r="AO43">
        <f t="shared" si="36"/>
        <v>0</v>
      </c>
      <c r="AP43">
        <f t="shared" si="36"/>
        <v>0</v>
      </c>
      <c r="AQ43">
        <f t="shared" si="36"/>
        <v>0</v>
      </c>
      <c r="AR43">
        <f t="shared" si="36"/>
        <v>1.8810063352979071E-2</v>
      </c>
      <c r="AS43">
        <f t="shared" si="37"/>
        <v>1.8810063352979071E-2</v>
      </c>
      <c r="AU43">
        <f t="shared" si="38"/>
        <v>0</v>
      </c>
      <c r="AV43">
        <f t="shared" si="38"/>
        <v>0</v>
      </c>
      <c r="AW43">
        <f t="shared" si="38"/>
        <v>0</v>
      </c>
      <c r="AX43">
        <f t="shared" si="38"/>
        <v>0.18532610244946773</v>
      </c>
      <c r="AY43">
        <f t="shared" si="39"/>
        <v>0.18532610244946773</v>
      </c>
    </row>
    <row r="44" spans="1:51" ht="15" x14ac:dyDescent="0.25">
      <c r="A44" s="1"/>
      <c r="B44" s="2"/>
      <c r="C44" s="1" t="s">
        <v>13</v>
      </c>
      <c r="D44" s="285">
        <v>0</v>
      </c>
      <c r="E44" s="286">
        <v>0</v>
      </c>
      <c r="F44" s="286">
        <v>0</v>
      </c>
      <c r="G44" s="286">
        <v>0</v>
      </c>
      <c r="H44" s="287">
        <v>0</v>
      </c>
      <c r="J44">
        <v>0</v>
      </c>
      <c r="K44">
        <v>0</v>
      </c>
      <c r="L44">
        <v>0</v>
      </c>
      <c r="M44">
        <v>0</v>
      </c>
      <c r="N44">
        <v>0</v>
      </c>
      <c r="O44" s="20"/>
      <c r="P44" s="20"/>
      <c r="Q44" s="147"/>
      <c r="R44" s="197">
        <v>0.19500000000000001</v>
      </c>
      <c r="S44" s="197">
        <v>1.22</v>
      </c>
      <c r="T44" s="197">
        <v>0.4144562334217507</v>
      </c>
      <c r="U44" s="197">
        <v>0.6566321730950142</v>
      </c>
      <c r="V44" s="20">
        <f t="shared" si="30"/>
        <v>0</v>
      </c>
      <c r="W44" s="20">
        <f t="shared" si="30"/>
        <v>0</v>
      </c>
      <c r="X44" s="20">
        <f t="shared" si="30"/>
        <v>0</v>
      </c>
      <c r="Y44" s="20">
        <f t="shared" si="30"/>
        <v>0</v>
      </c>
      <c r="Z44" s="20">
        <f t="shared" si="31"/>
        <v>0</v>
      </c>
      <c r="AA44" s="20">
        <f t="shared" si="31"/>
        <v>0</v>
      </c>
      <c r="AB44" s="20">
        <f t="shared" si="31"/>
        <v>0</v>
      </c>
      <c r="AC44" s="20">
        <f t="shared" si="31"/>
        <v>0</v>
      </c>
      <c r="AD44" s="20">
        <f t="shared" si="32"/>
        <v>0</v>
      </c>
      <c r="AE44" s="20">
        <f t="shared" si="33"/>
        <v>0</v>
      </c>
      <c r="AF44" s="20">
        <f t="shared" si="33"/>
        <v>0</v>
      </c>
      <c r="AG44" s="20">
        <f t="shared" si="33"/>
        <v>0</v>
      </c>
      <c r="AH44" s="20">
        <f t="shared" si="33"/>
        <v>0</v>
      </c>
      <c r="AI44" s="20">
        <f t="shared" si="34"/>
        <v>0</v>
      </c>
      <c r="AJ44" s="20">
        <f t="shared" si="34"/>
        <v>0</v>
      </c>
      <c r="AK44" s="20">
        <f t="shared" si="34"/>
        <v>0</v>
      </c>
      <c r="AL44" s="20">
        <f t="shared" si="34"/>
        <v>0</v>
      </c>
      <c r="AM44" s="20">
        <f t="shared" si="35"/>
        <v>0</v>
      </c>
      <c r="AO44">
        <f t="shared" si="36"/>
        <v>0</v>
      </c>
      <c r="AP44">
        <f t="shared" si="36"/>
        <v>0</v>
      </c>
      <c r="AQ44">
        <f t="shared" si="36"/>
        <v>0</v>
      </c>
      <c r="AR44">
        <f t="shared" si="36"/>
        <v>0</v>
      </c>
      <c r="AS44">
        <f t="shared" si="37"/>
        <v>0</v>
      </c>
      <c r="AU44">
        <f t="shared" si="38"/>
        <v>0</v>
      </c>
      <c r="AV44">
        <f t="shared" si="38"/>
        <v>0</v>
      </c>
      <c r="AW44">
        <f t="shared" si="38"/>
        <v>0</v>
      </c>
      <c r="AX44">
        <f t="shared" si="38"/>
        <v>0</v>
      </c>
      <c r="AY44">
        <f t="shared" si="39"/>
        <v>0</v>
      </c>
    </row>
    <row r="45" spans="1:51" ht="15" x14ac:dyDescent="0.25">
      <c r="A45" s="7"/>
      <c r="B45" s="8" t="s">
        <v>14</v>
      </c>
      <c r="C45" s="7"/>
      <c r="D45" s="288">
        <f>SUM(D39:D44)</f>
        <v>0</v>
      </c>
      <c r="E45" s="289">
        <f>SUM(E39:E44)</f>
        <v>0.94018151000000005</v>
      </c>
      <c r="F45" s="289">
        <f>SUM(F39:F44)</f>
        <v>9.29167904</v>
      </c>
      <c r="G45" s="289">
        <f>SUM(G39:G44)</f>
        <v>1.2610978799999999</v>
      </c>
      <c r="H45" s="290">
        <f>SUM(H39:H44)</f>
        <v>9.40926157</v>
      </c>
      <c r="J45">
        <v>0</v>
      </c>
      <c r="K45">
        <v>-0.20838786893800007</v>
      </c>
      <c r="L45">
        <v>9.29167904</v>
      </c>
      <c r="M45">
        <v>1.2610978799999999</v>
      </c>
      <c r="N45">
        <v>-9.1397145300325011</v>
      </c>
      <c r="O45" s="20"/>
      <c r="P45" s="20"/>
      <c r="Q45" s="147"/>
      <c r="R45" s="197"/>
      <c r="S45" s="197"/>
      <c r="T45" s="197"/>
      <c r="U45" s="197"/>
    </row>
    <row r="46" spans="1:51" ht="15" x14ac:dyDescent="0.25">
      <c r="A46" s="10"/>
      <c r="B46" s="9" t="s">
        <v>15</v>
      </c>
      <c r="C46" s="5"/>
      <c r="D46" s="291"/>
      <c r="E46" s="292"/>
      <c r="F46" s="292"/>
      <c r="G46" s="292"/>
      <c r="H46" s="293">
        <f>SUM(D45:H45)</f>
        <v>20.90222</v>
      </c>
      <c r="N46">
        <v>1.2046745210294976</v>
      </c>
      <c r="O46" s="20"/>
      <c r="P46" s="20"/>
      <c r="Q46" s="147"/>
      <c r="R46" s="197"/>
      <c r="S46" s="197"/>
      <c r="T46" s="197"/>
      <c r="U46" s="197"/>
    </row>
    <row r="47" spans="1:51" ht="15.75" thickBot="1" x14ac:dyDescent="0.3">
      <c r="A47" s="1"/>
      <c r="B47" s="2"/>
      <c r="C47" s="1"/>
      <c r="D47" s="297"/>
      <c r="E47" s="298"/>
      <c r="F47" s="298"/>
      <c r="G47" s="298"/>
      <c r="H47" s="299"/>
      <c r="O47" s="20"/>
      <c r="P47" s="20"/>
      <c r="Q47" s="147"/>
      <c r="R47" s="197"/>
      <c r="S47" s="197"/>
      <c r="T47" s="197"/>
      <c r="U47" s="197"/>
    </row>
    <row r="48" spans="1:51" ht="15" x14ac:dyDescent="0.25">
      <c r="A48" s="1">
        <v>5</v>
      </c>
      <c r="B48" s="2" t="s">
        <v>19</v>
      </c>
      <c r="C48" s="1" t="s">
        <v>8</v>
      </c>
      <c r="D48" s="282">
        <v>0</v>
      </c>
      <c r="E48" s="283">
        <v>0.85534902999999995</v>
      </c>
      <c r="F48" s="283">
        <v>0</v>
      </c>
      <c r="G48" s="283">
        <v>3.41090888</v>
      </c>
      <c r="H48" s="284">
        <v>3.39066695</v>
      </c>
      <c r="J48">
        <v>0</v>
      </c>
      <c r="K48">
        <v>0.306432985233</v>
      </c>
      <c r="L48">
        <v>0</v>
      </c>
      <c r="M48">
        <v>0.40126053755000024</v>
      </c>
      <c r="N48">
        <v>3.39066695</v>
      </c>
      <c r="O48" s="20"/>
      <c r="P48" s="20"/>
      <c r="Q48" s="147">
        <v>0.41858923221634126</v>
      </c>
      <c r="R48" s="197">
        <v>0.43</v>
      </c>
      <c r="S48" s="197">
        <v>2.83</v>
      </c>
      <c r="T48" s="197">
        <v>0.76744186046511631</v>
      </c>
      <c r="U48" s="197">
        <v>0.76744186046511631</v>
      </c>
      <c r="V48" s="20">
        <f t="shared" ref="V48:Y53" si="40">IF(K48&gt;0,((E48-K48)*$Q48*$R48*10)+(K48*$O$12*$Q48*$R48*10),(E48*$Q48*$R48*10))</f>
        <v>1.1908494577028139</v>
      </c>
      <c r="W48" s="20">
        <f t="shared" si="40"/>
        <v>0</v>
      </c>
      <c r="X48" s="20">
        <f t="shared" si="40"/>
        <v>5.682773578582025</v>
      </c>
      <c r="Y48" s="20">
        <f t="shared" si="40"/>
        <v>2.2443817968800079</v>
      </c>
      <c r="Z48" s="20">
        <f t="shared" ref="Z48:AC53" si="41">V48*(EXP(1.01-0.34*LN(Z$8))*(1-$T48)+(1*$T48))</f>
        <v>0.99811638789874413</v>
      </c>
      <c r="AA48" s="20">
        <f t="shared" si="41"/>
        <v>0</v>
      </c>
      <c r="AB48" s="20">
        <f t="shared" si="41"/>
        <v>4.7992204189395755</v>
      </c>
      <c r="AC48" s="20">
        <f t="shared" si="41"/>
        <v>1.8582680709297554</v>
      </c>
      <c r="AD48" s="20">
        <f t="shared" ref="AD48:AD53" si="42">SUM(Z48:AC48)</f>
        <v>7.6556048777680745</v>
      </c>
      <c r="AE48" s="20">
        <f t="shared" ref="AE48:AH53" si="43">IF(K48&gt;0,((E48-K48)*$Q48*$S48*10)+(K48*$P$12*$Q48*$S48)*10,(E48*$Q48*$S48*10))</f>
        <v>8.604759740088685</v>
      </c>
      <c r="AF48" s="20">
        <f t="shared" si="43"/>
        <v>0</v>
      </c>
      <c r="AG48" s="20">
        <f t="shared" si="43"/>
        <v>38.40533659084489</v>
      </c>
      <c r="AH48" s="20">
        <f t="shared" si="43"/>
        <v>23.261399084594188</v>
      </c>
      <c r="AI48" s="20">
        <f t="shared" ref="AI48:AL53" si="44">AE48*(EXP(1.01-0.34*LN(AI$8))*(1-$T48)+(1*$T48))</f>
        <v>7.2121221158226341</v>
      </c>
      <c r="AJ48" s="20">
        <f t="shared" si="44"/>
        <v>0</v>
      </c>
      <c r="AK48" s="20">
        <f t="shared" si="44"/>
        <v>32.434105109818709</v>
      </c>
      <c r="AL48" s="20">
        <f t="shared" si="44"/>
        <v>19.259608710133833</v>
      </c>
      <c r="AM48" s="20">
        <f t="shared" ref="AM48:AM53" si="45">SUM(AI48:AL48)</f>
        <v>58.905835935775173</v>
      </c>
      <c r="AO48">
        <f t="shared" ref="AO48:AR53" si="46">Z48*AO$10</f>
        <v>1.4220080875951142</v>
      </c>
      <c r="AP48">
        <f t="shared" si="46"/>
        <v>0</v>
      </c>
      <c r="AQ48">
        <f t="shared" si="46"/>
        <v>6.319319557437769</v>
      </c>
      <c r="AR48">
        <f t="shared" si="46"/>
        <v>2.2622854941291526</v>
      </c>
      <c r="AS48">
        <f t="shared" ref="AS48:AS53" si="47">SUM(AO48:AR48)</f>
        <v>10.003613139162036</v>
      </c>
      <c r="AU48">
        <f t="shared" ref="AU48:AX53" si="48">AI48*AU$10</f>
        <v>10.275050186295291</v>
      </c>
      <c r="AV48">
        <f t="shared" si="48"/>
        <v>0</v>
      </c>
      <c r="AW48">
        <f t="shared" si="48"/>
        <v>42.707243438874485</v>
      </c>
      <c r="AX48">
        <f t="shared" si="48"/>
        <v>23.446957997690458</v>
      </c>
      <c r="AY48">
        <f t="shared" ref="AY48:AY53" si="49">SUM(AU48:AX48)</f>
        <v>76.429251622860235</v>
      </c>
    </row>
    <row r="49" spans="1:51" ht="15" x14ac:dyDescent="0.25">
      <c r="A49" s="1"/>
      <c r="B49" s="2"/>
      <c r="C49" s="1" t="s">
        <v>9</v>
      </c>
      <c r="D49" s="285">
        <v>0</v>
      </c>
      <c r="E49" s="286">
        <v>3.7575771699999998</v>
      </c>
      <c r="F49" s="286">
        <v>0</v>
      </c>
      <c r="G49" s="286">
        <v>0</v>
      </c>
      <c r="H49" s="287">
        <v>0</v>
      </c>
      <c r="J49">
        <v>0</v>
      </c>
      <c r="K49">
        <v>3.7575771699999998</v>
      </c>
      <c r="L49">
        <v>0</v>
      </c>
      <c r="M49">
        <v>0</v>
      </c>
      <c r="N49">
        <v>0</v>
      </c>
      <c r="O49" s="20"/>
      <c r="P49" s="20"/>
      <c r="Q49" s="147">
        <v>0.43217846443268249</v>
      </c>
      <c r="R49" s="197">
        <v>0.43</v>
      </c>
      <c r="S49" s="197">
        <v>2.83</v>
      </c>
      <c r="T49" s="197">
        <v>0.76744186046511631</v>
      </c>
      <c r="U49" s="197">
        <v>0.76744186046511631</v>
      </c>
      <c r="V49" s="20">
        <f t="shared" si="40"/>
        <v>2.5679974187416321</v>
      </c>
      <c r="W49" s="20">
        <f t="shared" si="40"/>
        <v>0</v>
      </c>
      <c r="X49" s="20">
        <f t="shared" si="40"/>
        <v>0</v>
      </c>
      <c r="Y49" s="20">
        <f t="shared" si="40"/>
        <v>0</v>
      </c>
      <c r="Z49" s="20">
        <f t="shared" si="41"/>
        <v>2.152379791709452</v>
      </c>
      <c r="AA49" s="20">
        <f t="shared" si="41"/>
        <v>0</v>
      </c>
      <c r="AB49" s="20">
        <f t="shared" si="41"/>
        <v>0</v>
      </c>
      <c r="AC49" s="20">
        <f t="shared" si="41"/>
        <v>0</v>
      </c>
      <c r="AD49" s="20">
        <f t="shared" si="42"/>
        <v>2.152379791709452</v>
      </c>
      <c r="AE49" s="20">
        <f t="shared" si="43"/>
        <v>26.615441672444859</v>
      </c>
      <c r="AF49" s="20">
        <f t="shared" si="43"/>
        <v>0</v>
      </c>
      <c r="AG49" s="20">
        <f t="shared" si="43"/>
        <v>0</v>
      </c>
      <c r="AH49" s="20">
        <f t="shared" si="43"/>
        <v>0</v>
      </c>
      <c r="AI49" s="20">
        <f t="shared" si="44"/>
        <v>22.307864636119234</v>
      </c>
      <c r="AJ49" s="20">
        <f t="shared" si="44"/>
        <v>0</v>
      </c>
      <c r="AK49" s="20">
        <f t="shared" si="44"/>
        <v>0</v>
      </c>
      <c r="AL49" s="20">
        <f t="shared" si="44"/>
        <v>0</v>
      </c>
      <c r="AM49" s="20">
        <f t="shared" si="45"/>
        <v>22.307864636119234</v>
      </c>
      <c r="AO49">
        <f t="shared" si="46"/>
        <v>3.0664775255625072</v>
      </c>
      <c r="AP49">
        <f t="shared" si="46"/>
        <v>0</v>
      </c>
      <c r="AQ49">
        <f t="shared" si="46"/>
        <v>0</v>
      </c>
      <c r="AR49">
        <f t="shared" si="46"/>
        <v>0</v>
      </c>
      <c r="AS49">
        <f t="shared" si="47"/>
        <v>3.0664775255625072</v>
      </c>
      <c r="AU49">
        <f t="shared" si="48"/>
        <v>31.781828566426352</v>
      </c>
      <c r="AV49">
        <f t="shared" si="48"/>
        <v>0</v>
      </c>
      <c r="AW49">
        <f t="shared" si="48"/>
        <v>0</v>
      </c>
      <c r="AX49">
        <f t="shared" si="48"/>
        <v>0</v>
      </c>
      <c r="AY49">
        <f t="shared" si="49"/>
        <v>31.781828566426352</v>
      </c>
    </row>
    <row r="50" spans="1:51" ht="15" x14ac:dyDescent="0.25">
      <c r="A50" s="1"/>
      <c r="B50" s="2"/>
      <c r="C50" s="1" t="s">
        <v>10</v>
      </c>
      <c r="D50" s="285">
        <v>0</v>
      </c>
      <c r="E50" s="286">
        <v>1.96858654</v>
      </c>
      <c r="F50" s="286">
        <v>0</v>
      </c>
      <c r="G50" s="286">
        <v>0</v>
      </c>
      <c r="H50" s="287">
        <v>0</v>
      </c>
      <c r="J50">
        <v>0</v>
      </c>
      <c r="K50">
        <v>1.96858654</v>
      </c>
      <c r="L50">
        <v>0</v>
      </c>
      <c r="M50">
        <v>0</v>
      </c>
      <c r="N50">
        <v>0</v>
      </c>
      <c r="O50" s="20"/>
      <c r="P50" s="20"/>
      <c r="Q50" s="147">
        <v>0.44576769664902377</v>
      </c>
      <c r="R50" s="197">
        <v>0.43</v>
      </c>
      <c r="S50" s="197">
        <v>2.83</v>
      </c>
      <c r="T50" s="197">
        <v>0.76744186046511631</v>
      </c>
      <c r="U50" s="197">
        <v>0.76744186046511631</v>
      </c>
      <c r="V50" s="20">
        <f t="shared" si="40"/>
        <v>1.3876714620097284</v>
      </c>
      <c r="W50" s="20">
        <f t="shared" si="40"/>
        <v>0</v>
      </c>
      <c r="X50" s="20">
        <f t="shared" si="40"/>
        <v>0</v>
      </c>
      <c r="Y50" s="20">
        <f t="shared" si="40"/>
        <v>0</v>
      </c>
      <c r="Z50" s="20">
        <f t="shared" si="41"/>
        <v>1.1630837284194924</v>
      </c>
      <c r="AA50" s="20">
        <f t="shared" si="41"/>
        <v>0</v>
      </c>
      <c r="AB50" s="20">
        <f t="shared" si="41"/>
        <v>0</v>
      </c>
      <c r="AC50" s="20">
        <f t="shared" si="41"/>
        <v>0</v>
      </c>
      <c r="AD50" s="20">
        <f t="shared" si="42"/>
        <v>1.1630837284194924</v>
      </c>
      <c r="AE50" s="20">
        <f t="shared" si="43"/>
        <v>14.382214167385856</v>
      </c>
      <c r="AF50" s="20">
        <f t="shared" si="43"/>
        <v>0</v>
      </c>
      <c r="AG50" s="20">
        <f t="shared" si="43"/>
        <v>0</v>
      </c>
      <c r="AH50" s="20">
        <f t="shared" si="43"/>
        <v>0</v>
      </c>
      <c r="AI50" s="20">
        <f t="shared" si="44"/>
        <v>12.05452424056085</v>
      </c>
      <c r="AJ50" s="20">
        <f t="shared" si="44"/>
        <v>0</v>
      </c>
      <c r="AK50" s="20">
        <f t="shared" si="44"/>
        <v>0</v>
      </c>
      <c r="AL50" s="20">
        <f t="shared" si="44"/>
        <v>0</v>
      </c>
      <c r="AM50" s="20">
        <f t="shared" si="45"/>
        <v>12.05452424056085</v>
      </c>
      <c r="AO50">
        <f t="shared" si="46"/>
        <v>1.6570356808234092</v>
      </c>
      <c r="AP50">
        <f t="shared" si="46"/>
        <v>0</v>
      </c>
      <c r="AQ50">
        <f t="shared" si="46"/>
        <v>0</v>
      </c>
      <c r="AR50">
        <f t="shared" si="46"/>
        <v>0</v>
      </c>
      <c r="AS50">
        <f t="shared" si="47"/>
        <v>1.6570356808234092</v>
      </c>
      <c r="AU50">
        <f t="shared" si="48"/>
        <v>17.17398007889221</v>
      </c>
      <c r="AV50">
        <f t="shared" si="48"/>
        <v>0</v>
      </c>
      <c r="AW50">
        <f t="shared" si="48"/>
        <v>0</v>
      </c>
      <c r="AX50">
        <f t="shared" si="48"/>
        <v>0</v>
      </c>
      <c r="AY50">
        <f t="shared" si="49"/>
        <v>17.17398007889221</v>
      </c>
    </row>
    <row r="51" spans="1:51" ht="15" x14ac:dyDescent="0.25">
      <c r="A51" s="1"/>
      <c r="B51" s="2"/>
      <c r="C51" s="1" t="s">
        <v>11</v>
      </c>
      <c r="D51" s="285">
        <v>0</v>
      </c>
      <c r="E51" s="286">
        <v>0</v>
      </c>
      <c r="F51" s="286">
        <v>0</v>
      </c>
      <c r="G51" s="286">
        <v>0</v>
      </c>
      <c r="H51" s="287">
        <v>0</v>
      </c>
      <c r="J51">
        <v>0</v>
      </c>
      <c r="K51">
        <v>0</v>
      </c>
      <c r="L51">
        <v>0</v>
      </c>
      <c r="M51">
        <v>0</v>
      </c>
      <c r="N51">
        <v>0</v>
      </c>
      <c r="O51" s="20"/>
      <c r="P51" s="20"/>
      <c r="Q51" s="147"/>
      <c r="R51" s="197">
        <v>0.43</v>
      </c>
      <c r="S51" s="197">
        <v>2.83</v>
      </c>
      <c r="T51" s="197">
        <v>0.76744186046511631</v>
      </c>
      <c r="U51" s="197">
        <v>0.76744186046511631</v>
      </c>
      <c r="V51" s="20">
        <f t="shared" si="40"/>
        <v>0</v>
      </c>
      <c r="W51" s="20">
        <f t="shared" si="40"/>
        <v>0</v>
      </c>
      <c r="X51" s="20">
        <f t="shared" si="40"/>
        <v>0</v>
      </c>
      <c r="Y51" s="20">
        <f t="shared" si="40"/>
        <v>0</v>
      </c>
      <c r="Z51" s="20">
        <f t="shared" si="41"/>
        <v>0</v>
      </c>
      <c r="AA51" s="20">
        <f t="shared" si="41"/>
        <v>0</v>
      </c>
      <c r="AB51" s="20">
        <f t="shared" si="41"/>
        <v>0</v>
      </c>
      <c r="AC51" s="20">
        <f t="shared" si="41"/>
        <v>0</v>
      </c>
      <c r="AD51" s="20">
        <f t="shared" si="42"/>
        <v>0</v>
      </c>
      <c r="AE51" s="20">
        <f t="shared" si="43"/>
        <v>0</v>
      </c>
      <c r="AF51" s="20">
        <f t="shared" si="43"/>
        <v>0</v>
      </c>
      <c r="AG51" s="20">
        <f t="shared" si="43"/>
        <v>0</v>
      </c>
      <c r="AH51" s="20">
        <f t="shared" si="43"/>
        <v>0</v>
      </c>
      <c r="AI51" s="20">
        <f t="shared" si="44"/>
        <v>0</v>
      </c>
      <c r="AJ51" s="20">
        <f t="shared" si="44"/>
        <v>0</v>
      </c>
      <c r="AK51" s="20">
        <f t="shared" si="44"/>
        <v>0</v>
      </c>
      <c r="AL51" s="20">
        <f t="shared" si="44"/>
        <v>0</v>
      </c>
      <c r="AM51" s="20">
        <f t="shared" si="45"/>
        <v>0</v>
      </c>
      <c r="AO51">
        <f t="shared" si="46"/>
        <v>0</v>
      </c>
      <c r="AP51">
        <f t="shared" si="46"/>
        <v>0</v>
      </c>
      <c r="AQ51">
        <f t="shared" si="46"/>
        <v>0</v>
      </c>
      <c r="AR51">
        <f t="shared" si="46"/>
        <v>0</v>
      </c>
      <c r="AS51">
        <f t="shared" si="47"/>
        <v>0</v>
      </c>
      <c r="AU51">
        <f t="shared" si="48"/>
        <v>0</v>
      </c>
      <c r="AV51">
        <f t="shared" si="48"/>
        <v>0</v>
      </c>
      <c r="AW51">
        <f t="shared" si="48"/>
        <v>0</v>
      </c>
      <c r="AX51">
        <f t="shared" si="48"/>
        <v>0</v>
      </c>
      <c r="AY51">
        <f t="shared" si="49"/>
        <v>0</v>
      </c>
    </row>
    <row r="52" spans="1:51" ht="15" x14ac:dyDescent="0.25">
      <c r="A52" s="1"/>
      <c r="B52" s="2"/>
      <c r="C52" s="1" t="s">
        <v>12</v>
      </c>
      <c r="D52" s="285">
        <v>0</v>
      </c>
      <c r="E52" s="286">
        <v>0</v>
      </c>
      <c r="F52" s="286">
        <v>0</v>
      </c>
      <c r="G52" s="286">
        <v>0</v>
      </c>
      <c r="H52" s="287">
        <v>0</v>
      </c>
      <c r="J52">
        <v>0</v>
      </c>
      <c r="K52">
        <v>0</v>
      </c>
      <c r="L52">
        <v>0</v>
      </c>
      <c r="M52">
        <v>0</v>
      </c>
      <c r="N52">
        <v>0</v>
      </c>
      <c r="O52" s="20"/>
      <c r="P52" s="20"/>
      <c r="Q52" s="147"/>
      <c r="R52" s="197">
        <v>0.43</v>
      </c>
      <c r="S52" s="197">
        <v>2.83</v>
      </c>
      <c r="T52" s="197">
        <v>0.76744186046511631</v>
      </c>
      <c r="U52" s="197">
        <v>0.76744186046511631</v>
      </c>
      <c r="V52" s="20">
        <f t="shared" si="40"/>
        <v>0</v>
      </c>
      <c r="W52" s="20">
        <f t="shared" si="40"/>
        <v>0</v>
      </c>
      <c r="X52" s="20">
        <f t="shared" si="40"/>
        <v>0</v>
      </c>
      <c r="Y52" s="20">
        <f t="shared" si="40"/>
        <v>0</v>
      </c>
      <c r="Z52" s="20">
        <f t="shared" si="41"/>
        <v>0</v>
      </c>
      <c r="AA52" s="20">
        <f t="shared" si="41"/>
        <v>0</v>
      </c>
      <c r="AB52" s="20">
        <f t="shared" si="41"/>
        <v>0</v>
      </c>
      <c r="AC52" s="20">
        <f t="shared" si="41"/>
        <v>0</v>
      </c>
      <c r="AD52" s="20">
        <f t="shared" si="42"/>
        <v>0</v>
      </c>
      <c r="AE52" s="20">
        <f t="shared" si="43"/>
        <v>0</v>
      </c>
      <c r="AF52" s="20">
        <f t="shared" si="43"/>
        <v>0</v>
      </c>
      <c r="AG52" s="20">
        <f t="shared" si="43"/>
        <v>0</v>
      </c>
      <c r="AH52" s="20">
        <f t="shared" si="43"/>
        <v>0</v>
      </c>
      <c r="AI52" s="20">
        <f t="shared" si="44"/>
        <v>0</v>
      </c>
      <c r="AJ52" s="20">
        <f t="shared" si="44"/>
        <v>0</v>
      </c>
      <c r="AK52" s="20">
        <f t="shared" si="44"/>
        <v>0</v>
      </c>
      <c r="AL52" s="20">
        <f t="shared" si="44"/>
        <v>0</v>
      </c>
      <c r="AM52" s="20">
        <f t="shared" si="45"/>
        <v>0</v>
      </c>
      <c r="AO52">
        <f t="shared" si="46"/>
        <v>0</v>
      </c>
      <c r="AP52">
        <f t="shared" si="46"/>
        <v>0</v>
      </c>
      <c r="AQ52">
        <f t="shared" si="46"/>
        <v>0</v>
      </c>
      <c r="AR52">
        <f t="shared" si="46"/>
        <v>0</v>
      </c>
      <c r="AS52">
        <f t="shared" si="47"/>
        <v>0</v>
      </c>
      <c r="AU52">
        <f t="shared" si="48"/>
        <v>0</v>
      </c>
      <c r="AV52">
        <f t="shared" si="48"/>
        <v>0</v>
      </c>
      <c r="AW52">
        <f t="shared" si="48"/>
        <v>0</v>
      </c>
      <c r="AX52">
        <f t="shared" si="48"/>
        <v>0</v>
      </c>
      <c r="AY52">
        <f t="shared" si="49"/>
        <v>0</v>
      </c>
    </row>
    <row r="53" spans="1:51" ht="15" x14ac:dyDescent="0.25">
      <c r="A53" s="1"/>
      <c r="B53" s="2"/>
      <c r="C53" s="1" t="s">
        <v>13</v>
      </c>
      <c r="D53" s="285">
        <v>0</v>
      </c>
      <c r="E53" s="286">
        <v>0</v>
      </c>
      <c r="F53" s="286">
        <v>0</v>
      </c>
      <c r="G53" s="286">
        <v>0</v>
      </c>
      <c r="H53" s="287">
        <v>0</v>
      </c>
      <c r="J53">
        <v>0</v>
      </c>
      <c r="K53">
        <v>0</v>
      </c>
      <c r="L53">
        <v>0</v>
      </c>
      <c r="M53">
        <v>0</v>
      </c>
      <c r="N53">
        <v>0</v>
      </c>
      <c r="O53" s="20"/>
      <c r="P53" s="20"/>
      <c r="Q53" s="147"/>
      <c r="R53" s="197">
        <v>0.43</v>
      </c>
      <c r="S53" s="197">
        <v>2.83</v>
      </c>
      <c r="T53" s="197">
        <v>0.76744186046511631</v>
      </c>
      <c r="U53" s="197">
        <v>0.76744186046511631</v>
      </c>
      <c r="V53" s="20">
        <f t="shared" si="40"/>
        <v>0</v>
      </c>
      <c r="W53" s="20">
        <f t="shared" si="40"/>
        <v>0</v>
      </c>
      <c r="X53" s="20">
        <f t="shared" si="40"/>
        <v>0</v>
      </c>
      <c r="Y53" s="20">
        <f t="shared" si="40"/>
        <v>0</v>
      </c>
      <c r="Z53" s="20">
        <f t="shared" si="41"/>
        <v>0</v>
      </c>
      <c r="AA53" s="20">
        <f t="shared" si="41"/>
        <v>0</v>
      </c>
      <c r="AB53" s="20">
        <f t="shared" si="41"/>
        <v>0</v>
      </c>
      <c r="AC53" s="20">
        <f t="shared" si="41"/>
        <v>0</v>
      </c>
      <c r="AD53" s="20">
        <f t="shared" si="42"/>
        <v>0</v>
      </c>
      <c r="AE53" s="20">
        <f t="shared" si="43"/>
        <v>0</v>
      </c>
      <c r="AF53" s="20">
        <f t="shared" si="43"/>
        <v>0</v>
      </c>
      <c r="AG53" s="20">
        <f t="shared" si="43"/>
        <v>0</v>
      </c>
      <c r="AH53" s="20">
        <f t="shared" si="43"/>
        <v>0</v>
      </c>
      <c r="AI53" s="20">
        <f t="shared" si="44"/>
        <v>0</v>
      </c>
      <c r="AJ53" s="20">
        <f t="shared" si="44"/>
        <v>0</v>
      </c>
      <c r="AK53" s="20">
        <f t="shared" si="44"/>
        <v>0</v>
      </c>
      <c r="AL53" s="20">
        <f t="shared" si="44"/>
        <v>0</v>
      </c>
      <c r="AM53" s="20">
        <f t="shared" si="45"/>
        <v>0</v>
      </c>
      <c r="AO53">
        <f t="shared" si="46"/>
        <v>0</v>
      </c>
      <c r="AP53">
        <f t="shared" si="46"/>
        <v>0</v>
      </c>
      <c r="AQ53">
        <f t="shared" si="46"/>
        <v>0</v>
      </c>
      <c r="AR53">
        <f t="shared" si="46"/>
        <v>0</v>
      </c>
      <c r="AS53">
        <f t="shared" si="47"/>
        <v>0</v>
      </c>
      <c r="AU53">
        <f t="shared" si="48"/>
        <v>0</v>
      </c>
      <c r="AV53">
        <f t="shared" si="48"/>
        <v>0</v>
      </c>
      <c r="AW53">
        <f t="shared" si="48"/>
        <v>0</v>
      </c>
      <c r="AX53">
        <f t="shared" si="48"/>
        <v>0</v>
      </c>
      <c r="AY53">
        <f t="shared" si="49"/>
        <v>0</v>
      </c>
    </row>
    <row r="54" spans="1:51" ht="15" x14ac:dyDescent="0.25">
      <c r="A54" s="7"/>
      <c r="B54" s="8" t="s">
        <v>14</v>
      </c>
      <c r="C54" s="7"/>
      <c r="D54" s="288">
        <f>SUM(D48:D53)</f>
        <v>0</v>
      </c>
      <c r="E54" s="289">
        <f>SUM(E48:E53)</f>
        <v>6.5815127399999991</v>
      </c>
      <c r="F54" s="289">
        <f>SUM(F48:F53)</f>
        <v>0</v>
      </c>
      <c r="G54" s="289">
        <f>SUM(G48:G53)</f>
        <v>3.41090888</v>
      </c>
      <c r="H54" s="290">
        <f>SUM(H48:H53)</f>
        <v>3.39066695</v>
      </c>
      <c r="J54">
        <v>0</v>
      </c>
      <c r="K54">
        <v>6.0325966952329999</v>
      </c>
      <c r="L54">
        <v>0</v>
      </c>
      <c r="M54">
        <v>0.40126053755000024</v>
      </c>
      <c r="N54">
        <v>3.39066695</v>
      </c>
      <c r="O54" s="20"/>
      <c r="P54" s="20"/>
      <c r="Q54" s="147"/>
      <c r="R54" s="197"/>
      <c r="S54" s="197"/>
      <c r="T54" s="197"/>
      <c r="U54" s="197"/>
    </row>
    <row r="55" spans="1:51" ht="15" x14ac:dyDescent="0.25">
      <c r="A55" s="10"/>
      <c r="B55" s="9" t="s">
        <v>15</v>
      </c>
      <c r="C55" s="5"/>
      <c r="D55" s="291"/>
      <c r="E55" s="292"/>
      <c r="F55" s="292"/>
      <c r="G55" s="292"/>
      <c r="H55" s="293">
        <f>SUM(D54:H54)</f>
        <v>13.383088569999998</v>
      </c>
      <c r="N55">
        <v>9.8245241827829997</v>
      </c>
      <c r="O55" s="20"/>
      <c r="P55" s="20"/>
      <c r="Q55" s="147"/>
      <c r="R55" s="197"/>
      <c r="S55" s="197"/>
      <c r="T55" s="197"/>
      <c r="U55" s="197"/>
    </row>
    <row r="56" spans="1:51" ht="15.75" thickBot="1" x14ac:dyDescent="0.3">
      <c r="A56" s="1"/>
      <c r="B56" s="2"/>
      <c r="C56" s="1"/>
      <c r="D56" s="294"/>
      <c r="E56" s="295"/>
      <c r="F56" s="295"/>
      <c r="G56" s="295"/>
      <c r="H56" s="296"/>
      <c r="O56" s="20"/>
      <c r="P56" s="20"/>
      <c r="Q56" s="147"/>
      <c r="R56" s="197"/>
      <c r="S56" s="197"/>
      <c r="T56" s="197"/>
      <c r="U56" s="197"/>
    </row>
    <row r="57" spans="1:51" ht="15" x14ac:dyDescent="0.25">
      <c r="A57" s="1">
        <v>6</v>
      </c>
      <c r="B57" s="2" t="s">
        <v>20</v>
      </c>
      <c r="C57" s="1" t="s">
        <v>8</v>
      </c>
      <c r="D57" s="285">
        <v>0</v>
      </c>
      <c r="E57" s="286">
        <v>0</v>
      </c>
      <c r="F57" s="286">
        <v>0</v>
      </c>
      <c r="G57" s="286">
        <v>1.81947269</v>
      </c>
      <c r="H57" s="287">
        <v>0</v>
      </c>
      <c r="J57">
        <v>0</v>
      </c>
      <c r="K57">
        <v>0</v>
      </c>
      <c r="L57">
        <v>0</v>
      </c>
      <c r="M57">
        <v>1.81947269</v>
      </c>
      <c r="N57">
        <v>0</v>
      </c>
      <c r="O57" s="20"/>
      <c r="P57" s="20"/>
      <c r="Q57" s="147">
        <v>0.46235384746940117</v>
      </c>
      <c r="R57" s="197">
        <v>0.33900000000000002</v>
      </c>
      <c r="S57" s="197">
        <v>1.9830000000000001</v>
      </c>
      <c r="T57" s="197">
        <v>0.76146788990825687</v>
      </c>
      <c r="U57" s="197">
        <v>0.76146788990825687</v>
      </c>
      <c r="V57" s="20">
        <f t="shared" ref="V57:Y62" si="50">IF(K57&gt;0,((E57-K57)*$Q57*$R57*10)+(K57*$O$12*$Q57*$R57*10),(E57*$Q57*$R57*10))</f>
        <v>0</v>
      </c>
      <c r="W57" s="20">
        <f t="shared" si="50"/>
        <v>0</v>
      </c>
      <c r="X57" s="20">
        <f t="shared" si="50"/>
        <v>1.048756853984194</v>
      </c>
      <c r="Y57" s="20">
        <f t="shared" si="50"/>
        <v>0</v>
      </c>
      <c r="Z57" s="20">
        <f t="shared" ref="Z57:AC62" si="51">V57*(EXP(1.01-0.34*LN(Z$8))*(1-$T57)+(1*$T57))</f>
        <v>0</v>
      </c>
      <c r="AA57" s="20">
        <f t="shared" si="51"/>
        <v>0</v>
      </c>
      <c r="AB57" s="20">
        <f t="shared" si="51"/>
        <v>0.88150827002857846</v>
      </c>
      <c r="AC57" s="20">
        <f t="shared" si="51"/>
        <v>0</v>
      </c>
      <c r="AD57" s="20">
        <f t="shared" ref="AD57:AD62" si="52">SUM(Z57:AC57)</f>
        <v>0.88150827002857846</v>
      </c>
      <c r="AE57" s="20">
        <f t="shared" ref="AE57:AH62" si="53">IF(K57&gt;0,((E57-K57)*$Q57*$S57*10)+(K57*$P$12*$Q57*$S57)*10,(E57*$Q57*$S57*10))</f>
        <v>0</v>
      </c>
      <c r="AF57" s="20">
        <f t="shared" si="53"/>
        <v>0</v>
      </c>
      <c r="AG57" s="20">
        <f t="shared" si="53"/>
        <v>9.660930165795147</v>
      </c>
      <c r="AH57" s="20">
        <f t="shared" si="53"/>
        <v>0</v>
      </c>
      <c r="AI57" s="20">
        <f t="shared" ref="AI57:AL62" si="54">AE57*(EXP(1.01-0.34*LN(AI$8))*(1-$T57)+(1*$T57))</f>
        <v>0</v>
      </c>
      <c r="AJ57" s="20">
        <f t="shared" si="54"/>
        <v>0</v>
      </c>
      <c r="AK57" s="20">
        <f t="shared" si="54"/>
        <v>8.1202709712592132</v>
      </c>
      <c r="AL57" s="20">
        <f t="shared" si="54"/>
        <v>0</v>
      </c>
      <c r="AM57" s="20">
        <f t="shared" ref="AM57:AM62" si="55">SUM(AI57:AL57)</f>
        <v>8.1202709712592132</v>
      </c>
      <c r="AO57">
        <f t="shared" ref="AO57:AR62" si="56">Z57*AO$10</f>
        <v>0</v>
      </c>
      <c r="AP57">
        <f t="shared" si="56"/>
        <v>0</v>
      </c>
      <c r="AQ57">
        <f t="shared" si="56"/>
        <v>1.1607161089853799</v>
      </c>
      <c r="AR57">
        <f t="shared" si="56"/>
        <v>0</v>
      </c>
      <c r="AS57">
        <f t="shared" ref="AS57:AS62" si="57">SUM(AO57:AR57)</f>
        <v>1.1607161089853799</v>
      </c>
      <c r="AU57">
        <f t="shared" ref="AU57:AX62" si="58">AI57*AU$10</f>
        <v>0</v>
      </c>
      <c r="AV57">
        <f t="shared" si="58"/>
        <v>0</v>
      </c>
      <c r="AW57">
        <f t="shared" si="58"/>
        <v>10.692275553309736</v>
      </c>
      <c r="AX57">
        <f t="shared" si="58"/>
        <v>0</v>
      </c>
      <c r="AY57">
        <f t="shared" ref="AY57:AY62" si="59">SUM(AU57:AX57)</f>
        <v>10.692275553309736</v>
      </c>
    </row>
    <row r="58" spans="1:51" ht="15" x14ac:dyDescent="0.25">
      <c r="A58" s="1"/>
      <c r="B58" s="2"/>
      <c r="C58" s="1" t="s">
        <v>9</v>
      </c>
      <c r="D58" s="285">
        <v>0</v>
      </c>
      <c r="E58" s="286">
        <v>0</v>
      </c>
      <c r="F58" s="286">
        <v>0</v>
      </c>
      <c r="G58" s="286">
        <v>0</v>
      </c>
      <c r="H58" s="287">
        <v>0</v>
      </c>
      <c r="J58">
        <v>0</v>
      </c>
      <c r="K58">
        <v>0</v>
      </c>
      <c r="L58">
        <v>0</v>
      </c>
      <c r="M58">
        <v>0</v>
      </c>
      <c r="N58">
        <v>0</v>
      </c>
      <c r="O58" s="20"/>
      <c r="P58" s="20"/>
      <c r="Q58" s="147"/>
      <c r="R58" s="197">
        <v>0.33900000000000002</v>
      </c>
      <c r="S58" s="197">
        <v>1.9830000000000001</v>
      </c>
      <c r="T58" s="197">
        <v>0.76146788990825687</v>
      </c>
      <c r="U58" s="197">
        <v>0.76146788990825687</v>
      </c>
      <c r="V58" s="20">
        <f t="shared" si="50"/>
        <v>0</v>
      </c>
      <c r="W58" s="20">
        <f t="shared" si="50"/>
        <v>0</v>
      </c>
      <c r="X58" s="20">
        <f t="shared" si="50"/>
        <v>0</v>
      </c>
      <c r="Y58" s="20">
        <f t="shared" si="50"/>
        <v>0</v>
      </c>
      <c r="Z58" s="20">
        <f t="shared" si="51"/>
        <v>0</v>
      </c>
      <c r="AA58" s="20">
        <f t="shared" si="51"/>
        <v>0</v>
      </c>
      <c r="AB58" s="20">
        <f t="shared" si="51"/>
        <v>0</v>
      </c>
      <c r="AC58" s="20">
        <f t="shared" si="51"/>
        <v>0</v>
      </c>
      <c r="AD58" s="20">
        <f t="shared" si="52"/>
        <v>0</v>
      </c>
      <c r="AE58" s="20">
        <f t="shared" si="53"/>
        <v>0</v>
      </c>
      <c r="AF58" s="20">
        <f t="shared" si="53"/>
        <v>0</v>
      </c>
      <c r="AG58" s="20">
        <f t="shared" si="53"/>
        <v>0</v>
      </c>
      <c r="AH58" s="20">
        <f t="shared" si="53"/>
        <v>0</v>
      </c>
      <c r="AI58" s="20">
        <f t="shared" si="54"/>
        <v>0</v>
      </c>
      <c r="AJ58" s="20">
        <f t="shared" si="54"/>
        <v>0</v>
      </c>
      <c r="AK58" s="20">
        <f t="shared" si="54"/>
        <v>0</v>
      </c>
      <c r="AL58" s="20">
        <f t="shared" si="54"/>
        <v>0</v>
      </c>
      <c r="AM58" s="20">
        <f t="shared" si="55"/>
        <v>0</v>
      </c>
      <c r="AO58">
        <f t="shared" si="56"/>
        <v>0</v>
      </c>
      <c r="AP58">
        <f t="shared" si="56"/>
        <v>0</v>
      </c>
      <c r="AQ58">
        <f t="shared" si="56"/>
        <v>0</v>
      </c>
      <c r="AR58">
        <f t="shared" si="56"/>
        <v>0</v>
      </c>
      <c r="AS58">
        <f t="shared" si="57"/>
        <v>0</v>
      </c>
      <c r="AU58">
        <f t="shared" si="58"/>
        <v>0</v>
      </c>
      <c r="AV58">
        <f t="shared" si="58"/>
        <v>0</v>
      </c>
      <c r="AW58">
        <f t="shared" si="58"/>
        <v>0</v>
      </c>
      <c r="AX58">
        <f t="shared" si="58"/>
        <v>0</v>
      </c>
      <c r="AY58">
        <f t="shared" si="59"/>
        <v>0</v>
      </c>
    </row>
    <row r="59" spans="1:51" ht="15" x14ac:dyDescent="0.25">
      <c r="A59" s="1"/>
      <c r="B59" s="2"/>
      <c r="C59" s="1" t="s">
        <v>10</v>
      </c>
      <c r="D59" s="285">
        <v>0</v>
      </c>
      <c r="E59" s="286">
        <v>0</v>
      </c>
      <c r="F59" s="286">
        <v>0</v>
      </c>
      <c r="G59" s="286">
        <v>0</v>
      </c>
      <c r="H59" s="287">
        <v>0</v>
      </c>
      <c r="J59">
        <v>0</v>
      </c>
      <c r="K59">
        <v>0</v>
      </c>
      <c r="L59">
        <v>0</v>
      </c>
      <c r="M59">
        <v>0</v>
      </c>
      <c r="N59">
        <v>0</v>
      </c>
      <c r="O59" s="20"/>
      <c r="P59" s="20"/>
      <c r="Q59" s="147"/>
      <c r="R59" s="197">
        <v>0.33900000000000002</v>
      </c>
      <c r="S59" s="197">
        <v>1.9830000000000001</v>
      </c>
      <c r="T59" s="197">
        <v>0.76146788990825687</v>
      </c>
      <c r="U59" s="197">
        <v>0.76146788990825687</v>
      </c>
      <c r="V59" s="20">
        <f t="shared" si="50"/>
        <v>0</v>
      </c>
      <c r="W59" s="20">
        <f t="shared" si="50"/>
        <v>0</v>
      </c>
      <c r="X59" s="20">
        <f t="shared" si="50"/>
        <v>0</v>
      </c>
      <c r="Y59" s="20">
        <f t="shared" si="50"/>
        <v>0</v>
      </c>
      <c r="Z59" s="20">
        <f t="shared" si="51"/>
        <v>0</v>
      </c>
      <c r="AA59" s="20">
        <f t="shared" si="51"/>
        <v>0</v>
      </c>
      <c r="AB59" s="20">
        <f t="shared" si="51"/>
        <v>0</v>
      </c>
      <c r="AC59" s="20">
        <f t="shared" si="51"/>
        <v>0</v>
      </c>
      <c r="AD59" s="20">
        <f t="shared" si="52"/>
        <v>0</v>
      </c>
      <c r="AE59" s="20">
        <f t="shared" si="53"/>
        <v>0</v>
      </c>
      <c r="AF59" s="20">
        <f t="shared" si="53"/>
        <v>0</v>
      </c>
      <c r="AG59" s="20">
        <f t="shared" si="53"/>
        <v>0</v>
      </c>
      <c r="AH59" s="20">
        <f t="shared" si="53"/>
        <v>0</v>
      </c>
      <c r="AI59" s="20">
        <f t="shared" si="54"/>
        <v>0</v>
      </c>
      <c r="AJ59" s="20">
        <f t="shared" si="54"/>
        <v>0</v>
      </c>
      <c r="AK59" s="20">
        <f t="shared" si="54"/>
        <v>0</v>
      </c>
      <c r="AL59" s="20">
        <f t="shared" si="54"/>
        <v>0</v>
      </c>
      <c r="AM59" s="20">
        <f t="shared" si="55"/>
        <v>0</v>
      </c>
      <c r="AO59">
        <f t="shared" si="56"/>
        <v>0</v>
      </c>
      <c r="AP59">
        <f t="shared" si="56"/>
        <v>0</v>
      </c>
      <c r="AQ59">
        <f t="shared" si="56"/>
        <v>0</v>
      </c>
      <c r="AR59">
        <f t="shared" si="56"/>
        <v>0</v>
      </c>
      <c r="AS59">
        <f t="shared" si="57"/>
        <v>0</v>
      </c>
      <c r="AU59">
        <f t="shared" si="58"/>
        <v>0</v>
      </c>
      <c r="AV59">
        <f t="shared" si="58"/>
        <v>0</v>
      </c>
      <c r="AW59">
        <f t="shared" si="58"/>
        <v>0</v>
      </c>
      <c r="AX59">
        <f t="shared" si="58"/>
        <v>0</v>
      </c>
      <c r="AY59">
        <f t="shared" si="59"/>
        <v>0</v>
      </c>
    </row>
    <row r="60" spans="1:51" ht="15" x14ac:dyDescent="0.25">
      <c r="A60" s="1"/>
      <c r="B60" s="2"/>
      <c r="C60" s="1" t="s">
        <v>11</v>
      </c>
      <c r="D60" s="285">
        <v>0</v>
      </c>
      <c r="E60" s="286">
        <v>0</v>
      </c>
      <c r="F60" s="286">
        <v>0</v>
      </c>
      <c r="G60" s="286">
        <v>0</v>
      </c>
      <c r="H60" s="287">
        <v>0</v>
      </c>
      <c r="J60">
        <v>0</v>
      </c>
      <c r="K60">
        <v>0</v>
      </c>
      <c r="L60">
        <v>0</v>
      </c>
      <c r="M60">
        <v>0</v>
      </c>
      <c r="N60">
        <v>0</v>
      </c>
      <c r="O60" s="20"/>
      <c r="P60" s="20"/>
      <c r="Q60" s="147"/>
      <c r="R60" s="197">
        <v>0.33900000000000002</v>
      </c>
      <c r="S60" s="197">
        <v>1.9830000000000001</v>
      </c>
      <c r="T60" s="197">
        <v>0.76146788990825687</v>
      </c>
      <c r="U60" s="197">
        <v>0.76146788990825687</v>
      </c>
      <c r="V60" s="20">
        <f t="shared" si="50"/>
        <v>0</v>
      </c>
      <c r="W60" s="20">
        <f t="shared" si="50"/>
        <v>0</v>
      </c>
      <c r="X60" s="20">
        <f t="shared" si="50"/>
        <v>0</v>
      </c>
      <c r="Y60" s="20">
        <f t="shared" si="50"/>
        <v>0</v>
      </c>
      <c r="Z60" s="20">
        <f t="shared" si="51"/>
        <v>0</v>
      </c>
      <c r="AA60" s="20">
        <f t="shared" si="51"/>
        <v>0</v>
      </c>
      <c r="AB60" s="20">
        <f t="shared" si="51"/>
        <v>0</v>
      </c>
      <c r="AC60" s="20">
        <f t="shared" si="51"/>
        <v>0</v>
      </c>
      <c r="AD60" s="20">
        <f t="shared" si="52"/>
        <v>0</v>
      </c>
      <c r="AE60" s="20">
        <f t="shared" si="53"/>
        <v>0</v>
      </c>
      <c r="AF60" s="20">
        <f t="shared" si="53"/>
        <v>0</v>
      </c>
      <c r="AG60" s="20">
        <f t="shared" si="53"/>
        <v>0</v>
      </c>
      <c r="AH60" s="20">
        <f t="shared" si="53"/>
        <v>0</v>
      </c>
      <c r="AI60" s="20">
        <f t="shared" si="54"/>
        <v>0</v>
      </c>
      <c r="AJ60" s="20">
        <f t="shared" si="54"/>
        <v>0</v>
      </c>
      <c r="AK60" s="20">
        <f t="shared" si="54"/>
        <v>0</v>
      </c>
      <c r="AL60" s="20">
        <f t="shared" si="54"/>
        <v>0</v>
      </c>
      <c r="AM60" s="20">
        <f t="shared" si="55"/>
        <v>0</v>
      </c>
      <c r="AO60">
        <f t="shared" si="56"/>
        <v>0</v>
      </c>
      <c r="AP60">
        <f t="shared" si="56"/>
        <v>0</v>
      </c>
      <c r="AQ60">
        <f t="shared" si="56"/>
        <v>0</v>
      </c>
      <c r="AR60">
        <f t="shared" si="56"/>
        <v>0</v>
      </c>
      <c r="AS60">
        <f t="shared" si="57"/>
        <v>0</v>
      </c>
      <c r="AU60">
        <f t="shared" si="58"/>
        <v>0</v>
      </c>
      <c r="AV60">
        <f t="shared" si="58"/>
        <v>0</v>
      </c>
      <c r="AW60">
        <f t="shared" si="58"/>
        <v>0</v>
      </c>
      <c r="AX60">
        <f t="shared" si="58"/>
        <v>0</v>
      </c>
      <c r="AY60">
        <f t="shared" si="59"/>
        <v>0</v>
      </c>
    </row>
    <row r="61" spans="1:51" ht="15" x14ac:dyDescent="0.25">
      <c r="A61" s="1"/>
      <c r="B61" s="2"/>
      <c r="C61" s="1" t="s">
        <v>12</v>
      </c>
      <c r="D61" s="285">
        <v>0</v>
      </c>
      <c r="E61" s="286">
        <v>0</v>
      </c>
      <c r="F61" s="286">
        <v>0</v>
      </c>
      <c r="G61" s="286">
        <v>0</v>
      </c>
      <c r="H61" s="287">
        <v>0</v>
      </c>
      <c r="J61">
        <v>0</v>
      </c>
      <c r="K61">
        <v>0</v>
      </c>
      <c r="L61">
        <v>0</v>
      </c>
      <c r="M61">
        <v>0</v>
      </c>
      <c r="N61">
        <v>0</v>
      </c>
      <c r="O61" s="20"/>
      <c r="P61" s="20"/>
      <c r="Q61" s="147"/>
      <c r="R61" s="197">
        <v>0.33900000000000002</v>
      </c>
      <c r="S61" s="197">
        <v>1.9830000000000001</v>
      </c>
      <c r="T61" s="197">
        <v>0.76146788990825687</v>
      </c>
      <c r="U61" s="197">
        <v>0.76146788990825687</v>
      </c>
      <c r="V61" s="20">
        <f t="shared" si="50"/>
        <v>0</v>
      </c>
      <c r="W61" s="20">
        <f t="shared" si="50"/>
        <v>0</v>
      </c>
      <c r="X61" s="20">
        <f t="shared" si="50"/>
        <v>0</v>
      </c>
      <c r="Y61" s="20">
        <f t="shared" si="50"/>
        <v>0</v>
      </c>
      <c r="Z61" s="20">
        <f t="shared" si="51"/>
        <v>0</v>
      </c>
      <c r="AA61" s="20">
        <f t="shared" si="51"/>
        <v>0</v>
      </c>
      <c r="AB61" s="20">
        <f t="shared" si="51"/>
        <v>0</v>
      </c>
      <c r="AC61" s="20">
        <f t="shared" si="51"/>
        <v>0</v>
      </c>
      <c r="AD61" s="20">
        <f t="shared" si="52"/>
        <v>0</v>
      </c>
      <c r="AE61" s="20">
        <f t="shared" si="53"/>
        <v>0</v>
      </c>
      <c r="AF61" s="20">
        <f t="shared" si="53"/>
        <v>0</v>
      </c>
      <c r="AG61" s="20">
        <f t="shared" si="53"/>
        <v>0</v>
      </c>
      <c r="AH61" s="20">
        <f t="shared" si="53"/>
        <v>0</v>
      </c>
      <c r="AI61" s="20">
        <f t="shared" si="54"/>
        <v>0</v>
      </c>
      <c r="AJ61" s="20">
        <f t="shared" si="54"/>
        <v>0</v>
      </c>
      <c r="AK61" s="20">
        <f t="shared" si="54"/>
        <v>0</v>
      </c>
      <c r="AL61" s="20">
        <f t="shared" si="54"/>
        <v>0</v>
      </c>
      <c r="AM61" s="20">
        <f t="shared" si="55"/>
        <v>0</v>
      </c>
      <c r="AO61">
        <f t="shared" si="56"/>
        <v>0</v>
      </c>
      <c r="AP61">
        <f t="shared" si="56"/>
        <v>0</v>
      </c>
      <c r="AQ61">
        <f t="shared" si="56"/>
        <v>0</v>
      </c>
      <c r="AR61">
        <f t="shared" si="56"/>
        <v>0</v>
      </c>
      <c r="AS61">
        <f t="shared" si="57"/>
        <v>0</v>
      </c>
      <c r="AU61">
        <f t="shared" si="58"/>
        <v>0</v>
      </c>
      <c r="AV61">
        <f t="shared" si="58"/>
        <v>0</v>
      </c>
      <c r="AW61">
        <f t="shared" si="58"/>
        <v>0</v>
      </c>
      <c r="AX61">
        <f t="shared" si="58"/>
        <v>0</v>
      </c>
      <c r="AY61">
        <f t="shared" si="59"/>
        <v>0</v>
      </c>
    </row>
    <row r="62" spans="1:51" ht="15" x14ac:dyDescent="0.25">
      <c r="A62" s="1"/>
      <c r="B62" s="2"/>
      <c r="C62" s="1" t="s">
        <v>13</v>
      </c>
      <c r="D62" s="285">
        <v>0</v>
      </c>
      <c r="E62" s="286">
        <v>0</v>
      </c>
      <c r="F62" s="286">
        <v>0</v>
      </c>
      <c r="G62" s="286">
        <v>0</v>
      </c>
      <c r="H62" s="287">
        <v>0</v>
      </c>
      <c r="J62">
        <v>0</v>
      </c>
      <c r="K62">
        <v>0</v>
      </c>
      <c r="L62">
        <v>0</v>
      </c>
      <c r="M62">
        <v>0</v>
      </c>
      <c r="N62">
        <v>0</v>
      </c>
      <c r="O62" s="20"/>
      <c r="P62" s="20"/>
      <c r="Q62" s="147"/>
      <c r="R62" s="197">
        <v>0.33900000000000002</v>
      </c>
      <c r="S62" s="197">
        <v>1.9830000000000001</v>
      </c>
      <c r="T62" s="197">
        <v>0.76146788990825687</v>
      </c>
      <c r="U62" s="197">
        <v>0.76146788990825687</v>
      </c>
      <c r="V62" s="20">
        <f t="shared" si="50"/>
        <v>0</v>
      </c>
      <c r="W62" s="20">
        <f t="shared" si="50"/>
        <v>0</v>
      </c>
      <c r="X62" s="20">
        <f t="shared" si="50"/>
        <v>0</v>
      </c>
      <c r="Y62" s="20">
        <f t="shared" si="50"/>
        <v>0</v>
      </c>
      <c r="Z62" s="20">
        <f t="shared" si="51"/>
        <v>0</v>
      </c>
      <c r="AA62" s="20">
        <f t="shared" si="51"/>
        <v>0</v>
      </c>
      <c r="AB62" s="20">
        <f t="shared" si="51"/>
        <v>0</v>
      </c>
      <c r="AC62" s="20">
        <f t="shared" si="51"/>
        <v>0</v>
      </c>
      <c r="AD62" s="20">
        <f t="shared" si="52"/>
        <v>0</v>
      </c>
      <c r="AE62" s="20">
        <f t="shared" si="53"/>
        <v>0</v>
      </c>
      <c r="AF62" s="20">
        <f t="shared" si="53"/>
        <v>0</v>
      </c>
      <c r="AG62" s="20">
        <f t="shared" si="53"/>
        <v>0</v>
      </c>
      <c r="AH62" s="20">
        <f t="shared" si="53"/>
        <v>0</v>
      </c>
      <c r="AI62" s="20">
        <f t="shared" si="54"/>
        <v>0</v>
      </c>
      <c r="AJ62" s="20">
        <f t="shared" si="54"/>
        <v>0</v>
      </c>
      <c r="AK62" s="20">
        <f t="shared" si="54"/>
        <v>0</v>
      </c>
      <c r="AL62" s="20">
        <f t="shared" si="54"/>
        <v>0</v>
      </c>
      <c r="AM62" s="20">
        <f t="shared" si="55"/>
        <v>0</v>
      </c>
      <c r="AO62">
        <f t="shared" si="56"/>
        <v>0</v>
      </c>
      <c r="AP62">
        <f t="shared" si="56"/>
        <v>0</v>
      </c>
      <c r="AQ62">
        <f t="shared" si="56"/>
        <v>0</v>
      </c>
      <c r="AR62">
        <f t="shared" si="56"/>
        <v>0</v>
      </c>
      <c r="AS62">
        <f t="shared" si="57"/>
        <v>0</v>
      </c>
      <c r="AU62">
        <f t="shared" si="58"/>
        <v>0</v>
      </c>
      <c r="AV62">
        <f t="shared" si="58"/>
        <v>0</v>
      </c>
      <c r="AW62">
        <f t="shared" si="58"/>
        <v>0</v>
      </c>
      <c r="AX62">
        <f t="shared" si="58"/>
        <v>0</v>
      </c>
      <c r="AY62">
        <f t="shared" si="59"/>
        <v>0</v>
      </c>
    </row>
    <row r="63" spans="1:51" ht="15" x14ac:dyDescent="0.25">
      <c r="A63" s="7"/>
      <c r="B63" s="8" t="s">
        <v>14</v>
      </c>
      <c r="C63" s="7"/>
      <c r="D63" s="288">
        <f>SUM(D57:D62)</f>
        <v>0</v>
      </c>
      <c r="E63" s="289">
        <f>SUM(E57:E62)</f>
        <v>0</v>
      </c>
      <c r="F63" s="289">
        <f>SUM(F57:F62)</f>
        <v>0</v>
      </c>
      <c r="G63" s="289">
        <f>SUM(G57:G62)</f>
        <v>1.81947269</v>
      </c>
      <c r="H63" s="290">
        <f>SUM(H57:H62)</f>
        <v>0</v>
      </c>
      <c r="J63">
        <v>0</v>
      </c>
      <c r="K63">
        <v>0</v>
      </c>
      <c r="L63">
        <v>0</v>
      </c>
      <c r="M63">
        <v>1.81947269</v>
      </c>
      <c r="N63">
        <v>0</v>
      </c>
      <c r="O63" s="20"/>
      <c r="P63" s="20"/>
      <c r="Q63" s="147"/>
      <c r="R63" s="197"/>
      <c r="S63" s="197"/>
      <c r="T63" s="197"/>
      <c r="U63" s="197"/>
    </row>
    <row r="64" spans="1:51" ht="15" x14ac:dyDescent="0.25">
      <c r="A64" s="10"/>
      <c r="B64" s="9" t="s">
        <v>15</v>
      </c>
      <c r="C64" s="5"/>
      <c r="D64" s="291"/>
      <c r="E64" s="292"/>
      <c r="F64" s="292"/>
      <c r="G64" s="292"/>
      <c r="H64" s="293">
        <f>SUM(D63:H63)</f>
        <v>1.81947269</v>
      </c>
      <c r="N64">
        <v>1.81947269</v>
      </c>
      <c r="O64" s="20"/>
      <c r="P64" s="20"/>
      <c r="Q64" s="147"/>
      <c r="R64" s="197"/>
      <c r="S64" s="197"/>
      <c r="T64" s="197"/>
      <c r="U64" s="197"/>
    </row>
    <row r="65" spans="1:51" ht="15.75" thickBot="1" x14ac:dyDescent="0.3">
      <c r="A65" s="3"/>
      <c r="B65" s="11"/>
      <c r="C65" s="3"/>
      <c r="D65" s="297"/>
      <c r="E65" s="298"/>
      <c r="F65" s="298"/>
      <c r="G65" s="298"/>
      <c r="H65" s="299"/>
      <c r="O65" s="20"/>
      <c r="P65" s="20"/>
      <c r="Q65" s="147"/>
      <c r="R65" s="197"/>
      <c r="S65" s="197"/>
      <c r="T65" s="197"/>
      <c r="U65" s="197"/>
    </row>
    <row r="66" spans="1:51" ht="15" x14ac:dyDescent="0.25">
      <c r="A66" s="3">
        <v>7</v>
      </c>
      <c r="B66" s="11" t="s">
        <v>21</v>
      </c>
      <c r="C66" s="3" t="s">
        <v>8</v>
      </c>
      <c r="D66" s="282">
        <v>0</v>
      </c>
      <c r="E66" s="283">
        <v>1.0983453700000001</v>
      </c>
      <c r="F66" s="283">
        <v>9.7564670400000004</v>
      </c>
      <c r="G66" s="283">
        <v>0</v>
      </c>
      <c r="H66" s="284">
        <v>0</v>
      </c>
      <c r="J66">
        <v>0</v>
      </c>
      <c r="K66">
        <v>1.0983453700000001</v>
      </c>
      <c r="L66">
        <v>0.42801480557000104</v>
      </c>
      <c r="M66">
        <v>0</v>
      </c>
      <c r="N66">
        <v>0</v>
      </c>
      <c r="O66" s="20"/>
      <c r="P66" s="20"/>
      <c r="Q66" s="147">
        <v>3.3460617989414243E-2</v>
      </c>
      <c r="R66" s="197">
        <v>0.15</v>
      </c>
      <c r="S66" s="197">
        <v>1.18</v>
      </c>
      <c r="T66" s="197">
        <v>0.46666666666666673</v>
      </c>
      <c r="U66" s="197">
        <v>0.6566321730950142</v>
      </c>
      <c r="V66" s="20">
        <f t="shared" ref="V66:Y71" si="60">IF(K66&gt;0,((E66-K66)*$Q66*$R66*10)+(K66*$O$12*$Q66*$R66*10),(E66*$Q66*$R66*10))</f>
        <v>2.0273056797637034E-2</v>
      </c>
      <c r="W66" s="20">
        <f t="shared" si="60"/>
        <v>0.47610388352056282</v>
      </c>
      <c r="X66" s="20">
        <f t="shared" si="60"/>
        <v>0</v>
      </c>
      <c r="Y66" s="20">
        <f t="shared" si="60"/>
        <v>0</v>
      </c>
      <c r="Z66" s="20">
        <f t="shared" ref="Z66:AC71" si="61">V66*(EXP(1.01-0.34*LN(Z$8))*(1-$T66)+(1*$T66))</f>
        <v>1.2748415596895069E-2</v>
      </c>
      <c r="AA66" s="20">
        <f t="shared" si="61"/>
        <v>0.30447027922570746</v>
      </c>
      <c r="AB66" s="20">
        <f t="shared" si="61"/>
        <v>0</v>
      </c>
      <c r="AC66" s="20">
        <f t="shared" si="61"/>
        <v>0</v>
      </c>
      <c r="AD66" s="20">
        <f t="shared" ref="AD66:AD71" si="62">SUM(Z66:AC66)</f>
        <v>0.31721869482260251</v>
      </c>
      <c r="AE66" s="20">
        <f t="shared" ref="AE66:AH71" si="63">IF(K66&gt;0,((E66-K66)*$Q66*$S66*10)+(K66*$P$12*$Q66*$S66)*10,(E66*$Q66*$S66*10))</f>
        <v>0.25114879574649962</v>
      </c>
      <c r="AF66" s="20">
        <f t="shared" si="63"/>
        <v>3.7810724754856562</v>
      </c>
      <c r="AG66" s="20">
        <f t="shared" si="63"/>
        <v>0</v>
      </c>
      <c r="AH66" s="20">
        <f t="shared" si="63"/>
        <v>0</v>
      </c>
      <c r="AI66" s="20">
        <f t="shared" ref="AI66:AL71" si="64">AE66*(EXP(1.01-0.34*LN(AI$8))*(1-$T66)+(1*$T66))</f>
        <v>0.15793125115741186</v>
      </c>
      <c r="AJ66" s="20">
        <f t="shared" si="64"/>
        <v>2.4180105061756625</v>
      </c>
      <c r="AK66" s="20">
        <f t="shared" si="64"/>
        <v>0</v>
      </c>
      <c r="AL66" s="20">
        <f t="shared" si="64"/>
        <v>0</v>
      </c>
      <c r="AM66" s="20">
        <f t="shared" ref="AM66:AM71" si="65">SUM(AI66:AL66)</f>
        <v>2.5759417573330743</v>
      </c>
      <c r="AO66">
        <f t="shared" ref="AO66:AR71" si="66">Z66*AO$10</f>
        <v>1.8162561303068744E-2</v>
      </c>
      <c r="AP66">
        <f t="shared" si="66"/>
        <v>0.38010258353566279</v>
      </c>
      <c r="AQ66">
        <f t="shared" si="66"/>
        <v>0</v>
      </c>
      <c r="AR66">
        <f t="shared" si="66"/>
        <v>0</v>
      </c>
      <c r="AS66">
        <f t="shared" ref="AS66:AS71" si="67">SUM(AO66:AR66)</f>
        <v>0.39826514483873154</v>
      </c>
      <c r="AU66">
        <f t="shared" ref="AU66:AX71" si="68">AI66*AU$10</f>
        <v>0.22500333543530379</v>
      </c>
      <c r="AV66">
        <f t="shared" si="68"/>
        <v>3.0186593014959304</v>
      </c>
      <c r="AW66">
        <f t="shared" si="68"/>
        <v>0</v>
      </c>
      <c r="AX66">
        <f t="shared" si="68"/>
        <v>0</v>
      </c>
      <c r="AY66">
        <f t="shared" ref="AY66:AY71" si="69">SUM(AU66:AX66)</f>
        <v>3.243662636931234</v>
      </c>
    </row>
    <row r="67" spans="1:51" ht="15" x14ac:dyDescent="0.25">
      <c r="A67" s="3"/>
      <c r="B67" s="11"/>
      <c r="C67" s="3" t="s">
        <v>9</v>
      </c>
      <c r="D67" s="285">
        <v>0</v>
      </c>
      <c r="E67" s="286">
        <v>0</v>
      </c>
      <c r="F67" s="286">
        <v>0</v>
      </c>
      <c r="G67" s="286">
        <v>0</v>
      </c>
      <c r="H67" s="287">
        <v>0</v>
      </c>
      <c r="J67">
        <v>0</v>
      </c>
      <c r="K67">
        <v>0</v>
      </c>
      <c r="L67">
        <v>0</v>
      </c>
      <c r="M67">
        <v>0</v>
      </c>
      <c r="N67">
        <v>0</v>
      </c>
      <c r="O67" s="20"/>
      <c r="P67" s="20"/>
      <c r="Q67" s="147"/>
      <c r="R67" s="197">
        <v>0.15</v>
      </c>
      <c r="S67" s="197">
        <v>1.18</v>
      </c>
      <c r="T67" s="197">
        <v>0.46666666666666673</v>
      </c>
      <c r="U67" s="197">
        <v>0.6566321730950142</v>
      </c>
      <c r="V67" s="20">
        <f t="shared" si="60"/>
        <v>0</v>
      </c>
      <c r="W67" s="20">
        <f t="shared" si="60"/>
        <v>0</v>
      </c>
      <c r="X67" s="20">
        <f t="shared" si="60"/>
        <v>0</v>
      </c>
      <c r="Y67" s="20">
        <f t="shared" si="60"/>
        <v>0</v>
      </c>
      <c r="Z67" s="20">
        <f t="shared" si="61"/>
        <v>0</v>
      </c>
      <c r="AA67" s="20">
        <f t="shared" si="61"/>
        <v>0</v>
      </c>
      <c r="AB67" s="20">
        <f t="shared" si="61"/>
        <v>0</v>
      </c>
      <c r="AC67" s="20">
        <f t="shared" si="61"/>
        <v>0</v>
      </c>
      <c r="AD67" s="20">
        <f t="shared" si="62"/>
        <v>0</v>
      </c>
      <c r="AE67" s="20">
        <f t="shared" si="63"/>
        <v>0</v>
      </c>
      <c r="AF67" s="20">
        <f t="shared" si="63"/>
        <v>0</v>
      </c>
      <c r="AG67" s="20">
        <f t="shared" si="63"/>
        <v>0</v>
      </c>
      <c r="AH67" s="20">
        <f t="shared" si="63"/>
        <v>0</v>
      </c>
      <c r="AI67" s="20">
        <f t="shared" si="64"/>
        <v>0</v>
      </c>
      <c r="AJ67" s="20">
        <f t="shared" si="64"/>
        <v>0</v>
      </c>
      <c r="AK67" s="20">
        <f t="shared" si="64"/>
        <v>0</v>
      </c>
      <c r="AL67" s="20">
        <f t="shared" si="64"/>
        <v>0</v>
      </c>
      <c r="AM67" s="20">
        <f t="shared" si="65"/>
        <v>0</v>
      </c>
      <c r="AO67">
        <f t="shared" si="66"/>
        <v>0</v>
      </c>
      <c r="AP67">
        <f t="shared" si="66"/>
        <v>0</v>
      </c>
      <c r="AQ67">
        <f t="shared" si="66"/>
        <v>0</v>
      </c>
      <c r="AR67">
        <f t="shared" si="66"/>
        <v>0</v>
      </c>
      <c r="AS67">
        <f t="shared" si="67"/>
        <v>0</v>
      </c>
      <c r="AU67">
        <f t="shared" si="68"/>
        <v>0</v>
      </c>
      <c r="AV67">
        <f t="shared" si="68"/>
        <v>0</v>
      </c>
      <c r="AW67">
        <f t="shared" si="68"/>
        <v>0</v>
      </c>
      <c r="AX67">
        <f t="shared" si="68"/>
        <v>0</v>
      </c>
      <c r="AY67">
        <f t="shared" si="69"/>
        <v>0</v>
      </c>
    </row>
    <row r="68" spans="1:51" ht="15" x14ac:dyDescent="0.25">
      <c r="A68" s="3"/>
      <c r="B68" s="11"/>
      <c r="C68" s="3" t="s">
        <v>10</v>
      </c>
      <c r="D68" s="285">
        <v>0</v>
      </c>
      <c r="E68" s="286">
        <v>0</v>
      </c>
      <c r="F68" s="286">
        <v>0</v>
      </c>
      <c r="G68" s="286">
        <v>0</v>
      </c>
      <c r="H68" s="287">
        <v>0</v>
      </c>
      <c r="J68">
        <v>0</v>
      </c>
      <c r="K68">
        <v>0</v>
      </c>
      <c r="L68">
        <v>0</v>
      </c>
      <c r="M68">
        <v>0</v>
      </c>
      <c r="N68">
        <v>0</v>
      </c>
      <c r="O68" s="20"/>
      <c r="P68" s="20"/>
      <c r="Q68" s="147"/>
      <c r="R68" s="197">
        <v>0.15</v>
      </c>
      <c r="S68" s="197">
        <v>1.18</v>
      </c>
      <c r="T68" s="197">
        <v>0.46666666666666673</v>
      </c>
      <c r="U68" s="197">
        <v>0.6566321730950142</v>
      </c>
      <c r="V68" s="20">
        <f t="shared" si="60"/>
        <v>0</v>
      </c>
      <c r="W68" s="20">
        <f t="shared" si="60"/>
        <v>0</v>
      </c>
      <c r="X68" s="20">
        <f t="shared" si="60"/>
        <v>0</v>
      </c>
      <c r="Y68" s="20">
        <f t="shared" si="60"/>
        <v>0</v>
      </c>
      <c r="Z68" s="20">
        <f t="shared" si="61"/>
        <v>0</v>
      </c>
      <c r="AA68" s="20">
        <f t="shared" si="61"/>
        <v>0</v>
      </c>
      <c r="AB68" s="20">
        <f t="shared" si="61"/>
        <v>0</v>
      </c>
      <c r="AC68" s="20">
        <f t="shared" si="61"/>
        <v>0</v>
      </c>
      <c r="AD68" s="20">
        <f t="shared" si="62"/>
        <v>0</v>
      </c>
      <c r="AE68" s="20">
        <f t="shared" si="63"/>
        <v>0</v>
      </c>
      <c r="AF68" s="20">
        <f t="shared" si="63"/>
        <v>0</v>
      </c>
      <c r="AG68" s="20">
        <f t="shared" si="63"/>
        <v>0</v>
      </c>
      <c r="AH68" s="20">
        <f t="shared" si="63"/>
        <v>0</v>
      </c>
      <c r="AI68" s="20">
        <f t="shared" si="64"/>
        <v>0</v>
      </c>
      <c r="AJ68" s="20">
        <f t="shared" si="64"/>
        <v>0</v>
      </c>
      <c r="AK68" s="20">
        <f t="shared" si="64"/>
        <v>0</v>
      </c>
      <c r="AL68" s="20">
        <f t="shared" si="64"/>
        <v>0</v>
      </c>
      <c r="AM68" s="20">
        <f t="shared" si="65"/>
        <v>0</v>
      </c>
      <c r="AO68">
        <f t="shared" si="66"/>
        <v>0</v>
      </c>
      <c r="AP68">
        <f t="shared" si="66"/>
        <v>0</v>
      </c>
      <c r="AQ68">
        <f t="shared" si="66"/>
        <v>0</v>
      </c>
      <c r="AR68">
        <f t="shared" si="66"/>
        <v>0</v>
      </c>
      <c r="AS68">
        <f t="shared" si="67"/>
        <v>0</v>
      </c>
      <c r="AU68">
        <f t="shared" si="68"/>
        <v>0</v>
      </c>
      <c r="AV68">
        <f t="shared" si="68"/>
        <v>0</v>
      </c>
      <c r="AW68">
        <f t="shared" si="68"/>
        <v>0</v>
      </c>
      <c r="AX68">
        <f t="shared" si="68"/>
        <v>0</v>
      </c>
      <c r="AY68">
        <f t="shared" si="69"/>
        <v>0</v>
      </c>
    </row>
    <row r="69" spans="1:51" ht="15" x14ac:dyDescent="0.25">
      <c r="A69" s="3"/>
      <c r="B69" s="11"/>
      <c r="C69" s="3" t="s">
        <v>11</v>
      </c>
      <c r="D69" s="285">
        <v>0</v>
      </c>
      <c r="E69" s="286">
        <v>0</v>
      </c>
      <c r="F69" s="286">
        <v>0</v>
      </c>
      <c r="G69" s="286">
        <v>0</v>
      </c>
      <c r="H69" s="287">
        <v>0</v>
      </c>
      <c r="J69">
        <v>0</v>
      </c>
      <c r="K69">
        <v>0</v>
      </c>
      <c r="L69">
        <v>0</v>
      </c>
      <c r="M69">
        <v>0</v>
      </c>
      <c r="N69">
        <v>0</v>
      </c>
      <c r="O69" s="20"/>
      <c r="P69" s="20"/>
      <c r="Q69" s="147"/>
      <c r="R69" s="197">
        <v>0.15</v>
      </c>
      <c r="S69" s="197">
        <v>1.18</v>
      </c>
      <c r="T69" s="197">
        <v>0.46666666666666673</v>
      </c>
      <c r="U69" s="197">
        <v>0.6566321730950142</v>
      </c>
      <c r="V69" s="20">
        <f t="shared" si="60"/>
        <v>0</v>
      </c>
      <c r="W69" s="20">
        <f t="shared" si="60"/>
        <v>0</v>
      </c>
      <c r="X69" s="20">
        <f t="shared" si="60"/>
        <v>0</v>
      </c>
      <c r="Y69" s="20">
        <f t="shared" si="60"/>
        <v>0</v>
      </c>
      <c r="Z69" s="20">
        <f t="shared" si="61"/>
        <v>0</v>
      </c>
      <c r="AA69" s="20">
        <f t="shared" si="61"/>
        <v>0</v>
      </c>
      <c r="AB69" s="20">
        <f t="shared" si="61"/>
        <v>0</v>
      </c>
      <c r="AC69" s="20">
        <f t="shared" si="61"/>
        <v>0</v>
      </c>
      <c r="AD69" s="20">
        <f t="shared" si="62"/>
        <v>0</v>
      </c>
      <c r="AE69" s="20">
        <f t="shared" si="63"/>
        <v>0</v>
      </c>
      <c r="AF69" s="20">
        <f t="shared" si="63"/>
        <v>0</v>
      </c>
      <c r="AG69" s="20">
        <f t="shared" si="63"/>
        <v>0</v>
      </c>
      <c r="AH69" s="20">
        <f t="shared" si="63"/>
        <v>0</v>
      </c>
      <c r="AI69" s="20">
        <f t="shared" si="64"/>
        <v>0</v>
      </c>
      <c r="AJ69" s="20">
        <f t="shared" si="64"/>
        <v>0</v>
      </c>
      <c r="AK69" s="20">
        <f t="shared" si="64"/>
        <v>0</v>
      </c>
      <c r="AL69" s="20">
        <f t="shared" si="64"/>
        <v>0</v>
      </c>
      <c r="AM69" s="20">
        <f t="shared" si="65"/>
        <v>0</v>
      </c>
      <c r="AO69">
        <f t="shared" si="66"/>
        <v>0</v>
      </c>
      <c r="AP69">
        <f t="shared" si="66"/>
        <v>0</v>
      </c>
      <c r="AQ69">
        <f t="shared" si="66"/>
        <v>0</v>
      </c>
      <c r="AR69">
        <f t="shared" si="66"/>
        <v>0</v>
      </c>
      <c r="AS69">
        <f t="shared" si="67"/>
        <v>0</v>
      </c>
      <c r="AU69">
        <f t="shared" si="68"/>
        <v>0</v>
      </c>
      <c r="AV69">
        <f t="shared" si="68"/>
        <v>0</v>
      </c>
      <c r="AW69">
        <f t="shared" si="68"/>
        <v>0</v>
      </c>
      <c r="AX69">
        <f t="shared" si="68"/>
        <v>0</v>
      </c>
      <c r="AY69">
        <f t="shared" si="69"/>
        <v>0</v>
      </c>
    </row>
    <row r="70" spans="1:51" ht="15" x14ac:dyDescent="0.25">
      <c r="A70" s="3"/>
      <c r="B70" s="12"/>
      <c r="C70" s="3" t="s">
        <v>12</v>
      </c>
      <c r="D70" s="285">
        <v>0</v>
      </c>
      <c r="E70" s="286">
        <v>0</v>
      </c>
      <c r="F70" s="286">
        <v>0</v>
      </c>
      <c r="G70" s="286">
        <v>0</v>
      </c>
      <c r="H70" s="287">
        <v>0</v>
      </c>
      <c r="J70">
        <v>0</v>
      </c>
      <c r="K70">
        <v>0</v>
      </c>
      <c r="L70">
        <v>0</v>
      </c>
      <c r="M70">
        <v>0</v>
      </c>
      <c r="N70">
        <v>0</v>
      </c>
      <c r="O70" s="20"/>
      <c r="P70" s="20"/>
      <c r="Q70" s="147"/>
      <c r="R70" s="197">
        <v>0.15</v>
      </c>
      <c r="S70" s="197">
        <v>1.18</v>
      </c>
      <c r="T70" s="197">
        <v>0.46666666666666673</v>
      </c>
      <c r="U70" s="197">
        <v>0.6566321730950142</v>
      </c>
      <c r="V70" s="20">
        <f t="shared" si="60"/>
        <v>0</v>
      </c>
      <c r="W70" s="20">
        <f t="shared" si="60"/>
        <v>0</v>
      </c>
      <c r="X70" s="20">
        <f t="shared" si="60"/>
        <v>0</v>
      </c>
      <c r="Y70" s="20">
        <f t="shared" si="60"/>
        <v>0</v>
      </c>
      <c r="Z70" s="20">
        <f t="shared" si="61"/>
        <v>0</v>
      </c>
      <c r="AA70" s="20">
        <f t="shared" si="61"/>
        <v>0</v>
      </c>
      <c r="AB70" s="20">
        <f t="shared" si="61"/>
        <v>0</v>
      </c>
      <c r="AC70" s="20">
        <f t="shared" si="61"/>
        <v>0</v>
      </c>
      <c r="AD70" s="20">
        <f t="shared" si="62"/>
        <v>0</v>
      </c>
      <c r="AE70" s="20">
        <f t="shared" si="63"/>
        <v>0</v>
      </c>
      <c r="AF70" s="20">
        <f t="shared" si="63"/>
        <v>0</v>
      </c>
      <c r="AG70" s="20">
        <f t="shared" si="63"/>
        <v>0</v>
      </c>
      <c r="AH70" s="20">
        <f t="shared" si="63"/>
        <v>0</v>
      </c>
      <c r="AI70" s="20">
        <f t="shared" si="64"/>
        <v>0</v>
      </c>
      <c r="AJ70" s="20">
        <f t="shared" si="64"/>
        <v>0</v>
      </c>
      <c r="AK70" s="20">
        <f t="shared" si="64"/>
        <v>0</v>
      </c>
      <c r="AL70" s="20">
        <f t="shared" si="64"/>
        <v>0</v>
      </c>
      <c r="AM70" s="20">
        <f t="shared" si="65"/>
        <v>0</v>
      </c>
      <c r="AO70">
        <f t="shared" si="66"/>
        <v>0</v>
      </c>
      <c r="AP70">
        <f t="shared" si="66"/>
        <v>0</v>
      </c>
      <c r="AQ70">
        <f t="shared" si="66"/>
        <v>0</v>
      </c>
      <c r="AR70">
        <f t="shared" si="66"/>
        <v>0</v>
      </c>
      <c r="AS70">
        <f t="shared" si="67"/>
        <v>0</v>
      </c>
      <c r="AU70">
        <f t="shared" si="68"/>
        <v>0</v>
      </c>
      <c r="AV70">
        <f t="shared" si="68"/>
        <v>0</v>
      </c>
      <c r="AW70">
        <f t="shared" si="68"/>
        <v>0</v>
      </c>
      <c r="AX70">
        <f t="shared" si="68"/>
        <v>0</v>
      </c>
      <c r="AY70">
        <f t="shared" si="69"/>
        <v>0</v>
      </c>
    </row>
    <row r="71" spans="1:51" ht="15" x14ac:dyDescent="0.25">
      <c r="A71" s="3"/>
      <c r="B71" s="12"/>
      <c r="C71" s="3" t="s">
        <v>13</v>
      </c>
      <c r="D71" s="285">
        <v>0</v>
      </c>
      <c r="E71" s="286">
        <v>0</v>
      </c>
      <c r="F71" s="286">
        <v>0</v>
      </c>
      <c r="G71" s="286">
        <v>0</v>
      </c>
      <c r="H71" s="287">
        <v>0</v>
      </c>
      <c r="J71">
        <v>0</v>
      </c>
      <c r="K71">
        <v>0</v>
      </c>
      <c r="L71">
        <v>0</v>
      </c>
      <c r="M71">
        <v>0</v>
      </c>
      <c r="N71">
        <v>0</v>
      </c>
      <c r="O71" s="20"/>
      <c r="P71" s="20"/>
      <c r="Q71" s="147"/>
      <c r="R71" s="197">
        <v>0.15</v>
      </c>
      <c r="S71" s="197">
        <v>1.18</v>
      </c>
      <c r="T71" s="197">
        <v>0.46666666666666673</v>
      </c>
      <c r="U71" s="197">
        <v>0.6566321730950142</v>
      </c>
      <c r="V71" s="20">
        <f t="shared" si="60"/>
        <v>0</v>
      </c>
      <c r="W71" s="20">
        <f t="shared" si="60"/>
        <v>0</v>
      </c>
      <c r="X71" s="20">
        <f t="shared" si="60"/>
        <v>0</v>
      </c>
      <c r="Y71" s="20">
        <f t="shared" si="60"/>
        <v>0</v>
      </c>
      <c r="Z71" s="20">
        <f t="shared" si="61"/>
        <v>0</v>
      </c>
      <c r="AA71" s="20">
        <f t="shared" si="61"/>
        <v>0</v>
      </c>
      <c r="AB71" s="20">
        <f t="shared" si="61"/>
        <v>0</v>
      </c>
      <c r="AC71" s="20">
        <f t="shared" si="61"/>
        <v>0</v>
      </c>
      <c r="AD71" s="20">
        <f t="shared" si="62"/>
        <v>0</v>
      </c>
      <c r="AE71" s="20">
        <f t="shared" si="63"/>
        <v>0</v>
      </c>
      <c r="AF71" s="20">
        <f t="shared" si="63"/>
        <v>0</v>
      </c>
      <c r="AG71" s="20">
        <f t="shared" si="63"/>
        <v>0</v>
      </c>
      <c r="AH71" s="20">
        <f t="shared" si="63"/>
        <v>0</v>
      </c>
      <c r="AI71" s="20">
        <f t="shared" si="64"/>
        <v>0</v>
      </c>
      <c r="AJ71" s="20">
        <f t="shared" si="64"/>
        <v>0</v>
      </c>
      <c r="AK71" s="20">
        <f t="shared" si="64"/>
        <v>0</v>
      </c>
      <c r="AL71" s="20">
        <f t="shared" si="64"/>
        <v>0</v>
      </c>
      <c r="AM71" s="20">
        <f t="shared" si="65"/>
        <v>0</v>
      </c>
      <c r="AO71">
        <f t="shared" si="66"/>
        <v>0</v>
      </c>
      <c r="AP71">
        <f t="shared" si="66"/>
        <v>0</v>
      </c>
      <c r="AQ71">
        <f t="shared" si="66"/>
        <v>0</v>
      </c>
      <c r="AR71">
        <f t="shared" si="66"/>
        <v>0</v>
      </c>
      <c r="AS71">
        <f t="shared" si="67"/>
        <v>0</v>
      </c>
      <c r="AU71">
        <f t="shared" si="68"/>
        <v>0</v>
      </c>
      <c r="AV71">
        <f t="shared" si="68"/>
        <v>0</v>
      </c>
      <c r="AW71">
        <f t="shared" si="68"/>
        <v>0</v>
      </c>
      <c r="AX71">
        <f t="shared" si="68"/>
        <v>0</v>
      </c>
      <c r="AY71">
        <f t="shared" si="69"/>
        <v>0</v>
      </c>
    </row>
    <row r="72" spans="1:51" ht="15" x14ac:dyDescent="0.25">
      <c r="A72" s="7"/>
      <c r="B72" s="8" t="s">
        <v>14</v>
      </c>
      <c r="C72" s="7"/>
      <c r="D72" s="288">
        <f>SUM(D66:D71)</f>
        <v>0</v>
      </c>
      <c r="E72" s="289">
        <f>SUM(E66:E71)</f>
        <v>1.0983453700000001</v>
      </c>
      <c r="F72" s="289">
        <f>SUM(F66:F71)</f>
        <v>9.7564670400000004</v>
      </c>
      <c r="G72" s="289">
        <f>SUM(G66:G71)</f>
        <v>0</v>
      </c>
      <c r="H72" s="290">
        <f>SUM(H66:H71)</f>
        <v>0</v>
      </c>
      <c r="J72">
        <v>0</v>
      </c>
      <c r="K72">
        <v>1.0983453700000001</v>
      </c>
      <c r="L72">
        <v>0.42801480557000104</v>
      </c>
      <c r="M72">
        <v>0</v>
      </c>
      <c r="N72">
        <v>0</v>
      </c>
      <c r="O72" s="20"/>
      <c r="P72" s="20"/>
      <c r="Q72" s="147"/>
      <c r="R72" s="197"/>
      <c r="S72" s="197"/>
      <c r="T72" s="197"/>
      <c r="U72" s="197"/>
    </row>
    <row r="73" spans="1:51" ht="15" x14ac:dyDescent="0.25">
      <c r="A73" s="10"/>
      <c r="B73" s="9" t="s">
        <v>15</v>
      </c>
      <c r="C73" s="5"/>
      <c r="D73" s="291"/>
      <c r="E73" s="292"/>
      <c r="F73" s="292"/>
      <c r="G73" s="292"/>
      <c r="H73" s="293">
        <f>SUM(D72:H72)</f>
        <v>10.854812410000001</v>
      </c>
      <c r="N73">
        <v>1.5263601755700011</v>
      </c>
      <c r="O73" s="20"/>
      <c r="P73" s="20"/>
      <c r="Q73" s="147"/>
      <c r="R73" s="197"/>
      <c r="S73" s="197"/>
      <c r="T73" s="197"/>
      <c r="U73" s="197"/>
    </row>
    <row r="74" spans="1:51" ht="15.75" thickBot="1" x14ac:dyDescent="0.3">
      <c r="A74" s="1"/>
      <c r="B74" s="2"/>
      <c r="C74" s="1"/>
      <c r="D74" s="294"/>
      <c r="E74" s="295"/>
      <c r="F74" s="295"/>
      <c r="G74" s="295"/>
      <c r="H74" s="296"/>
      <c r="O74" s="20"/>
      <c r="P74" s="20"/>
      <c r="Q74" s="147"/>
      <c r="R74" s="197"/>
      <c r="S74" s="197"/>
      <c r="T74" s="197"/>
      <c r="U74" s="197"/>
    </row>
    <row r="75" spans="1:51" ht="15" x14ac:dyDescent="0.25">
      <c r="A75" s="1">
        <v>8</v>
      </c>
      <c r="B75" s="2" t="s">
        <v>22</v>
      </c>
      <c r="C75" s="1" t="s">
        <v>8</v>
      </c>
      <c r="D75" s="285">
        <v>0</v>
      </c>
      <c r="E75" s="286">
        <v>210.79454375</v>
      </c>
      <c r="F75" s="286">
        <v>6.1400194600000004</v>
      </c>
      <c r="G75" s="286">
        <v>3.3235228299999999</v>
      </c>
      <c r="H75" s="287">
        <v>14.408158459999999</v>
      </c>
      <c r="J75">
        <v>0</v>
      </c>
      <c r="K75">
        <v>-27.968910759576005</v>
      </c>
      <c r="L75">
        <v>-6.9476869898047999</v>
      </c>
      <c r="M75">
        <v>-0.23227662802500015</v>
      </c>
      <c r="N75">
        <v>-3.1744190109850017</v>
      </c>
      <c r="O75" s="20"/>
      <c r="P75" s="20"/>
      <c r="Q75" s="147">
        <v>3.3460617989414243E-2</v>
      </c>
      <c r="R75" s="197">
        <v>5.6499999999999995E-2</v>
      </c>
      <c r="S75" s="197">
        <v>1.25</v>
      </c>
      <c r="T75" s="197">
        <v>0.50078889239507718</v>
      </c>
      <c r="U75" s="197">
        <v>0.75268470790377973</v>
      </c>
      <c r="V75" s="20">
        <f t="shared" ref="V75:Y80" si="70">IF(K75&gt;0,((E75-K75)*$Q75*$R75*10)+(K75*$O$12*$Q75*$R75*10),(E75*$Q75*$R75*10))</f>
        <v>3.9851233720094639</v>
      </c>
      <c r="W75" s="20">
        <f t="shared" si="70"/>
        <v>0.11607859776322568</v>
      </c>
      <c r="X75" s="20">
        <f t="shared" si="70"/>
        <v>6.2832027203455709E-2</v>
      </c>
      <c r="Y75" s="20">
        <f t="shared" si="70"/>
        <v>0.27238982568096892</v>
      </c>
      <c r="Z75" s="20">
        <f t="shared" ref="Z75:AC80" si="71">V75*(EXP(1.01-0.34*LN(Z$8))*(1-$T75)+(1*$T75))</f>
        <v>2.6006205604967079</v>
      </c>
      <c r="AA75" s="20">
        <f t="shared" si="71"/>
        <v>7.6909978365336903E-2</v>
      </c>
      <c r="AB75" s="20">
        <f t="shared" si="71"/>
        <v>4.1861656913674612E-2</v>
      </c>
      <c r="AC75" s="20">
        <f t="shared" si="71"/>
        <v>0.17179814132622728</v>
      </c>
      <c r="AD75" s="20">
        <f t="shared" ref="AD75:AD80" si="72">SUM(Z75:AC75)</f>
        <v>2.8911903371019463</v>
      </c>
      <c r="AE75" s="20">
        <f t="shared" ref="AE75:AH80" si="73">IF(K75&gt;0,((E75-K75)*$Q75*$S75*10)+(K75*$P$12*$Q75*$S75)*10,(E75*$Q75*$S75*10))</f>
        <v>88.166446283395203</v>
      </c>
      <c r="AF75" s="20">
        <f t="shared" si="73"/>
        <v>2.5681105699828692</v>
      </c>
      <c r="AG75" s="20">
        <f t="shared" si="73"/>
        <v>1.3900890974215869</v>
      </c>
      <c r="AH75" s="20">
        <f t="shared" si="73"/>
        <v>6.0263235770125867</v>
      </c>
      <c r="AI75" s="20">
        <f t="shared" ref="AI75:AL80" si="74">AE75*(EXP(1.01-0.34*LN(AI$8))*(1-$T75)+(1*$T75))</f>
        <v>57.535853108334237</v>
      </c>
      <c r="AJ75" s="20">
        <f t="shared" si="74"/>
        <v>1.7015481939233827</v>
      </c>
      <c r="AK75" s="20">
        <f t="shared" si="74"/>
        <v>0.92614285207244751</v>
      </c>
      <c r="AL75" s="20">
        <f t="shared" si="74"/>
        <v>3.800843834651046</v>
      </c>
      <c r="AM75" s="20">
        <f t="shared" ref="AM75:AM80" si="75">SUM(AI75:AL75)</f>
        <v>63.964387988981109</v>
      </c>
      <c r="AO75">
        <f t="shared" ref="AO75:AR80" si="76">Z75*AO$10</f>
        <v>3.7050824078520379</v>
      </c>
      <c r="AP75">
        <f t="shared" si="76"/>
        <v>9.6014893639799925E-2</v>
      </c>
      <c r="AQ75">
        <f t="shared" si="76"/>
        <v>5.5120866338492842E-2</v>
      </c>
      <c r="AR75">
        <f t="shared" si="76"/>
        <v>0.20914982564717688</v>
      </c>
      <c r="AS75">
        <f t="shared" ref="AS75:AS80" si="77">SUM(AO75:AR75)</f>
        <v>4.0653679934775075</v>
      </c>
      <c r="AU75">
        <f t="shared" ref="AU75:AX80" si="78">AI75*AU$10</f>
        <v>81.970849731239767</v>
      </c>
      <c r="AV75">
        <f t="shared" si="78"/>
        <v>2.1242233106150423</v>
      </c>
      <c r="AW75">
        <f t="shared" si="78"/>
        <v>1.2194881933294881</v>
      </c>
      <c r="AX75">
        <f t="shared" si="78"/>
        <v>4.6272085320171872</v>
      </c>
      <c r="AY75">
        <f t="shared" ref="AY75:AY80" si="79">SUM(AU75:AX75)</f>
        <v>89.941769767201478</v>
      </c>
    </row>
    <row r="76" spans="1:51" ht="15" x14ac:dyDescent="0.25">
      <c r="A76" s="1"/>
      <c r="B76" s="2"/>
      <c r="C76" s="1" t="s">
        <v>9</v>
      </c>
      <c r="D76" s="285">
        <v>0</v>
      </c>
      <c r="E76" s="286">
        <v>7.7057743299999997</v>
      </c>
      <c r="F76" s="286">
        <v>2.5756169799999999</v>
      </c>
      <c r="G76" s="286">
        <v>0</v>
      </c>
      <c r="H76" s="287">
        <v>0</v>
      </c>
      <c r="J76">
        <v>0</v>
      </c>
      <c r="K76">
        <v>-19.951962900589997</v>
      </c>
      <c r="L76">
        <v>2.3364730311413999</v>
      </c>
      <c r="M76">
        <v>0</v>
      </c>
      <c r="N76">
        <v>-0.94717243048599997</v>
      </c>
      <c r="O76" s="20"/>
      <c r="P76" s="20"/>
      <c r="Q76" s="147">
        <v>5.7921235978828485E-2</v>
      </c>
      <c r="R76" s="197">
        <v>5.6499999999999995E-2</v>
      </c>
      <c r="S76" s="197">
        <v>1.25</v>
      </c>
      <c r="T76" s="197">
        <v>0.50078889239507718</v>
      </c>
      <c r="U76" s="197">
        <v>0.75268470790377973</v>
      </c>
      <c r="V76" s="20">
        <f t="shared" si="70"/>
        <v>0.25217530495265383</v>
      </c>
      <c r="W76" s="20">
        <f t="shared" si="70"/>
        <v>3.5945251610954229E-2</v>
      </c>
      <c r="X76" s="20">
        <f t="shared" si="70"/>
        <v>0</v>
      </c>
      <c r="Y76" s="20">
        <f t="shared" si="70"/>
        <v>0</v>
      </c>
      <c r="Z76" s="20">
        <f t="shared" si="71"/>
        <v>0.16456511422348041</v>
      </c>
      <c r="AA76" s="20">
        <f t="shared" si="71"/>
        <v>2.3816177805439556E-2</v>
      </c>
      <c r="AB76" s="20">
        <f t="shared" si="71"/>
        <v>0</v>
      </c>
      <c r="AC76" s="20">
        <f t="shared" si="71"/>
        <v>0</v>
      </c>
      <c r="AD76" s="20">
        <f t="shared" si="72"/>
        <v>0.18838129202891996</v>
      </c>
      <c r="AE76" s="20">
        <f t="shared" si="73"/>
        <v>5.5790996670941118</v>
      </c>
      <c r="AF76" s="20">
        <f t="shared" si="73"/>
        <v>1.1528252118887552</v>
      </c>
      <c r="AG76" s="20">
        <f t="shared" si="73"/>
        <v>0</v>
      </c>
      <c r="AH76" s="20">
        <f t="shared" si="73"/>
        <v>0</v>
      </c>
      <c r="AI76" s="20">
        <f t="shared" si="74"/>
        <v>3.6408211111389477</v>
      </c>
      <c r="AJ76" s="20">
        <f t="shared" si="74"/>
        <v>0.76382523405592206</v>
      </c>
      <c r="AK76" s="20">
        <f t="shared" si="74"/>
        <v>0</v>
      </c>
      <c r="AL76" s="20">
        <f t="shared" si="74"/>
        <v>0</v>
      </c>
      <c r="AM76" s="20">
        <f t="shared" si="75"/>
        <v>4.4046463451948696</v>
      </c>
      <c r="AO76">
        <f t="shared" si="76"/>
        <v>0.23445454477954411</v>
      </c>
      <c r="AP76">
        <f t="shared" si="76"/>
        <v>2.9732263972739002E-2</v>
      </c>
      <c r="AQ76">
        <f t="shared" si="76"/>
        <v>0</v>
      </c>
      <c r="AR76">
        <f t="shared" si="76"/>
        <v>0</v>
      </c>
      <c r="AS76">
        <f t="shared" si="77"/>
        <v>0.26418680875228312</v>
      </c>
      <c r="AU76">
        <f t="shared" si="78"/>
        <v>5.1870474508748705</v>
      </c>
      <c r="AV76">
        <f t="shared" si="78"/>
        <v>0.95356415599159927</v>
      </c>
      <c r="AW76">
        <f t="shared" si="78"/>
        <v>0</v>
      </c>
      <c r="AX76">
        <f t="shared" si="78"/>
        <v>0</v>
      </c>
      <c r="AY76">
        <f t="shared" si="79"/>
        <v>6.1406116068664698</v>
      </c>
    </row>
    <row r="77" spans="1:51" ht="15" x14ac:dyDescent="0.25">
      <c r="A77" s="1"/>
      <c r="B77" s="2"/>
      <c r="C77" s="1" t="s">
        <v>10</v>
      </c>
      <c r="D77" s="285">
        <v>0</v>
      </c>
      <c r="E77" s="286">
        <v>11.647192410000001</v>
      </c>
      <c r="F77" s="286">
        <v>0</v>
      </c>
      <c r="G77" s="286">
        <v>0</v>
      </c>
      <c r="H77" s="287">
        <v>0</v>
      </c>
      <c r="J77">
        <v>0</v>
      </c>
      <c r="K77">
        <v>-3.6175834833550002</v>
      </c>
      <c r="L77">
        <v>0</v>
      </c>
      <c r="M77">
        <v>-3.4364205122290001</v>
      </c>
      <c r="N77">
        <v>-0.68537294772299995</v>
      </c>
      <c r="O77" s="20"/>
      <c r="P77" s="20"/>
      <c r="Q77" s="147">
        <v>8.2381853968242727E-2</v>
      </c>
      <c r="R77" s="197">
        <v>5.6499999999999995E-2</v>
      </c>
      <c r="S77" s="197">
        <v>1.25</v>
      </c>
      <c r="T77" s="197">
        <v>0.50078889239507718</v>
      </c>
      <c r="U77" s="197">
        <v>0.75268470790377973</v>
      </c>
      <c r="V77" s="20">
        <f t="shared" si="70"/>
        <v>0.54212727690726448</v>
      </c>
      <c r="W77" s="20">
        <f t="shared" si="70"/>
        <v>0</v>
      </c>
      <c r="X77" s="20">
        <f t="shared" si="70"/>
        <v>0</v>
      </c>
      <c r="Y77" s="20">
        <f t="shared" si="70"/>
        <v>0</v>
      </c>
      <c r="Z77" s="20">
        <f t="shared" si="71"/>
        <v>0.35378260874774647</v>
      </c>
      <c r="AA77" s="20">
        <f t="shared" si="71"/>
        <v>0</v>
      </c>
      <c r="AB77" s="20">
        <f t="shared" si="71"/>
        <v>0</v>
      </c>
      <c r="AC77" s="20">
        <f t="shared" si="71"/>
        <v>0</v>
      </c>
      <c r="AD77" s="20">
        <f t="shared" si="72"/>
        <v>0.35378260874774647</v>
      </c>
      <c r="AE77" s="20">
        <f t="shared" si="73"/>
        <v>11.993966303258063</v>
      </c>
      <c r="AF77" s="20">
        <f t="shared" si="73"/>
        <v>0</v>
      </c>
      <c r="AG77" s="20">
        <f t="shared" si="73"/>
        <v>0</v>
      </c>
      <c r="AH77" s="20">
        <f t="shared" si="73"/>
        <v>0</v>
      </c>
      <c r="AI77" s="20">
        <f t="shared" si="74"/>
        <v>7.8270488661005846</v>
      </c>
      <c r="AJ77" s="20">
        <f t="shared" si="74"/>
        <v>0</v>
      </c>
      <c r="AK77" s="20">
        <f t="shared" si="74"/>
        <v>0</v>
      </c>
      <c r="AL77" s="20">
        <f t="shared" si="74"/>
        <v>0</v>
      </c>
      <c r="AM77" s="20">
        <f t="shared" si="75"/>
        <v>7.8270488661005846</v>
      </c>
      <c r="AO77">
        <f t="shared" si="76"/>
        <v>0.50403113002571964</v>
      </c>
      <c r="AP77">
        <f t="shared" si="76"/>
        <v>0</v>
      </c>
      <c r="AQ77">
        <f t="shared" si="76"/>
        <v>0</v>
      </c>
      <c r="AR77">
        <f t="shared" si="76"/>
        <v>0</v>
      </c>
      <c r="AS77">
        <f t="shared" si="77"/>
        <v>0.50403113002571964</v>
      </c>
      <c r="AU77">
        <f t="shared" si="78"/>
        <v>11.151131195259282</v>
      </c>
      <c r="AV77">
        <f t="shared" si="78"/>
        <v>0</v>
      </c>
      <c r="AW77">
        <f t="shared" si="78"/>
        <v>0</v>
      </c>
      <c r="AX77">
        <f t="shared" si="78"/>
        <v>0</v>
      </c>
      <c r="AY77">
        <f t="shared" si="79"/>
        <v>11.151131195259282</v>
      </c>
    </row>
    <row r="78" spans="1:51" ht="15" x14ac:dyDescent="0.25">
      <c r="A78" s="1"/>
      <c r="B78" s="2"/>
      <c r="C78" s="1" t="s">
        <v>11</v>
      </c>
      <c r="D78" s="285">
        <v>0</v>
      </c>
      <c r="E78" s="286">
        <v>0.78291162000000003</v>
      </c>
      <c r="F78" s="286">
        <v>0</v>
      </c>
      <c r="G78" s="286">
        <v>0</v>
      </c>
      <c r="H78" s="287">
        <v>0</v>
      </c>
      <c r="J78">
        <v>0</v>
      </c>
      <c r="K78">
        <v>-11.959299697982999</v>
      </c>
      <c r="L78">
        <v>0</v>
      </c>
      <c r="M78">
        <v>0</v>
      </c>
      <c r="N78">
        <v>-1.32979537788E-2</v>
      </c>
      <c r="O78" s="20"/>
      <c r="P78" s="20"/>
      <c r="Q78" s="147">
        <v>0.10684247195765696</v>
      </c>
      <c r="R78" s="197">
        <v>5.6499999999999995E-2</v>
      </c>
      <c r="S78" s="197">
        <v>1.25</v>
      </c>
      <c r="T78" s="197">
        <v>0.50078889239507718</v>
      </c>
      <c r="U78" s="197">
        <v>0.75268470790377973</v>
      </c>
      <c r="V78" s="20">
        <f t="shared" si="70"/>
        <v>4.7261240234923181E-2</v>
      </c>
      <c r="W78" s="20">
        <f t="shared" si="70"/>
        <v>0</v>
      </c>
      <c r="X78" s="20">
        <f t="shared" si="70"/>
        <v>0</v>
      </c>
      <c r="Y78" s="20">
        <f t="shared" si="70"/>
        <v>0</v>
      </c>
      <c r="Z78" s="20">
        <f t="shared" si="71"/>
        <v>3.084184392704006E-2</v>
      </c>
      <c r="AA78" s="20">
        <f t="shared" si="71"/>
        <v>0</v>
      </c>
      <c r="AB78" s="20">
        <f t="shared" si="71"/>
        <v>0</v>
      </c>
      <c r="AC78" s="20">
        <f t="shared" si="71"/>
        <v>0</v>
      </c>
      <c r="AD78" s="20">
        <f t="shared" si="72"/>
        <v>3.084184392704006E-2</v>
      </c>
      <c r="AE78" s="20">
        <f t="shared" si="73"/>
        <v>1.0456026600646724</v>
      </c>
      <c r="AF78" s="20">
        <f t="shared" si="73"/>
        <v>0</v>
      </c>
      <c r="AG78" s="20">
        <f t="shared" si="73"/>
        <v>0</v>
      </c>
      <c r="AH78" s="20">
        <f t="shared" si="73"/>
        <v>0</v>
      </c>
      <c r="AI78" s="20">
        <f t="shared" si="74"/>
        <v>0.68234167980177141</v>
      </c>
      <c r="AJ78" s="20">
        <f t="shared" si="74"/>
        <v>0</v>
      </c>
      <c r="AK78" s="20">
        <f t="shared" si="74"/>
        <v>0</v>
      </c>
      <c r="AL78" s="20">
        <f t="shared" si="74"/>
        <v>0</v>
      </c>
      <c r="AM78" s="20">
        <f t="shared" si="75"/>
        <v>0.68234167980177141</v>
      </c>
      <c r="AO78">
        <f t="shared" si="76"/>
        <v>4.39401176379106E-2</v>
      </c>
      <c r="AP78">
        <f t="shared" si="76"/>
        <v>0</v>
      </c>
      <c r="AQ78">
        <f t="shared" si="76"/>
        <v>0</v>
      </c>
      <c r="AR78">
        <f t="shared" si="76"/>
        <v>0</v>
      </c>
      <c r="AS78">
        <f t="shared" si="77"/>
        <v>4.39401176379106E-2</v>
      </c>
      <c r="AU78">
        <f t="shared" si="78"/>
        <v>0.97212649641395155</v>
      </c>
      <c r="AV78">
        <f t="shared" si="78"/>
        <v>0</v>
      </c>
      <c r="AW78">
        <f t="shared" si="78"/>
        <v>0</v>
      </c>
      <c r="AX78">
        <f t="shared" si="78"/>
        <v>0</v>
      </c>
      <c r="AY78">
        <f t="shared" si="79"/>
        <v>0.97212649641395155</v>
      </c>
    </row>
    <row r="79" spans="1:51" ht="15" x14ac:dyDescent="0.25">
      <c r="A79" s="1"/>
      <c r="B79" s="13"/>
      <c r="C79" s="1" t="s">
        <v>12</v>
      </c>
      <c r="D79" s="285">
        <v>0</v>
      </c>
      <c r="E79" s="286">
        <v>1.4651121499999999</v>
      </c>
      <c r="F79" s="286">
        <v>0</v>
      </c>
      <c r="G79" s="286">
        <v>0</v>
      </c>
      <c r="H79" s="287">
        <v>0</v>
      </c>
      <c r="J79">
        <v>0</v>
      </c>
      <c r="K79">
        <v>-6.392958635158001</v>
      </c>
      <c r="L79">
        <v>-0.86004761266899998</v>
      </c>
      <c r="M79">
        <v>-3.3812473861979999</v>
      </c>
      <c r="N79">
        <v>-2.0042868427891758</v>
      </c>
      <c r="O79" s="20"/>
      <c r="P79" s="20"/>
      <c r="Q79" s="147">
        <v>0.10684247195765698</v>
      </c>
      <c r="R79" s="197">
        <v>5.6499999999999995E-2</v>
      </c>
      <c r="S79" s="197">
        <v>1.25</v>
      </c>
      <c r="T79" s="197">
        <v>0.50078889239507718</v>
      </c>
      <c r="U79" s="197">
        <v>0.75268470790377973</v>
      </c>
      <c r="V79" s="20">
        <f t="shared" si="70"/>
        <v>8.8442955147676597E-2</v>
      </c>
      <c r="W79" s="20">
        <f t="shared" si="70"/>
        <v>0</v>
      </c>
      <c r="X79" s="20">
        <f t="shared" si="70"/>
        <v>0</v>
      </c>
      <c r="Y79" s="20">
        <f t="shared" si="70"/>
        <v>0</v>
      </c>
      <c r="Z79" s="20">
        <f t="shared" si="71"/>
        <v>5.7716297870135221E-2</v>
      </c>
      <c r="AA79" s="20">
        <f t="shared" si="71"/>
        <v>0</v>
      </c>
      <c r="AB79" s="20">
        <f t="shared" si="71"/>
        <v>0</v>
      </c>
      <c r="AC79" s="20">
        <f t="shared" si="71"/>
        <v>0</v>
      </c>
      <c r="AD79" s="20">
        <f t="shared" si="72"/>
        <v>5.7716297870135221E-2</v>
      </c>
      <c r="AE79" s="20">
        <f t="shared" si="73"/>
        <v>1.9567025475149689</v>
      </c>
      <c r="AF79" s="20">
        <f t="shared" si="73"/>
        <v>0</v>
      </c>
      <c r="AG79" s="20">
        <f t="shared" si="73"/>
        <v>0</v>
      </c>
      <c r="AH79" s="20">
        <f t="shared" si="73"/>
        <v>0</v>
      </c>
      <c r="AI79" s="20">
        <f t="shared" si="74"/>
        <v>1.2769092449144961</v>
      </c>
      <c r="AJ79" s="20">
        <f t="shared" si="74"/>
        <v>0</v>
      </c>
      <c r="AK79" s="20">
        <f t="shared" si="74"/>
        <v>0</v>
      </c>
      <c r="AL79" s="20">
        <f t="shared" si="74"/>
        <v>0</v>
      </c>
      <c r="AM79" s="20">
        <f t="shared" si="75"/>
        <v>1.2769092449144961</v>
      </c>
      <c r="AO79">
        <f t="shared" si="76"/>
        <v>8.2227927877391999E-2</v>
      </c>
      <c r="AP79">
        <f t="shared" si="76"/>
        <v>0</v>
      </c>
      <c r="AQ79">
        <f t="shared" si="76"/>
        <v>0</v>
      </c>
      <c r="AR79">
        <f t="shared" si="76"/>
        <v>0</v>
      </c>
      <c r="AS79">
        <f t="shared" si="77"/>
        <v>8.2227927877391999E-2</v>
      </c>
      <c r="AU79">
        <f t="shared" si="78"/>
        <v>1.8192019441900886</v>
      </c>
      <c r="AV79">
        <f t="shared" si="78"/>
        <v>0</v>
      </c>
      <c r="AW79">
        <f t="shared" si="78"/>
        <v>0</v>
      </c>
      <c r="AX79">
        <f t="shared" si="78"/>
        <v>0</v>
      </c>
      <c r="AY79">
        <f t="shared" si="79"/>
        <v>1.8192019441900886</v>
      </c>
    </row>
    <row r="80" spans="1:51" ht="15" x14ac:dyDescent="0.25">
      <c r="A80" s="1"/>
      <c r="B80" s="13"/>
      <c r="C80" s="1" t="s">
        <v>13</v>
      </c>
      <c r="D80" s="285">
        <v>0</v>
      </c>
      <c r="E80" s="286">
        <v>0</v>
      </c>
      <c r="F80" s="286">
        <v>0</v>
      </c>
      <c r="G80" s="286">
        <v>0</v>
      </c>
      <c r="H80" s="287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20"/>
      <c r="P80" s="20"/>
      <c r="Q80" s="147"/>
      <c r="R80" s="197">
        <v>5.6499999999999995E-2</v>
      </c>
      <c r="S80" s="197">
        <v>1.25</v>
      </c>
      <c r="T80" s="197">
        <v>0.50078889239507718</v>
      </c>
      <c r="U80" s="197">
        <v>0.75268470790377973</v>
      </c>
      <c r="V80" s="20">
        <f t="shared" si="70"/>
        <v>0</v>
      </c>
      <c r="W80" s="20">
        <f t="shared" si="70"/>
        <v>0</v>
      </c>
      <c r="X80" s="20">
        <f t="shared" si="70"/>
        <v>0</v>
      </c>
      <c r="Y80" s="20">
        <f t="shared" si="70"/>
        <v>0</v>
      </c>
      <c r="Z80" s="20">
        <f t="shared" si="71"/>
        <v>0</v>
      </c>
      <c r="AA80" s="20">
        <f t="shared" si="71"/>
        <v>0</v>
      </c>
      <c r="AB80" s="20">
        <f t="shared" si="71"/>
        <v>0</v>
      </c>
      <c r="AC80" s="20">
        <f t="shared" si="71"/>
        <v>0</v>
      </c>
      <c r="AD80" s="20">
        <f t="shared" si="72"/>
        <v>0</v>
      </c>
      <c r="AE80" s="20">
        <f t="shared" si="73"/>
        <v>0</v>
      </c>
      <c r="AF80" s="20">
        <f t="shared" si="73"/>
        <v>0</v>
      </c>
      <c r="AG80" s="20">
        <f t="shared" si="73"/>
        <v>0</v>
      </c>
      <c r="AH80" s="20">
        <f t="shared" si="73"/>
        <v>0</v>
      </c>
      <c r="AI80" s="20">
        <f t="shared" si="74"/>
        <v>0</v>
      </c>
      <c r="AJ80" s="20">
        <f t="shared" si="74"/>
        <v>0</v>
      </c>
      <c r="AK80" s="20">
        <f t="shared" si="74"/>
        <v>0</v>
      </c>
      <c r="AL80" s="20">
        <f t="shared" si="74"/>
        <v>0</v>
      </c>
      <c r="AM80" s="20">
        <f t="shared" si="75"/>
        <v>0</v>
      </c>
      <c r="AO80">
        <f t="shared" si="76"/>
        <v>0</v>
      </c>
      <c r="AP80">
        <f t="shared" si="76"/>
        <v>0</v>
      </c>
      <c r="AQ80">
        <f t="shared" si="76"/>
        <v>0</v>
      </c>
      <c r="AR80">
        <f t="shared" si="76"/>
        <v>0</v>
      </c>
      <c r="AS80">
        <f t="shared" si="77"/>
        <v>0</v>
      </c>
      <c r="AU80">
        <f t="shared" si="78"/>
        <v>0</v>
      </c>
      <c r="AV80">
        <f t="shared" si="78"/>
        <v>0</v>
      </c>
      <c r="AW80">
        <f t="shared" si="78"/>
        <v>0</v>
      </c>
      <c r="AX80">
        <f t="shared" si="78"/>
        <v>0</v>
      </c>
      <c r="AY80">
        <f t="shared" si="79"/>
        <v>0</v>
      </c>
    </row>
    <row r="81" spans="1:51" ht="15" x14ac:dyDescent="0.25">
      <c r="A81" s="7"/>
      <c r="B81" s="8" t="s">
        <v>14</v>
      </c>
      <c r="C81" s="7"/>
      <c r="D81" s="288">
        <f>SUM(D75:D80)</f>
        <v>0</v>
      </c>
      <c r="E81" s="289">
        <f>SUM(E75:E80)</f>
        <v>232.39553426000001</v>
      </c>
      <c r="F81" s="289">
        <f>SUM(F75:F80)</f>
        <v>8.7156364400000008</v>
      </c>
      <c r="G81" s="289">
        <f>SUM(G75:G80)</f>
        <v>3.3235228299999999</v>
      </c>
      <c r="H81" s="290">
        <f>SUM(H75:H80)</f>
        <v>14.408158459999999</v>
      </c>
      <c r="J81">
        <v>0</v>
      </c>
      <c r="K81">
        <v>-69.890715476661995</v>
      </c>
      <c r="L81">
        <v>-5.4712615713324002</v>
      </c>
      <c r="M81">
        <v>-7.0499445264520002</v>
      </c>
      <c r="N81">
        <v>-6.8245491857619767</v>
      </c>
      <c r="O81" s="20"/>
      <c r="P81" s="20"/>
      <c r="Q81" s="147"/>
      <c r="R81" s="197"/>
      <c r="S81" s="197"/>
      <c r="T81" s="197"/>
      <c r="U81" s="197"/>
    </row>
    <row r="82" spans="1:51" ht="15" x14ac:dyDescent="0.25">
      <c r="A82" s="10"/>
      <c r="B82" s="9" t="s">
        <v>15</v>
      </c>
      <c r="C82" s="5"/>
      <c r="D82" s="291"/>
      <c r="E82" s="292"/>
      <c r="F82" s="292"/>
      <c r="G82" s="292"/>
      <c r="H82" s="293">
        <f>SUM(D81:H81)</f>
        <v>258.84285198999999</v>
      </c>
      <c r="N82">
        <v>-89.236470760208377</v>
      </c>
      <c r="O82" s="20"/>
      <c r="P82" s="20"/>
      <c r="Q82" s="147"/>
      <c r="R82" s="197"/>
      <c r="S82" s="197"/>
      <c r="T82" s="197"/>
      <c r="U82" s="197"/>
    </row>
    <row r="83" spans="1:51" ht="15.75" thickBot="1" x14ac:dyDescent="0.3">
      <c r="A83" s="1"/>
      <c r="B83" s="2"/>
      <c r="C83" s="1"/>
      <c r="D83" s="297"/>
      <c r="E83" s="298"/>
      <c r="F83" s="298"/>
      <c r="G83" s="298"/>
      <c r="H83" s="299"/>
      <c r="O83" s="20"/>
      <c r="P83" s="20"/>
      <c r="Q83" s="147"/>
      <c r="R83" s="197"/>
      <c r="S83" s="197"/>
      <c r="T83" s="197"/>
      <c r="U83" s="197"/>
    </row>
    <row r="84" spans="1:51" ht="15" x14ac:dyDescent="0.25">
      <c r="A84" s="1">
        <v>9</v>
      </c>
      <c r="B84" s="2" t="s">
        <v>23</v>
      </c>
      <c r="C84" s="1" t="s">
        <v>8</v>
      </c>
      <c r="D84" s="282">
        <v>0</v>
      </c>
      <c r="E84" s="283">
        <v>3.8081370899999998</v>
      </c>
      <c r="F84" s="283">
        <v>15.41136605</v>
      </c>
      <c r="G84" s="283">
        <v>90.138140440000001</v>
      </c>
      <c r="H84" s="284">
        <v>205.95822059</v>
      </c>
      <c r="J84">
        <v>0</v>
      </c>
      <c r="K84">
        <v>-78.691164906149993</v>
      </c>
      <c r="L84">
        <v>9.349220743410001</v>
      </c>
      <c r="M84">
        <v>61.25684696551</v>
      </c>
      <c r="N84">
        <v>144.1368872389626</v>
      </c>
      <c r="O84" s="20"/>
      <c r="P84" s="20"/>
      <c r="Q84" s="147">
        <v>3.3460617989414243E-2</v>
      </c>
      <c r="R84" s="197">
        <v>0.38700000000000001</v>
      </c>
      <c r="S84" s="197">
        <v>2.48</v>
      </c>
      <c r="T84" s="197">
        <v>0.72182006204756977</v>
      </c>
      <c r="U84" s="197">
        <v>0.90789473684210531</v>
      </c>
      <c r="V84" s="20">
        <f t="shared" ref="V84:Y89" si="80">IF(K84&gt;0,((E84-K84)*$Q84*$R84*10)+(K84*$O$12*$Q84*$R84*10),(E84*$Q84*$R84*10))</f>
        <v>0.49312554102466316</v>
      </c>
      <c r="W84" s="20">
        <f t="shared" si="80"/>
        <v>1.2302236939624973</v>
      </c>
      <c r="X84" s="20">
        <f t="shared" si="80"/>
        <v>6.6570359829283898</v>
      </c>
      <c r="Y84" s="20">
        <f t="shared" si="80"/>
        <v>14.869371221311383</v>
      </c>
      <c r="Z84" s="20">
        <f t="shared" ref="Z84:AC89" si="81">V84*(EXP(1.01-0.34*LN(Z$8))*(1-$T84)+(1*$T84))</f>
        <v>0.39765901170588225</v>
      </c>
      <c r="AA84" s="20">
        <f t="shared" si="81"/>
        <v>0.99890445011909113</v>
      </c>
      <c r="AB84" s="20">
        <f t="shared" si="81"/>
        <v>5.4189594335736322</v>
      </c>
      <c r="AC84" s="20">
        <f t="shared" si="81"/>
        <v>11.809484362980402</v>
      </c>
      <c r="AD84" s="20">
        <f t="shared" ref="AD84:AD89" si="82">SUM(Z84:AC84)</f>
        <v>18.625007258379007</v>
      </c>
      <c r="AE84" s="20">
        <f t="shared" ref="AE84:AH89" si="83">IF(K84&gt;0,((E84-K84)*$Q84*$S84*10)+(K84*$P$12*$Q84*$S84)*10,(E84*$Q84*$S84*10))</f>
        <v>3.1600809864112778</v>
      </c>
      <c r="AF84" s="20">
        <f t="shared" si="83"/>
        <v>9.5235183273771309</v>
      </c>
      <c r="AG84" s="20">
        <f t="shared" si="83"/>
        <v>53.404926022481206</v>
      </c>
      <c r="AH84" s="20">
        <f t="shared" si="83"/>
        <v>120.56947676746745</v>
      </c>
      <c r="AI84" s="20">
        <f t="shared" ref="AI84:AL89" si="84">AE84*(EXP(1.01-0.34*LN(AI$8))*(1-$T84)+(1*$T84))</f>
        <v>2.5483058114485475</v>
      </c>
      <c r="AJ84" s="20">
        <f t="shared" si="84"/>
        <v>7.7328089880682631</v>
      </c>
      <c r="AK84" s="20">
        <f t="shared" si="84"/>
        <v>43.472669880555699</v>
      </c>
      <c r="AL84" s="20">
        <f t="shared" si="84"/>
        <v>95.758141305759949</v>
      </c>
      <c r="AM84" s="20">
        <f t="shared" ref="AM84:AM89" si="85">SUM(AI84:AL84)</f>
        <v>149.51192598583248</v>
      </c>
      <c r="AO84">
        <f t="shared" ref="AO84:AR89" si="86">Z84*AO$10</f>
        <v>0.56654147512926156</v>
      </c>
      <c r="AP84">
        <f t="shared" si="86"/>
        <v>1.2470385062250073</v>
      </c>
      <c r="AQ84">
        <f t="shared" si="86"/>
        <v>7.1353539409032294</v>
      </c>
      <c r="AR84">
        <f t="shared" si="86"/>
        <v>14.377056564367741</v>
      </c>
      <c r="AS84">
        <f t="shared" ref="AS84:AS89" si="87">SUM(AO84:AR84)</f>
        <v>23.325990486625241</v>
      </c>
      <c r="AU84">
        <f t="shared" ref="AU84:AX89" si="88">AI84*AU$10</f>
        <v>3.6305500215001776</v>
      </c>
      <c r="AV84">
        <f t="shared" si="88"/>
        <v>9.6536866646797783</v>
      </c>
      <c r="AW84">
        <f t="shared" si="88"/>
        <v>57.2421495595596</v>
      </c>
      <c r="AX84">
        <f t="shared" si="88"/>
        <v>116.577504295385</v>
      </c>
      <c r="AY84">
        <f t="shared" ref="AY84:AY89" si="89">SUM(AU84:AX84)</f>
        <v>187.10389054112454</v>
      </c>
    </row>
    <row r="85" spans="1:51" ht="15" x14ac:dyDescent="0.25">
      <c r="A85" s="1"/>
      <c r="B85" s="2"/>
      <c r="C85" s="1" t="s">
        <v>9</v>
      </c>
      <c r="D85" s="285">
        <v>0</v>
      </c>
      <c r="E85" s="286">
        <v>0</v>
      </c>
      <c r="F85" s="286">
        <v>0</v>
      </c>
      <c r="G85" s="286">
        <v>1.17883128</v>
      </c>
      <c r="H85" s="287">
        <v>10.10015729</v>
      </c>
      <c r="J85">
        <v>0</v>
      </c>
      <c r="K85">
        <v>-2.1227532942499998</v>
      </c>
      <c r="L85">
        <v>0</v>
      </c>
      <c r="M85">
        <v>1.1549124489154001</v>
      </c>
      <c r="N85">
        <v>-2.2202391601000002</v>
      </c>
      <c r="O85" s="20"/>
      <c r="P85" s="20"/>
      <c r="Q85" s="147">
        <v>5.7921235978828485E-2</v>
      </c>
      <c r="R85" s="197">
        <v>0.38700000000000001</v>
      </c>
      <c r="S85" s="197">
        <v>2.48</v>
      </c>
      <c r="T85" s="197">
        <v>0.72182006204756977</v>
      </c>
      <c r="U85" s="197">
        <v>0.90789473684210531</v>
      </c>
      <c r="V85" s="20">
        <f t="shared" si="80"/>
        <v>0</v>
      </c>
      <c r="W85" s="20">
        <f t="shared" si="80"/>
        <v>0</v>
      </c>
      <c r="X85" s="20">
        <f t="shared" si="80"/>
        <v>0.10056503659507585</v>
      </c>
      <c r="Y85" s="20">
        <f t="shared" si="80"/>
        <v>2.2640026080732407</v>
      </c>
      <c r="Z85" s="20">
        <f t="shared" si="81"/>
        <v>0</v>
      </c>
      <c r="AA85" s="20">
        <f t="shared" si="81"/>
        <v>0</v>
      </c>
      <c r="AB85" s="20">
        <f t="shared" si="81"/>
        <v>8.1861936024092238E-2</v>
      </c>
      <c r="AC85" s="20">
        <f t="shared" si="81"/>
        <v>1.7981058512728274</v>
      </c>
      <c r="AD85" s="20">
        <f t="shared" si="82"/>
        <v>1.8799677872969196</v>
      </c>
      <c r="AE85" s="20">
        <f t="shared" si="83"/>
        <v>0</v>
      </c>
      <c r="AF85" s="20">
        <f t="shared" si="83"/>
        <v>0</v>
      </c>
      <c r="AG85" s="20">
        <f t="shared" si="83"/>
        <v>0.99511781971811419</v>
      </c>
      <c r="AH85" s="20">
        <f t="shared" si="83"/>
        <v>14.508337126670895</v>
      </c>
      <c r="AI85" s="20">
        <f t="shared" si="84"/>
        <v>0</v>
      </c>
      <c r="AJ85" s="20">
        <f t="shared" si="84"/>
        <v>0</v>
      </c>
      <c r="AK85" s="20">
        <f t="shared" si="84"/>
        <v>0.81004565853444144</v>
      </c>
      <c r="AL85" s="20">
        <f t="shared" si="84"/>
        <v>11.522745506864629</v>
      </c>
      <c r="AM85" s="20">
        <f t="shared" si="85"/>
        <v>12.332791165399071</v>
      </c>
      <c r="AO85">
        <f t="shared" si="86"/>
        <v>0</v>
      </c>
      <c r="AP85">
        <f t="shared" si="86"/>
        <v>0</v>
      </c>
      <c r="AQ85">
        <f t="shared" si="86"/>
        <v>0.10779078437098946</v>
      </c>
      <c r="AR85">
        <f t="shared" si="86"/>
        <v>2.1890430384503103</v>
      </c>
      <c r="AS85">
        <f t="shared" si="87"/>
        <v>2.2968338228212999</v>
      </c>
      <c r="AU85">
        <f t="shared" si="88"/>
        <v>0</v>
      </c>
      <c r="AV85">
        <f t="shared" si="88"/>
        <v>0</v>
      </c>
      <c r="AW85">
        <f t="shared" si="88"/>
        <v>1.0666185183312169</v>
      </c>
      <c r="AX85">
        <f t="shared" si="88"/>
        <v>14.027976060353408</v>
      </c>
      <c r="AY85">
        <f t="shared" si="89"/>
        <v>15.094594578684625</v>
      </c>
    </row>
    <row r="86" spans="1:51" ht="15" x14ac:dyDescent="0.25">
      <c r="A86" s="1"/>
      <c r="B86" s="2"/>
      <c r="C86" s="1" t="s">
        <v>10</v>
      </c>
      <c r="D86" s="285">
        <v>0</v>
      </c>
      <c r="E86" s="286">
        <v>3.1382823200000001</v>
      </c>
      <c r="F86" s="286">
        <v>0</v>
      </c>
      <c r="G86" s="286">
        <v>8.2785517199999994</v>
      </c>
      <c r="H86" s="287">
        <v>5.4227730599999999</v>
      </c>
      <c r="J86">
        <v>0</v>
      </c>
      <c r="K86">
        <v>-2.4850799520499995</v>
      </c>
      <c r="L86">
        <v>0</v>
      </c>
      <c r="M86">
        <v>6.8875442954699997</v>
      </c>
      <c r="N86">
        <v>5.4227730599999999</v>
      </c>
      <c r="O86" s="20"/>
      <c r="P86" s="20"/>
      <c r="Q86" s="147">
        <v>8.2381853968242727E-2</v>
      </c>
      <c r="R86" s="197">
        <v>0.38700000000000001</v>
      </c>
      <c r="S86" s="197">
        <v>2.48</v>
      </c>
      <c r="T86" s="197">
        <v>0.72182006204756977</v>
      </c>
      <c r="U86" s="197">
        <v>0.90789473684210531</v>
      </c>
      <c r="V86" s="20">
        <f t="shared" si="80"/>
        <v>1.0005401861357757</v>
      </c>
      <c r="W86" s="20">
        <f t="shared" si="80"/>
        <v>0</v>
      </c>
      <c r="X86" s="20">
        <f t="shared" si="80"/>
        <v>1.2510141441253118</v>
      </c>
      <c r="Y86" s="20">
        <f t="shared" si="80"/>
        <v>0.63579784690892649</v>
      </c>
      <c r="Z86" s="20">
        <f t="shared" si="81"/>
        <v>0.8068408315741098</v>
      </c>
      <c r="AA86" s="20">
        <f t="shared" si="81"/>
        <v>0</v>
      </c>
      <c r="AB86" s="20">
        <f t="shared" si="81"/>
        <v>1.0183503461941295</v>
      </c>
      <c r="AC86" s="20">
        <f t="shared" si="81"/>
        <v>0.50496047340093098</v>
      </c>
      <c r="AD86" s="20">
        <f t="shared" si="82"/>
        <v>2.33015165116917</v>
      </c>
      <c r="AE86" s="20">
        <f t="shared" si="83"/>
        <v>6.4117303917744781</v>
      </c>
      <c r="AF86" s="20">
        <f t="shared" si="83"/>
        <v>0</v>
      </c>
      <c r="AG86" s="20">
        <f t="shared" si="83"/>
        <v>10.991292173479589</v>
      </c>
      <c r="AH86" s="20">
        <f t="shared" si="83"/>
        <v>6.4162441807190209</v>
      </c>
      <c r="AI86" s="20">
        <f t="shared" si="84"/>
        <v>5.170452874170004</v>
      </c>
      <c r="AJ86" s="20">
        <f t="shared" si="84"/>
        <v>0</v>
      </c>
      <c r="AK86" s="20">
        <f t="shared" si="84"/>
        <v>8.9471300085177798</v>
      </c>
      <c r="AL86" s="20">
        <f t="shared" si="84"/>
        <v>5.0958802624192359</v>
      </c>
      <c r="AM86" s="20">
        <f t="shared" si="85"/>
        <v>19.213463145107021</v>
      </c>
      <c r="AO86">
        <f t="shared" si="86"/>
        <v>1.1494993988784654</v>
      </c>
      <c r="AP86">
        <f t="shared" si="86"/>
        <v>0</v>
      </c>
      <c r="AQ86">
        <f t="shared" si="86"/>
        <v>1.3409013750716641</v>
      </c>
      <c r="AR86">
        <f t="shared" si="86"/>
        <v>0.61474701737298398</v>
      </c>
      <c r="AS86">
        <f t="shared" si="87"/>
        <v>3.1051477913231134</v>
      </c>
      <c r="AU86">
        <f t="shared" si="88"/>
        <v>7.3663010574123851</v>
      </c>
      <c r="AV86">
        <f t="shared" si="88"/>
        <v>0</v>
      </c>
      <c r="AW86">
        <f t="shared" si="88"/>
        <v>11.781032899142742</v>
      </c>
      <c r="AX86">
        <f t="shared" si="88"/>
        <v>6.203806747711095</v>
      </c>
      <c r="AY86">
        <f t="shared" si="89"/>
        <v>25.351140704266221</v>
      </c>
    </row>
    <row r="87" spans="1:51" ht="15" x14ac:dyDescent="0.25">
      <c r="A87" s="1"/>
      <c r="B87" s="2"/>
      <c r="C87" s="1" t="s">
        <v>11</v>
      </c>
      <c r="D87" s="285">
        <v>0</v>
      </c>
      <c r="E87" s="286">
        <v>0</v>
      </c>
      <c r="F87" s="286">
        <v>0</v>
      </c>
      <c r="G87" s="286">
        <v>3.9220495400000002</v>
      </c>
      <c r="H87" s="287">
        <v>0</v>
      </c>
      <c r="J87">
        <v>0</v>
      </c>
      <c r="K87">
        <v>-0.26721763230700002</v>
      </c>
      <c r="L87">
        <v>0</v>
      </c>
      <c r="M87">
        <v>3.9220495400000002</v>
      </c>
      <c r="N87">
        <v>0</v>
      </c>
      <c r="O87" s="20"/>
      <c r="P87" s="20"/>
      <c r="Q87" s="147">
        <v>0.10684247195765698</v>
      </c>
      <c r="R87" s="197">
        <v>0.38700000000000001</v>
      </c>
      <c r="S87" s="197">
        <v>2.48</v>
      </c>
      <c r="T87" s="197">
        <v>0.72182006204756977</v>
      </c>
      <c r="U87" s="197">
        <v>0.90789473684210531</v>
      </c>
      <c r="V87" s="20">
        <f t="shared" si="80"/>
        <v>0</v>
      </c>
      <c r="W87" s="20">
        <f t="shared" si="80"/>
        <v>0</v>
      </c>
      <c r="X87" s="20">
        <f t="shared" si="80"/>
        <v>0.59637999112005979</v>
      </c>
      <c r="Y87" s="20">
        <f t="shared" si="80"/>
        <v>0</v>
      </c>
      <c r="Z87" s="20">
        <f t="shared" si="81"/>
        <v>0</v>
      </c>
      <c r="AA87" s="20">
        <f t="shared" si="81"/>
        <v>0</v>
      </c>
      <c r="AB87" s="20">
        <f t="shared" si="81"/>
        <v>0.48546515103152199</v>
      </c>
      <c r="AC87" s="20">
        <f t="shared" si="81"/>
        <v>0</v>
      </c>
      <c r="AD87" s="20">
        <f t="shared" si="82"/>
        <v>0.48546515103152199</v>
      </c>
      <c r="AE87" s="20">
        <f t="shared" si="83"/>
        <v>0</v>
      </c>
      <c r="AF87" s="20">
        <f t="shared" si="83"/>
        <v>0</v>
      </c>
      <c r="AG87" s="20">
        <f t="shared" si="83"/>
        <v>6.0184532963186763</v>
      </c>
      <c r="AH87" s="20">
        <f t="shared" si="83"/>
        <v>0</v>
      </c>
      <c r="AI87" s="20">
        <f t="shared" si="84"/>
        <v>0</v>
      </c>
      <c r="AJ87" s="20">
        <f t="shared" si="84"/>
        <v>0</v>
      </c>
      <c r="AK87" s="20">
        <f t="shared" si="84"/>
        <v>4.8991404506817497</v>
      </c>
      <c r="AL87" s="20">
        <f t="shared" si="84"/>
        <v>0</v>
      </c>
      <c r="AM87" s="20">
        <f t="shared" si="85"/>
        <v>4.8991404506817497</v>
      </c>
      <c r="AO87">
        <f t="shared" si="86"/>
        <v>0</v>
      </c>
      <c r="AP87">
        <f t="shared" si="86"/>
        <v>0</v>
      </c>
      <c r="AQ87">
        <f t="shared" si="86"/>
        <v>0.63923078241233044</v>
      </c>
      <c r="AR87">
        <f t="shared" si="86"/>
        <v>0</v>
      </c>
      <c r="AS87">
        <f t="shared" si="87"/>
        <v>0.63923078241233044</v>
      </c>
      <c r="AU87">
        <f t="shared" si="88"/>
        <v>0</v>
      </c>
      <c r="AV87">
        <f t="shared" si="88"/>
        <v>0</v>
      </c>
      <c r="AW87">
        <f t="shared" si="88"/>
        <v>6.4508881364253625</v>
      </c>
      <c r="AX87">
        <f t="shared" si="88"/>
        <v>0</v>
      </c>
      <c r="AY87">
        <f t="shared" si="89"/>
        <v>6.4508881364253625</v>
      </c>
    </row>
    <row r="88" spans="1:51" ht="15" x14ac:dyDescent="0.25">
      <c r="A88" s="1"/>
      <c r="B88" s="2"/>
      <c r="C88" s="1" t="s">
        <v>12</v>
      </c>
      <c r="D88" s="285">
        <v>0</v>
      </c>
      <c r="E88" s="286">
        <v>0</v>
      </c>
      <c r="F88" s="286">
        <v>0</v>
      </c>
      <c r="G88" s="286">
        <v>0</v>
      </c>
      <c r="H88" s="287">
        <v>8.4744599999999996E-3</v>
      </c>
      <c r="J88">
        <v>0</v>
      </c>
      <c r="K88">
        <v>0</v>
      </c>
      <c r="L88">
        <v>0</v>
      </c>
      <c r="M88">
        <v>0</v>
      </c>
      <c r="N88">
        <v>-0.937410731971</v>
      </c>
      <c r="O88" s="20"/>
      <c r="P88" s="20"/>
      <c r="Q88" s="147">
        <v>0.10684247195765696</v>
      </c>
      <c r="R88" s="197">
        <v>0.38700000000000001</v>
      </c>
      <c r="S88" s="197">
        <v>2.48</v>
      </c>
      <c r="T88" s="197">
        <v>0.72182006204756977</v>
      </c>
      <c r="U88" s="197">
        <v>0.90789473684210531</v>
      </c>
      <c r="V88" s="20">
        <f t="shared" si="80"/>
        <v>0</v>
      </c>
      <c r="W88" s="20">
        <f t="shared" si="80"/>
        <v>0</v>
      </c>
      <c r="X88" s="20">
        <f t="shared" si="80"/>
        <v>0</v>
      </c>
      <c r="Y88" s="20">
        <f t="shared" si="80"/>
        <v>3.5040228264873255E-3</v>
      </c>
      <c r="Z88" s="20">
        <f t="shared" si="81"/>
        <v>0</v>
      </c>
      <c r="AA88" s="20">
        <f t="shared" si="81"/>
        <v>0</v>
      </c>
      <c r="AB88" s="20">
        <f t="shared" si="81"/>
        <v>0</v>
      </c>
      <c r="AC88" s="20">
        <f t="shared" si="81"/>
        <v>2.7829490676525696E-3</v>
      </c>
      <c r="AD88" s="20">
        <f t="shared" si="82"/>
        <v>2.7829490676525696E-3</v>
      </c>
      <c r="AE88" s="20">
        <f t="shared" si="83"/>
        <v>0</v>
      </c>
      <c r="AF88" s="20">
        <f t="shared" si="83"/>
        <v>0</v>
      </c>
      <c r="AG88" s="20">
        <f t="shared" si="83"/>
        <v>0</v>
      </c>
      <c r="AH88" s="20">
        <f t="shared" si="83"/>
        <v>2.2454719921675883E-2</v>
      </c>
      <c r="AI88" s="20">
        <f t="shared" si="84"/>
        <v>0</v>
      </c>
      <c r="AJ88" s="20">
        <f t="shared" si="84"/>
        <v>0</v>
      </c>
      <c r="AK88" s="20">
        <f t="shared" si="84"/>
        <v>0</v>
      </c>
      <c r="AL88" s="20">
        <f t="shared" si="84"/>
        <v>1.7833885498135329E-2</v>
      </c>
      <c r="AM88" s="20">
        <f t="shared" si="85"/>
        <v>1.7833885498135329E-2</v>
      </c>
      <c r="AO88">
        <f t="shared" si="86"/>
        <v>0</v>
      </c>
      <c r="AP88">
        <f t="shared" si="86"/>
        <v>0</v>
      </c>
      <c r="AQ88">
        <f t="shared" si="86"/>
        <v>0</v>
      </c>
      <c r="AR88">
        <f t="shared" si="86"/>
        <v>3.3880070400718015E-3</v>
      </c>
      <c r="AS88">
        <f t="shared" si="87"/>
        <v>3.3880070400718015E-3</v>
      </c>
      <c r="AU88">
        <f t="shared" si="88"/>
        <v>0</v>
      </c>
      <c r="AV88">
        <f t="shared" si="88"/>
        <v>0</v>
      </c>
      <c r="AW88">
        <f t="shared" si="88"/>
        <v>0</v>
      </c>
      <c r="AX88">
        <f t="shared" si="88"/>
        <v>2.1711259584956247E-2</v>
      </c>
      <c r="AY88">
        <f t="shared" si="89"/>
        <v>2.1711259584956247E-2</v>
      </c>
    </row>
    <row r="89" spans="1:51" ht="15" x14ac:dyDescent="0.25">
      <c r="A89" s="1"/>
      <c r="B89" s="2"/>
      <c r="C89" s="1" t="s">
        <v>13</v>
      </c>
      <c r="D89" s="285">
        <v>0</v>
      </c>
      <c r="E89" s="286">
        <v>0</v>
      </c>
      <c r="F89" s="286">
        <v>0</v>
      </c>
      <c r="G89" s="286">
        <v>0</v>
      </c>
      <c r="H89" s="287">
        <v>0</v>
      </c>
      <c r="J89">
        <v>0</v>
      </c>
      <c r="K89">
        <v>0</v>
      </c>
      <c r="L89">
        <v>0</v>
      </c>
      <c r="M89">
        <v>0</v>
      </c>
      <c r="N89">
        <v>0</v>
      </c>
      <c r="O89" s="20"/>
      <c r="P89" s="20"/>
      <c r="Q89" s="147"/>
      <c r="R89" s="197">
        <v>0.38700000000000001</v>
      </c>
      <c r="S89" s="197">
        <v>2.48</v>
      </c>
      <c r="T89" s="197">
        <v>0.72182006204756977</v>
      </c>
      <c r="U89" s="197">
        <v>0.90789473684210531</v>
      </c>
      <c r="V89" s="20">
        <f t="shared" si="80"/>
        <v>0</v>
      </c>
      <c r="W89" s="20">
        <f t="shared" si="80"/>
        <v>0</v>
      </c>
      <c r="X89" s="20">
        <f t="shared" si="80"/>
        <v>0</v>
      </c>
      <c r="Y89" s="20">
        <f t="shared" si="80"/>
        <v>0</v>
      </c>
      <c r="Z89" s="20">
        <f t="shared" si="81"/>
        <v>0</v>
      </c>
      <c r="AA89" s="20">
        <f t="shared" si="81"/>
        <v>0</v>
      </c>
      <c r="AB89" s="20">
        <f t="shared" si="81"/>
        <v>0</v>
      </c>
      <c r="AC89" s="20">
        <f t="shared" si="81"/>
        <v>0</v>
      </c>
      <c r="AD89" s="20">
        <f t="shared" si="82"/>
        <v>0</v>
      </c>
      <c r="AE89" s="20">
        <f t="shared" si="83"/>
        <v>0</v>
      </c>
      <c r="AF89" s="20">
        <f t="shared" si="83"/>
        <v>0</v>
      </c>
      <c r="AG89" s="20">
        <f t="shared" si="83"/>
        <v>0</v>
      </c>
      <c r="AH89" s="20">
        <f t="shared" si="83"/>
        <v>0</v>
      </c>
      <c r="AI89" s="20">
        <f t="shared" si="84"/>
        <v>0</v>
      </c>
      <c r="AJ89" s="20">
        <f t="shared" si="84"/>
        <v>0</v>
      </c>
      <c r="AK89" s="20">
        <f t="shared" si="84"/>
        <v>0</v>
      </c>
      <c r="AL89" s="20">
        <f t="shared" si="84"/>
        <v>0</v>
      </c>
      <c r="AM89" s="20">
        <f t="shared" si="85"/>
        <v>0</v>
      </c>
      <c r="AO89">
        <f t="shared" si="86"/>
        <v>0</v>
      </c>
      <c r="AP89">
        <f t="shared" si="86"/>
        <v>0</v>
      </c>
      <c r="AQ89">
        <f t="shared" si="86"/>
        <v>0</v>
      </c>
      <c r="AR89">
        <f t="shared" si="86"/>
        <v>0</v>
      </c>
      <c r="AS89">
        <f t="shared" si="87"/>
        <v>0</v>
      </c>
      <c r="AU89">
        <f t="shared" si="88"/>
        <v>0</v>
      </c>
      <c r="AV89">
        <f t="shared" si="88"/>
        <v>0</v>
      </c>
      <c r="AW89">
        <f t="shared" si="88"/>
        <v>0</v>
      </c>
      <c r="AX89">
        <f t="shared" si="88"/>
        <v>0</v>
      </c>
      <c r="AY89">
        <f t="shared" si="89"/>
        <v>0</v>
      </c>
    </row>
    <row r="90" spans="1:51" ht="15" x14ac:dyDescent="0.25">
      <c r="A90" s="7"/>
      <c r="B90" s="8" t="s">
        <v>14</v>
      </c>
      <c r="C90" s="7"/>
      <c r="D90" s="288">
        <f>SUM(D84:D89)</f>
        <v>0</v>
      </c>
      <c r="E90" s="289">
        <f>SUM(E84:E89)</f>
        <v>6.9464194099999998</v>
      </c>
      <c r="F90" s="289">
        <f>SUM(F84:F89)</f>
        <v>15.41136605</v>
      </c>
      <c r="G90" s="289">
        <f>SUM(G84:G89)</f>
        <v>103.51757298</v>
      </c>
      <c r="H90" s="290">
        <f>SUM(H84:H89)</f>
        <v>221.48962539999999</v>
      </c>
      <c r="J90">
        <v>0</v>
      </c>
      <c r="K90">
        <v>-83.566215784756992</v>
      </c>
      <c r="L90">
        <v>9.349220743410001</v>
      </c>
      <c r="M90">
        <v>73.221353249895401</v>
      </c>
      <c r="N90">
        <v>146.40201040689161</v>
      </c>
      <c r="O90" s="20"/>
      <c r="P90" s="20"/>
      <c r="Q90" s="147"/>
      <c r="R90" s="197"/>
      <c r="S90" s="197"/>
      <c r="T90" s="197"/>
      <c r="U90" s="197"/>
    </row>
    <row r="91" spans="1:51" ht="15" x14ac:dyDescent="0.25">
      <c r="A91" s="10"/>
      <c r="B91" s="9" t="s">
        <v>15</v>
      </c>
      <c r="C91" s="5"/>
      <c r="D91" s="291"/>
      <c r="E91" s="292"/>
      <c r="F91" s="292"/>
      <c r="G91" s="292"/>
      <c r="H91" s="293">
        <f>SUM(D90:H90)</f>
        <v>347.36498383999998</v>
      </c>
      <c r="N91">
        <v>145.40636861544002</v>
      </c>
      <c r="O91" s="20"/>
      <c r="P91" s="20"/>
      <c r="Q91" s="147"/>
      <c r="R91" s="197"/>
      <c r="S91" s="197"/>
      <c r="T91" s="197"/>
      <c r="U91" s="197"/>
    </row>
    <row r="92" spans="1:51" ht="15.75" thickBot="1" x14ac:dyDescent="0.3">
      <c r="A92" s="1"/>
      <c r="B92" s="2"/>
      <c r="C92" s="1"/>
      <c r="D92" s="294"/>
      <c r="E92" s="295"/>
      <c r="F92" s="295"/>
      <c r="G92" s="295"/>
      <c r="H92" s="296"/>
      <c r="O92" s="20"/>
      <c r="P92" s="20"/>
      <c r="Q92" s="147"/>
      <c r="R92" s="197"/>
      <c r="S92" s="197"/>
      <c r="T92" s="197"/>
      <c r="U92" s="197"/>
    </row>
    <row r="93" spans="1:51" ht="15" x14ac:dyDescent="0.25">
      <c r="A93" s="1">
        <v>10</v>
      </c>
      <c r="B93" s="2" t="s">
        <v>24</v>
      </c>
      <c r="C93" s="1" t="s">
        <v>8</v>
      </c>
      <c r="D93" s="285">
        <v>0</v>
      </c>
      <c r="E93" s="286">
        <v>5.7486316000000004</v>
      </c>
      <c r="F93" s="286">
        <v>0</v>
      </c>
      <c r="G93" s="286">
        <v>16.1388277</v>
      </c>
      <c r="H93" s="287">
        <v>1.9431316199999999</v>
      </c>
      <c r="J93">
        <v>0</v>
      </c>
      <c r="K93">
        <v>-56.989754534049993</v>
      </c>
      <c r="L93">
        <v>-27.516994168144002</v>
      </c>
      <c r="M93">
        <v>-48.931417991979991</v>
      </c>
      <c r="N93">
        <v>-149.73163242408003</v>
      </c>
      <c r="O93" s="20"/>
      <c r="P93" s="20"/>
      <c r="Q93" s="147">
        <v>3.3460617989414236E-2</v>
      </c>
      <c r="R93" s="197">
        <v>0.66599999999999993</v>
      </c>
      <c r="S93" s="197">
        <v>4.5549999999999997</v>
      </c>
      <c r="T93" s="197">
        <v>0.60039794540960334</v>
      </c>
      <c r="U93" s="197">
        <v>0.90789473684210531</v>
      </c>
      <c r="V93" s="20">
        <f t="shared" ref="V93:Y98" si="90">IF(K93&gt;0,((E93-K93)*$Q93*$R93*10)+(K93*$O$12*$Q93*$R93*10),(E93*$Q93*$R93*10))</f>
        <v>1.2810694210903042</v>
      </c>
      <c r="W93" s="20">
        <f t="shared" si="90"/>
        <v>0</v>
      </c>
      <c r="X93" s="20">
        <f t="shared" si="90"/>
        <v>3.596500888788067</v>
      </c>
      <c r="Y93" s="20">
        <f t="shared" si="90"/>
        <v>0.43302244303421106</v>
      </c>
      <c r="Z93" s="20">
        <f t="shared" ref="Z93:AC98" si="91">V93*(EXP(1.01-0.34*LN(Z$8))*(1-$T93)+(1*$T93))</f>
        <v>0.92480848192226683</v>
      </c>
      <c r="AA93" s="20">
        <f t="shared" si="91"/>
        <v>0</v>
      </c>
      <c r="AB93" s="20">
        <f t="shared" si="91"/>
        <v>2.6356662047550654</v>
      </c>
      <c r="AC93" s="20">
        <f t="shared" si="91"/>
        <v>0.30501799037100225</v>
      </c>
      <c r="AD93" s="20">
        <f t="shared" ref="AD93:AD98" si="92">SUM(Z93:AC93)</f>
        <v>3.8654926770483344</v>
      </c>
      <c r="AE93" s="20">
        <f t="shared" ref="AE93:AH98" si="93">IF(K93&gt;0,((E93-K93)*$Q93*$S93*10)+(K93*$P$12*$Q93*$S93)*10,(E93*$Q93*$S93*10))</f>
        <v>8.7616684880875937</v>
      </c>
      <c r="AF93" s="20">
        <f t="shared" si="93"/>
        <v>0</v>
      </c>
      <c r="AG93" s="20">
        <f t="shared" si="93"/>
        <v>24.597690012657125</v>
      </c>
      <c r="AH93" s="20">
        <f t="shared" si="93"/>
        <v>2.9615874294607076</v>
      </c>
      <c r="AI93" s="20">
        <f t="shared" ref="AI93:AL98" si="94">AE93*(EXP(1.01-0.34*LN(AI$8))*(1-$T93)+(1*$T93))</f>
        <v>6.3250790317656556</v>
      </c>
      <c r="AJ93" s="20">
        <f t="shared" si="94"/>
        <v>0</v>
      </c>
      <c r="AK93" s="20">
        <f t="shared" si="94"/>
        <v>18.026215559548532</v>
      </c>
      <c r="AL93" s="20">
        <f t="shared" si="94"/>
        <v>2.0861215407506233</v>
      </c>
      <c r="AM93" s="20">
        <f t="shared" ref="AM93:AM98" si="95">SUM(AI93:AL93)</f>
        <v>26.437416132064811</v>
      </c>
      <c r="AO93">
        <f t="shared" ref="AO93:AR98" si="96">Z93*AO$10</f>
        <v>1.3175669257756288</v>
      </c>
      <c r="AP93">
        <f t="shared" si="96"/>
        <v>0</v>
      </c>
      <c r="AQ93">
        <f t="shared" si="96"/>
        <v>3.4704838579317947</v>
      </c>
      <c r="AR93">
        <f t="shared" si="96"/>
        <v>0.37133381661102011</v>
      </c>
      <c r="AS93">
        <f t="shared" ref="AS93:AS98" si="97">SUM(AO93:AR93)</f>
        <v>5.159384600318444</v>
      </c>
      <c r="AU93">
        <f t="shared" ref="AU93:AX98" si="98">AI93*AU$10</f>
        <v>9.0112873076696562</v>
      </c>
      <c r="AV93">
        <f t="shared" si="98"/>
        <v>0</v>
      </c>
      <c r="AW93">
        <f t="shared" si="98"/>
        <v>23.735816776095081</v>
      </c>
      <c r="AX93">
        <f t="shared" si="98"/>
        <v>2.5396779799747695</v>
      </c>
      <c r="AY93">
        <f t="shared" ref="AY93:AY98" si="99">SUM(AU93:AX93)</f>
        <v>35.286782063739508</v>
      </c>
    </row>
    <row r="94" spans="1:51" ht="15" x14ac:dyDescent="0.25">
      <c r="A94" s="1"/>
      <c r="B94" s="2"/>
      <c r="C94" s="1" t="s">
        <v>9</v>
      </c>
      <c r="D94" s="285">
        <v>0</v>
      </c>
      <c r="E94" s="286">
        <v>0</v>
      </c>
      <c r="F94" s="286">
        <v>0</v>
      </c>
      <c r="G94" s="286">
        <v>0</v>
      </c>
      <c r="H94" s="287">
        <v>0</v>
      </c>
      <c r="J94">
        <v>0</v>
      </c>
      <c r="K94">
        <v>0</v>
      </c>
      <c r="L94">
        <v>-9.3874204262299997E-3</v>
      </c>
      <c r="M94">
        <v>-3.0016664161599999E-2</v>
      </c>
      <c r="N94">
        <v>-2.2121547666349999</v>
      </c>
      <c r="O94" s="20"/>
      <c r="P94" s="20"/>
      <c r="Q94" s="147"/>
      <c r="R94" s="197">
        <v>0.66599999999999993</v>
      </c>
      <c r="S94" s="197">
        <v>4.5549999999999997</v>
      </c>
      <c r="T94" s="197">
        <v>0.60039794540960334</v>
      </c>
      <c r="U94" s="197">
        <v>0.90789473684210531</v>
      </c>
      <c r="V94" s="20">
        <f t="shared" si="90"/>
        <v>0</v>
      </c>
      <c r="W94" s="20">
        <f t="shared" si="90"/>
        <v>0</v>
      </c>
      <c r="X94" s="20">
        <f t="shared" si="90"/>
        <v>0</v>
      </c>
      <c r="Y94" s="20">
        <f t="shared" si="90"/>
        <v>0</v>
      </c>
      <c r="Z94" s="20">
        <f t="shared" si="91"/>
        <v>0</v>
      </c>
      <c r="AA94" s="20">
        <f t="shared" si="91"/>
        <v>0</v>
      </c>
      <c r="AB94" s="20">
        <f t="shared" si="91"/>
        <v>0</v>
      </c>
      <c r="AC94" s="20">
        <f t="shared" si="91"/>
        <v>0</v>
      </c>
      <c r="AD94" s="20">
        <f t="shared" si="92"/>
        <v>0</v>
      </c>
      <c r="AE94" s="20">
        <f t="shared" si="93"/>
        <v>0</v>
      </c>
      <c r="AF94" s="20">
        <f t="shared" si="93"/>
        <v>0</v>
      </c>
      <c r="AG94" s="20">
        <f t="shared" si="93"/>
        <v>0</v>
      </c>
      <c r="AH94" s="20">
        <f t="shared" si="93"/>
        <v>0</v>
      </c>
      <c r="AI94" s="20">
        <f t="shared" si="94"/>
        <v>0</v>
      </c>
      <c r="AJ94" s="20">
        <f t="shared" si="94"/>
        <v>0</v>
      </c>
      <c r="AK94" s="20">
        <f t="shared" si="94"/>
        <v>0</v>
      </c>
      <c r="AL94" s="20">
        <f t="shared" si="94"/>
        <v>0</v>
      </c>
      <c r="AM94" s="20">
        <f t="shared" si="95"/>
        <v>0</v>
      </c>
      <c r="AO94">
        <f t="shared" si="96"/>
        <v>0</v>
      </c>
      <c r="AP94">
        <f t="shared" si="96"/>
        <v>0</v>
      </c>
      <c r="AQ94">
        <f t="shared" si="96"/>
        <v>0</v>
      </c>
      <c r="AR94">
        <f t="shared" si="96"/>
        <v>0</v>
      </c>
      <c r="AS94">
        <f t="shared" si="97"/>
        <v>0</v>
      </c>
      <c r="AU94">
        <f t="shared" si="98"/>
        <v>0</v>
      </c>
      <c r="AV94">
        <f t="shared" si="98"/>
        <v>0</v>
      </c>
      <c r="AW94">
        <f t="shared" si="98"/>
        <v>0</v>
      </c>
      <c r="AX94">
        <f t="shared" si="98"/>
        <v>0</v>
      </c>
      <c r="AY94">
        <f t="shared" si="99"/>
        <v>0</v>
      </c>
    </row>
    <row r="95" spans="1:51" ht="15" x14ac:dyDescent="0.25">
      <c r="A95" s="1"/>
      <c r="B95" s="2"/>
      <c r="C95" s="1" t="s">
        <v>10</v>
      </c>
      <c r="D95" s="285">
        <v>0</v>
      </c>
      <c r="E95" s="286">
        <v>0</v>
      </c>
      <c r="F95" s="286">
        <v>0</v>
      </c>
      <c r="G95" s="286">
        <v>0.15779884</v>
      </c>
      <c r="H95" s="287">
        <v>0</v>
      </c>
      <c r="J95">
        <v>0</v>
      </c>
      <c r="K95">
        <v>-3.25819994069</v>
      </c>
      <c r="L95">
        <v>0</v>
      </c>
      <c r="M95">
        <v>-0.39056961641400001</v>
      </c>
      <c r="N95">
        <v>-6.3553800042879995</v>
      </c>
      <c r="O95" s="20"/>
      <c r="P95" s="20"/>
      <c r="Q95" s="147">
        <v>8.2381853968242727E-2</v>
      </c>
      <c r="R95" s="197">
        <v>0.66599999999999993</v>
      </c>
      <c r="S95" s="197">
        <v>4.5549999999999997</v>
      </c>
      <c r="T95" s="197">
        <v>0.60039794540960334</v>
      </c>
      <c r="U95" s="197">
        <v>0.90789473684210531</v>
      </c>
      <c r="V95" s="20">
        <f t="shared" si="90"/>
        <v>0</v>
      </c>
      <c r="W95" s="20">
        <f t="shared" si="90"/>
        <v>0</v>
      </c>
      <c r="X95" s="20">
        <f t="shared" si="90"/>
        <v>8.6578408214965721E-2</v>
      </c>
      <c r="Y95" s="20">
        <f t="shared" si="90"/>
        <v>0</v>
      </c>
      <c r="Z95" s="20">
        <f t="shared" si="91"/>
        <v>0</v>
      </c>
      <c r="AA95" s="20">
        <f t="shared" si="91"/>
        <v>0</v>
      </c>
      <c r="AB95" s="20">
        <f t="shared" si="91"/>
        <v>6.3448276991964966E-2</v>
      </c>
      <c r="AC95" s="20">
        <f t="shared" si="91"/>
        <v>0</v>
      </c>
      <c r="AD95" s="20">
        <f t="shared" si="92"/>
        <v>6.3448276991964966E-2</v>
      </c>
      <c r="AE95" s="20">
        <f t="shared" si="93"/>
        <v>0</v>
      </c>
      <c r="AF95" s="20">
        <f t="shared" si="93"/>
        <v>0</v>
      </c>
      <c r="AG95" s="20">
        <f t="shared" si="93"/>
        <v>0.59213911324199531</v>
      </c>
      <c r="AH95" s="20">
        <f t="shared" si="93"/>
        <v>0</v>
      </c>
      <c r="AI95" s="20">
        <f t="shared" si="94"/>
        <v>0</v>
      </c>
      <c r="AJ95" s="20">
        <f t="shared" si="94"/>
        <v>0</v>
      </c>
      <c r="AK95" s="20">
        <f t="shared" si="94"/>
        <v>0.43394429684444508</v>
      </c>
      <c r="AL95" s="20">
        <f t="shared" si="94"/>
        <v>0</v>
      </c>
      <c r="AM95" s="20">
        <f t="shared" si="95"/>
        <v>0.43394429684444508</v>
      </c>
      <c r="AO95">
        <f t="shared" si="96"/>
        <v>0</v>
      </c>
      <c r="AP95">
        <f t="shared" si="96"/>
        <v>0</v>
      </c>
      <c r="AQ95">
        <f t="shared" si="96"/>
        <v>8.3544805756107773E-2</v>
      </c>
      <c r="AR95">
        <f t="shared" si="96"/>
        <v>0</v>
      </c>
      <c r="AS95">
        <f t="shared" si="97"/>
        <v>8.3544805756107773E-2</v>
      </c>
      <c r="AU95">
        <f t="shared" si="98"/>
        <v>0</v>
      </c>
      <c r="AV95">
        <f t="shared" si="98"/>
        <v>0</v>
      </c>
      <c r="AW95">
        <f t="shared" si="98"/>
        <v>0.57139127660521161</v>
      </c>
      <c r="AX95">
        <f t="shared" si="98"/>
        <v>0</v>
      </c>
      <c r="AY95">
        <f t="shared" si="99"/>
        <v>0.57139127660521161</v>
      </c>
    </row>
    <row r="96" spans="1:51" ht="15" x14ac:dyDescent="0.25">
      <c r="A96" s="1"/>
      <c r="B96" s="2"/>
      <c r="C96" s="1" t="s">
        <v>11</v>
      </c>
      <c r="D96" s="285">
        <v>0</v>
      </c>
      <c r="E96" s="286">
        <v>0</v>
      </c>
      <c r="F96" s="286">
        <v>0</v>
      </c>
      <c r="G96" s="286">
        <v>0</v>
      </c>
      <c r="H96" s="287">
        <v>0</v>
      </c>
      <c r="J96">
        <v>0</v>
      </c>
      <c r="K96">
        <v>0</v>
      </c>
      <c r="L96">
        <v>0</v>
      </c>
      <c r="M96">
        <v>-1.52974340484</v>
      </c>
      <c r="N96">
        <v>-0.49902798576060003</v>
      </c>
      <c r="O96" s="20"/>
      <c r="P96" s="20"/>
      <c r="Q96" s="147"/>
      <c r="R96" s="197">
        <v>0.66599999999999993</v>
      </c>
      <c r="S96" s="197">
        <v>4.5549999999999997</v>
      </c>
      <c r="T96" s="197">
        <v>0.60039794540960334</v>
      </c>
      <c r="U96" s="197">
        <v>0.90789473684210531</v>
      </c>
      <c r="V96" s="20">
        <f t="shared" si="90"/>
        <v>0</v>
      </c>
      <c r="W96" s="20">
        <f t="shared" si="90"/>
        <v>0</v>
      </c>
      <c r="X96" s="20">
        <f t="shared" si="90"/>
        <v>0</v>
      </c>
      <c r="Y96" s="20">
        <f t="shared" si="90"/>
        <v>0</v>
      </c>
      <c r="Z96" s="20">
        <f t="shared" si="91"/>
        <v>0</v>
      </c>
      <c r="AA96" s="20">
        <f t="shared" si="91"/>
        <v>0</v>
      </c>
      <c r="AB96" s="20">
        <f t="shared" si="91"/>
        <v>0</v>
      </c>
      <c r="AC96" s="20">
        <f t="shared" si="91"/>
        <v>0</v>
      </c>
      <c r="AD96" s="20">
        <f t="shared" si="92"/>
        <v>0</v>
      </c>
      <c r="AE96" s="20">
        <f t="shared" si="93"/>
        <v>0</v>
      </c>
      <c r="AF96" s="20">
        <f t="shared" si="93"/>
        <v>0</v>
      </c>
      <c r="AG96" s="20">
        <f t="shared" si="93"/>
        <v>0</v>
      </c>
      <c r="AH96" s="20">
        <f t="shared" si="93"/>
        <v>0</v>
      </c>
      <c r="AI96" s="20">
        <f t="shared" si="94"/>
        <v>0</v>
      </c>
      <c r="AJ96" s="20">
        <f t="shared" si="94"/>
        <v>0</v>
      </c>
      <c r="AK96" s="20">
        <f t="shared" si="94"/>
        <v>0</v>
      </c>
      <c r="AL96" s="20">
        <f t="shared" si="94"/>
        <v>0</v>
      </c>
      <c r="AM96" s="20">
        <f t="shared" si="95"/>
        <v>0</v>
      </c>
      <c r="AO96">
        <f t="shared" si="96"/>
        <v>0</v>
      </c>
      <c r="AP96">
        <f t="shared" si="96"/>
        <v>0</v>
      </c>
      <c r="AQ96">
        <f t="shared" si="96"/>
        <v>0</v>
      </c>
      <c r="AR96">
        <f t="shared" si="96"/>
        <v>0</v>
      </c>
      <c r="AS96">
        <f t="shared" si="97"/>
        <v>0</v>
      </c>
      <c r="AU96">
        <f t="shared" si="98"/>
        <v>0</v>
      </c>
      <c r="AV96">
        <f t="shared" si="98"/>
        <v>0</v>
      </c>
      <c r="AW96">
        <f t="shared" si="98"/>
        <v>0</v>
      </c>
      <c r="AX96">
        <f t="shared" si="98"/>
        <v>0</v>
      </c>
      <c r="AY96">
        <f t="shared" si="99"/>
        <v>0</v>
      </c>
    </row>
    <row r="97" spans="1:51" ht="15" x14ac:dyDescent="0.25">
      <c r="A97" s="1"/>
      <c r="B97" s="2"/>
      <c r="C97" s="1" t="s">
        <v>12</v>
      </c>
      <c r="D97" s="285">
        <v>0</v>
      </c>
      <c r="E97" s="286">
        <v>0</v>
      </c>
      <c r="F97" s="286">
        <v>0</v>
      </c>
      <c r="G97" s="286">
        <v>0</v>
      </c>
      <c r="H97" s="28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20"/>
      <c r="P97" s="20"/>
      <c r="Q97" s="147"/>
      <c r="R97" s="197">
        <v>0.66599999999999993</v>
      </c>
      <c r="S97" s="197">
        <v>4.5549999999999997</v>
      </c>
      <c r="T97" s="197">
        <v>0.60039794540960334</v>
      </c>
      <c r="U97" s="197">
        <v>0.90789473684210531</v>
      </c>
      <c r="V97" s="20">
        <f t="shared" si="90"/>
        <v>0</v>
      </c>
      <c r="W97" s="20">
        <f t="shared" si="90"/>
        <v>0</v>
      </c>
      <c r="X97" s="20">
        <f t="shared" si="90"/>
        <v>0</v>
      </c>
      <c r="Y97" s="20">
        <f t="shared" si="90"/>
        <v>0</v>
      </c>
      <c r="Z97" s="20">
        <f t="shared" si="91"/>
        <v>0</v>
      </c>
      <c r="AA97" s="20">
        <f t="shared" si="91"/>
        <v>0</v>
      </c>
      <c r="AB97" s="20">
        <f t="shared" si="91"/>
        <v>0</v>
      </c>
      <c r="AC97" s="20">
        <f t="shared" si="91"/>
        <v>0</v>
      </c>
      <c r="AD97" s="20">
        <f t="shared" si="92"/>
        <v>0</v>
      </c>
      <c r="AE97" s="20">
        <f t="shared" si="93"/>
        <v>0</v>
      </c>
      <c r="AF97" s="20">
        <f t="shared" si="93"/>
        <v>0</v>
      </c>
      <c r="AG97" s="20">
        <f t="shared" si="93"/>
        <v>0</v>
      </c>
      <c r="AH97" s="20">
        <f t="shared" si="93"/>
        <v>0</v>
      </c>
      <c r="AI97" s="20">
        <f t="shared" si="94"/>
        <v>0</v>
      </c>
      <c r="AJ97" s="20">
        <f t="shared" si="94"/>
        <v>0</v>
      </c>
      <c r="AK97" s="20">
        <f t="shared" si="94"/>
        <v>0</v>
      </c>
      <c r="AL97" s="20">
        <f t="shared" si="94"/>
        <v>0</v>
      </c>
      <c r="AM97" s="20">
        <f t="shared" si="95"/>
        <v>0</v>
      </c>
      <c r="AO97">
        <f t="shared" si="96"/>
        <v>0</v>
      </c>
      <c r="AP97">
        <f t="shared" si="96"/>
        <v>0</v>
      </c>
      <c r="AQ97">
        <f t="shared" si="96"/>
        <v>0</v>
      </c>
      <c r="AR97">
        <f t="shared" si="96"/>
        <v>0</v>
      </c>
      <c r="AS97">
        <f t="shared" si="97"/>
        <v>0</v>
      </c>
      <c r="AU97">
        <f t="shared" si="98"/>
        <v>0</v>
      </c>
      <c r="AV97">
        <f t="shared" si="98"/>
        <v>0</v>
      </c>
      <c r="AW97">
        <f t="shared" si="98"/>
        <v>0</v>
      </c>
      <c r="AX97">
        <f t="shared" si="98"/>
        <v>0</v>
      </c>
      <c r="AY97">
        <f t="shared" si="99"/>
        <v>0</v>
      </c>
    </row>
    <row r="98" spans="1:51" ht="15" x14ac:dyDescent="0.25">
      <c r="A98" s="1"/>
      <c r="B98" s="2"/>
      <c r="C98" s="1" t="s">
        <v>13</v>
      </c>
      <c r="D98" s="285">
        <v>0</v>
      </c>
      <c r="E98" s="286">
        <v>0</v>
      </c>
      <c r="F98" s="286">
        <v>0</v>
      </c>
      <c r="G98" s="286">
        <v>0</v>
      </c>
      <c r="H98" s="287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20"/>
      <c r="P98" s="20"/>
      <c r="Q98" s="147"/>
      <c r="R98" s="197">
        <v>0.66599999999999993</v>
      </c>
      <c r="S98" s="197">
        <v>4.5549999999999997</v>
      </c>
      <c r="T98" s="197">
        <v>0.60039794540960334</v>
      </c>
      <c r="U98" s="197">
        <v>0.90789473684210531</v>
      </c>
      <c r="V98" s="20">
        <f t="shared" si="90"/>
        <v>0</v>
      </c>
      <c r="W98" s="20">
        <f t="shared" si="90"/>
        <v>0</v>
      </c>
      <c r="X98" s="20">
        <f t="shared" si="90"/>
        <v>0</v>
      </c>
      <c r="Y98" s="20">
        <f t="shared" si="90"/>
        <v>0</v>
      </c>
      <c r="Z98" s="20">
        <f t="shared" si="91"/>
        <v>0</v>
      </c>
      <c r="AA98" s="20">
        <f t="shared" si="91"/>
        <v>0</v>
      </c>
      <c r="AB98" s="20">
        <f t="shared" si="91"/>
        <v>0</v>
      </c>
      <c r="AC98" s="20">
        <f t="shared" si="91"/>
        <v>0</v>
      </c>
      <c r="AD98" s="20">
        <f t="shared" si="92"/>
        <v>0</v>
      </c>
      <c r="AE98" s="20">
        <f t="shared" si="93"/>
        <v>0</v>
      </c>
      <c r="AF98" s="20">
        <f t="shared" si="93"/>
        <v>0</v>
      </c>
      <c r="AG98" s="20">
        <f t="shared" si="93"/>
        <v>0</v>
      </c>
      <c r="AH98" s="20">
        <f t="shared" si="93"/>
        <v>0</v>
      </c>
      <c r="AI98" s="20">
        <f t="shared" si="94"/>
        <v>0</v>
      </c>
      <c r="AJ98" s="20">
        <f t="shared" si="94"/>
        <v>0</v>
      </c>
      <c r="AK98" s="20">
        <f t="shared" si="94"/>
        <v>0</v>
      </c>
      <c r="AL98" s="20">
        <f t="shared" si="94"/>
        <v>0</v>
      </c>
      <c r="AM98" s="20">
        <f t="shared" si="95"/>
        <v>0</v>
      </c>
      <c r="AO98">
        <f t="shared" si="96"/>
        <v>0</v>
      </c>
      <c r="AP98">
        <f t="shared" si="96"/>
        <v>0</v>
      </c>
      <c r="AQ98">
        <f t="shared" si="96"/>
        <v>0</v>
      </c>
      <c r="AR98">
        <f t="shared" si="96"/>
        <v>0</v>
      </c>
      <c r="AS98">
        <f t="shared" si="97"/>
        <v>0</v>
      </c>
      <c r="AU98">
        <f t="shared" si="98"/>
        <v>0</v>
      </c>
      <c r="AV98">
        <f t="shared" si="98"/>
        <v>0</v>
      </c>
      <c r="AW98">
        <f t="shared" si="98"/>
        <v>0</v>
      </c>
      <c r="AX98">
        <f t="shared" si="98"/>
        <v>0</v>
      </c>
      <c r="AY98">
        <f t="shared" si="99"/>
        <v>0</v>
      </c>
    </row>
    <row r="99" spans="1:51" ht="15" x14ac:dyDescent="0.25">
      <c r="A99" s="7"/>
      <c r="B99" s="8" t="s">
        <v>14</v>
      </c>
      <c r="C99" s="7"/>
      <c r="D99" s="288">
        <f>SUM(D93:D98)</f>
        <v>0</v>
      </c>
      <c r="E99" s="289">
        <f>SUM(E93:E98)</f>
        <v>5.7486316000000004</v>
      </c>
      <c r="F99" s="289">
        <f>SUM(F93:F98)</f>
        <v>0</v>
      </c>
      <c r="G99" s="289">
        <f>SUM(G93:G98)</f>
        <v>16.296626540000002</v>
      </c>
      <c r="H99" s="290">
        <f>SUM(H93:H98)</f>
        <v>1.9431316199999999</v>
      </c>
      <c r="J99">
        <v>0</v>
      </c>
      <c r="K99">
        <v>-60.247954474739991</v>
      </c>
      <c r="L99">
        <v>-27.526381588570231</v>
      </c>
      <c r="M99">
        <v>-50.881747677395587</v>
      </c>
      <c r="N99">
        <v>-158.79819518076363</v>
      </c>
      <c r="O99" s="20"/>
      <c r="P99" s="20"/>
      <c r="Q99" s="147"/>
      <c r="R99" s="197"/>
      <c r="S99" s="197"/>
      <c r="T99" s="197"/>
      <c r="U99" s="197"/>
    </row>
    <row r="100" spans="1:51" ht="15" x14ac:dyDescent="0.25">
      <c r="A100" s="10"/>
      <c r="B100" s="9" t="s">
        <v>15</v>
      </c>
      <c r="C100" s="5"/>
      <c r="D100" s="291"/>
      <c r="E100" s="292"/>
      <c r="F100" s="292"/>
      <c r="G100" s="292"/>
      <c r="H100" s="293">
        <f>SUM(D99:H99)</f>
        <v>23.98838976</v>
      </c>
      <c r="N100">
        <v>-297.45427892146944</v>
      </c>
      <c r="O100" s="20"/>
      <c r="P100" s="20"/>
      <c r="Q100" s="147"/>
      <c r="R100" s="197"/>
      <c r="S100" s="197"/>
      <c r="T100" s="197"/>
      <c r="U100" s="197"/>
    </row>
    <row r="101" spans="1:51" ht="15.75" thickBot="1" x14ac:dyDescent="0.3">
      <c r="A101" s="1"/>
      <c r="B101" s="2"/>
      <c r="C101" s="1"/>
      <c r="D101" s="297"/>
      <c r="E101" s="298"/>
      <c r="F101" s="298"/>
      <c r="G101" s="298"/>
      <c r="H101" s="299"/>
      <c r="O101" s="20"/>
      <c r="P101" s="20"/>
      <c r="Q101" s="147"/>
      <c r="R101" s="197"/>
      <c r="S101" s="197"/>
      <c r="T101" s="197"/>
      <c r="U101" s="197"/>
    </row>
    <row r="102" spans="1:51" ht="15" x14ac:dyDescent="0.25">
      <c r="A102" s="1">
        <v>11</v>
      </c>
      <c r="B102" s="2" t="s">
        <v>25</v>
      </c>
      <c r="C102" s="1" t="s">
        <v>8</v>
      </c>
      <c r="D102" s="282">
        <v>0</v>
      </c>
      <c r="E102" s="283">
        <v>9.2207803199999994</v>
      </c>
      <c r="F102" s="283">
        <v>31.275141869999999</v>
      </c>
      <c r="G102" s="283">
        <v>74.482870239999997</v>
      </c>
      <c r="H102" s="284">
        <v>51.986484949999998</v>
      </c>
      <c r="J102">
        <v>0</v>
      </c>
      <c r="K102">
        <v>-41.170489095640008</v>
      </c>
      <c r="L102">
        <v>-34.5437547306</v>
      </c>
      <c r="M102">
        <v>-51.238298047768993</v>
      </c>
      <c r="N102">
        <v>-71.698947157092022</v>
      </c>
      <c r="O102" s="20"/>
      <c r="P102" s="20"/>
      <c r="Q102" s="147">
        <v>3.3460617989414236E-2</v>
      </c>
      <c r="R102" s="197">
        <v>0.14000000000000001</v>
      </c>
      <c r="S102" s="197">
        <v>2.0499999999999998</v>
      </c>
      <c r="T102" s="197">
        <v>0.62857142857142845</v>
      </c>
      <c r="U102" s="197">
        <v>0.90789473684210531</v>
      </c>
      <c r="V102" s="20">
        <f t="shared" ref="V102:Y107" si="100">IF(K102&gt;0,((E102-K102)*$Q102*$R102*10)+(K102*$O$12*$Q102*$R102*10),(E102*$Q102*$R102*10))</f>
        <v>0.43194621099256031</v>
      </c>
      <c r="W102" s="20">
        <f t="shared" si="100"/>
        <v>1.4650798045475262</v>
      </c>
      <c r="X102" s="20">
        <f t="shared" si="100"/>
        <v>3.4891400149980507</v>
      </c>
      <c r="Y102" s="20">
        <f t="shared" si="100"/>
        <v>2.4352998789341354</v>
      </c>
      <c r="Z102" s="20">
        <f t="shared" ref="Z102:AC107" si="101">V102*(EXP(1.01-0.34*LN(Z$8))*(1-$T102)+(1*$T102))</f>
        <v>0.3202925910822278</v>
      </c>
      <c r="AA102" s="20">
        <f t="shared" si="101"/>
        <v>1.0972571616112798</v>
      </c>
      <c r="AB102" s="20">
        <f t="shared" si="101"/>
        <v>2.6227079970458398</v>
      </c>
      <c r="AC102" s="20">
        <f t="shared" si="101"/>
        <v>1.7661633893161792</v>
      </c>
      <c r="AD102" s="20">
        <f t="shared" ref="AD102:AD107" si="102">SUM(Z102:AC102)</f>
        <v>5.8064211390555265</v>
      </c>
      <c r="AE102" s="20">
        <f t="shared" ref="AE102:AH107" si="103">IF(K102&gt;0,((E102-K102)*$Q102*$S102*10)+(K102*$P$12*$Q102*$S102)*10,(E102*$Q102*$S102*10))</f>
        <v>6.3249266609624888</v>
      </c>
      <c r="AF102" s="20">
        <f t="shared" si="103"/>
        <v>21.452954280874486</v>
      </c>
      <c r="AG102" s="20">
        <f t="shared" si="103"/>
        <v>51.090978791042872</v>
      </c>
      <c r="AH102" s="20">
        <f t="shared" si="103"/>
        <v>35.659748227249835</v>
      </c>
      <c r="AI102" s="20">
        <f t="shared" ref="AI102:AL107" si="104">AE102*(EXP(1.01-0.34*LN(AI$8))*(1-$T102)+(1*$T102))</f>
        <v>4.6899986551326203</v>
      </c>
      <c r="AJ102" s="20">
        <f t="shared" si="104"/>
        <v>16.066979866450882</v>
      </c>
      <c r="AK102" s="20">
        <f t="shared" si="104"/>
        <v>38.40393852817121</v>
      </c>
      <c r="AL102" s="20">
        <f t="shared" si="104"/>
        <v>25.861678200701192</v>
      </c>
      <c r="AM102" s="20">
        <f t="shared" ref="AM102:AM107" si="105">SUM(AI102:AL102)</f>
        <v>85.022595250455907</v>
      </c>
      <c r="AO102">
        <f t="shared" ref="AO102:AR107" si="106">Z102*AO$10</f>
        <v>0.4563181813641633</v>
      </c>
      <c r="AP102">
        <f t="shared" si="106"/>
        <v>1.3698226407914071</v>
      </c>
      <c r="AQ102">
        <f t="shared" si="106"/>
        <v>3.4534212835430269</v>
      </c>
      <c r="AR102">
        <f t="shared" si="106"/>
        <v>2.1501557705357612</v>
      </c>
      <c r="AS102">
        <f t="shared" ref="AS102:AS107" si="107">SUM(AO102:AR102)</f>
        <v>7.4297178762343581</v>
      </c>
      <c r="AU102">
        <f t="shared" ref="AU102:AX107" si="108">AI102*AU$10</f>
        <v>6.6818019414038181</v>
      </c>
      <c r="AV102">
        <f t="shared" si="108"/>
        <v>20.058117240159891</v>
      </c>
      <c r="AW102">
        <f t="shared" si="108"/>
        <v>50.567954509022876</v>
      </c>
      <c r="AX102">
        <f t="shared" si="108"/>
        <v>31.484423782845074</v>
      </c>
      <c r="AY102">
        <f t="shared" ref="AY102:AY107" si="109">SUM(AU102:AX102)</f>
        <v>108.79229747343166</v>
      </c>
    </row>
    <row r="103" spans="1:51" ht="15" x14ac:dyDescent="0.25">
      <c r="A103" s="1"/>
      <c r="B103" s="2"/>
      <c r="C103" s="1" t="s">
        <v>9</v>
      </c>
      <c r="D103" s="285">
        <v>0</v>
      </c>
      <c r="E103" s="286">
        <v>0</v>
      </c>
      <c r="F103" s="286">
        <v>0</v>
      </c>
      <c r="G103" s="286">
        <v>0</v>
      </c>
      <c r="H103" s="287">
        <v>3.3619200000000002E-2</v>
      </c>
      <c r="J103">
        <v>0</v>
      </c>
      <c r="K103">
        <v>0</v>
      </c>
      <c r="L103">
        <v>-1.0335454985200001</v>
      </c>
      <c r="M103">
        <v>-1.1748921289900001</v>
      </c>
      <c r="N103">
        <v>-2.7248169904819997</v>
      </c>
      <c r="O103" s="20"/>
      <c r="P103" s="20"/>
      <c r="Q103" s="147">
        <v>5.7921235978828478E-2</v>
      </c>
      <c r="R103" s="197">
        <v>0.14000000000000001</v>
      </c>
      <c r="S103" s="197">
        <v>2.0499999999999998</v>
      </c>
      <c r="T103" s="197">
        <v>0.62857142857142845</v>
      </c>
      <c r="U103" s="197">
        <v>0.90789473684210531</v>
      </c>
      <c r="V103" s="20">
        <f t="shared" si="100"/>
        <v>0</v>
      </c>
      <c r="W103" s="20">
        <f t="shared" si="100"/>
        <v>0</v>
      </c>
      <c r="X103" s="20">
        <f t="shared" si="100"/>
        <v>0</v>
      </c>
      <c r="Y103" s="20">
        <f t="shared" si="100"/>
        <v>2.7261718632672028E-3</v>
      </c>
      <c r="Z103" s="20">
        <f t="shared" si="101"/>
        <v>0</v>
      </c>
      <c r="AA103" s="20">
        <f t="shared" si="101"/>
        <v>0</v>
      </c>
      <c r="AB103" s="20">
        <f t="shared" si="101"/>
        <v>0</v>
      </c>
      <c r="AC103" s="20">
        <f t="shared" si="101"/>
        <v>1.9771137754064777E-3</v>
      </c>
      <c r="AD103" s="20">
        <f t="shared" si="102"/>
        <v>1.9771137754064777E-3</v>
      </c>
      <c r="AE103" s="20">
        <f t="shared" si="103"/>
        <v>0</v>
      </c>
      <c r="AF103" s="20">
        <f t="shared" si="103"/>
        <v>0</v>
      </c>
      <c r="AG103" s="20">
        <f t="shared" si="103"/>
        <v>0</v>
      </c>
      <c r="AH103" s="20">
        <f t="shared" si="103"/>
        <v>3.9918945140698318E-2</v>
      </c>
      <c r="AI103" s="20">
        <f t="shared" si="104"/>
        <v>0</v>
      </c>
      <c r="AJ103" s="20">
        <f t="shared" si="104"/>
        <v>0</v>
      </c>
      <c r="AK103" s="20">
        <f t="shared" si="104"/>
        <v>0</v>
      </c>
      <c r="AL103" s="20">
        <f t="shared" si="104"/>
        <v>2.895059456845199E-2</v>
      </c>
      <c r="AM103" s="20">
        <f t="shared" si="105"/>
        <v>2.895059456845199E-2</v>
      </c>
      <c r="AO103">
        <f t="shared" si="106"/>
        <v>0</v>
      </c>
      <c r="AP103">
        <f t="shared" si="106"/>
        <v>0</v>
      </c>
      <c r="AQ103">
        <f t="shared" si="106"/>
        <v>0</v>
      </c>
      <c r="AR103">
        <f t="shared" si="106"/>
        <v>2.4069701698674205E-3</v>
      </c>
      <c r="AS103">
        <f t="shared" si="107"/>
        <v>2.4069701698674205E-3</v>
      </c>
      <c r="AU103">
        <f t="shared" si="108"/>
        <v>0</v>
      </c>
      <c r="AV103">
        <f t="shared" si="108"/>
        <v>0</v>
      </c>
      <c r="AW103">
        <f t="shared" si="108"/>
        <v>0</v>
      </c>
      <c r="AX103">
        <f t="shared" si="108"/>
        <v>3.5244920344487222E-2</v>
      </c>
      <c r="AY103">
        <f t="shared" si="109"/>
        <v>3.5244920344487222E-2</v>
      </c>
    </row>
    <row r="104" spans="1:51" ht="15" x14ac:dyDescent="0.25">
      <c r="A104" s="1"/>
      <c r="B104" s="2"/>
      <c r="C104" s="1" t="s">
        <v>10</v>
      </c>
      <c r="D104" s="285">
        <v>0</v>
      </c>
      <c r="E104" s="286">
        <v>1.44915974</v>
      </c>
      <c r="F104" s="286">
        <v>0</v>
      </c>
      <c r="G104" s="286">
        <v>5.3939721399999998</v>
      </c>
      <c r="H104" s="287">
        <v>3.2603515299999999</v>
      </c>
      <c r="J104">
        <v>0</v>
      </c>
      <c r="K104">
        <v>1.44915974</v>
      </c>
      <c r="L104">
        <v>0</v>
      </c>
      <c r="M104">
        <v>-2.5238044438285199</v>
      </c>
      <c r="N104">
        <v>-5.7941604503700024</v>
      </c>
      <c r="O104" s="20"/>
      <c r="P104" s="20"/>
      <c r="Q104" s="147">
        <v>8.2381853968242727E-2</v>
      </c>
      <c r="R104" s="197">
        <v>0.14000000000000001</v>
      </c>
      <c r="S104" s="197">
        <v>2.0499999999999998</v>
      </c>
      <c r="T104" s="197">
        <v>0.62857142857142845</v>
      </c>
      <c r="U104" s="197">
        <v>0.90789473684210531</v>
      </c>
      <c r="V104" s="20">
        <f t="shared" si="100"/>
        <v>6.1465434191137674E-2</v>
      </c>
      <c r="W104" s="20">
        <f t="shared" si="100"/>
        <v>0</v>
      </c>
      <c r="X104" s="20">
        <f t="shared" si="100"/>
        <v>0.62211159520474968</v>
      </c>
      <c r="Y104" s="20">
        <f t="shared" si="100"/>
        <v>0.37603132508143544</v>
      </c>
      <c r="Z104" s="20">
        <f t="shared" si="101"/>
        <v>4.5577256329753346E-2</v>
      </c>
      <c r="AA104" s="20">
        <f t="shared" si="101"/>
        <v>0</v>
      </c>
      <c r="AB104" s="20">
        <f t="shared" si="101"/>
        <v>0.46762728029971384</v>
      </c>
      <c r="AC104" s="20">
        <f t="shared" si="101"/>
        <v>0.27271087447577702</v>
      </c>
      <c r="AD104" s="20">
        <f t="shared" si="102"/>
        <v>0.78591541110524421</v>
      </c>
      <c r="AE104" s="20">
        <f t="shared" si="103"/>
        <v>1.4173525646996146</v>
      </c>
      <c r="AF104" s="20">
        <f t="shared" si="103"/>
        <v>0</v>
      </c>
      <c r="AG104" s="20">
        <f t="shared" si="103"/>
        <v>9.1094912154981191</v>
      </c>
      <c r="AH104" s="20">
        <f t="shared" si="103"/>
        <v>5.5061729744067325</v>
      </c>
      <c r="AI104" s="20">
        <f t="shared" si="104"/>
        <v>1.05098161269089</v>
      </c>
      <c r="AJ104" s="20">
        <f t="shared" si="104"/>
        <v>0</v>
      </c>
      <c r="AK104" s="20">
        <f t="shared" si="104"/>
        <v>6.8473994615315235</v>
      </c>
      <c r="AL104" s="20">
        <f t="shared" si="104"/>
        <v>3.993266376252449</v>
      </c>
      <c r="AM104" s="20">
        <f t="shared" si="105"/>
        <v>11.891647450474863</v>
      </c>
      <c r="AO104">
        <f t="shared" si="106"/>
        <v>6.4933536706823183E-2</v>
      </c>
      <c r="AP104">
        <f t="shared" si="106"/>
        <v>0</v>
      </c>
      <c r="AQ104">
        <f t="shared" si="106"/>
        <v>0.61574296657171745</v>
      </c>
      <c r="AR104">
        <f t="shared" si="106"/>
        <v>0.33200261311552604</v>
      </c>
      <c r="AS104">
        <f t="shared" si="107"/>
        <v>1.0126791163940667</v>
      </c>
      <c r="AU104">
        <f t="shared" si="108"/>
        <v>1.4973247321451799</v>
      </c>
      <c r="AV104">
        <f t="shared" si="108"/>
        <v>0</v>
      </c>
      <c r="AW104">
        <f t="shared" si="108"/>
        <v>9.016236296228719</v>
      </c>
      <c r="AX104">
        <f t="shared" si="108"/>
        <v>4.8614668349059169</v>
      </c>
      <c r="AY104">
        <f t="shared" si="109"/>
        <v>15.375027863279817</v>
      </c>
    </row>
    <row r="105" spans="1:51" ht="15" x14ac:dyDescent="0.25">
      <c r="A105" s="1"/>
      <c r="B105" s="2"/>
      <c r="C105" s="1" t="s">
        <v>11</v>
      </c>
      <c r="D105" s="285">
        <v>0</v>
      </c>
      <c r="E105" s="286">
        <v>0</v>
      </c>
      <c r="F105" s="286">
        <v>0</v>
      </c>
      <c r="G105" s="286">
        <v>1.7548434500000001</v>
      </c>
      <c r="H105" s="287">
        <v>0</v>
      </c>
      <c r="J105">
        <v>0</v>
      </c>
      <c r="K105">
        <v>-0.73104295607799996</v>
      </c>
      <c r="L105">
        <v>0</v>
      </c>
      <c r="M105">
        <v>-0.88823641849249979</v>
      </c>
      <c r="N105">
        <v>-0.520974599426</v>
      </c>
      <c r="O105" s="20"/>
      <c r="P105" s="20"/>
      <c r="Q105" s="147">
        <v>0.10684247195765696</v>
      </c>
      <c r="R105" s="197">
        <v>0.14000000000000001</v>
      </c>
      <c r="S105" s="197">
        <v>2.0499999999999998</v>
      </c>
      <c r="T105" s="197">
        <v>0.62857142857142845</v>
      </c>
      <c r="U105" s="197">
        <v>0.90789473684210531</v>
      </c>
      <c r="V105" s="20">
        <f t="shared" si="100"/>
        <v>0</v>
      </c>
      <c r="W105" s="20">
        <f t="shared" si="100"/>
        <v>0</v>
      </c>
      <c r="X105" s="20">
        <f t="shared" si="100"/>
        <v>0.26248853693538421</v>
      </c>
      <c r="Y105" s="20">
        <f t="shared" si="100"/>
        <v>0</v>
      </c>
      <c r="Z105" s="20">
        <f t="shared" si="101"/>
        <v>0</v>
      </c>
      <c r="AA105" s="20">
        <f t="shared" si="101"/>
        <v>0</v>
      </c>
      <c r="AB105" s="20">
        <f t="shared" si="101"/>
        <v>0.19730672371818792</v>
      </c>
      <c r="AC105" s="20">
        <f t="shared" si="101"/>
        <v>0</v>
      </c>
      <c r="AD105" s="20">
        <f t="shared" si="102"/>
        <v>0.19730672371818792</v>
      </c>
      <c r="AE105" s="20">
        <f t="shared" si="103"/>
        <v>0</v>
      </c>
      <c r="AF105" s="20">
        <f t="shared" si="103"/>
        <v>0</v>
      </c>
      <c r="AG105" s="20">
        <f t="shared" si="103"/>
        <v>3.8435821479824117</v>
      </c>
      <c r="AH105" s="20">
        <f t="shared" si="103"/>
        <v>0</v>
      </c>
      <c r="AI105" s="20">
        <f t="shared" si="104"/>
        <v>0</v>
      </c>
      <c r="AJ105" s="20">
        <f t="shared" si="104"/>
        <v>0</v>
      </c>
      <c r="AK105" s="20">
        <f t="shared" si="104"/>
        <v>2.8891341687306089</v>
      </c>
      <c r="AL105" s="20">
        <f t="shared" si="104"/>
        <v>0</v>
      </c>
      <c r="AM105" s="20">
        <f t="shared" si="105"/>
        <v>2.8891341687306089</v>
      </c>
      <c r="AO105">
        <f t="shared" si="106"/>
        <v>0</v>
      </c>
      <c r="AP105">
        <f t="shared" si="106"/>
        <v>0</v>
      </c>
      <c r="AQ105">
        <f t="shared" si="106"/>
        <v>0.25980141130542511</v>
      </c>
      <c r="AR105">
        <f t="shared" si="106"/>
        <v>0</v>
      </c>
      <c r="AS105">
        <f t="shared" si="107"/>
        <v>0.25980141130542511</v>
      </c>
      <c r="AU105">
        <f t="shared" si="108"/>
        <v>0</v>
      </c>
      <c r="AV105">
        <f t="shared" si="108"/>
        <v>0</v>
      </c>
      <c r="AW105">
        <f t="shared" si="108"/>
        <v>3.8042349512580107</v>
      </c>
      <c r="AX105">
        <f t="shared" si="108"/>
        <v>0</v>
      </c>
      <c r="AY105">
        <f t="shared" si="109"/>
        <v>3.8042349512580107</v>
      </c>
    </row>
    <row r="106" spans="1:51" ht="15" x14ac:dyDescent="0.25">
      <c r="A106" s="1"/>
      <c r="B106" s="2"/>
      <c r="C106" s="1" t="s">
        <v>12</v>
      </c>
      <c r="D106" s="285">
        <v>0</v>
      </c>
      <c r="E106" s="286">
        <v>0</v>
      </c>
      <c r="F106" s="286">
        <v>8.2555900000000002E-3</v>
      </c>
      <c r="G106" s="286">
        <v>0</v>
      </c>
      <c r="H106" s="287">
        <v>0</v>
      </c>
      <c r="J106">
        <v>0</v>
      </c>
      <c r="K106">
        <v>0</v>
      </c>
      <c r="L106">
        <v>-0.153616287957</v>
      </c>
      <c r="M106">
        <v>0</v>
      </c>
      <c r="N106">
        <v>0</v>
      </c>
      <c r="O106" s="20"/>
      <c r="P106" s="20"/>
      <c r="Q106" s="147">
        <v>0.10684247195765696</v>
      </c>
      <c r="R106" s="197">
        <v>0.14000000000000001</v>
      </c>
      <c r="S106" s="197">
        <v>2.0499999999999998</v>
      </c>
      <c r="T106" s="197">
        <v>0.62857142857142845</v>
      </c>
      <c r="U106" s="197">
        <v>0.90789473684210531</v>
      </c>
      <c r="V106" s="20">
        <f t="shared" si="100"/>
        <v>0</v>
      </c>
      <c r="W106" s="20">
        <f t="shared" si="100"/>
        <v>1.2348667002964788E-3</v>
      </c>
      <c r="X106" s="20">
        <f t="shared" si="100"/>
        <v>0</v>
      </c>
      <c r="Y106" s="20">
        <f t="shared" si="100"/>
        <v>0</v>
      </c>
      <c r="Z106" s="20">
        <f t="shared" si="101"/>
        <v>0</v>
      </c>
      <c r="AA106" s="20">
        <f t="shared" si="101"/>
        <v>9.2484131330584267E-4</v>
      </c>
      <c r="AB106" s="20">
        <f t="shared" si="101"/>
        <v>0</v>
      </c>
      <c r="AC106" s="20">
        <f t="shared" si="101"/>
        <v>0</v>
      </c>
      <c r="AD106" s="20">
        <f t="shared" si="102"/>
        <v>9.2484131330584267E-4</v>
      </c>
      <c r="AE106" s="20">
        <f t="shared" si="103"/>
        <v>0</v>
      </c>
      <c r="AF106" s="20">
        <f t="shared" si="103"/>
        <v>1.8081976682912719E-2</v>
      </c>
      <c r="AG106" s="20">
        <f t="shared" si="103"/>
        <v>0</v>
      </c>
      <c r="AH106" s="20">
        <f t="shared" si="103"/>
        <v>0</v>
      </c>
      <c r="AI106" s="20">
        <f t="shared" si="104"/>
        <v>0</v>
      </c>
      <c r="AJ106" s="20">
        <f t="shared" si="104"/>
        <v>1.3542319230549833E-2</v>
      </c>
      <c r="AK106" s="20">
        <f t="shared" si="104"/>
        <v>0</v>
      </c>
      <c r="AL106" s="20">
        <f t="shared" si="104"/>
        <v>0</v>
      </c>
      <c r="AM106" s="20">
        <f t="shared" si="105"/>
        <v>1.3542319230549833E-2</v>
      </c>
      <c r="AO106">
        <f t="shared" si="106"/>
        <v>0</v>
      </c>
      <c r="AP106">
        <f t="shared" si="106"/>
        <v>1.1545776272220952E-3</v>
      </c>
      <c r="AQ106">
        <f t="shared" si="106"/>
        <v>0</v>
      </c>
      <c r="AR106">
        <f t="shared" si="106"/>
        <v>0</v>
      </c>
      <c r="AS106">
        <f t="shared" si="107"/>
        <v>1.1545776272220952E-3</v>
      </c>
      <c r="AU106">
        <f t="shared" si="108"/>
        <v>0</v>
      </c>
      <c r="AV106">
        <f t="shared" si="108"/>
        <v>1.6906315255752102E-2</v>
      </c>
      <c r="AW106">
        <f t="shared" si="108"/>
        <v>0</v>
      </c>
      <c r="AX106">
        <f t="shared" si="108"/>
        <v>0</v>
      </c>
      <c r="AY106">
        <f t="shared" si="109"/>
        <v>1.6906315255752102E-2</v>
      </c>
    </row>
    <row r="107" spans="1:51" ht="15" x14ac:dyDescent="0.25">
      <c r="A107" s="1"/>
      <c r="B107" s="2"/>
      <c r="C107" s="1" t="s">
        <v>13</v>
      </c>
      <c r="D107" s="285">
        <v>0</v>
      </c>
      <c r="E107" s="286">
        <v>0</v>
      </c>
      <c r="F107" s="286">
        <v>0</v>
      </c>
      <c r="G107" s="286">
        <v>0</v>
      </c>
      <c r="H107" s="28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0"/>
      <c r="P107" s="20"/>
      <c r="Q107" s="147"/>
      <c r="R107" s="197">
        <v>0.14000000000000001</v>
      </c>
      <c r="S107" s="197">
        <v>2.0499999999999998</v>
      </c>
      <c r="T107" s="197">
        <v>0.62857142857142845</v>
      </c>
      <c r="U107" s="197">
        <v>0.90789473684210531</v>
      </c>
      <c r="V107" s="20">
        <f t="shared" si="100"/>
        <v>0</v>
      </c>
      <c r="W107" s="20">
        <f t="shared" si="100"/>
        <v>0</v>
      </c>
      <c r="X107" s="20">
        <f t="shared" si="100"/>
        <v>0</v>
      </c>
      <c r="Y107" s="20">
        <f t="shared" si="100"/>
        <v>0</v>
      </c>
      <c r="Z107" s="20">
        <f t="shared" si="101"/>
        <v>0</v>
      </c>
      <c r="AA107" s="20">
        <f t="shared" si="101"/>
        <v>0</v>
      </c>
      <c r="AB107" s="20">
        <f t="shared" si="101"/>
        <v>0</v>
      </c>
      <c r="AC107" s="20">
        <f t="shared" si="101"/>
        <v>0</v>
      </c>
      <c r="AD107" s="20">
        <f t="shared" si="102"/>
        <v>0</v>
      </c>
      <c r="AE107" s="20">
        <f t="shared" si="103"/>
        <v>0</v>
      </c>
      <c r="AF107" s="20">
        <f t="shared" si="103"/>
        <v>0</v>
      </c>
      <c r="AG107" s="20">
        <f t="shared" si="103"/>
        <v>0</v>
      </c>
      <c r="AH107" s="20">
        <f t="shared" si="103"/>
        <v>0</v>
      </c>
      <c r="AI107" s="20">
        <f t="shared" si="104"/>
        <v>0</v>
      </c>
      <c r="AJ107" s="20">
        <f t="shared" si="104"/>
        <v>0</v>
      </c>
      <c r="AK107" s="20">
        <f t="shared" si="104"/>
        <v>0</v>
      </c>
      <c r="AL107" s="20">
        <f t="shared" si="104"/>
        <v>0</v>
      </c>
      <c r="AM107" s="20">
        <f t="shared" si="105"/>
        <v>0</v>
      </c>
      <c r="AO107">
        <f t="shared" si="106"/>
        <v>0</v>
      </c>
      <c r="AP107">
        <f t="shared" si="106"/>
        <v>0</v>
      </c>
      <c r="AQ107">
        <f t="shared" si="106"/>
        <v>0</v>
      </c>
      <c r="AR107">
        <f t="shared" si="106"/>
        <v>0</v>
      </c>
      <c r="AS107">
        <f t="shared" si="107"/>
        <v>0</v>
      </c>
      <c r="AU107">
        <f t="shared" si="108"/>
        <v>0</v>
      </c>
      <c r="AV107">
        <f t="shared" si="108"/>
        <v>0</v>
      </c>
      <c r="AW107">
        <f t="shared" si="108"/>
        <v>0</v>
      </c>
      <c r="AX107">
        <f t="shared" si="108"/>
        <v>0</v>
      </c>
      <c r="AY107">
        <f t="shared" si="109"/>
        <v>0</v>
      </c>
    </row>
    <row r="108" spans="1:51" ht="15" x14ac:dyDescent="0.25">
      <c r="A108" s="7"/>
      <c r="B108" s="8" t="s">
        <v>14</v>
      </c>
      <c r="C108" s="7"/>
      <c r="D108" s="288">
        <f>SUM(D102:D107)</f>
        <v>0</v>
      </c>
      <c r="E108" s="289">
        <f>SUM(E102:E107)</f>
        <v>10.66994006</v>
      </c>
      <c r="F108" s="289">
        <f>SUM(F102:F107)</f>
        <v>31.28339746</v>
      </c>
      <c r="G108" s="289">
        <f>SUM(G102:G107)</f>
        <v>81.631685829999995</v>
      </c>
      <c r="H108" s="290">
        <f>SUM(H102:H107)</f>
        <v>55.280455679999996</v>
      </c>
      <c r="J108">
        <v>0</v>
      </c>
      <c r="K108">
        <v>-40.452372311718008</v>
      </c>
      <c r="L108">
        <v>-35.730916517076999</v>
      </c>
      <c r="M108">
        <v>-55.825231039080009</v>
      </c>
      <c r="N108">
        <v>-80.738899197370017</v>
      </c>
      <c r="O108" s="20"/>
      <c r="P108" s="20"/>
      <c r="Q108" s="147"/>
      <c r="R108" s="197"/>
      <c r="S108" s="197"/>
      <c r="T108" s="197"/>
      <c r="U108" s="197"/>
    </row>
    <row r="109" spans="1:51" ht="15" x14ac:dyDescent="0.25">
      <c r="A109" s="10"/>
      <c r="B109" s="9" t="s">
        <v>15</v>
      </c>
      <c r="C109" s="5"/>
      <c r="D109" s="291"/>
      <c r="E109" s="292"/>
      <c r="F109" s="292"/>
      <c r="G109" s="292"/>
      <c r="H109" s="293">
        <f>SUM(D108:H108)</f>
        <v>178.86547902999999</v>
      </c>
      <c r="N109">
        <v>-212.74741906524503</v>
      </c>
      <c r="O109" s="20"/>
      <c r="P109" s="20"/>
      <c r="Q109" s="147"/>
      <c r="R109" s="197"/>
      <c r="S109" s="197"/>
      <c r="T109" s="197"/>
      <c r="U109" s="197"/>
    </row>
    <row r="110" spans="1:51" ht="15.75" thickBot="1" x14ac:dyDescent="0.3">
      <c r="A110" s="1"/>
      <c r="B110" s="2"/>
      <c r="C110" s="1"/>
      <c r="D110" s="294"/>
      <c r="E110" s="295"/>
      <c r="F110" s="295"/>
      <c r="G110" s="295"/>
      <c r="H110" s="296"/>
      <c r="O110" s="20"/>
      <c r="P110" s="20"/>
      <c r="Q110" s="147"/>
      <c r="R110" s="197"/>
      <c r="S110" s="197"/>
      <c r="T110" s="197"/>
      <c r="U110" s="197"/>
    </row>
    <row r="111" spans="1:51" ht="15" x14ac:dyDescent="0.25">
      <c r="A111" s="1">
        <v>12</v>
      </c>
      <c r="B111" s="2" t="s">
        <v>26</v>
      </c>
      <c r="C111" s="1" t="s">
        <v>8</v>
      </c>
      <c r="D111" s="285">
        <v>0</v>
      </c>
      <c r="E111" s="286">
        <v>0</v>
      </c>
      <c r="F111" s="286">
        <v>0</v>
      </c>
      <c r="G111" s="286">
        <v>0</v>
      </c>
      <c r="H111" s="287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 s="20"/>
      <c r="P111" s="20"/>
      <c r="Q111" s="147"/>
      <c r="R111" s="197">
        <v>6.531704360902256</v>
      </c>
      <c r="S111" s="197">
        <v>78.227142857142866</v>
      </c>
      <c r="T111" s="197">
        <v>0.5825685654008439</v>
      </c>
      <c r="U111" s="197">
        <v>0.90789473684210531</v>
      </c>
      <c r="V111" s="20">
        <f t="shared" ref="V111:Y116" si="110">IF(K111&gt;0,((E111-K111)*$Q111*$R111*10)+(K111*$O$12*$Q111*$R111*10),(E111*$Q111*$R111*10))</f>
        <v>0</v>
      </c>
      <c r="W111" s="20">
        <f t="shared" si="110"/>
        <v>0</v>
      </c>
      <c r="X111" s="20">
        <f t="shared" si="110"/>
        <v>0</v>
      </c>
      <c r="Y111" s="20">
        <f t="shared" si="110"/>
        <v>0</v>
      </c>
      <c r="Z111" s="20">
        <f t="shared" ref="Z111:AC116" si="111">V111*(EXP(1.01-0.34*LN(Z$8))*(1-$T111)+(1*$T111))</f>
        <v>0</v>
      </c>
      <c r="AA111" s="20">
        <f t="shared" si="111"/>
        <v>0</v>
      </c>
      <c r="AB111" s="20">
        <f t="shared" si="111"/>
        <v>0</v>
      </c>
      <c r="AC111" s="20">
        <f t="shared" si="111"/>
        <v>0</v>
      </c>
      <c r="AD111" s="20">
        <f t="shared" ref="AD111:AD116" si="112">SUM(Z111:AC111)</f>
        <v>0</v>
      </c>
      <c r="AE111" s="20">
        <f t="shared" ref="AE111:AH116" si="113">IF(K111&gt;0,((E111-K111)*$Q111*$S111*10)+(K111*$P$12*$Q111*$S111)*10,(E111*$Q111*$S111*10))</f>
        <v>0</v>
      </c>
      <c r="AF111" s="20">
        <f t="shared" si="113"/>
        <v>0</v>
      </c>
      <c r="AG111" s="20">
        <f t="shared" si="113"/>
        <v>0</v>
      </c>
      <c r="AH111" s="20">
        <f t="shared" si="113"/>
        <v>0</v>
      </c>
      <c r="AI111" s="20">
        <f t="shared" ref="AI111:AL116" si="114">AE111*(EXP(1.01-0.34*LN(AI$8))*(1-$T111)+(1*$T111))</f>
        <v>0</v>
      </c>
      <c r="AJ111" s="20">
        <f t="shared" si="114"/>
        <v>0</v>
      </c>
      <c r="AK111" s="20">
        <f t="shared" si="114"/>
        <v>0</v>
      </c>
      <c r="AL111" s="20">
        <f t="shared" si="114"/>
        <v>0</v>
      </c>
      <c r="AM111" s="20">
        <f t="shared" ref="AM111:AM116" si="115">SUM(AI111:AL111)</f>
        <v>0</v>
      </c>
      <c r="AO111">
        <f t="shared" ref="AO111:AR116" si="116">Z111*AO$10</f>
        <v>0</v>
      </c>
      <c r="AP111">
        <f t="shared" si="116"/>
        <v>0</v>
      </c>
      <c r="AQ111">
        <f t="shared" si="116"/>
        <v>0</v>
      </c>
      <c r="AR111">
        <f t="shared" si="116"/>
        <v>0</v>
      </c>
      <c r="AS111">
        <f t="shared" ref="AS111:AS116" si="117">SUM(AO111:AR111)</f>
        <v>0</v>
      </c>
      <c r="AU111">
        <f t="shared" ref="AU111:AX116" si="118">AI111*AU$10</f>
        <v>0</v>
      </c>
      <c r="AV111">
        <f t="shared" si="118"/>
        <v>0</v>
      </c>
      <c r="AW111">
        <f t="shared" si="118"/>
        <v>0</v>
      </c>
      <c r="AX111">
        <f t="shared" si="118"/>
        <v>0</v>
      </c>
      <c r="AY111">
        <f t="shared" ref="AY111:AY116" si="119">SUM(AU111:AX111)</f>
        <v>0</v>
      </c>
    </row>
    <row r="112" spans="1:51" ht="15" x14ac:dyDescent="0.25">
      <c r="A112" s="1"/>
      <c r="B112" s="2"/>
      <c r="C112" s="1" t="s">
        <v>9</v>
      </c>
      <c r="D112" s="285">
        <v>0</v>
      </c>
      <c r="E112" s="286">
        <v>0</v>
      </c>
      <c r="F112" s="286">
        <v>0</v>
      </c>
      <c r="G112" s="286">
        <v>0</v>
      </c>
      <c r="H112" s="287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 s="20"/>
      <c r="P112" s="20"/>
      <c r="Q112" s="147"/>
      <c r="R112" s="197">
        <v>6.531704360902256</v>
      </c>
      <c r="S112" s="197">
        <v>78.227142857142866</v>
      </c>
      <c r="T112" s="197">
        <v>0.5825685654008439</v>
      </c>
      <c r="U112" s="197">
        <v>0.90789473684210531</v>
      </c>
      <c r="V112" s="20">
        <f t="shared" si="110"/>
        <v>0</v>
      </c>
      <c r="W112" s="20">
        <f t="shared" si="110"/>
        <v>0</v>
      </c>
      <c r="X112" s="20">
        <f t="shared" si="110"/>
        <v>0</v>
      </c>
      <c r="Y112" s="20">
        <f t="shared" si="110"/>
        <v>0</v>
      </c>
      <c r="Z112" s="20">
        <f t="shared" si="111"/>
        <v>0</v>
      </c>
      <c r="AA112" s="20">
        <f t="shared" si="111"/>
        <v>0</v>
      </c>
      <c r="AB112" s="20">
        <f t="shared" si="111"/>
        <v>0</v>
      </c>
      <c r="AC112" s="20">
        <f t="shared" si="111"/>
        <v>0</v>
      </c>
      <c r="AD112" s="20">
        <f t="shared" si="112"/>
        <v>0</v>
      </c>
      <c r="AE112" s="20">
        <f t="shared" si="113"/>
        <v>0</v>
      </c>
      <c r="AF112" s="20">
        <f t="shared" si="113"/>
        <v>0</v>
      </c>
      <c r="AG112" s="20">
        <f t="shared" si="113"/>
        <v>0</v>
      </c>
      <c r="AH112" s="20">
        <f t="shared" si="113"/>
        <v>0</v>
      </c>
      <c r="AI112" s="20">
        <f t="shared" si="114"/>
        <v>0</v>
      </c>
      <c r="AJ112" s="20">
        <f t="shared" si="114"/>
        <v>0</v>
      </c>
      <c r="AK112" s="20">
        <f t="shared" si="114"/>
        <v>0</v>
      </c>
      <c r="AL112" s="20">
        <f t="shared" si="114"/>
        <v>0</v>
      </c>
      <c r="AM112" s="20">
        <f t="shared" si="115"/>
        <v>0</v>
      </c>
      <c r="AO112">
        <f t="shared" si="116"/>
        <v>0</v>
      </c>
      <c r="AP112">
        <f t="shared" si="116"/>
        <v>0</v>
      </c>
      <c r="AQ112">
        <f t="shared" si="116"/>
        <v>0</v>
      </c>
      <c r="AR112">
        <f t="shared" si="116"/>
        <v>0</v>
      </c>
      <c r="AS112">
        <f t="shared" si="117"/>
        <v>0</v>
      </c>
      <c r="AU112">
        <f t="shared" si="118"/>
        <v>0</v>
      </c>
      <c r="AV112">
        <f t="shared" si="118"/>
        <v>0</v>
      </c>
      <c r="AW112">
        <f t="shared" si="118"/>
        <v>0</v>
      </c>
      <c r="AX112">
        <f t="shared" si="118"/>
        <v>0</v>
      </c>
      <c r="AY112">
        <f t="shared" si="119"/>
        <v>0</v>
      </c>
    </row>
    <row r="113" spans="1:51" ht="15" x14ac:dyDescent="0.25">
      <c r="A113" s="1"/>
      <c r="B113" s="2"/>
      <c r="C113" s="1" t="s">
        <v>10</v>
      </c>
      <c r="D113" s="285">
        <v>0</v>
      </c>
      <c r="E113" s="286">
        <v>0</v>
      </c>
      <c r="F113" s="286">
        <v>0</v>
      </c>
      <c r="G113" s="286">
        <v>0</v>
      </c>
      <c r="H113" s="287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 s="20"/>
      <c r="P113" s="20"/>
      <c r="Q113" s="147"/>
      <c r="R113" s="197">
        <v>6.531704360902256</v>
      </c>
      <c r="S113" s="197">
        <v>78.227142857142866</v>
      </c>
      <c r="T113" s="197">
        <v>0.5825685654008439</v>
      </c>
      <c r="U113" s="197">
        <v>0.90789473684210531</v>
      </c>
      <c r="V113" s="20">
        <f t="shared" si="110"/>
        <v>0</v>
      </c>
      <c r="W113" s="20">
        <f t="shared" si="110"/>
        <v>0</v>
      </c>
      <c r="X113" s="20">
        <f t="shared" si="110"/>
        <v>0</v>
      </c>
      <c r="Y113" s="20">
        <f t="shared" si="110"/>
        <v>0</v>
      </c>
      <c r="Z113" s="20">
        <f t="shared" si="111"/>
        <v>0</v>
      </c>
      <c r="AA113" s="20">
        <f t="shared" si="111"/>
        <v>0</v>
      </c>
      <c r="AB113" s="20">
        <f t="shared" si="111"/>
        <v>0</v>
      </c>
      <c r="AC113" s="20">
        <f t="shared" si="111"/>
        <v>0</v>
      </c>
      <c r="AD113" s="20">
        <f t="shared" si="112"/>
        <v>0</v>
      </c>
      <c r="AE113" s="20">
        <f t="shared" si="113"/>
        <v>0</v>
      </c>
      <c r="AF113" s="20">
        <f t="shared" si="113"/>
        <v>0</v>
      </c>
      <c r="AG113" s="20">
        <f t="shared" si="113"/>
        <v>0</v>
      </c>
      <c r="AH113" s="20">
        <f t="shared" si="113"/>
        <v>0</v>
      </c>
      <c r="AI113" s="20">
        <f t="shared" si="114"/>
        <v>0</v>
      </c>
      <c r="AJ113" s="20">
        <f t="shared" si="114"/>
        <v>0</v>
      </c>
      <c r="AK113" s="20">
        <f t="shared" si="114"/>
        <v>0</v>
      </c>
      <c r="AL113" s="20">
        <f t="shared" si="114"/>
        <v>0</v>
      </c>
      <c r="AM113" s="20">
        <f t="shared" si="115"/>
        <v>0</v>
      </c>
      <c r="AO113">
        <f t="shared" si="116"/>
        <v>0</v>
      </c>
      <c r="AP113">
        <f t="shared" si="116"/>
        <v>0</v>
      </c>
      <c r="AQ113">
        <f t="shared" si="116"/>
        <v>0</v>
      </c>
      <c r="AR113">
        <f t="shared" si="116"/>
        <v>0</v>
      </c>
      <c r="AS113">
        <f t="shared" si="117"/>
        <v>0</v>
      </c>
      <c r="AU113">
        <f t="shared" si="118"/>
        <v>0</v>
      </c>
      <c r="AV113">
        <f t="shared" si="118"/>
        <v>0</v>
      </c>
      <c r="AW113">
        <f t="shared" si="118"/>
        <v>0</v>
      </c>
      <c r="AX113">
        <f t="shared" si="118"/>
        <v>0</v>
      </c>
      <c r="AY113">
        <f t="shared" si="119"/>
        <v>0</v>
      </c>
    </row>
    <row r="114" spans="1:51" ht="15" x14ac:dyDescent="0.25">
      <c r="A114" s="1"/>
      <c r="B114" s="2"/>
      <c r="C114" s="1" t="s">
        <v>11</v>
      </c>
      <c r="D114" s="285">
        <v>0</v>
      </c>
      <c r="E114" s="286">
        <v>0</v>
      </c>
      <c r="F114" s="286">
        <v>0</v>
      </c>
      <c r="G114" s="286">
        <v>0</v>
      </c>
      <c r="H114" s="287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 s="20"/>
      <c r="P114" s="20"/>
      <c r="Q114" s="147"/>
      <c r="R114" s="197">
        <v>6.531704360902256</v>
      </c>
      <c r="S114" s="197">
        <v>78.227142857142866</v>
      </c>
      <c r="T114" s="197">
        <v>0.5825685654008439</v>
      </c>
      <c r="U114" s="197">
        <v>0.90789473684210531</v>
      </c>
      <c r="V114" s="20">
        <f t="shared" si="110"/>
        <v>0</v>
      </c>
      <c r="W114" s="20">
        <f t="shared" si="110"/>
        <v>0</v>
      </c>
      <c r="X114" s="20">
        <f t="shared" si="110"/>
        <v>0</v>
      </c>
      <c r="Y114" s="20">
        <f t="shared" si="110"/>
        <v>0</v>
      </c>
      <c r="Z114" s="20">
        <f t="shared" si="111"/>
        <v>0</v>
      </c>
      <c r="AA114" s="20">
        <f t="shared" si="111"/>
        <v>0</v>
      </c>
      <c r="AB114" s="20">
        <f t="shared" si="111"/>
        <v>0</v>
      </c>
      <c r="AC114" s="20">
        <f t="shared" si="111"/>
        <v>0</v>
      </c>
      <c r="AD114" s="20">
        <f t="shared" si="112"/>
        <v>0</v>
      </c>
      <c r="AE114" s="20">
        <f t="shared" si="113"/>
        <v>0</v>
      </c>
      <c r="AF114" s="20">
        <f t="shared" si="113"/>
        <v>0</v>
      </c>
      <c r="AG114" s="20">
        <f t="shared" si="113"/>
        <v>0</v>
      </c>
      <c r="AH114" s="20">
        <f t="shared" si="113"/>
        <v>0</v>
      </c>
      <c r="AI114" s="20">
        <f t="shared" si="114"/>
        <v>0</v>
      </c>
      <c r="AJ114" s="20">
        <f t="shared" si="114"/>
        <v>0</v>
      </c>
      <c r="AK114" s="20">
        <f t="shared" si="114"/>
        <v>0</v>
      </c>
      <c r="AL114" s="20">
        <f t="shared" si="114"/>
        <v>0</v>
      </c>
      <c r="AM114" s="20">
        <f t="shared" si="115"/>
        <v>0</v>
      </c>
      <c r="AO114">
        <f t="shared" si="116"/>
        <v>0</v>
      </c>
      <c r="AP114">
        <f t="shared" si="116"/>
        <v>0</v>
      </c>
      <c r="AQ114">
        <f t="shared" si="116"/>
        <v>0</v>
      </c>
      <c r="AR114">
        <f t="shared" si="116"/>
        <v>0</v>
      </c>
      <c r="AS114">
        <f t="shared" si="117"/>
        <v>0</v>
      </c>
      <c r="AU114">
        <f t="shared" si="118"/>
        <v>0</v>
      </c>
      <c r="AV114">
        <f t="shared" si="118"/>
        <v>0</v>
      </c>
      <c r="AW114">
        <f t="shared" si="118"/>
        <v>0</v>
      </c>
      <c r="AX114">
        <f t="shared" si="118"/>
        <v>0</v>
      </c>
      <c r="AY114">
        <f t="shared" si="119"/>
        <v>0</v>
      </c>
    </row>
    <row r="115" spans="1:51" ht="15" x14ac:dyDescent="0.25">
      <c r="A115" s="1"/>
      <c r="B115" s="2"/>
      <c r="C115" s="1" t="s">
        <v>12</v>
      </c>
      <c r="D115" s="285">
        <v>0</v>
      </c>
      <c r="E115" s="286">
        <v>0</v>
      </c>
      <c r="F115" s="286">
        <v>0</v>
      </c>
      <c r="G115" s="286">
        <v>0</v>
      </c>
      <c r="H115" s="287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 s="20"/>
      <c r="P115" s="20"/>
      <c r="Q115" s="147"/>
      <c r="R115" s="197">
        <v>6.531704360902256</v>
      </c>
      <c r="S115" s="197">
        <v>78.227142857142866</v>
      </c>
      <c r="T115" s="197">
        <v>0.5825685654008439</v>
      </c>
      <c r="U115" s="197">
        <v>0.90789473684210531</v>
      </c>
      <c r="V115" s="20">
        <f t="shared" si="110"/>
        <v>0</v>
      </c>
      <c r="W115" s="20">
        <f t="shared" si="110"/>
        <v>0</v>
      </c>
      <c r="X115" s="20">
        <f t="shared" si="110"/>
        <v>0</v>
      </c>
      <c r="Y115" s="20">
        <f t="shared" si="110"/>
        <v>0</v>
      </c>
      <c r="Z115" s="20">
        <f t="shared" si="111"/>
        <v>0</v>
      </c>
      <c r="AA115" s="20">
        <f t="shared" si="111"/>
        <v>0</v>
      </c>
      <c r="AB115" s="20">
        <f t="shared" si="111"/>
        <v>0</v>
      </c>
      <c r="AC115" s="20">
        <f t="shared" si="111"/>
        <v>0</v>
      </c>
      <c r="AD115" s="20">
        <f t="shared" si="112"/>
        <v>0</v>
      </c>
      <c r="AE115" s="20">
        <f t="shared" si="113"/>
        <v>0</v>
      </c>
      <c r="AF115" s="20">
        <f t="shared" si="113"/>
        <v>0</v>
      </c>
      <c r="AG115" s="20">
        <f t="shared" si="113"/>
        <v>0</v>
      </c>
      <c r="AH115" s="20">
        <f t="shared" si="113"/>
        <v>0</v>
      </c>
      <c r="AI115" s="20">
        <f t="shared" si="114"/>
        <v>0</v>
      </c>
      <c r="AJ115" s="20">
        <f t="shared" si="114"/>
        <v>0</v>
      </c>
      <c r="AK115" s="20">
        <f t="shared" si="114"/>
        <v>0</v>
      </c>
      <c r="AL115" s="20">
        <f t="shared" si="114"/>
        <v>0</v>
      </c>
      <c r="AM115" s="20">
        <f t="shared" si="115"/>
        <v>0</v>
      </c>
      <c r="AO115">
        <f t="shared" si="116"/>
        <v>0</v>
      </c>
      <c r="AP115">
        <f t="shared" si="116"/>
        <v>0</v>
      </c>
      <c r="AQ115">
        <f t="shared" si="116"/>
        <v>0</v>
      </c>
      <c r="AR115">
        <f t="shared" si="116"/>
        <v>0</v>
      </c>
      <c r="AS115">
        <f t="shared" si="117"/>
        <v>0</v>
      </c>
      <c r="AU115">
        <f t="shared" si="118"/>
        <v>0</v>
      </c>
      <c r="AV115">
        <f t="shared" si="118"/>
        <v>0</v>
      </c>
      <c r="AW115">
        <f t="shared" si="118"/>
        <v>0</v>
      </c>
      <c r="AX115">
        <f t="shared" si="118"/>
        <v>0</v>
      </c>
      <c r="AY115">
        <f t="shared" si="119"/>
        <v>0</v>
      </c>
    </row>
    <row r="116" spans="1:51" ht="15" x14ac:dyDescent="0.25">
      <c r="A116" s="1"/>
      <c r="B116" s="2"/>
      <c r="C116" s="1" t="s">
        <v>13</v>
      </c>
      <c r="D116" s="285">
        <v>0</v>
      </c>
      <c r="E116" s="286">
        <v>0</v>
      </c>
      <c r="F116" s="286">
        <v>0</v>
      </c>
      <c r="G116" s="286">
        <v>0</v>
      </c>
      <c r="H116" s="287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 s="20"/>
      <c r="P116" s="20"/>
      <c r="Q116" s="147"/>
      <c r="R116" s="197">
        <v>6.531704360902256</v>
      </c>
      <c r="S116" s="197">
        <v>78.227142857142866</v>
      </c>
      <c r="T116" s="197">
        <v>0.5825685654008439</v>
      </c>
      <c r="U116" s="197">
        <v>0.90789473684210531</v>
      </c>
      <c r="V116" s="20">
        <f t="shared" si="110"/>
        <v>0</v>
      </c>
      <c r="W116" s="20">
        <f t="shared" si="110"/>
        <v>0</v>
      </c>
      <c r="X116" s="20">
        <f t="shared" si="110"/>
        <v>0</v>
      </c>
      <c r="Y116" s="20">
        <f t="shared" si="110"/>
        <v>0</v>
      </c>
      <c r="Z116" s="20">
        <f t="shared" si="111"/>
        <v>0</v>
      </c>
      <c r="AA116" s="20">
        <f t="shared" si="111"/>
        <v>0</v>
      </c>
      <c r="AB116" s="20">
        <f t="shared" si="111"/>
        <v>0</v>
      </c>
      <c r="AC116" s="20">
        <f t="shared" si="111"/>
        <v>0</v>
      </c>
      <c r="AD116" s="20">
        <f t="shared" si="112"/>
        <v>0</v>
      </c>
      <c r="AE116" s="20">
        <f t="shared" si="113"/>
        <v>0</v>
      </c>
      <c r="AF116" s="20">
        <f t="shared" si="113"/>
        <v>0</v>
      </c>
      <c r="AG116" s="20">
        <f t="shared" si="113"/>
        <v>0</v>
      </c>
      <c r="AH116" s="20">
        <f t="shared" si="113"/>
        <v>0</v>
      </c>
      <c r="AI116" s="20">
        <f t="shared" si="114"/>
        <v>0</v>
      </c>
      <c r="AJ116" s="20">
        <f t="shared" si="114"/>
        <v>0</v>
      </c>
      <c r="AK116" s="20">
        <f t="shared" si="114"/>
        <v>0</v>
      </c>
      <c r="AL116" s="20">
        <f t="shared" si="114"/>
        <v>0</v>
      </c>
      <c r="AM116" s="20">
        <f t="shared" si="115"/>
        <v>0</v>
      </c>
      <c r="AO116">
        <f t="shared" si="116"/>
        <v>0</v>
      </c>
      <c r="AP116">
        <f t="shared" si="116"/>
        <v>0</v>
      </c>
      <c r="AQ116">
        <f t="shared" si="116"/>
        <v>0</v>
      </c>
      <c r="AR116">
        <f t="shared" si="116"/>
        <v>0</v>
      </c>
      <c r="AS116">
        <f t="shared" si="117"/>
        <v>0</v>
      </c>
      <c r="AU116">
        <f t="shared" si="118"/>
        <v>0</v>
      </c>
      <c r="AV116">
        <f t="shared" si="118"/>
        <v>0</v>
      </c>
      <c r="AW116">
        <f t="shared" si="118"/>
        <v>0</v>
      </c>
      <c r="AX116">
        <f t="shared" si="118"/>
        <v>0</v>
      </c>
      <c r="AY116">
        <f t="shared" si="119"/>
        <v>0</v>
      </c>
    </row>
    <row r="117" spans="1:51" ht="15" x14ac:dyDescent="0.25">
      <c r="A117" s="7"/>
      <c r="B117" s="8" t="s">
        <v>14</v>
      </c>
      <c r="C117" s="7"/>
      <c r="D117" s="288">
        <f>SUM(D111:D116)</f>
        <v>0</v>
      </c>
      <c r="E117" s="289">
        <f>SUM(E111:E116)</f>
        <v>0</v>
      </c>
      <c r="F117" s="289">
        <f>SUM(F111:F116)</f>
        <v>0</v>
      </c>
      <c r="G117" s="289">
        <f>SUM(G111:G116)</f>
        <v>0</v>
      </c>
      <c r="H117" s="290">
        <f>SUM(H111:H116)</f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 s="20"/>
      <c r="P117" s="20"/>
      <c r="Q117" s="147"/>
      <c r="R117" s="197"/>
      <c r="S117" s="197"/>
      <c r="T117" s="197"/>
      <c r="U117" s="197"/>
    </row>
    <row r="118" spans="1:51" ht="15" x14ac:dyDescent="0.25">
      <c r="A118" s="10"/>
      <c r="B118" s="9" t="s">
        <v>15</v>
      </c>
      <c r="C118" s="5"/>
      <c r="D118" s="291"/>
      <c r="E118" s="292"/>
      <c r="F118" s="292"/>
      <c r="G118" s="292"/>
      <c r="H118" s="293">
        <f>SUM(D117:H117)</f>
        <v>0</v>
      </c>
      <c r="N118">
        <v>0</v>
      </c>
      <c r="O118" s="20"/>
      <c r="P118" s="20"/>
      <c r="Q118" s="147"/>
      <c r="R118" s="197"/>
      <c r="S118" s="197"/>
      <c r="T118" s="197"/>
      <c r="U118" s="197"/>
    </row>
    <row r="119" spans="1:51" ht="15.75" thickBot="1" x14ac:dyDescent="0.3">
      <c r="A119" s="1"/>
      <c r="B119" s="2"/>
      <c r="C119" s="1"/>
      <c r="D119" s="297"/>
      <c r="E119" s="298"/>
      <c r="F119" s="298"/>
      <c r="G119" s="298"/>
      <c r="H119" s="299"/>
      <c r="O119" s="20"/>
      <c r="P119" s="20"/>
      <c r="Q119" s="147"/>
      <c r="R119" s="197"/>
      <c r="S119" s="197"/>
      <c r="T119" s="197"/>
      <c r="U119" s="197"/>
    </row>
    <row r="120" spans="1:51" ht="15" x14ac:dyDescent="0.25">
      <c r="A120" s="1">
        <v>13</v>
      </c>
      <c r="B120" s="2" t="s">
        <v>27</v>
      </c>
      <c r="C120" s="1" t="s">
        <v>8</v>
      </c>
      <c r="D120" s="282">
        <v>0</v>
      </c>
      <c r="E120" s="283">
        <v>0</v>
      </c>
      <c r="F120" s="283">
        <v>0</v>
      </c>
      <c r="G120" s="283">
        <v>0.85633649999999994</v>
      </c>
      <c r="H120" s="284">
        <v>3.2119332100000002</v>
      </c>
      <c r="J120">
        <v>0</v>
      </c>
      <c r="K120">
        <v>0</v>
      </c>
      <c r="L120">
        <v>0</v>
      </c>
      <c r="M120">
        <v>0.85633649999999994</v>
      </c>
      <c r="N120">
        <v>1.8145753216600002</v>
      </c>
      <c r="O120" s="20"/>
      <c r="P120" s="20"/>
      <c r="Q120" s="147">
        <v>3.3460617989414243E-2</v>
      </c>
      <c r="R120" s="197">
        <v>0.49226666666666663</v>
      </c>
      <c r="S120" s="197">
        <v>2.8337500000000002</v>
      </c>
      <c r="T120" s="197">
        <v>0.68718466195761863</v>
      </c>
      <c r="U120" s="197">
        <v>0.90789473684210531</v>
      </c>
      <c r="V120" s="20">
        <f t="shared" ref="V120:Y125" si="120">IF(K120&gt;0,((E120-K120)*$Q120*$R120*10)+(K120*$O$12*$Q120*$R120*10),(E120*$Q120*$R120*10))</f>
        <v>0</v>
      </c>
      <c r="W120" s="20">
        <f t="shared" si="120"/>
        <v>0</v>
      </c>
      <c r="X120" s="20">
        <f t="shared" si="120"/>
        <v>5.1872112961111286E-2</v>
      </c>
      <c r="Y120" s="20">
        <f t="shared" si="120"/>
        <v>0.34008336275590356</v>
      </c>
      <c r="Z120" s="20">
        <f t="shared" ref="Z120:AC125" si="121">V120*(EXP(1.01-0.34*LN(Z$8))*(1-$T120)+(1*$T120))</f>
        <v>0</v>
      </c>
      <c r="AA120" s="20">
        <f t="shared" si="121"/>
        <v>0</v>
      </c>
      <c r="AB120" s="20">
        <f t="shared" si="121"/>
        <v>4.1023786012712588E-2</v>
      </c>
      <c r="AC120" s="20">
        <f t="shared" si="121"/>
        <v>0.26138596279870585</v>
      </c>
      <c r="AD120" s="20">
        <f t="shared" ref="AD120:AD125" si="122">SUM(Z120:AC120)</f>
        <v>0.30240974881141847</v>
      </c>
      <c r="AE120" s="20">
        <f t="shared" ref="AE120:AH125" si="123">IF(K120&gt;0,((E120-K120)*$Q120*$S120*10)+(K120*$P$12*$Q120*$S120)*10,(E120*$Q120*$S120*10))</f>
        <v>0</v>
      </c>
      <c r="AF120" s="20">
        <f t="shared" si="123"/>
        <v>0</v>
      </c>
      <c r="AG120" s="20">
        <f t="shared" si="123"/>
        <v>0.47023630677464351</v>
      </c>
      <c r="AH120" s="20">
        <f t="shared" si="123"/>
        <v>2.3213909311862029</v>
      </c>
      <c r="AI120" s="20">
        <f t="shared" ref="AI120:AL125" si="124">AE120*(EXP(1.01-0.34*LN(AI$8))*(1-$T120)+(1*$T120))</f>
        <v>0</v>
      </c>
      <c r="AJ120" s="20">
        <f t="shared" si="124"/>
        <v>0</v>
      </c>
      <c r="AK120" s="20">
        <f t="shared" si="124"/>
        <v>0.37189295988373722</v>
      </c>
      <c r="AL120" s="20">
        <f t="shared" si="124"/>
        <v>1.7842066682215456</v>
      </c>
      <c r="AM120" s="20">
        <f t="shared" ref="AM120:AM125" si="125">SUM(AI120:AL120)</f>
        <v>2.1560996281052827</v>
      </c>
      <c r="AO120">
        <f t="shared" ref="AO120:AR125" si="126">Z120*AO$10</f>
        <v>0</v>
      </c>
      <c r="AP120">
        <f t="shared" si="126"/>
        <v>0</v>
      </c>
      <c r="AQ120">
        <f t="shared" si="126"/>
        <v>5.4017609244869445E-2</v>
      </c>
      <c r="AR120">
        <f t="shared" si="126"/>
        <v>0.3182154831475052</v>
      </c>
      <c r="AS120">
        <f t="shared" ref="AS120:AS125" si="127">SUM(AO120:AR120)</f>
        <v>0.37223309239237462</v>
      </c>
      <c r="AU120">
        <f t="shared" ref="AU120:AX125" si="128">AI120*AU$10</f>
        <v>0</v>
      </c>
      <c r="AV120">
        <f t="shared" si="128"/>
        <v>0</v>
      </c>
      <c r="AW120">
        <f t="shared" si="128"/>
        <v>0.48968587593774138</v>
      </c>
      <c r="AX120">
        <f t="shared" si="128"/>
        <v>2.1721219490288965</v>
      </c>
      <c r="AY120">
        <f t="shared" ref="AY120:AY125" si="129">SUM(AU120:AX120)</f>
        <v>2.6618078249666377</v>
      </c>
    </row>
    <row r="121" spans="1:51" ht="15" x14ac:dyDescent="0.25">
      <c r="A121" s="1"/>
      <c r="B121" s="2"/>
      <c r="C121" s="1" t="s">
        <v>9</v>
      </c>
      <c r="D121" s="285">
        <v>0</v>
      </c>
      <c r="E121" s="286">
        <v>0</v>
      </c>
      <c r="F121" s="286">
        <v>0</v>
      </c>
      <c r="G121" s="286">
        <v>0</v>
      </c>
      <c r="H121" s="287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20"/>
      <c r="P121" s="20"/>
      <c r="Q121" s="147"/>
      <c r="R121" s="197">
        <v>0.49226666666666663</v>
      </c>
      <c r="S121" s="197">
        <v>2.8337500000000002</v>
      </c>
      <c r="T121" s="197">
        <v>0.68718466195761863</v>
      </c>
      <c r="U121" s="197">
        <v>0.90789473684210531</v>
      </c>
      <c r="V121" s="20">
        <f t="shared" si="120"/>
        <v>0</v>
      </c>
      <c r="W121" s="20">
        <f t="shared" si="120"/>
        <v>0</v>
      </c>
      <c r="X121" s="20">
        <f t="shared" si="120"/>
        <v>0</v>
      </c>
      <c r="Y121" s="20">
        <f t="shared" si="120"/>
        <v>0</v>
      </c>
      <c r="Z121" s="20">
        <f t="shared" si="121"/>
        <v>0</v>
      </c>
      <c r="AA121" s="20">
        <f t="shared" si="121"/>
        <v>0</v>
      </c>
      <c r="AB121" s="20">
        <f t="shared" si="121"/>
        <v>0</v>
      </c>
      <c r="AC121" s="20">
        <f t="shared" si="121"/>
        <v>0</v>
      </c>
      <c r="AD121" s="20">
        <f t="shared" si="122"/>
        <v>0</v>
      </c>
      <c r="AE121" s="20">
        <f t="shared" si="123"/>
        <v>0</v>
      </c>
      <c r="AF121" s="20">
        <f t="shared" si="123"/>
        <v>0</v>
      </c>
      <c r="AG121" s="20">
        <f t="shared" si="123"/>
        <v>0</v>
      </c>
      <c r="AH121" s="20">
        <f t="shared" si="123"/>
        <v>0</v>
      </c>
      <c r="AI121" s="20">
        <f t="shared" si="124"/>
        <v>0</v>
      </c>
      <c r="AJ121" s="20">
        <f t="shared" si="124"/>
        <v>0</v>
      </c>
      <c r="AK121" s="20">
        <f t="shared" si="124"/>
        <v>0</v>
      </c>
      <c r="AL121" s="20">
        <f t="shared" si="124"/>
        <v>0</v>
      </c>
      <c r="AM121" s="20">
        <f t="shared" si="125"/>
        <v>0</v>
      </c>
      <c r="AO121">
        <f t="shared" si="126"/>
        <v>0</v>
      </c>
      <c r="AP121">
        <f t="shared" si="126"/>
        <v>0</v>
      </c>
      <c r="AQ121">
        <f t="shared" si="126"/>
        <v>0</v>
      </c>
      <c r="AR121">
        <f t="shared" si="126"/>
        <v>0</v>
      </c>
      <c r="AS121">
        <f t="shared" si="127"/>
        <v>0</v>
      </c>
      <c r="AU121">
        <f t="shared" si="128"/>
        <v>0</v>
      </c>
      <c r="AV121">
        <f t="shared" si="128"/>
        <v>0</v>
      </c>
      <c r="AW121">
        <f t="shared" si="128"/>
        <v>0</v>
      </c>
      <c r="AX121">
        <f t="shared" si="128"/>
        <v>0</v>
      </c>
      <c r="AY121">
        <f t="shared" si="129"/>
        <v>0</v>
      </c>
    </row>
    <row r="122" spans="1:51" ht="15" x14ac:dyDescent="0.25">
      <c r="A122" s="1"/>
      <c r="B122" s="2"/>
      <c r="C122" s="1" t="s">
        <v>10</v>
      </c>
      <c r="D122" s="285">
        <v>0</v>
      </c>
      <c r="E122" s="286">
        <v>0</v>
      </c>
      <c r="F122" s="286">
        <v>0</v>
      </c>
      <c r="G122" s="286">
        <v>0</v>
      </c>
      <c r="H122" s="287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s="20"/>
      <c r="P122" s="20"/>
      <c r="Q122" s="147"/>
      <c r="R122" s="197">
        <v>0.49226666666666663</v>
      </c>
      <c r="S122" s="197">
        <v>2.8337500000000002</v>
      </c>
      <c r="T122" s="197">
        <v>0.68718466195761863</v>
      </c>
      <c r="U122" s="197">
        <v>0.90789473684210531</v>
      </c>
      <c r="V122" s="20">
        <f t="shared" si="120"/>
        <v>0</v>
      </c>
      <c r="W122" s="20">
        <f t="shared" si="120"/>
        <v>0</v>
      </c>
      <c r="X122" s="20">
        <f t="shared" si="120"/>
        <v>0</v>
      </c>
      <c r="Y122" s="20">
        <f t="shared" si="120"/>
        <v>0</v>
      </c>
      <c r="Z122" s="20">
        <f t="shared" si="121"/>
        <v>0</v>
      </c>
      <c r="AA122" s="20">
        <f t="shared" si="121"/>
        <v>0</v>
      </c>
      <c r="AB122" s="20">
        <f t="shared" si="121"/>
        <v>0</v>
      </c>
      <c r="AC122" s="20">
        <f t="shared" si="121"/>
        <v>0</v>
      </c>
      <c r="AD122" s="20">
        <f t="shared" si="122"/>
        <v>0</v>
      </c>
      <c r="AE122" s="20">
        <f t="shared" si="123"/>
        <v>0</v>
      </c>
      <c r="AF122" s="20">
        <f t="shared" si="123"/>
        <v>0</v>
      </c>
      <c r="AG122" s="20">
        <f t="shared" si="123"/>
        <v>0</v>
      </c>
      <c r="AH122" s="20">
        <f t="shared" si="123"/>
        <v>0</v>
      </c>
      <c r="AI122" s="20">
        <f t="shared" si="124"/>
        <v>0</v>
      </c>
      <c r="AJ122" s="20">
        <f t="shared" si="124"/>
        <v>0</v>
      </c>
      <c r="AK122" s="20">
        <f t="shared" si="124"/>
        <v>0</v>
      </c>
      <c r="AL122" s="20">
        <f t="shared" si="124"/>
        <v>0</v>
      </c>
      <c r="AM122" s="20">
        <f t="shared" si="125"/>
        <v>0</v>
      </c>
      <c r="AO122">
        <f t="shared" si="126"/>
        <v>0</v>
      </c>
      <c r="AP122">
        <f t="shared" si="126"/>
        <v>0</v>
      </c>
      <c r="AQ122">
        <f t="shared" si="126"/>
        <v>0</v>
      </c>
      <c r="AR122">
        <f t="shared" si="126"/>
        <v>0</v>
      </c>
      <c r="AS122">
        <f t="shared" si="127"/>
        <v>0</v>
      </c>
      <c r="AU122">
        <f t="shared" si="128"/>
        <v>0</v>
      </c>
      <c r="AV122">
        <f t="shared" si="128"/>
        <v>0</v>
      </c>
      <c r="AW122">
        <f t="shared" si="128"/>
        <v>0</v>
      </c>
      <c r="AX122">
        <f t="shared" si="128"/>
        <v>0</v>
      </c>
      <c r="AY122">
        <f t="shared" si="129"/>
        <v>0</v>
      </c>
    </row>
    <row r="123" spans="1:51" ht="15" x14ac:dyDescent="0.25">
      <c r="A123" s="1"/>
      <c r="B123" s="2"/>
      <c r="C123" s="1" t="s">
        <v>11</v>
      </c>
      <c r="D123" s="285">
        <v>0</v>
      </c>
      <c r="E123" s="286">
        <v>0</v>
      </c>
      <c r="F123" s="286">
        <v>0</v>
      </c>
      <c r="G123" s="286">
        <v>0</v>
      </c>
      <c r="H123" s="287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 s="20"/>
      <c r="P123" s="20"/>
      <c r="Q123" s="147"/>
      <c r="R123" s="197">
        <v>0.49226666666666663</v>
      </c>
      <c r="S123" s="197">
        <v>2.8337500000000002</v>
      </c>
      <c r="T123" s="197">
        <v>0.68718466195761863</v>
      </c>
      <c r="U123" s="197">
        <v>0.90789473684210531</v>
      </c>
      <c r="V123" s="20">
        <f t="shared" si="120"/>
        <v>0</v>
      </c>
      <c r="W123" s="20">
        <f t="shared" si="120"/>
        <v>0</v>
      </c>
      <c r="X123" s="20">
        <f t="shared" si="120"/>
        <v>0</v>
      </c>
      <c r="Y123" s="20">
        <f t="shared" si="120"/>
        <v>0</v>
      </c>
      <c r="Z123" s="20">
        <f t="shared" si="121"/>
        <v>0</v>
      </c>
      <c r="AA123" s="20">
        <f t="shared" si="121"/>
        <v>0</v>
      </c>
      <c r="AB123" s="20">
        <f t="shared" si="121"/>
        <v>0</v>
      </c>
      <c r="AC123" s="20">
        <f t="shared" si="121"/>
        <v>0</v>
      </c>
      <c r="AD123" s="20">
        <f t="shared" si="122"/>
        <v>0</v>
      </c>
      <c r="AE123" s="20">
        <f t="shared" si="123"/>
        <v>0</v>
      </c>
      <c r="AF123" s="20">
        <f t="shared" si="123"/>
        <v>0</v>
      </c>
      <c r="AG123" s="20">
        <f t="shared" si="123"/>
        <v>0</v>
      </c>
      <c r="AH123" s="20">
        <f t="shared" si="123"/>
        <v>0</v>
      </c>
      <c r="AI123" s="20">
        <f t="shared" si="124"/>
        <v>0</v>
      </c>
      <c r="AJ123" s="20">
        <f t="shared" si="124"/>
        <v>0</v>
      </c>
      <c r="AK123" s="20">
        <f t="shared" si="124"/>
        <v>0</v>
      </c>
      <c r="AL123" s="20">
        <f t="shared" si="124"/>
        <v>0</v>
      </c>
      <c r="AM123" s="20">
        <f t="shared" si="125"/>
        <v>0</v>
      </c>
      <c r="AO123">
        <f t="shared" si="126"/>
        <v>0</v>
      </c>
      <c r="AP123">
        <f t="shared" si="126"/>
        <v>0</v>
      </c>
      <c r="AQ123">
        <f t="shared" si="126"/>
        <v>0</v>
      </c>
      <c r="AR123">
        <f t="shared" si="126"/>
        <v>0</v>
      </c>
      <c r="AS123">
        <f t="shared" si="127"/>
        <v>0</v>
      </c>
      <c r="AU123">
        <f t="shared" si="128"/>
        <v>0</v>
      </c>
      <c r="AV123">
        <f t="shared" si="128"/>
        <v>0</v>
      </c>
      <c r="AW123">
        <f t="shared" si="128"/>
        <v>0</v>
      </c>
      <c r="AX123">
        <f t="shared" si="128"/>
        <v>0</v>
      </c>
      <c r="AY123">
        <f t="shared" si="129"/>
        <v>0</v>
      </c>
    </row>
    <row r="124" spans="1:51" ht="15" x14ac:dyDescent="0.25">
      <c r="A124" s="1"/>
      <c r="B124" s="2"/>
      <c r="C124" s="1" t="s">
        <v>12</v>
      </c>
      <c r="D124" s="285">
        <v>0</v>
      </c>
      <c r="E124" s="286">
        <v>0</v>
      </c>
      <c r="F124" s="286">
        <v>0</v>
      </c>
      <c r="G124" s="286">
        <v>0</v>
      </c>
      <c r="H124" s="287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 s="20"/>
      <c r="P124" s="20"/>
      <c r="Q124" s="147"/>
      <c r="R124" s="197">
        <v>0.49226666666666663</v>
      </c>
      <c r="S124" s="197">
        <v>2.8337500000000002</v>
      </c>
      <c r="T124" s="197">
        <v>0.68718466195761863</v>
      </c>
      <c r="U124" s="197">
        <v>0.90789473684210531</v>
      </c>
      <c r="V124" s="20">
        <f t="shared" si="120"/>
        <v>0</v>
      </c>
      <c r="W124" s="20">
        <f t="shared" si="120"/>
        <v>0</v>
      </c>
      <c r="X124" s="20">
        <f t="shared" si="120"/>
        <v>0</v>
      </c>
      <c r="Y124" s="20">
        <f t="shared" si="120"/>
        <v>0</v>
      </c>
      <c r="Z124" s="20">
        <f t="shared" si="121"/>
        <v>0</v>
      </c>
      <c r="AA124" s="20">
        <f t="shared" si="121"/>
        <v>0</v>
      </c>
      <c r="AB124" s="20">
        <f t="shared" si="121"/>
        <v>0</v>
      </c>
      <c r="AC124" s="20">
        <f t="shared" si="121"/>
        <v>0</v>
      </c>
      <c r="AD124" s="20">
        <f t="shared" si="122"/>
        <v>0</v>
      </c>
      <c r="AE124" s="20">
        <f t="shared" si="123"/>
        <v>0</v>
      </c>
      <c r="AF124" s="20">
        <f t="shared" si="123"/>
        <v>0</v>
      </c>
      <c r="AG124" s="20">
        <f t="shared" si="123"/>
        <v>0</v>
      </c>
      <c r="AH124" s="20">
        <f t="shared" si="123"/>
        <v>0</v>
      </c>
      <c r="AI124" s="20">
        <f t="shared" si="124"/>
        <v>0</v>
      </c>
      <c r="AJ124" s="20">
        <f t="shared" si="124"/>
        <v>0</v>
      </c>
      <c r="AK124" s="20">
        <f t="shared" si="124"/>
        <v>0</v>
      </c>
      <c r="AL124" s="20">
        <f t="shared" si="124"/>
        <v>0</v>
      </c>
      <c r="AM124" s="20">
        <f t="shared" si="125"/>
        <v>0</v>
      </c>
      <c r="AO124">
        <f t="shared" si="126"/>
        <v>0</v>
      </c>
      <c r="AP124">
        <f t="shared" si="126"/>
        <v>0</v>
      </c>
      <c r="AQ124">
        <f t="shared" si="126"/>
        <v>0</v>
      </c>
      <c r="AR124">
        <f t="shared" si="126"/>
        <v>0</v>
      </c>
      <c r="AS124">
        <f t="shared" si="127"/>
        <v>0</v>
      </c>
      <c r="AU124">
        <f t="shared" si="128"/>
        <v>0</v>
      </c>
      <c r="AV124">
        <f t="shared" si="128"/>
        <v>0</v>
      </c>
      <c r="AW124">
        <f t="shared" si="128"/>
        <v>0</v>
      </c>
      <c r="AX124">
        <f t="shared" si="128"/>
        <v>0</v>
      </c>
      <c r="AY124">
        <f t="shared" si="129"/>
        <v>0</v>
      </c>
    </row>
    <row r="125" spans="1:51" ht="15" x14ac:dyDescent="0.25">
      <c r="A125" s="1"/>
      <c r="B125" s="2"/>
      <c r="C125" s="1" t="s">
        <v>13</v>
      </c>
      <c r="D125" s="285">
        <v>0</v>
      </c>
      <c r="E125" s="286">
        <v>0</v>
      </c>
      <c r="F125" s="286">
        <v>0</v>
      </c>
      <c r="G125" s="286">
        <v>0</v>
      </c>
      <c r="H125" s="287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20"/>
      <c r="P125" s="20"/>
      <c r="Q125" s="147"/>
      <c r="R125" s="197">
        <v>0.49226666666666663</v>
      </c>
      <c r="S125" s="197">
        <v>2.8337500000000002</v>
      </c>
      <c r="T125" s="197">
        <v>0.68718466195761863</v>
      </c>
      <c r="U125" s="197">
        <v>0.90789473684210531</v>
      </c>
      <c r="V125" s="20">
        <f t="shared" si="120"/>
        <v>0</v>
      </c>
      <c r="W125" s="20">
        <f t="shared" si="120"/>
        <v>0</v>
      </c>
      <c r="X125" s="20">
        <f t="shared" si="120"/>
        <v>0</v>
      </c>
      <c r="Y125" s="20">
        <f t="shared" si="120"/>
        <v>0</v>
      </c>
      <c r="Z125" s="20">
        <f t="shared" si="121"/>
        <v>0</v>
      </c>
      <c r="AA125" s="20">
        <f t="shared" si="121"/>
        <v>0</v>
      </c>
      <c r="AB125" s="20">
        <f t="shared" si="121"/>
        <v>0</v>
      </c>
      <c r="AC125" s="20">
        <f t="shared" si="121"/>
        <v>0</v>
      </c>
      <c r="AD125" s="20">
        <f t="shared" si="122"/>
        <v>0</v>
      </c>
      <c r="AE125" s="20">
        <f t="shared" si="123"/>
        <v>0</v>
      </c>
      <c r="AF125" s="20">
        <f t="shared" si="123"/>
        <v>0</v>
      </c>
      <c r="AG125" s="20">
        <f t="shared" si="123"/>
        <v>0</v>
      </c>
      <c r="AH125" s="20">
        <f t="shared" si="123"/>
        <v>0</v>
      </c>
      <c r="AI125" s="20">
        <f t="shared" si="124"/>
        <v>0</v>
      </c>
      <c r="AJ125" s="20">
        <f t="shared" si="124"/>
        <v>0</v>
      </c>
      <c r="AK125" s="20">
        <f t="shared" si="124"/>
        <v>0</v>
      </c>
      <c r="AL125" s="20">
        <f t="shared" si="124"/>
        <v>0</v>
      </c>
      <c r="AM125" s="20">
        <f t="shared" si="125"/>
        <v>0</v>
      </c>
      <c r="AO125">
        <f t="shared" si="126"/>
        <v>0</v>
      </c>
      <c r="AP125">
        <f t="shared" si="126"/>
        <v>0</v>
      </c>
      <c r="AQ125">
        <f t="shared" si="126"/>
        <v>0</v>
      </c>
      <c r="AR125">
        <f t="shared" si="126"/>
        <v>0</v>
      </c>
      <c r="AS125">
        <f t="shared" si="127"/>
        <v>0</v>
      </c>
      <c r="AU125">
        <f t="shared" si="128"/>
        <v>0</v>
      </c>
      <c r="AV125">
        <f t="shared" si="128"/>
        <v>0</v>
      </c>
      <c r="AW125">
        <f t="shared" si="128"/>
        <v>0</v>
      </c>
      <c r="AX125">
        <f t="shared" si="128"/>
        <v>0</v>
      </c>
      <c r="AY125">
        <f t="shared" si="129"/>
        <v>0</v>
      </c>
    </row>
    <row r="126" spans="1:51" ht="15" x14ac:dyDescent="0.25">
      <c r="A126" s="7"/>
      <c r="B126" s="8" t="s">
        <v>14</v>
      </c>
      <c r="C126" s="7"/>
      <c r="D126" s="288">
        <f>SUM(D120:D125)</f>
        <v>0</v>
      </c>
      <c r="E126" s="289">
        <f>SUM(E120:E125)</f>
        <v>0</v>
      </c>
      <c r="F126" s="289">
        <f>SUM(F120:F125)</f>
        <v>0</v>
      </c>
      <c r="G126" s="289">
        <f>SUM(G120:G125)</f>
        <v>0.85633649999999994</v>
      </c>
      <c r="H126" s="290">
        <f>SUM(H120:H125)</f>
        <v>3.2119332100000002</v>
      </c>
      <c r="J126">
        <v>0</v>
      </c>
      <c r="K126">
        <v>0</v>
      </c>
      <c r="L126">
        <v>0</v>
      </c>
      <c r="M126">
        <v>0.85633649999999994</v>
      </c>
      <c r="N126">
        <v>1.8145753216600002</v>
      </c>
      <c r="O126" s="20"/>
      <c r="P126" s="20"/>
      <c r="Q126" s="147"/>
      <c r="R126" s="197"/>
      <c r="S126" s="197"/>
      <c r="T126" s="197"/>
      <c r="U126" s="197"/>
    </row>
    <row r="127" spans="1:51" ht="15" x14ac:dyDescent="0.25">
      <c r="A127" s="10"/>
      <c r="B127" s="9" t="s">
        <v>15</v>
      </c>
      <c r="C127" s="5"/>
      <c r="D127" s="291"/>
      <c r="E127" s="292"/>
      <c r="F127" s="292"/>
      <c r="G127" s="292"/>
      <c r="H127" s="293">
        <f>SUM(D126:H126)</f>
        <v>4.06826971</v>
      </c>
      <c r="N127">
        <v>2.6709118216600003</v>
      </c>
      <c r="O127" s="20"/>
      <c r="P127" s="20"/>
      <c r="Q127" s="147"/>
      <c r="R127" s="197"/>
      <c r="S127" s="197"/>
      <c r="T127" s="197"/>
      <c r="U127" s="197"/>
    </row>
    <row r="128" spans="1:51" ht="15.75" thickBot="1" x14ac:dyDescent="0.3">
      <c r="A128" s="1"/>
      <c r="B128" s="2"/>
      <c r="C128" s="1"/>
      <c r="D128" s="294"/>
      <c r="E128" s="295"/>
      <c r="F128" s="295"/>
      <c r="G128" s="295"/>
      <c r="H128" s="296"/>
      <c r="O128" s="20"/>
      <c r="P128" s="20"/>
      <c r="Q128" s="147"/>
      <c r="R128" s="197"/>
      <c r="S128" s="197"/>
      <c r="T128" s="197"/>
      <c r="U128" s="197"/>
    </row>
    <row r="129" spans="1:51" ht="15" x14ac:dyDescent="0.25">
      <c r="A129" s="1">
        <v>14</v>
      </c>
      <c r="B129" s="2" t="s">
        <v>28</v>
      </c>
      <c r="C129" s="1" t="s">
        <v>8</v>
      </c>
      <c r="D129" s="285">
        <v>0</v>
      </c>
      <c r="E129" s="286">
        <v>205.75650567</v>
      </c>
      <c r="F129" s="286">
        <v>125.23605369000001</v>
      </c>
      <c r="G129" s="286">
        <v>88.385856290000007</v>
      </c>
      <c r="H129" s="287">
        <v>151.35131722</v>
      </c>
      <c r="J129">
        <v>0</v>
      </c>
      <c r="K129">
        <v>203.79153314417979</v>
      </c>
      <c r="L129">
        <v>65.246735951449409</v>
      </c>
      <c r="M129">
        <v>-27.193078708682066</v>
      </c>
      <c r="N129">
        <v>-33.440094379870033</v>
      </c>
      <c r="O129" s="20"/>
      <c r="P129" s="20"/>
      <c r="Q129" s="147">
        <v>3.3460617989414243E-2</v>
      </c>
      <c r="R129" s="197">
        <v>5.6499999999999995E-2</v>
      </c>
      <c r="S129" s="197">
        <v>1.25</v>
      </c>
      <c r="T129" s="197">
        <v>0.50078889239507718</v>
      </c>
      <c r="U129" s="197">
        <v>0.75268470790377973</v>
      </c>
      <c r="V129" s="20">
        <f t="shared" ref="V129:Y134" si="130">E129*$Q129*$R129*10</f>
        <v>3.8898780068092478</v>
      </c>
      <c r="W129" s="20">
        <f t="shared" si="130"/>
        <v>2.367618799327917</v>
      </c>
      <c r="X129" s="20">
        <f t="shared" si="130"/>
        <v>1.6709566357376302</v>
      </c>
      <c r="Y129" s="20">
        <f t="shared" si="130"/>
        <v>2.861334363346586</v>
      </c>
      <c r="Z129" s="20">
        <f t="shared" ref="Z129:AC134" si="131">V129*(EXP(1.01-0.34*LN(Z$8))*(1-$T129)+(1*$T129))</f>
        <v>2.5384651309379991</v>
      </c>
      <c r="AA129" s="20">
        <f t="shared" si="131"/>
        <v>1.5687087382387661</v>
      </c>
      <c r="AB129" s="20">
        <f t="shared" si="131"/>
        <v>1.1132700394398465</v>
      </c>
      <c r="AC129" s="20">
        <f t="shared" si="131"/>
        <v>1.8046633133483885</v>
      </c>
      <c r="AD129" s="20">
        <f t="shared" ref="AD129:AD134" si="132">SUM(Z129:AC129)</f>
        <v>7.0251072219650013</v>
      </c>
      <c r="AE129" s="20">
        <f t="shared" ref="AE129:AH134" si="133">E129*$Q129*$S129*10</f>
        <v>86.059247938257698</v>
      </c>
      <c r="AF129" s="20">
        <f t="shared" si="133"/>
        <v>52.380946887785775</v>
      </c>
      <c r="AG129" s="20">
        <f t="shared" si="133"/>
        <v>36.968067162336958</v>
      </c>
      <c r="AH129" s="20">
        <f t="shared" si="133"/>
        <v>63.303857596163411</v>
      </c>
      <c r="AI129" s="20">
        <f t="shared" ref="AI129:AL134" si="134">AE129*(EXP(1.01-0.34*LN(AI$8))*(1-$T129)+(1*$T129))</f>
        <v>56.16073298535396</v>
      </c>
      <c r="AJ129" s="20">
        <f t="shared" si="134"/>
        <v>34.705945536255889</v>
      </c>
      <c r="AK129" s="20">
        <f t="shared" si="134"/>
        <v>24.629868129200148</v>
      </c>
      <c r="AL129" s="20">
        <f t="shared" si="134"/>
        <v>39.926179498858154</v>
      </c>
      <c r="AM129" s="20">
        <f t="shared" ref="AM129:AM134" si="135">SUM(AI129:AL129)</f>
        <v>155.42272614966816</v>
      </c>
      <c r="AO129">
        <f t="shared" ref="AO129:AR134" si="136">Z129*AO$10</f>
        <v>3.616530086106772</v>
      </c>
      <c r="AP129">
        <f t="shared" si="136"/>
        <v>1.9583857108677016</v>
      </c>
      <c r="AQ129">
        <f t="shared" si="136"/>
        <v>1.4658858145332276</v>
      </c>
      <c r="AR129">
        <f t="shared" si="136"/>
        <v>2.1970261984496218</v>
      </c>
      <c r="AS129">
        <f t="shared" ref="AS129:AS134" si="137">SUM(AO129:AR129)</f>
        <v>9.2378278099573237</v>
      </c>
      <c r="AU129">
        <f t="shared" ref="AU129:AX134" si="138">AI129*AU$10</f>
        <v>80.011727568733889</v>
      </c>
      <c r="AV129">
        <f t="shared" si="138"/>
        <v>43.327117497073047</v>
      </c>
      <c r="AW129">
        <f t="shared" si="138"/>
        <v>32.431102091443094</v>
      </c>
      <c r="AX129">
        <f t="shared" si="138"/>
        <v>48.606774301982782</v>
      </c>
      <c r="AY129">
        <f t="shared" ref="AY129:AY134" si="139">SUM(AU129:AX129)</f>
        <v>204.37672145923284</v>
      </c>
    </row>
    <row r="130" spans="1:51" ht="15" x14ac:dyDescent="0.25">
      <c r="A130" s="1"/>
      <c r="B130" s="2"/>
      <c r="C130" s="1" t="s">
        <v>9</v>
      </c>
      <c r="D130" s="285">
        <v>0</v>
      </c>
      <c r="E130" s="286">
        <v>12.3301552</v>
      </c>
      <c r="F130" s="286">
        <v>3.0073229399999999</v>
      </c>
      <c r="G130" s="286">
        <v>5.9471532500000004</v>
      </c>
      <c r="H130" s="287">
        <v>16.722947560000001</v>
      </c>
      <c r="J130">
        <v>0</v>
      </c>
      <c r="K130">
        <v>9.17773939892</v>
      </c>
      <c r="L130">
        <v>-1.2248109612200002</v>
      </c>
      <c r="M130">
        <v>-1.7604358408086993</v>
      </c>
      <c r="N130">
        <v>11.570974827964051</v>
      </c>
      <c r="O130" s="20"/>
      <c r="P130" s="20"/>
      <c r="Q130" s="147">
        <v>5.7921235978828485E-2</v>
      </c>
      <c r="R130" s="197">
        <v>5.6499999999999995E-2</v>
      </c>
      <c r="S130" s="197">
        <v>1.25</v>
      </c>
      <c r="T130" s="197">
        <v>0.50078889239507718</v>
      </c>
      <c r="U130" s="197">
        <v>0.75268470790377973</v>
      </c>
      <c r="V130" s="20">
        <f t="shared" si="130"/>
        <v>0.40351047338205015</v>
      </c>
      <c r="W130" s="20">
        <f t="shared" si="130"/>
        <v>9.8416141844840599E-2</v>
      </c>
      <c r="X130" s="20">
        <f t="shared" si="130"/>
        <v>0.19462355373946133</v>
      </c>
      <c r="Y130" s="20">
        <f t="shared" si="130"/>
        <v>0.54726679241464882</v>
      </c>
      <c r="Z130" s="20">
        <f t="shared" si="131"/>
        <v>0.26332375073346342</v>
      </c>
      <c r="AA130" s="20">
        <f t="shared" si="131"/>
        <v>6.5207398141783682E-2</v>
      </c>
      <c r="AB130" s="20">
        <f t="shared" si="131"/>
        <v>0.1296673813751047</v>
      </c>
      <c r="AC130" s="20">
        <f t="shared" si="131"/>
        <v>0.34516493966452794</v>
      </c>
      <c r="AD130" s="20">
        <f t="shared" si="132"/>
        <v>0.80336346991487972</v>
      </c>
      <c r="AE130" s="20">
        <f t="shared" si="133"/>
        <v>8.9272228624347392</v>
      </c>
      <c r="AF130" s="20">
        <f t="shared" si="133"/>
        <v>2.1773482709035532</v>
      </c>
      <c r="AG130" s="20">
        <f t="shared" si="133"/>
        <v>4.3058308349438352</v>
      </c>
      <c r="AH130" s="20">
        <f t="shared" si="133"/>
        <v>12.107672398554177</v>
      </c>
      <c r="AI130" s="20">
        <f t="shared" si="134"/>
        <v>5.8257466976429964</v>
      </c>
      <c r="AJ130" s="20">
        <f t="shared" si="134"/>
        <v>1.4426415518093736</v>
      </c>
      <c r="AK130" s="20">
        <f t="shared" si="134"/>
        <v>2.8687473755554138</v>
      </c>
      <c r="AL130" s="20">
        <f t="shared" si="134"/>
        <v>7.6363924704541581</v>
      </c>
      <c r="AM130" s="20">
        <f t="shared" si="135"/>
        <v>17.773528095461941</v>
      </c>
      <c r="AO130">
        <f t="shared" si="136"/>
        <v>0.37515514997921423</v>
      </c>
      <c r="AP130">
        <f t="shared" si="136"/>
        <v>8.1405319962139108E-2</v>
      </c>
      <c r="AQ130">
        <f t="shared" si="136"/>
        <v>0.17073806734354904</v>
      </c>
      <c r="AR130">
        <f t="shared" si="136"/>
        <v>0.42020935961856876</v>
      </c>
      <c r="AS130">
        <f t="shared" si="137"/>
        <v>1.047507896903471</v>
      </c>
      <c r="AU130">
        <f t="shared" si="138"/>
        <v>8.2998926986551815</v>
      </c>
      <c r="AV130">
        <f t="shared" si="138"/>
        <v>1.8010026540296264</v>
      </c>
      <c r="AW130">
        <f t="shared" si="138"/>
        <v>3.7773908704325017</v>
      </c>
      <c r="AX130">
        <f t="shared" si="138"/>
        <v>9.2966672481984247</v>
      </c>
      <c r="AY130">
        <f t="shared" si="139"/>
        <v>23.174953471315735</v>
      </c>
    </row>
    <row r="131" spans="1:51" ht="15" x14ac:dyDescent="0.25">
      <c r="A131" s="1"/>
      <c r="B131" s="2"/>
      <c r="C131" s="1" t="s">
        <v>10</v>
      </c>
      <c r="D131" s="285">
        <v>0</v>
      </c>
      <c r="E131" s="286">
        <v>13.047018769999999</v>
      </c>
      <c r="F131" s="286">
        <v>0</v>
      </c>
      <c r="G131" s="286">
        <v>9.8751932300000007</v>
      </c>
      <c r="H131" s="287">
        <v>20.371878110000001</v>
      </c>
      <c r="J131">
        <v>0</v>
      </c>
      <c r="K131">
        <v>10.92853275565</v>
      </c>
      <c r="L131">
        <v>0</v>
      </c>
      <c r="M131">
        <v>-6.000383137154703</v>
      </c>
      <c r="N131">
        <v>4.4073456085640021</v>
      </c>
      <c r="O131" s="20"/>
      <c r="P131" s="20"/>
      <c r="Q131" s="147">
        <v>8.2381853968242713E-2</v>
      </c>
      <c r="R131" s="197">
        <v>5.6499999999999995E-2</v>
      </c>
      <c r="S131" s="197">
        <v>1.25</v>
      </c>
      <c r="T131" s="197">
        <v>0.50078889239507718</v>
      </c>
      <c r="U131" s="197">
        <v>0.75268470790377973</v>
      </c>
      <c r="V131" s="20">
        <f t="shared" si="130"/>
        <v>0.60728324119254973</v>
      </c>
      <c r="W131" s="20">
        <f t="shared" si="130"/>
        <v>0</v>
      </c>
      <c r="X131" s="20">
        <f t="shared" si="130"/>
        <v>0.45964825051885205</v>
      </c>
      <c r="Y131" s="20">
        <f t="shared" si="130"/>
        <v>0.94822429444702594</v>
      </c>
      <c r="Z131" s="20">
        <f t="shared" si="131"/>
        <v>0.39630223098816414</v>
      </c>
      <c r="AA131" s="20">
        <f t="shared" si="131"/>
        <v>0</v>
      </c>
      <c r="AB131" s="20">
        <f t="shared" si="131"/>
        <v>0.30623932126023573</v>
      </c>
      <c r="AC131" s="20">
        <f t="shared" si="131"/>
        <v>0.59805160100645371</v>
      </c>
      <c r="AD131" s="20">
        <f t="shared" si="132"/>
        <v>1.3005931532548536</v>
      </c>
      <c r="AE131" s="20">
        <f t="shared" si="133"/>
        <v>13.43546993788827</v>
      </c>
      <c r="AF131" s="20">
        <f t="shared" si="133"/>
        <v>0</v>
      </c>
      <c r="AG131" s="20">
        <f t="shared" si="133"/>
        <v>10.16920908227549</v>
      </c>
      <c r="AH131" s="20">
        <f t="shared" si="133"/>
        <v>20.978413593960752</v>
      </c>
      <c r="AI131" s="20">
        <f t="shared" si="134"/>
        <v>8.7677484731894726</v>
      </c>
      <c r="AJ131" s="20">
        <f t="shared" si="134"/>
        <v>0</v>
      </c>
      <c r="AK131" s="20">
        <f t="shared" si="134"/>
        <v>6.7752062225715886</v>
      </c>
      <c r="AL131" s="20">
        <f t="shared" si="134"/>
        <v>13.231230110762251</v>
      </c>
      <c r="AM131" s="20">
        <f t="shared" si="135"/>
        <v>28.774184806523312</v>
      </c>
      <c r="AO131">
        <f t="shared" si="136"/>
        <v>0.56460848096437266</v>
      </c>
      <c r="AP131">
        <f t="shared" si="136"/>
        <v>0</v>
      </c>
      <c r="AQ131">
        <f t="shared" si="136"/>
        <v>0.40323718503512246</v>
      </c>
      <c r="AR131">
        <f t="shared" si="136"/>
        <v>0.72807765621279907</v>
      </c>
      <c r="AS131">
        <f t="shared" si="137"/>
        <v>1.6959233222122942</v>
      </c>
      <c r="AU131">
        <f t="shared" si="138"/>
        <v>12.491338074433026</v>
      </c>
      <c r="AV131">
        <f t="shared" si="138"/>
        <v>0</v>
      </c>
      <c r="AW131">
        <f t="shared" si="138"/>
        <v>8.9211766600690829</v>
      </c>
      <c r="AX131">
        <f t="shared" si="138"/>
        <v>16.107912748070778</v>
      </c>
      <c r="AY131">
        <f t="shared" si="139"/>
        <v>37.520427482572885</v>
      </c>
    </row>
    <row r="132" spans="1:51" ht="15" x14ac:dyDescent="0.25">
      <c r="A132" s="1"/>
      <c r="B132" s="2"/>
      <c r="C132" s="1" t="s">
        <v>11</v>
      </c>
      <c r="D132" s="285">
        <v>0</v>
      </c>
      <c r="E132" s="286">
        <v>3.6542285300000001</v>
      </c>
      <c r="F132" s="286">
        <v>0</v>
      </c>
      <c r="G132" s="286">
        <v>0.52885936</v>
      </c>
      <c r="H132" s="287">
        <v>1.53279024</v>
      </c>
      <c r="J132">
        <v>0</v>
      </c>
      <c r="K132">
        <v>3.6106651612824003</v>
      </c>
      <c r="L132">
        <v>0</v>
      </c>
      <c r="M132">
        <v>-0.93481941024640114</v>
      </c>
      <c r="N132">
        <v>0.52758528633285007</v>
      </c>
      <c r="O132" s="20"/>
      <c r="P132" s="20"/>
      <c r="Q132" s="147">
        <v>0.10684247195765696</v>
      </c>
      <c r="R132" s="197">
        <v>5.6499999999999995E-2</v>
      </c>
      <c r="S132" s="197">
        <v>1.25</v>
      </c>
      <c r="T132" s="197">
        <v>0.50078889239507718</v>
      </c>
      <c r="U132" s="197">
        <v>0.75268470790377973</v>
      </c>
      <c r="V132" s="20">
        <f t="shared" si="130"/>
        <v>0.22059114722251816</v>
      </c>
      <c r="W132" s="20">
        <f t="shared" si="130"/>
        <v>0</v>
      </c>
      <c r="X132" s="20">
        <f t="shared" si="130"/>
        <v>3.192512235729459E-2</v>
      </c>
      <c r="Y132" s="20">
        <f t="shared" si="130"/>
        <v>9.2528410502306216E-2</v>
      </c>
      <c r="Z132" s="20">
        <f t="shared" si="131"/>
        <v>0.14395385522058932</v>
      </c>
      <c r="AA132" s="20">
        <f t="shared" si="131"/>
        <v>0</v>
      </c>
      <c r="AB132" s="20">
        <f t="shared" si="131"/>
        <v>2.1270020696939188E-2</v>
      </c>
      <c r="AC132" s="20">
        <f t="shared" si="131"/>
        <v>5.8358306535224592E-2</v>
      </c>
      <c r="AD132" s="20">
        <f t="shared" si="132"/>
        <v>0.2235821824527531</v>
      </c>
      <c r="AE132" s="20">
        <f t="shared" si="133"/>
        <v>4.8803351155424384</v>
      </c>
      <c r="AF132" s="20">
        <f t="shared" si="133"/>
        <v>0</v>
      </c>
      <c r="AG132" s="20">
        <f t="shared" si="133"/>
        <v>0.7063080167543051</v>
      </c>
      <c r="AH132" s="20">
        <f t="shared" si="133"/>
        <v>2.0470887279271288</v>
      </c>
      <c r="AI132" s="20">
        <f t="shared" si="134"/>
        <v>3.184819805765251</v>
      </c>
      <c r="AJ132" s="20">
        <f t="shared" si="134"/>
        <v>0</v>
      </c>
      <c r="AK132" s="20">
        <f t="shared" si="134"/>
        <v>0.47057567913582277</v>
      </c>
      <c r="AL132" s="20">
        <f t="shared" si="134"/>
        <v>1.291112976443022</v>
      </c>
      <c r="AM132" s="20">
        <f t="shared" si="135"/>
        <v>4.9465084613440959</v>
      </c>
      <c r="AO132">
        <f t="shared" si="136"/>
        <v>0.20508985609896702</v>
      </c>
      <c r="AP132">
        <f t="shared" si="136"/>
        <v>0</v>
      </c>
      <c r="AQ132">
        <f t="shared" si="136"/>
        <v>2.8007060739871852E-2</v>
      </c>
      <c r="AR132">
        <f t="shared" si="136"/>
        <v>7.104634277578982E-2</v>
      </c>
      <c r="AS132">
        <f t="shared" si="137"/>
        <v>0.30414325961462868</v>
      </c>
      <c r="AU132">
        <f t="shared" si="138"/>
        <v>4.5373861968798019</v>
      </c>
      <c r="AV132">
        <f t="shared" si="138"/>
        <v>0</v>
      </c>
      <c r="AW132">
        <f t="shared" si="138"/>
        <v>0.61962523760778432</v>
      </c>
      <c r="AX132">
        <f t="shared" si="138"/>
        <v>1.5718217428272085</v>
      </c>
      <c r="AY132">
        <f t="shared" si="139"/>
        <v>6.7288331773147947</v>
      </c>
    </row>
    <row r="133" spans="1:51" ht="15" x14ac:dyDescent="0.25">
      <c r="A133" s="1"/>
      <c r="B133" s="2"/>
      <c r="C133" s="1" t="s">
        <v>12</v>
      </c>
      <c r="D133" s="285">
        <v>0</v>
      </c>
      <c r="E133" s="286">
        <v>0</v>
      </c>
      <c r="F133" s="286">
        <v>6.1662000000000002E-4</v>
      </c>
      <c r="G133" s="286">
        <v>3.8841319999999999E-2</v>
      </c>
      <c r="H133" s="287">
        <v>0.95121202999999999</v>
      </c>
      <c r="J133">
        <v>0</v>
      </c>
      <c r="K133">
        <v>-6.23391774727E-2</v>
      </c>
      <c r="L133">
        <v>1.5121812209100002E-4</v>
      </c>
      <c r="M133">
        <v>3.7657015823829999E-2</v>
      </c>
      <c r="N133">
        <v>0.93438461692219998</v>
      </c>
      <c r="O133" s="20"/>
      <c r="P133" s="20"/>
      <c r="Q133" s="147">
        <v>0.10684247195765696</v>
      </c>
      <c r="R133" s="197">
        <v>5.6499999999999995E-2</v>
      </c>
      <c r="S133" s="197">
        <v>1.25</v>
      </c>
      <c r="T133" s="197">
        <v>0.50078889239507718</v>
      </c>
      <c r="U133" s="197">
        <v>0.75268470790377973</v>
      </c>
      <c r="V133" s="20">
        <f t="shared" si="130"/>
        <v>0</v>
      </c>
      <c r="W133" s="20">
        <f t="shared" si="130"/>
        <v>3.7222880858069689E-5</v>
      </c>
      <c r="X133" s="20">
        <f t="shared" si="130"/>
        <v>2.3446949932375847E-3</v>
      </c>
      <c r="Y133" s="20">
        <f t="shared" si="130"/>
        <v>5.7420862222199436E-2</v>
      </c>
      <c r="Z133" s="20">
        <f t="shared" si="131"/>
        <v>0</v>
      </c>
      <c r="AA133" s="20">
        <f t="shared" si="131"/>
        <v>2.4662694214562665E-5</v>
      </c>
      <c r="AB133" s="20">
        <f t="shared" si="131"/>
        <v>1.5621462770299421E-3</v>
      </c>
      <c r="AC133" s="20">
        <f t="shared" si="131"/>
        <v>3.6215733750192228E-2</v>
      </c>
      <c r="AD133" s="20">
        <f t="shared" si="132"/>
        <v>3.7802542721436731E-2</v>
      </c>
      <c r="AE133" s="20">
        <f t="shared" si="133"/>
        <v>0</v>
      </c>
      <c r="AF133" s="20">
        <f t="shared" si="133"/>
        <v>8.2351506323163036E-4</v>
      </c>
      <c r="AG133" s="20">
        <f t="shared" si="133"/>
        <v>5.1873783036229748E-2</v>
      </c>
      <c r="AH133" s="20">
        <f t="shared" si="133"/>
        <v>1.2703730580132619</v>
      </c>
      <c r="AI133" s="20">
        <f t="shared" si="134"/>
        <v>0</v>
      </c>
      <c r="AJ133" s="20">
        <f t="shared" si="134"/>
        <v>5.4563482775581119E-4</v>
      </c>
      <c r="AK133" s="20">
        <f t="shared" si="134"/>
        <v>3.4560758341370401E-2</v>
      </c>
      <c r="AL133" s="20">
        <f t="shared" si="134"/>
        <v>0.80123304757062452</v>
      </c>
      <c r="AM133" s="20">
        <f t="shared" si="135"/>
        <v>0.83633944073975075</v>
      </c>
      <c r="AO133">
        <f t="shared" si="136"/>
        <v>0</v>
      </c>
      <c r="AP133">
        <f t="shared" si="136"/>
        <v>3.0789060304161878E-5</v>
      </c>
      <c r="AQ133">
        <f t="shared" si="136"/>
        <v>2.056938556323933E-3</v>
      </c>
      <c r="AR133">
        <f t="shared" si="136"/>
        <v>4.4089617856540413E-2</v>
      </c>
      <c r="AS133">
        <f t="shared" si="137"/>
        <v>4.6177345473168506E-2</v>
      </c>
      <c r="AU133">
        <f t="shared" si="138"/>
        <v>0</v>
      </c>
      <c r="AV133">
        <f t="shared" si="138"/>
        <v>6.8117390053455478E-4</v>
      </c>
      <c r="AW133">
        <f t="shared" si="138"/>
        <v>4.5507490184157812E-2</v>
      </c>
      <c r="AX133">
        <f t="shared" si="138"/>
        <v>0.97543402337478791</v>
      </c>
      <c r="AY133">
        <f t="shared" si="139"/>
        <v>1.0216226874594803</v>
      </c>
    </row>
    <row r="134" spans="1:51" ht="15" x14ac:dyDescent="0.25">
      <c r="A134" s="1"/>
      <c r="B134" s="2"/>
      <c r="C134" s="1" t="s">
        <v>13</v>
      </c>
      <c r="D134" s="285">
        <v>0</v>
      </c>
      <c r="E134" s="286">
        <v>0</v>
      </c>
      <c r="F134" s="286">
        <v>0</v>
      </c>
      <c r="G134" s="286">
        <v>0</v>
      </c>
      <c r="H134" s="287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20"/>
      <c r="P134" s="20"/>
      <c r="Q134" s="147"/>
      <c r="R134" s="197">
        <v>5.6499999999999995E-2</v>
      </c>
      <c r="S134" s="197">
        <v>1.25</v>
      </c>
      <c r="T134" s="197">
        <v>0.50078889239507718</v>
      </c>
      <c r="U134" s="197">
        <v>0.75268470790377973</v>
      </c>
      <c r="V134" s="20">
        <f t="shared" si="130"/>
        <v>0</v>
      </c>
      <c r="W134" s="20">
        <f t="shared" si="130"/>
        <v>0</v>
      </c>
      <c r="X134" s="20">
        <f t="shared" si="130"/>
        <v>0</v>
      </c>
      <c r="Y134" s="20">
        <f t="shared" si="130"/>
        <v>0</v>
      </c>
      <c r="Z134" s="20">
        <f t="shared" si="131"/>
        <v>0</v>
      </c>
      <c r="AA134" s="20">
        <f t="shared" si="131"/>
        <v>0</v>
      </c>
      <c r="AB134" s="20">
        <f t="shared" si="131"/>
        <v>0</v>
      </c>
      <c r="AC134" s="20">
        <f t="shared" si="131"/>
        <v>0</v>
      </c>
      <c r="AD134" s="20">
        <f t="shared" si="132"/>
        <v>0</v>
      </c>
      <c r="AE134" s="20">
        <f t="shared" si="133"/>
        <v>0</v>
      </c>
      <c r="AF134" s="20">
        <f t="shared" si="133"/>
        <v>0</v>
      </c>
      <c r="AG134" s="20">
        <f t="shared" si="133"/>
        <v>0</v>
      </c>
      <c r="AH134" s="20">
        <f t="shared" si="133"/>
        <v>0</v>
      </c>
      <c r="AI134" s="20">
        <f t="shared" si="134"/>
        <v>0</v>
      </c>
      <c r="AJ134" s="20">
        <f t="shared" si="134"/>
        <v>0</v>
      </c>
      <c r="AK134" s="20">
        <f t="shared" si="134"/>
        <v>0</v>
      </c>
      <c r="AL134" s="20">
        <f t="shared" si="134"/>
        <v>0</v>
      </c>
      <c r="AM134" s="20">
        <f t="shared" si="135"/>
        <v>0</v>
      </c>
      <c r="AO134">
        <f t="shared" si="136"/>
        <v>0</v>
      </c>
      <c r="AP134">
        <f t="shared" si="136"/>
        <v>0</v>
      </c>
      <c r="AQ134">
        <f t="shared" si="136"/>
        <v>0</v>
      </c>
      <c r="AR134">
        <f t="shared" si="136"/>
        <v>0</v>
      </c>
      <c r="AS134">
        <f t="shared" si="137"/>
        <v>0</v>
      </c>
      <c r="AU134">
        <f t="shared" si="138"/>
        <v>0</v>
      </c>
      <c r="AV134">
        <f t="shared" si="138"/>
        <v>0</v>
      </c>
      <c r="AW134">
        <f t="shared" si="138"/>
        <v>0</v>
      </c>
      <c r="AX134">
        <f t="shared" si="138"/>
        <v>0</v>
      </c>
      <c r="AY134">
        <f t="shared" si="139"/>
        <v>0</v>
      </c>
    </row>
    <row r="135" spans="1:51" ht="15" x14ac:dyDescent="0.25">
      <c r="A135" s="7"/>
      <c r="B135" s="8" t="s">
        <v>14</v>
      </c>
      <c r="C135" s="7"/>
      <c r="D135" s="288">
        <f>SUM(D129:D134)</f>
        <v>0</v>
      </c>
      <c r="E135" s="289">
        <f>SUM(E129:E134)</f>
        <v>234.78790817000001</v>
      </c>
      <c r="F135" s="289">
        <f>SUM(F129:F134)</f>
        <v>128.24399324999999</v>
      </c>
      <c r="G135" s="289">
        <f>SUM(G129:G134)</f>
        <v>104.77590345000002</v>
      </c>
      <c r="H135" s="290">
        <f>SUM(H129:H134)</f>
        <v>190.93014516</v>
      </c>
      <c r="J135">
        <v>0</v>
      </c>
      <c r="K135">
        <v>227.44613128255952</v>
      </c>
      <c r="L135">
        <v>64.022076208351493</v>
      </c>
      <c r="M135">
        <v>-35.851060081068034</v>
      </c>
      <c r="N135">
        <v>-15.99980404008693</v>
      </c>
      <c r="O135" s="20"/>
      <c r="P135" s="20"/>
      <c r="Q135" s="147"/>
      <c r="R135" s="197"/>
      <c r="S135" s="197"/>
      <c r="T135" s="197"/>
      <c r="U135" s="197"/>
    </row>
    <row r="136" spans="1:51" ht="15" x14ac:dyDescent="0.25">
      <c r="A136" s="10"/>
      <c r="B136" s="9" t="s">
        <v>15</v>
      </c>
      <c r="C136" s="5"/>
      <c r="D136" s="291"/>
      <c r="E136" s="292"/>
      <c r="F136" s="292"/>
      <c r="G136" s="292"/>
      <c r="H136" s="293">
        <f>SUM(D135:H135)</f>
        <v>658.73795003000009</v>
      </c>
      <c r="N136">
        <v>239.61734336975607</v>
      </c>
      <c r="O136" s="20"/>
      <c r="P136" s="20"/>
      <c r="Q136" s="147"/>
      <c r="R136" s="197"/>
      <c r="S136" s="197"/>
      <c r="T136" s="197"/>
      <c r="U136" s="197"/>
    </row>
    <row r="137" spans="1:51" ht="15.75" thickBot="1" x14ac:dyDescent="0.3">
      <c r="A137" s="1"/>
      <c r="B137" s="2"/>
      <c r="C137" s="1"/>
      <c r="D137" s="297"/>
      <c r="E137" s="298"/>
      <c r="F137" s="298"/>
      <c r="G137" s="298"/>
      <c r="H137" s="299"/>
      <c r="O137" s="20"/>
      <c r="P137" s="20"/>
      <c r="Q137" s="147"/>
      <c r="R137" s="197"/>
      <c r="S137" s="197"/>
      <c r="T137" s="197"/>
      <c r="U137" s="197"/>
    </row>
    <row r="138" spans="1:51" ht="15" x14ac:dyDescent="0.25">
      <c r="A138" s="1">
        <v>15</v>
      </c>
      <c r="B138" s="2" t="s">
        <v>29</v>
      </c>
      <c r="C138" s="1" t="s">
        <v>8</v>
      </c>
      <c r="D138" s="282">
        <v>2.8999999999999998E-7</v>
      </c>
      <c r="E138" s="283">
        <v>0.74276288000000001</v>
      </c>
      <c r="F138" s="283">
        <v>2.1326700700000001</v>
      </c>
      <c r="G138" s="283">
        <v>2.1078223500000002</v>
      </c>
      <c r="H138" s="284">
        <v>2.7190599600000001</v>
      </c>
      <c r="J138">
        <v>2.8999999999999998E-7</v>
      </c>
      <c r="K138">
        <v>-1.3670043037932302</v>
      </c>
      <c r="L138">
        <v>0.11639199987680016</v>
      </c>
      <c r="M138">
        <v>1.7483973642800001</v>
      </c>
      <c r="N138">
        <v>-1.1583838125034203</v>
      </c>
      <c r="O138" s="20"/>
      <c r="P138" s="20"/>
      <c r="Q138" s="147">
        <v>0.76870615424082034</v>
      </c>
      <c r="R138" s="197">
        <v>1.2861473139312608E-2</v>
      </c>
      <c r="S138" s="197">
        <v>0.49282807343291918</v>
      </c>
      <c r="T138" s="197">
        <v>0.11808671869809276</v>
      </c>
      <c r="U138" s="197">
        <v>0.41263016220713056</v>
      </c>
      <c r="V138" s="20">
        <f t="shared" ref="V138:Y143" si="140">E138*$Q138*$R138*10</f>
        <v>7.3434689784351942E-2</v>
      </c>
      <c r="W138" s="20">
        <f t="shared" si="140"/>
        <v>0.21085055435568098</v>
      </c>
      <c r="X138" s="20">
        <f t="shared" si="140"/>
        <v>0.20839393642392806</v>
      </c>
      <c r="Y138" s="20">
        <f t="shared" si="140"/>
        <v>0.26882512581626639</v>
      </c>
      <c r="Z138" s="20">
        <f t="shared" ref="Z138:AC143" si="141">V138*(EXP(1.01-0.34*LN(Z$8))*(1-$T138)+(1*$T138))</f>
        <v>2.8363919682756224E-2</v>
      </c>
      <c r="AA138" s="20">
        <f t="shared" si="141"/>
        <v>8.5160040723813793E-2</v>
      </c>
      <c r="AB138" s="20">
        <f t="shared" si="141"/>
        <v>8.5522269951851151E-2</v>
      </c>
      <c r="AC138" s="20">
        <f t="shared" si="141"/>
        <v>9.3444062339959916E-2</v>
      </c>
      <c r="AD138" s="20">
        <f t="shared" ref="AD138:AD143" si="142">SUM(Z138:AC138)</f>
        <v>0.29249029269838112</v>
      </c>
      <c r="AE138" s="20">
        <f t="shared" ref="AE138:AH143" si="143">E138*$Q138*$S138*10</f>
        <v>2.8138826942728024</v>
      </c>
      <c r="AF138" s="20">
        <f t="shared" si="143"/>
        <v>8.0794067180182267</v>
      </c>
      <c r="AG138" s="20">
        <f t="shared" si="143"/>
        <v>7.9852736222715244</v>
      </c>
      <c r="AH138" s="20">
        <f t="shared" si="143"/>
        <v>10.300886019147992</v>
      </c>
      <c r="AI138" s="20">
        <f t="shared" ref="AI138:AL143" si="144">AE138*(EXP(1.01-0.34*LN(AI$8))*(1-$T138)+(1*$T138))</f>
        <v>1.0868534063591646</v>
      </c>
      <c r="AJ138" s="20">
        <f t="shared" si="144"/>
        <v>3.26317664771247</v>
      </c>
      <c r="AK138" s="20">
        <f t="shared" si="144"/>
        <v>3.2770566077031402</v>
      </c>
      <c r="AL138" s="20">
        <f t="shared" si="144"/>
        <v>3.58060517002404</v>
      </c>
      <c r="AM138" s="20">
        <f t="shared" ref="AM138:AM143" si="145">SUM(AI138:AL138)</f>
        <v>11.207691831798815</v>
      </c>
      <c r="AO138">
        <f t="shared" ref="AO138:AR143" si="146">Z138*AO$10</f>
        <v>4.0409839647747907E-2</v>
      </c>
      <c r="AP138">
        <f t="shared" si="146"/>
        <v>0.10631432261776835</v>
      </c>
      <c r="AQ138">
        <f t="shared" si="146"/>
        <v>0.11261048793891827</v>
      </c>
      <c r="AR138">
        <f t="shared" si="146"/>
        <v>0.11376030727279422</v>
      </c>
      <c r="AS138">
        <f t="shared" ref="AS138:AS143" si="147">SUM(AO138:AR138)</f>
        <v>0.37309495747722876</v>
      </c>
      <c r="AU138">
        <f t="shared" ref="AU138:AX143" si="148">AI138*AU$10</f>
        <v>1.5484309771996441</v>
      </c>
      <c r="AV138">
        <f t="shared" si="148"/>
        <v>4.0737699504958016</v>
      </c>
      <c r="AW138">
        <f t="shared" si="148"/>
        <v>4.3150274636614592</v>
      </c>
      <c r="AX138">
        <f t="shared" si="148"/>
        <v>4.3590864327213827</v>
      </c>
      <c r="AY138">
        <f t="shared" ref="AY138:AY143" si="149">SUM(AU138:AX138)</f>
        <v>14.296314824078287</v>
      </c>
    </row>
    <row r="139" spans="1:51" ht="15" x14ac:dyDescent="0.25">
      <c r="A139" s="1"/>
      <c r="B139" s="2"/>
      <c r="C139" s="1" t="s">
        <v>9</v>
      </c>
      <c r="D139" s="285">
        <v>0</v>
      </c>
      <c r="E139" s="286">
        <v>0.99528508000000004</v>
      </c>
      <c r="F139" s="286">
        <v>8.0709839999999993</v>
      </c>
      <c r="G139" s="286">
        <v>0</v>
      </c>
      <c r="H139" s="287">
        <v>4.0279706199999996</v>
      </c>
      <c r="J139">
        <v>0</v>
      </c>
      <c r="K139">
        <v>0.67071804207000008</v>
      </c>
      <c r="L139">
        <v>5.5814322178129991</v>
      </c>
      <c r="M139">
        <v>0</v>
      </c>
      <c r="N139">
        <v>0.24564055415049957</v>
      </c>
      <c r="O139" s="20"/>
      <c r="P139" s="20"/>
      <c r="Q139" s="147">
        <v>0.77241230848164077</v>
      </c>
      <c r="R139" s="197">
        <v>1.2861473139312608E-2</v>
      </c>
      <c r="S139" s="197">
        <v>0.49282807343291918</v>
      </c>
      <c r="T139" s="197">
        <v>0.11808671869809276</v>
      </c>
      <c r="U139" s="197">
        <v>0.41263016220713056</v>
      </c>
      <c r="V139" s="20">
        <f t="shared" si="140"/>
        <v>9.8875204446148585E-2</v>
      </c>
      <c r="W139" s="20">
        <f t="shared" si="140"/>
        <v>0.80180061885544784</v>
      </c>
      <c r="X139" s="20">
        <f t="shared" si="140"/>
        <v>0</v>
      </c>
      <c r="Y139" s="20">
        <f t="shared" si="140"/>
        <v>0.40015310844967128</v>
      </c>
      <c r="Z139" s="20">
        <f t="shared" si="141"/>
        <v>3.8190239051357204E-2</v>
      </c>
      <c r="AA139" s="20">
        <f t="shared" si="141"/>
        <v>0.32383777013422554</v>
      </c>
      <c r="AB139" s="20">
        <f t="shared" si="141"/>
        <v>0</v>
      </c>
      <c r="AC139" s="20">
        <f t="shared" si="141"/>
        <v>0.13909388825900168</v>
      </c>
      <c r="AD139" s="20">
        <f t="shared" si="142"/>
        <v>0.50112189744458446</v>
      </c>
      <c r="AE139" s="20">
        <f t="shared" si="143"/>
        <v>3.7887165793269109</v>
      </c>
      <c r="AF139" s="20">
        <f t="shared" si="143"/>
        <v>30.723529877773537</v>
      </c>
      <c r="AG139" s="20">
        <f t="shared" si="143"/>
        <v>0</v>
      </c>
      <c r="AH139" s="20">
        <f t="shared" si="143"/>
        <v>15.333133567154141</v>
      </c>
      <c r="AI139" s="20">
        <f t="shared" si="144"/>
        <v>1.4633799512509749</v>
      </c>
      <c r="AJ139" s="20">
        <f t="shared" si="144"/>
        <v>12.408869701888026</v>
      </c>
      <c r="AK139" s="20">
        <f t="shared" si="144"/>
        <v>0</v>
      </c>
      <c r="AL139" s="20">
        <f t="shared" si="144"/>
        <v>5.3298228153545111</v>
      </c>
      <c r="AM139" s="20">
        <f t="shared" si="145"/>
        <v>19.202072468493512</v>
      </c>
      <c r="AO139">
        <f t="shared" si="146"/>
        <v>5.4409314842078289E-2</v>
      </c>
      <c r="AP139">
        <f t="shared" si="146"/>
        <v>0.4042810792156103</v>
      </c>
      <c r="AQ139">
        <f t="shared" si="146"/>
        <v>0</v>
      </c>
      <c r="AR139">
        <f t="shared" si="146"/>
        <v>0.16933514095892552</v>
      </c>
      <c r="AS139">
        <f t="shared" si="147"/>
        <v>0.62802553501661407</v>
      </c>
      <c r="AU139">
        <f t="shared" si="148"/>
        <v>2.0848652032297212</v>
      </c>
      <c r="AV139">
        <f t="shared" si="148"/>
        <v>15.491309839633129</v>
      </c>
      <c r="AW139">
        <f t="shared" si="148"/>
        <v>0</v>
      </c>
      <c r="AX139">
        <f t="shared" si="148"/>
        <v>6.4886121814611428</v>
      </c>
      <c r="AY139">
        <f t="shared" si="149"/>
        <v>24.064787224323993</v>
      </c>
    </row>
    <row r="140" spans="1:51" ht="15" x14ac:dyDescent="0.25">
      <c r="A140" s="1"/>
      <c r="B140" s="2"/>
      <c r="C140" s="1" t="s">
        <v>10</v>
      </c>
      <c r="D140" s="285">
        <v>0</v>
      </c>
      <c r="E140" s="286">
        <v>0.88419579000000004</v>
      </c>
      <c r="F140" s="286">
        <v>0.2260906</v>
      </c>
      <c r="G140" s="286">
        <v>2.8523884399999999</v>
      </c>
      <c r="H140" s="287">
        <v>1.2091729099999999</v>
      </c>
      <c r="J140">
        <v>0</v>
      </c>
      <c r="K140">
        <v>-3.3081961745840993E-2</v>
      </c>
      <c r="L140">
        <v>-9.0744787999999993E-2</v>
      </c>
      <c r="M140">
        <v>2.8523884399999999</v>
      </c>
      <c r="N140">
        <v>-0.60437976020900019</v>
      </c>
      <c r="O140" s="20"/>
      <c r="P140" s="20"/>
      <c r="Q140" s="147">
        <v>0.77611846272246088</v>
      </c>
      <c r="R140" s="197">
        <v>1.2861473139312608E-2</v>
      </c>
      <c r="S140" s="197">
        <v>0.49282807343291918</v>
      </c>
      <c r="T140" s="197">
        <v>0.11808671869809276</v>
      </c>
      <c r="U140" s="197">
        <v>0.41263016220713056</v>
      </c>
      <c r="V140" s="20">
        <f t="shared" si="140"/>
        <v>8.8260660379464811E-2</v>
      </c>
      <c r="W140" s="20">
        <f t="shared" si="140"/>
        <v>2.2568424196624401E-2</v>
      </c>
      <c r="X140" s="20">
        <f t="shared" si="140"/>
        <v>0.28472617741501732</v>
      </c>
      <c r="Y140" s="20">
        <f t="shared" si="140"/>
        <v>0.12069996346573778</v>
      </c>
      <c r="Z140" s="20">
        <f t="shared" si="141"/>
        <v>3.4090404541800262E-2</v>
      </c>
      <c r="AA140" s="20">
        <f t="shared" si="141"/>
        <v>9.1151191398565843E-3</v>
      </c>
      <c r="AB140" s="20">
        <f t="shared" si="141"/>
        <v>0.11684806873512193</v>
      </c>
      <c r="AC140" s="20">
        <f t="shared" si="141"/>
        <v>4.19555087206838E-2</v>
      </c>
      <c r="AD140" s="20">
        <f t="shared" si="142"/>
        <v>0.20200910113746257</v>
      </c>
      <c r="AE140" s="20">
        <f t="shared" si="143"/>
        <v>3.3819867089543658</v>
      </c>
      <c r="AF140" s="20">
        <f t="shared" si="143"/>
        <v>0.8647806434585239</v>
      </c>
      <c r="AG140" s="20">
        <f t="shared" si="143"/>
        <v>10.910185167082819</v>
      </c>
      <c r="AH140" s="20">
        <f t="shared" si="143"/>
        <v>4.6250013364660711</v>
      </c>
      <c r="AI140" s="20">
        <f t="shared" si="144"/>
        <v>1.3062818085380059</v>
      </c>
      <c r="AJ140" s="20">
        <f t="shared" si="144"/>
        <v>0.34927465587718326</v>
      </c>
      <c r="AK140" s="20">
        <f t="shared" si="144"/>
        <v>4.477403791566382</v>
      </c>
      <c r="AL140" s="20">
        <f t="shared" si="144"/>
        <v>1.6076581826005145</v>
      </c>
      <c r="AM140" s="20">
        <f t="shared" si="145"/>
        <v>7.7406184385820858</v>
      </c>
      <c r="AO140">
        <f t="shared" si="146"/>
        <v>4.8568314833386965E-2</v>
      </c>
      <c r="AP140">
        <f t="shared" si="146"/>
        <v>1.1379371225020118E-2</v>
      </c>
      <c r="AQ140">
        <f t="shared" si="146"/>
        <v>0.15385838147643235</v>
      </c>
      <c r="AR140">
        <f t="shared" si="146"/>
        <v>5.1077312397733179E-2</v>
      </c>
      <c r="AS140">
        <f t="shared" si="147"/>
        <v>0.2648833799325726</v>
      </c>
      <c r="AU140">
        <f t="shared" si="148"/>
        <v>1.8610487904421213</v>
      </c>
      <c r="AV140">
        <f t="shared" si="148"/>
        <v>0.43603664502186168</v>
      </c>
      <c r="AW140">
        <f t="shared" si="148"/>
        <v>5.8955711296217697</v>
      </c>
      <c r="AX140">
        <f t="shared" si="148"/>
        <v>1.9571889776890334</v>
      </c>
      <c r="AY140">
        <f t="shared" si="149"/>
        <v>10.149845542774786</v>
      </c>
    </row>
    <row r="141" spans="1:51" ht="15" x14ac:dyDescent="0.25">
      <c r="A141" s="1"/>
      <c r="B141" s="2"/>
      <c r="C141" s="1" t="s">
        <v>11</v>
      </c>
      <c r="D141" s="285">
        <v>0</v>
      </c>
      <c r="E141" s="286">
        <v>0.43953955</v>
      </c>
      <c r="F141" s="286">
        <v>0</v>
      </c>
      <c r="G141" s="286">
        <v>1.73005024</v>
      </c>
      <c r="H141" s="287">
        <v>0.12323297</v>
      </c>
      <c r="J141">
        <v>0</v>
      </c>
      <c r="K141">
        <v>0.17753138272800001</v>
      </c>
      <c r="L141">
        <v>0</v>
      </c>
      <c r="M141">
        <v>0.59518854873799998</v>
      </c>
      <c r="N141">
        <v>-2.8028399382600017E-2</v>
      </c>
      <c r="O141" s="20"/>
      <c r="P141" s="20"/>
      <c r="Q141" s="147">
        <v>0.77982461696328143</v>
      </c>
      <c r="R141" s="197">
        <v>1.2861473139312608E-2</v>
      </c>
      <c r="S141" s="197">
        <v>0.49282807343291918</v>
      </c>
      <c r="T141" s="197">
        <v>0.11808671869809276</v>
      </c>
      <c r="U141" s="197">
        <v>0.41263016220713056</v>
      </c>
      <c r="V141" s="20">
        <f t="shared" si="140"/>
        <v>4.4084469080474538E-2</v>
      </c>
      <c r="W141" s="20">
        <f t="shared" si="140"/>
        <v>0</v>
      </c>
      <c r="X141" s="20">
        <f t="shared" si="140"/>
        <v>0.17351873412289648</v>
      </c>
      <c r="Y141" s="20">
        <f t="shared" si="140"/>
        <v>1.2359889014902179E-2</v>
      </c>
      <c r="Z141" s="20">
        <f t="shared" si="141"/>
        <v>1.7027488560617261E-2</v>
      </c>
      <c r="AA141" s="20">
        <f t="shared" si="141"/>
        <v>0</v>
      </c>
      <c r="AB141" s="20">
        <f t="shared" si="141"/>
        <v>7.1209922303948195E-2</v>
      </c>
      <c r="AC141" s="20">
        <f t="shared" si="141"/>
        <v>4.296318047342357E-3</v>
      </c>
      <c r="AD141" s="20">
        <f t="shared" si="142"/>
        <v>9.2533728911907823E-2</v>
      </c>
      <c r="AE141" s="20">
        <f t="shared" si="143"/>
        <v>1.6892360408416272</v>
      </c>
      <c r="AF141" s="20">
        <f t="shared" si="143"/>
        <v>0</v>
      </c>
      <c r="AG141" s="20">
        <f t="shared" si="143"/>
        <v>6.6489198022674101</v>
      </c>
      <c r="AH141" s="20">
        <f t="shared" si="143"/>
        <v>0.47360828927443505</v>
      </c>
      <c r="AI141" s="20">
        <f t="shared" si="144"/>
        <v>0.65246214736320429</v>
      </c>
      <c r="AJ141" s="20">
        <f t="shared" si="144"/>
        <v>0</v>
      </c>
      <c r="AK141" s="20">
        <f t="shared" si="144"/>
        <v>2.7286336828005293</v>
      </c>
      <c r="AL141" s="20">
        <f t="shared" si="144"/>
        <v>0.1646270316931967</v>
      </c>
      <c r="AM141" s="20">
        <f t="shared" si="145"/>
        <v>3.5457228618569303</v>
      </c>
      <c r="AO141">
        <f t="shared" si="146"/>
        <v>2.4258920841491477E-2</v>
      </c>
      <c r="AP141">
        <f t="shared" si="146"/>
        <v>0</v>
      </c>
      <c r="AQ141">
        <f t="shared" si="146"/>
        <v>9.3764865002469375E-2</v>
      </c>
      <c r="AR141">
        <f t="shared" si="146"/>
        <v>5.2304068227383904E-3</v>
      </c>
      <c r="AS141">
        <f t="shared" si="147"/>
        <v>0.12325419266669924</v>
      </c>
      <c r="AU141">
        <f t="shared" si="148"/>
        <v>0.92955737592225063</v>
      </c>
      <c r="AV141">
        <f t="shared" si="148"/>
        <v>0</v>
      </c>
      <c r="AW141">
        <f t="shared" si="148"/>
        <v>3.5928977399656143</v>
      </c>
      <c r="AX141">
        <f t="shared" si="148"/>
        <v>0.20041960122293762</v>
      </c>
      <c r="AY141">
        <f t="shared" si="149"/>
        <v>4.7228747171108028</v>
      </c>
    </row>
    <row r="142" spans="1:51" ht="15" x14ac:dyDescent="0.25">
      <c r="A142" s="1"/>
      <c r="B142" s="2"/>
      <c r="C142" s="1" t="s">
        <v>12</v>
      </c>
      <c r="D142" s="285">
        <v>0</v>
      </c>
      <c r="E142" s="286">
        <v>6.0469334300000002</v>
      </c>
      <c r="F142" s="286">
        <v>123.17674611</v>
      </c>
      <c r="G142" s="286">
        <v>3.4736843799999999</v>
      </c>
      <c r="H142" s="287">
        <v>18.900544279999998</v>
      </c>
      <c r="J142">
        <v>-1.5613202036099999E-5</v>
      </c>
      <c r="K142">
        <v>2.4036797743580003</v>
      </c>
      <c r="L142">
        <v>5.9536632966499923</v>
      </c>
      <c r="M142">
        <v>3.333351149836</v>
      </c>
      <c r="N142">
        <v>0.22494520368259785</v>
      </c>
      <c r="O142" s="20"/>
      <c r="P142" s="20"/>
      <c r="Q142" s="147">
        <v>0.77982461696328131</v>
      </c>
      <c r="R142" s="197">
        <v>1.2861473139312608E-2</v>
      </c>
      <c r="S142" s="197">
        <v>0.49282807343291918</v>
      </c>
      <c r="T142" s="197">
        <v>0.11808671869809276</v>
      </c>
      <c r="U142" s="197">
        <v>0.41263016220713056</v>
      </c>
      <c r="V142" s="20">
        <f t="shared" si="140"/>
        <v>0.60648888098129705</v>
      </c>
      <c r="W142" s="20">
        <f t="shared" si="140"/>
        <v>12.354249931137613</v>
      </c>
      <c r="X142" s="20">
        <f t="shared" si="140"/>
        <v>0.34839989176272618</v>
      </c>
      <c r="Y142" s="20">
        <f t="shared" si="140"/>
        <v>1.8956666354957132</v>
      </c>
      <c r="Z142" s="20">
        <f t="shared" si="141"/>
        <v>0.23425443695826487</v>
      </c>
      <c r="AA142" s="20">
        <f t="shared" si="141"/>
        <v>4.9897351726811161</v>
      </c>
      <c r="AB142" s="20">
        <f t="shared" si="141"/>
        <v>0.14297896621096878</v>
      </c>
      <c r="AC142" s="20">
        <f t="shared" si="141"/>
        <v>0.65893688592230903</v>
      </c>
      <c r="AD142" s="20">
        <f t="shared" si="142"/>
        <v>6.0259054617726591</v>
      </c>
      <c r="AE142" s="20">
        <f t="shared" si="143"/>
        <v>23.239542122036756</v>
      </c>
      <c r="AF142" s="20">
        <f t="shared" si="143"/>
        <v>473.39220992197556</v>
      </c>
      <c r="AG142" s="20">
        <f t="shared" si="143"/>
        <v>13.350045176149907</v>
      </c>
      <c r="AH142" s="20">
        <f t="shared" si="143"/>
        <v>72.638470393162692</v>
      </c>
      <c r="AI142" s="20">
        <f t="shared" si="144"/>
        <v>8.976200596055909</v>
      </c>
      <c r="AJ142" s="20">
        <f t="shared" si="144"/>
        <v>191.19750478476965</v>
      </c>
      <c r="AK142" s="20">
        <f t="shared" si="144"/>
        <v>5.4786918804658944</v>
      </c>
      <c r="AL142" s="20">
        <f t="shared" si="144"/>
        <v>25.249253525271904</v>
      </c>
      <c r="AM142" s="20">
        <f t="shared" si="145"/>
        <v>230.90165078656338</v>
      </c>
      <c r="AO142">
        <f t="shared" si="146"/>
        <v>0.33374034125515795</v>
      </c>
      <c r="AP142">
        <f t="shared" si="146"/>
        <v>6.2292163133889273</v>
      </c>
      <c r="AQ142">
        <f t="shared" si="146"/>
        <v>0.18826594709289279</v>
      </c>
      <c r="AR142">
        <f t="shared" si="146"/>
        <v>0.80220038318950704</v>
      </c>
      <c r="AS142">
        <f t="shared" si="147"/>
        <v>7.5534229849264847</v>
      </c>
      <c r="AU142">
        <f t="shared" si="148"/>
        <v>12.78831807414676</v>
      </c>
      <c r="AV142">
        <f t="shared" si="148"/>
        <v>238.69214991716348</v>
      </c>
      <c r="AW142">
        <f t="shared" si="148"/>
        <v>7.214005969130616</v>
      </c>
      <c r="AX142">
        <f t="shared" si="148"/>
        <v>30.738848114218733</v>
      </c>
      <c r="AY142">
        <f t="shared" si="149"/>
        <v>289.4333220746596</v>
      </c>
    </row>
    <row r="143" spans="1:51" ht="15" x14ac:dyDescent="0.25">
      <c r="A143" s="1"/>
      <c r="B143" s="2"/>
      <c r="C143" s="1" t="s">
        <v>13</v>
      </c>
      <c r="D143" s="285">
        <v>0</v>
      </c>
      <c r="E143" s="286">
        <v>0</v>
      </c>
      <c r="F143" s="286">
        <v>0</v>
      </c>
      <c r="G143" s="286">
        <v>0</v>
      </c>
      <c r="H143" s="287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20"/>
      <c r="P143" s="20"/>
      <c r="Q143" s="147"/>
      <c r="R143" s="197">
        <v>1.2861473139312608E-2</v>
      </c>
      <c r="S143" s="197">
        <v>0.49282807343291918</v>
      </c>
      <c r="T143" s="197">
        <v>0.11808671869809276</v>
      </c>
      <c r="U143" s="197">
        <v>0.41263016220713056</v>
      </c>
      <c r="V143" s="20">
        <f t="shared" si="140"/>
        <v>0</v>
      </c>
      <c r="W143" s="20">
        <f t="shared" si="140"/>
        <v>0</v>
      </c>
      <c r="X143" s="20">
        <f t="shared" si="140"/>
        <v>0</v>
      </c>
      <c r="Y143" s="20">
        <f t="shared" si="140"/>
        <v>0</v>
      </c>
      <c r="Z143" s="20">
        <f t="shared" si="141"/>
        <v>0</v>
      </c>
      <c r="AA143" s="20">
        <f t="shared" si="141"/>
        <v>0</v>
      </c>
      <c r="AB143" s="20">
        <f t="shared" si="141"/>
        <v>0</v>
      </c>
      <c r="AC143" s="20">
        <f t="shared" si="141"/>
        <v>0</v>
      </c>
      <c r="AD143" s="20">
        <f t="shared" si="142"/>
        <v>0</v>
      </c>
      <c r="AE143" s="20">
        <f t="shared" si="143"/>
        <v>0</v>
      </c>
      <c r="AF143" s="20">
        <f t="shared" si="143"/>
        <v>0</v>
      </c>
      <c r="AG143" s="20">
        <f t="shared" si="143"/>
        <v>0</v>
      </c>
      <c r="AH143" s="20">
        <f t="shared" si="143"/>
        <v>0</v>
      </c>
      <c r="AI143" s="20">
        <f t="shared" si="144"/>
        <v>0</v>
      </c>
      <c r="AJ143" s="20">
        <f t="shared" si="144"/>
        <v>0</v>
      </c>
      <c r="AK143" s="20">
        <f t="shared" si="144"/>
        <v>0</v>
      </c>
      <c r="AL143" s="20">
        <f t="shared" si="144"/>
        <v>0</v>
      </c>
      <c r="AM143" s="20">
        <f t="shared" si="145"/>
        <v>0</v>
      </c>
      <c r="AO143">
        <f t="shared" si="146"/>
        <v>0</v>
      </c>
      <c r="AP143">
        <f t="shared" si="146"/>
        <v>0</v>
      </c>
      <c r="AQ143">
        <f t="shared" si="146"/>
        <v>0</v>
      </c>
      <c r="AR143">
        <f t="shared" si="146"/>
        <v>0</v>
      </c>
      <c r="AS143">
        <f t="shared" si="147"/>
        <v>0</v>
      </c>
      <c r="AU143">
        <f t="shared" si="148"/>
        <v>0</v>
      </c>
      <c r="AV143">
        <f t="shared" si="148"/>
        <v>0</v>
      </c>
      <c r="AW143">
        <f t="shared" si="148"/>
        <v>0</v>
      </c>
      <c r="AX143">
        <f t="shared" si="148"/>
        <v>0</v>
      </c>
      <c r="AY143">
        <f t="shared" si="149"/>
        <v>0</v>
      </c>
    </row>
    <row r="144" spans="1:51" ht="15" x14ac:dyDescent="0.25">
      <c r="A144" s="7"/>
      <c r="B144" s="8" t="s">
        <v>14</v>
      </c>
      <c r="C144" s="7"/>
      <c r="D144" s="288">
        <f>SUM(D138:D143)</f>
        <v>2.8999999999999998E-7</v>
      </c>
      <c r="E144" s="289">
        <f>SUM(E138:E143)</f>
        <v>9.1087167300000011</v>
      </c>
      <c r="F144" s="289">
        <f>SUM(F138:F143)</f>
        <v>133.60649078</v>
      </c>
      <c r="G144" s="289">
        <f>SUM(G138:G143)</f>
        <v>10.16394541</v>
      </c>
      <c r="H144" s="290">
        <f>SUM(H138:H143)</f>
        <v>26.979980739999998</v>
      </c>
      <c r="J144">
        <v>-1.53232020361E-5</v>
      </c>
      <c r="K144">
        <v>1.8518429336169291</v>
      </c>
      <c r="L144">
        <v>11.560742726339791</v>
      </c>
      <c r="M144">
        <v>8.5293255028540003</v>
      </c>
      <c r="N144">
        <v>-1.3202062142619231</v>
      </c>
      <c r="O144" s="20"/>
      <c r="P144" s="20"/>
      <c r="Q144" s="147"/>
      <c r="R144" s="197"/>
      <c r="S144" s="197"/>
      <c r="T144" s="197"/>
      <c r="U144" s="197"/>
    </row>
    <row r="145" spans="1:51" ht="15" x14ac:dyDescent="0.25">
      <c r="A145" s="10"/>
      <c r="B145" s="9" t="s">
        <v>15</v>
      </c>
      <c r="C145" s="5"/>
      <c r="D145" s="291"/>
      <c r="E145" s="292"/>
      <c r="F145" s="292"/>
      <c r="G145" s="292"/>
      <c r="H145" s="293">
        <f>SUM(D144:H144)</f>
        <v>179.85913395</v>
      </c>
      <c r="N145">
        <v>20.621689625346761</v>
      </c>
      <c r="O145" s="20"/>
      <c r="P145" s="20"/>
      <c r="Q145" s="147"/>
      <c r="R145" s="197"/>
      <c r="S145" s="197"/>
      <c r="T145" s="197"/>
      <c r="U145" s="197"/>
    </row>
    <row r="146" spans="1:51" ht="15.75" thickBot="1" x14ac:dyDescent="0.3">
      <c r="A146" s="1"/>
      <c r="B146" s="2"/>
      <c r="C146" s="1"/>
      <c r="D146" s="294"/>
      <c r="E146" s="295"/>
      <c r="F146" s="295"/>
      <c r="G146" s="295"/>
      <c r="H146" s="296"/>
      <c r="O146" s="20"/>
      <c r="P146" s="20"/>
      <c r="Q146" s="147"/>
      <c r="R146" s="197"/>
      <c r="S146" s="197"/>
      <c r="T146" s="197"/>
      <c r="U146" s="197"/>
    </row>
    <row r="147" spans="1:51" ht="15" x14ac:dyDescent="0.25">
      <c r="A147" s="1">
        <v>16</v>
      </c>
      <c r="B147" s="2" t="s">
        <v>30</v>
      </c>
      <c r="C147" s="1" t="s">
        <v>8</v>
      </c>
      <c r="D147" s="285">
        <v>2.2000000000000001E-7</v>
      </c>
      <c r="E147" s="286">
        <v>5.45373777</v>
      </c>
      <c r="F147" s="286">
        <v>4.9587283800000002</v>
      </c>
      <c r="G147" s="286">
        <v>7.9732721599999996</v>
      </c>
      <c r="H147" s="287">
        <v>6.0085408899999999</v>
      </c>
      <c r="J147">
        <v>2.2000000000000001E-7</v>
      </c>
      <c r="K147">
        <v>2.6633107807999998</v>
      </c>
      <c r="L147">
        <v>-1.0630718480597299</v>
      </c>
      <c r="M147">
        <v>1.4502093472370987</v>
      </c>
      <c r="N147">
        <v>-3.6833894152023179</v>
      </c>
      <c r="O147" s="20"/>
      <c r="P147" s="20"/>
      <c r="Q147" s="147">
        <v>0.68117692373470062</v>
      </c>
      <c r="R147" s="197">
        <v>5.6499999999999995E-2</v>
      </c>
      <c r="S147" s="197">
        <v>1.25</v>
      </c>
      <c r="T147" s="197">
        <v>0.50650413159351704</v>
      </c>
      <c r="U147" s="197">
        <v>0.77519673403474398</v>
      </c>
      <c r="V147" s="20">
        <f t="shared" ref="V147:Y152" si="150">E147*$Q147*$R147*10</f>
        <v>2.0989525791187553</v>
      </c>
      <c r="W147" s="20">
        <f t="shared" si="150"/>
        <v>1.9084408090912608</v>
      </c>
      <c r="X147" s="20">
        <f t="shared" si="150"/>
        <v>3.0686330861573068</v>
      </c>
      <c r="Y147" s="20">
        <f t="shared" si="150"/>
        <v>2.3124768607651633</v>
      </c>
      <c r="Z147" s="20">
        <f t="shared" ref="Z147:AC152" si="151">V147*(EXP(1.01-0.34*LN(Z$8))*(1-$T147)+(1*$T147))</f>
        <v>1.3780875140290862</v>
      </c>
      <c r="AA147" s="20">
        <f t="shared" si="151"/>
        <v>1.2718445435375796</v>
      </c>
      <c r="AB147" s="20">
        <f t="shared" si="151"/>
        <v>2.0561931409402945</v>
      </c>
      <c r="AC147" s="20">
        <f t="shared" si="151"/>
        <v>1.4682719476185451</v>
      </c>
      <c r="AD147" s="20">
        <f t="shared" ref="AD147:AD152" si="152">SUM(Z147:AC147)</f>
        <v>6.1743971461255054</v>
      </c>
      <c r="AE147" s="20">
        <f t="shared" ref="AE147:AH152" si="153">E147*$Q147*$S147*10</f>
        <v>46.437003962804333</v>
      </c>
      <c r="AF147" s="20">
        <f t="shared" si="153"/>
        <v>42.222141794054444</v>
      </c>
      <c r="AG147" s="20">
        <f t="shared" si="153"/>
        <v>67.890112525604138</v>
      </c>
      <c r="AH147" s="20">
        <f t="shared" si="153"/>
        <v>51.160992494804503</v>
      </c>
      <c r="AI147" s="20">
        <f t="shared" ref="AI147:AL152" si="154">AE147*(EXP(1.01-0.34*LN(AI$8))*(1-$T147)+(1*$T147))</f>
        <v>30.4886618148028</v>
      </c>
      <c r="AJ147" s="20">
        <f t="shared" si="154"/>
        <v>28.138153618088044</v>
      </c>
      <c r="AK147" s="20">
        <f t="shared" si="154"/>
        <v>45.490998693369356</v>
      </c>
      <c r="AL147" s="20">
        <f t="shared" si="154"/>
        <v>32.483892646427989</v>
      </c>
      <c r="AM147" s="20">
        <f t="shared" ref="AM147:AM152" si="155">SUM(AI147:AL147)</f>
        <v>136.6017067726882</v>
      </c>
      <c r="AO147">
        <f t="shared" ref="AO147:AR152" si="156">Z147*AO$10</f>
        <v>1.963349779767374</v>
      </c>
      <c r="AP147">
        <f t="shared" si="156"/>
        <v>1.5877786103910532</v>
      </c>
      <c r="AQ147">
        <f t="shared" si="156"/>
        <v>2.7074692127361102</v>
      </c>
      <c r="AR147">
        <f t="shared" si="156"/>
        <v>1.7874979291186215</v>
      </c>
      <c r="AS147">
        <f t="shared" ref="AS147:AS152" si="157">SUM(AO147:AR147)</f>
        <v>8.04609553201316</v>
      </c>
      <c r="AU147">
        <f t="shared" ref="AU147:AX152" si="158">AI147*AU$10</f>
        <v>43.43694203025165</v>
      </c>
      <c r="AV147">
        <f t="shared" si="158"/>
        <v>35.12784536263392</v>
      </c>
      <c r="AW147">
        <f t="shared" si="158"/>
        <v>59.899761343719263</v>
      </c>
      <c r="AX147">
        <f t="shared" si="158"/>
        <v>39.546414361031445</v>
      </c>
      <c r="AY147">
        <f t="shared" ref="AY147:AY152" si="159">SUM(AU147:AX147)</f>
        <v>178.01096309763628</v>
      </c>
    </row>
    <row r="148" spans="1:51" ht="15" x14ac:dyDescent="0.25">
      <c r="A148" s="1"/>
      <c r="B148" s="2"/>
      <c r="C148" s="1" t="s">
        <v>9</v>
      </c>
      <c r="D148" s="285">
        <v>0</v>
      </c>
      <c r="E148" s="286">
        <v>41.935854540000001</v>
      </c>
      <c r="F148" s="286">
        <v>14.96406541</v>
      </c>
      <c r="G148" s="286">
        <v>2.8986047899999998</v>
      </c>
      <c r="H148" s="287">
        <v>126.15924793000001</v>
      </c>
      <c r="J148">
        <v>0</v>
      </c>
      <c r="K148">
        <v>4.5738231290820011</v>
      </c>
      <c r="L148">
        <v>-6.2654238883294013</v>
      </c>
      <c r="M148">
        <v>0.97063325629679964</v>
      </c>
      <c r="N148">
        <v>-5.1351474589921651</v>
      </c>
      <c r="O148" s="20"/>
      <c r="P148" s="20"/>
      <c r="Q148" s="147">
        <v>0.6873538474694012</v>
      </c>
      <c r="R148" s="197">
        <v>5.6499999999999995E-2</v>
      </c>
      <c r="S148" s="197">
        <v>1.25</v>
      </c>
      <c r="T148" s="197">
        <v>0.50650413159351704</v>
      </c>
      <c r="U148" s="197">
        <v>0.77519673403474398</v>
      </c>
      <c r="V148" s="20">
        <f t="shared" si="150"/>
        <v>16.285995595217177</v>
      </c>
      <c r="W148" s="20">
        <f t="shared" si="150"/>
        <v>5.8113684823412139</v>
      </c>
      <c r="X148" s="20">
        <f t="shared" si="150"/>
        <v>1.1256874424053507</v>
      </c>
      <c r="Y148" s="20">
        <f t="shared" si="150"/>
        <v>48.994565119070344</v>
      </c>
      <c r="Z148" s="20">
        <f t="shared" si="151"/>
        <v>10.69272712808233</v>
      </c>
      <c r="AA148" s="20">
        <f t="shared" si="151"/>
        <v>3.8728774083757793</v>
      </c>
      <c r="AB148" s="20">
        <f t="shared" si="151"/>
        <v>0.75428724547026227</v>
      </c>
      <c r="AC148" s="20">
        <f t="shared" si="151"/>
        <v>31.108352593979287</v>
      </c>
      <c r="AD148" s="20">
        <f t="shared" si="152"/>
        <v>46.42824437590766</v>
      </c>
      <c r="AE148" s="20">
        <f t="shared" si="153"/>
        <v>360.30963706232694</v>
      </c>
      <c r="AF148" s="20">
        <f t="shared" si="153"/>
        <v>128.57009916684103</v>
      </c>
      <c r="AG148" s="20">
        <f t="shared" si="153"/>
        <v>24.904589433746697</v>
      </c>
      <c r="AH148" s="20">
        <f t="shared" si="153"/>
        <v>1083.950555731645</v>
      </c>
      <c r="AI148" s="20">
        <f t="shared" si="154"/>
        <v>236.564759470848</v>
      </c>
      <c r="AJ148" s="20">
        <f t="shared" si="154"/>
        <v>85.683128503888938</v>
      </c>
      <c r="AK148" s="20">
        <f t="shared" si="154"/>
        <v>16.687770917483679</v>
      </c>
      <c r="AL148" s="20">
        <f t="shared" si="154"/>
        <v>688.23788924732946</v>
      </c>
      <c r="AM148" s="20">
        <f t="shared" si="155"/>
        <v>1027.1735481395501</v>
      </c>
      <c r="AO148">
        <f t="shared" si="156"/>
        <v>15.23383909825481</v>
      </c>
      <c r="AP148">
        <f t="shared" si="156"/>
        <v>4.8349241587197982</v>
      </c>
      <c r="AQ148">
        <f t="shared" si="156"/>
        <v>0.99319925449044155</v>
      </c>
      <c r="AR148">
        <f t="shared" si="156"/>
        <v>37.871809735396688</v>
      </c>
      <c r="AS148">
        <f t="shared" si="157"/>
        <v>58.933772246861736</v>
      </c>
      <c r="AU148">
        <f t="shared" si="158"/>
        <v>337.03183845696481</v>
      </c>
      <c r="AV148">
        <f t="shared" si="158"/>
        <v>106.96734864424334</v>
      </c>
      <c r="AW148">
        <f t="shared" si="158"/>
        <v>21.973434833859329</v>
      </c>
      <c r="AX148">
        <f t="shared" si="158"/>
        <v>837.87189680081178</v>
      </c>
      <c r="AY148">
        <f t="shared" si="159"/>
        <v>1303.8445187358793</v>
      </c>
    </row>
    <row r="149" spans="1:51" ht="15" x14ac:dyDescent="0.25">
      <c r="A149" s="1"/>
      <c r="B149" s="2"/>
      <c r="C149" s="1" t="s">
        <v>10</v>
      </c>
      <c r="D149" s="285">
        <v>0</v>
      </c>
      <c r="E149" s="286">
        <v>5.2743174799999997</v>
      </c>
      <c r="F149" s="286">
        <v>1.365359E-2</v>
      </c>
      <c r="G149" s="286">
        <v>4.8973834099999998</v>
      </c>
      <c r="H149" s="287">
        <v>5.7491299800000002</v>
      </c>
      <c r="J149">
        <v>0</v>
      </c>
      <c r="K149">
        <v>-0.8971836360248</v>
      </c>
      <c r="L149">
        <v>-1.1367706362200001E-2</v>
      </c>
      <c r="M149">
        <v>0.49997130005349977</v>
      </c>
      <c r="N149">
        <v>-1.6893558908485096</v>
      </c>
      <c r="O149" s="20"/>
      <c r="P149" s="20"/>
      <c r="Q149" s="147">
        <v>0.69353077120410178</v>
      </c>
      <c r="R149" s="197">
        <v>5.6499999999999995E-2</v>
      </c>
      <c r="S149" s="197">
        <v>1.25</v>
      </c>
      <c r="T149" s="197">
        <v>0.50650413159351704</v>
      </c>
      <c r="U149" s="197">
        <v>0.77519673403474398</v>
      </c>
      <c r="V149" s="20">
        <f t="shared" si="150"/>
        <v>2.066714330256016</v>
      </c>
      <c r="W149" s="20">
        <f t="shared" si="150"/>
        <v>5.3500894133586049E-3</v>
      </c>
      <c r="X149" s="20">
        <f t="shared" si="150"/>
        <v>1.9190146426690025</v>
      </c>
      <c r="Y149" s="20">
        <f t="shared" si="150"/>
        <v>2.2527671800618423</v>
      </c>
      <c r="Z149" s="20">
        <f t="shared" si="151"/>
        <v>1.3569211815097701</v>
      </c>
      <c r="AA149" s="20">
        <f t="shared" si="151"/>
        <v>3.5654666340206751E-3</v>
      </c>
      <c r="AB149" s="20">
        <f t="shared" si="151"/>
        <v>1.2858704950487252</v>
      </c>
      <c r="AC149" s="20">
        <f t="shared" si="151"/>
        <v>1.430360195650165</v>
      </c>
      <c r="AD149" s="20">
        <f t="shared" si="152"/>
        <v>4.0767173388426805</v>
      </c>
      <c r="AE149" s="20">
        <f t="shared" si="153"/>
        <v>45.723768368495932</v>
      </c>
      <c r="AF149" s="20">
        <f t="shared" si="153"/>
        <v>0.11836481003005765</v>
      </c>
      <c r="AG149" s="20">
        <f t="shared" si="153"/>
        <v>42.456076165243424</v>
      </c>
      <c r="AH149" s="20">
        <f t="shared" si="153"/>
        <v>49.839981859775278</v>
      </c>
      <c r="AI149" s="20">
        <f t="shared" si="154"/>
        <v>30.020380121897574</v>
      </c>
      <c r="AJ149" s="20">
        <f t="shared" si="154"/>
        <v>7.8882005177448575E-2</v>
      </c>
      <c r="AK149" s="20">
        <f t="shared" si="154"/>
        <v>28.448462279839056</v>
      </c>
      <c r="AL149" s="20">
        <f t="shared" si="154"/>
        <v>31.645137071906312</v>
      </c>
      <c r="AM149" s="20">
        <f t="shared" si="155"/>
        <v>90.19286147882039</v>
      </c>
      <c r="AO149">
        <f t="shared" si="156"/>
        <v>1.9331942824805703</v>
      </c>
      <c r="AP149">
        <f t="shared" si="156"/>
        <v>4.4511506428409195E-3</v>
      </c>
      <c r="AQ149">
        <f t="shared" si="156"/>
        <v>1.6931555249319135</v>
      </c>
      <c r="AR149">
        <f t="shared" si="156"/>
        <v>1.7413435513532132</v>
      </c>
      <c r="AS149">
        <f t="shared" si="157"/>
        <v>5.372144509408538</v>
      </c>
      <c r="AU149">
        <f t="shared" si="158"/>
        <v>42.769785010632091</v>
      </c>
      <c r="AV149">
        <f t="shared" si="158"/>
        <v>9.8476784133648673E-2</v>
      </c>
      <c r="AW149">
        <f t="shared" si="158"/>
        <v>37.459193029467116</v>
      </c>
      <c r="AX149">
        <f t="shared" si="158"/>
        <v>38.525299808699415</v>
      </c>
      <c r="AY149">
        <f t="shared" si="159"/>
        <v>118.85275463293227</v>
      </c>
    </row>
    <row r="150" spans="1:51" ht="15" x14ac:dyDescent="0.25">
      <c r="A150" s="1"/>
      <c r="B150" s="2"/>
      <c r="C150" s="1" t="s">
        <v>11</v>
      </c>
      <c r="D150" s="285">
        <v>0</v>
      </c>
      <c r="E150" s="286">
        <v>66.577786029999999</v>
      </c>
      <c r="F150" s="286">
        <v>0</v>
      </c>
      <c r="G150" s="286">
        <v>6.3816839099999996</v>
      </c>
      <c r="H150" s="287">
        <v>12.503161629999999</v>
      </c>
      <c r="J150">
        <v>0</v>
      </c>
      <c r="K150">
        <v>5.5479843179559936</v>
      </c>
      <c r="L150">
        <v>0</v>
      </c>
      <c r="M150">
        <v>-1.6756596079230004</v>
      </c>
      <c r="N150">
        <v>-1.0813139623608574</v>
      </c>
      <c r="O150" s="20"/>
      <c r="P150" s="20"/>
      <c r="Q150" s="147">
        <v>0.69970769493880225</v>
      </c>
      <c r="R150" s="197">
        <v>5.6499999999999995E-2</v>
      </c>
      <c r="S150" s="197">
        <v>1.25</v>
      </c>
      <c r="T150" s="197">
        <v>0.50650413159351704</v>
      </c>
      <c r="U150" s="197">
        <v>0.77519673403474398</v>
      </c>
      <c r="V150" s="20">
        <f t="shared" si="150"/>
        <v>26.320518896406746</v>
      </c>
      <c r="W150" s="20">
        <f t="shared" si="150"/>
        <v>0</v>
      </c>
      <c r="X150" s="20">
        <f t="shared" si="150"/>
        <v>2.5229020362491901</v>
      </c>
      <c r="Y150" s="20">
        <f t="shared" si="150"/>
        <v>4.9429354980196356</v>
      </c>
      <c r="Z150" s="20">
        <f t="shared" si="151"/>
        <v>17.280989963638692</v>
      </c>
      <c r="AA150" s="20">
        <f t="shared" si="151"/>
        <v>0</v>
      </c>
      <c r="AB150" s="20">
        <f t="shared" si="151"/>
        <v>1.6905161733415388</v>
      </c>
      <c r="AC150" s="20">
        <f t="shared" si="151"/>
        <v>3.1384415791424236</v>
      </c>
      <c r="AD150" s="20">
        <f t="shared" si="152"/>
        <v>22.109947716122655</v>
      </c>
      <c r="AE150" s="20">
        <f t="shared" si="153"/>
        <v>582.31236496475105</v>
      </c>
      <c r="AF150" s="20">
        <f t="shared" si="153"/>
        <v>0</v>
      </c>
      <c r="AG150" s="20">
        <f t="shared" si="153"/>
        <v>55.816416731176773</v>
      </c>
      <c r="AH150" s="20">
        <f t="shared" si="153"/>
        <v>109.35698004468222</v>
      </c>
      <c r="AI150" s="20">
        <f t="shared" si="154"/>
        <v>382.32278680616582</v>
      </c>
      <c r="AJ150" s="20">
        <f t="shared" si="154"/>
        <v>0</v>
      </c>
      <c r="AK150" s="20">
        <f t="shared" si="154"/>
        <v>37.400800295166789</v>
      </c>
      <c r="AL150" s="20">
        <f t="shared" si="154"/>
        <v>69.434548211115569</v>
      </c>
      <c r="AM150" s="20">
        <f t="shared" si="155"/>
        <v>489.15813531244817</v>
      </c>
      <c r="AO150">
        <f t="shared" si="156"/>
        <v>24.620082174662329</v>
      </c>
      <c r="AP150">
        <f t="shared" si="156"/>
        <v>0</v>
      </c>
      <c r="AQ150">
        <f t="shared" si="156"/>
        <v>2.2259681747900451</v>
      </c>
      <c r="AR150">
        <f t="shared" si="156"/>
        <v>3.8207893520515022</v>
      </c>
      <c r="AS150">
        <f t="shared" si="157"/>
        <v>30.666839701503875</v>
      </c>
      <c r="AU150">
        <f t="shared" si="158"/>
        <v>544.6920835102286</v>
      </c>
      <c r="AV150">
        <f t="shared" si="158"/>
        <v>0</v>
      </c>
      <c r="AW150">
        <f t="shared" si="158"/>
        <v>49.2470835130541</v>
      </c>
      <c r="AX150">
        <f t="shared" si="158"/>
        <v>84.530737877245627</v>
      </c>
      <c r="AY150">
        <f t="shared" si="159"/>
        <v>678.46990490052838</v>
      </c>
    </row>
    <row r="151" spans="1:51" ht="15" x14ac:dyDescent="0.25">
      <c r="A151" s="1"/>
      <c r="B151" s="2"/>
      <c r="C151" s="1" t="s">
        <v>12</v>
      </c>
      <c r="D151" s="285">
        <v>0</v>
      </c>
      <c r="E151" s="286">
        <v>4.1764414299999997</v>
      </c>
      <c r="F151" s="286">
        <v>4.6641048300000003</v>
      </c>
      <c r="G151" s="286">
        <v>1.17776418</v>
      </c>
      <c r="H151" s="287">
        <v>14.44994544</v>
      </c>
      <c r="J151">
        <v>0</v>
      </c>
      <c r="K151">
        <v>3.3621401326199996</v>
      </c>
      <c r="L151">
        <v>-5.8425427582538996</v>
      </c>
      <c r="M151">
        <v>-0.17859052863429992</v>
      </c>
      <c r="N151">
        <v>-0.16637524561381589</v>
      </c>
      <c r="O151" s="20"/>
      <c r="P151" s="20"/>
      <c r="Q151" s="147">
        <v>0.69970769493880225</v>
      </c>
      <c r="R151" s="197">
        <v>5.6499999999999995E-2</v>
      </c>
      <c r="S151" s="197">
        <v>1.25</v>
      </c>
      <c r="T151" s="197">
        <v>0.50650413159351704</v>
      </c>
      <c r="U151" s="197">
        <v>0.77519673403474398</v>
      </c>
      <c r="V151" s="20">
        <f t="shared" si="150"/>
        <v>1.6510928364082011</v>
      </c>
      <c r="W151" s="20">
        <f t="shared" si="150"/>
        <v>1.8438831723470122</v>
      </c>
      <c r="X151" s="20">
        <f t="shared" si="150"/>
        <v>0.46561122265664806</v>
      </c>
      <c r="Y151" s="20">
        <f t="shared" si="150"/>
        <v>5.712566978934829</v>
      </c>
      <c r="Z151" s="20">
        <f t="shared" si="151"/>
        <v>1.0840408902007286</v>
      </c>
      <c r="AA151" s="20">
        <f t="shared" si="151"/>
        <v>1.2288213186905115</v>
      </c>
      <c r="AB151" s="20">
        <f t="shared" si="151"/>
        <v>0.31199122719826716</v>
      </c>
      <c r="AC151" s="20">
        <f t="shared" si="151"/>
        <v>3.6271073611031506</v>
      </c>
      <c r="AD151" s="20">
        <f t="shared" si="152"/>
        <v>6.2519607971926581</v>
      </c>
      <c r="AE151" s="20">
        <f t="shared" si="153"/>
        <v>36.528602575402687</v>
      </c>
      <c r="AF151" s="20">
        <f t="shared" si="153"/>
        <v>40.793875494402926</v>
      </c>
      <c r="AG151" s="20">
        <f t="shared" si="153"/>
        <v>10.301133244616107</v>
      </c>
      <c r="AH151" s="20">
        <f t="shared" si="153"/>
        <v>126.3842251976732</v>
      </c>
      <c r="AI151" s="20">
        <f t="shared" si="154"/>
        <v>23.983205535414353</v>
      </c>
      <c r="AJ151" s="20">
        <f t="shared" si="154"/>
        <v>27.186312360409548</v>
      </c>
      <c r="AK151" s="20">
        <f t="shared" si="154"/>
        <v>6.9024607787227241</v>
      </c>
      <c r="AL151" s="20">
        <f t="shared" si="154"/>
        <v>80.245738077503333</v>
      </c>
      <c r="AM151" s="20">
        <f t="shared" si="155"/>
        <v>138.31771675204996</v>
      </c>
      <c r="AO151">
        <f t="shared" si="156"/>
        <v>1.544424008901881</v>
      </c>
      <c r="AP151">
        <f t="shared" si="156"/>
        <v>1.5340681498561402</v>
      </c>
      <c r="AQ151">
        <f t="shared" si="156"/>
        <v>0.41081094254442557</v>
      </c>
      <c r="AR151">
        <f t="shared" si="156"/>
        <v>4.4156989494885996</v>
      </c>
      <c r="AS151">
        <f t="shared" si="157"/>
        <v>7.9050020507910466</v>
      </c>
      <c r="AU151">
        <f t="shared" si="158"/>
        <v>34.168672763315953</v>
      </c>
      <c r="AV151">
        <f t="shared" si="158"/>
        <v>33.939560837525228</v>
      </c>
      <c r="AW151">
        <f t="shared" si="158"/>
        <v>9.0887376669120687</v>
      </c>
      <c r="AX151">
        <f t="shared" si="158"/>
        <v>97.692454634703523</v>
      </c>
      <c r="AY151">
        <f t="shared" si="159"/>
        <v>174.88942590245676</v>
      </c>
    </row>
    <row r="152" spans="1:51" ht="15" x14ac:dyDescent="0.25">
      <c r="A152" s="1"/>
      <c r="B152" s="2"/>
      <c r="C152" s="1" t="s">
        <v>13</v>
      </c>
      <c r="D152" s="285">
        <v>0</v>
      </c>
      <c r="E152" s="286">
        <v>0</v>
      </c>
      <c r="F152" s="286">
        <v>0</v>
      </c>
      <c r="G152" s="286">
        <v>0</v>
      </c>
      <c r="H152" s="287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20"/>
      <c r="P152" s="20"/>
      <c r="Q152" s="147"/>
      <c r="R152" s="197">
        <v>5.6499999999999995E-2</v>
      </c>
      <c r="S152" s="197">
        <v>1.25</v>
      </c>
      <c r="T152" s="197">
        <v>0.50650413159351704</v>
      </c>
      <c r="U152" s="197">
        <v>0.77519673403474398</v>
      </c>
      <c r="V152" s="20">
        <f t="shared" si="150"/>
        <v>0</v>
      </c>
      <c r="W152" s="20">
        <f t="shared" si="150"/>
        <v>0</v>
      </c>
      <c r="X152" s="20">
        <f t="shared" si="150"/>
        <v>0</v>
      </c>
      <c r="Y152" s="20">
        <f t="shared" si="150"/>
        <v>0</v>
      </c>
      <c r="Z152" s="20">
        <f t="shared" si="151"/>
        <v>0</v>
      </c>
      <c r="AA152" s="20">
        <f t="shared" si="151"/>
        <v>0</v>
      </c>
      <c r="AB152" s="20">
        <f t="shared" si="151"/>
        <v>0</v>
      </c>
      <c r="AC152" s="20">
        <f t="shared" si="151"/>
        <v>0</v>
      </c>
      <c r="AD152" s="20">
        <f t="shared" si="152"/>
        <v>0</v>
      </c>
      <c r="AE152" s="20">
        <f t="shared" si="153"/>
        <v>0</v>
      </c>
      <c r="AF152" s="20">
        <f t="shared" si="153"/>
        <v>0</v>
      </c>
      <c r="AG152" s="20">
        <f t="shared" si="153"/>
        <v>0</v>
      </c>
      <c r="AH152" s="20">
        <f t="shared" si="153"/>
        <v>0</v>
      </c>
      <c r="AI152" s="20">
        <f t="shared" si="154"/>
        <v>0</v>
      </c>
      <c r="AJ152" s="20">
        <f t="shared" si="154"/>
        <v>0</v>
      </c>
      <c r="AK152" s="20">
        <f t="shared" si="154"/>
        <v>0</v>
      </c>
      <c r="AL152" s="20">
        <f t="shared" si="154"/>
        <v>0</v>
      </c>
      <c r="AM152" s="20">
        <f t="shared" si="155"/>
        <v>0</v>
      </c>
      <c r="AO152">
        <f t="shared" si="156"/>
        <v>0</v>
      </c>
      <c r="AP152">
        <f t="shared" si="156"/>
        <v>0</v>
      </c>
      <c r="AQ152">
        <f t="shared" si="156"/>
        <v>0</v>
      </c>
      <c r="AR152">
        <f t="shared" si="156"/>
        <v>0</v>
      </c>
      <c r="AS152">
        <f t="shared" si="157"/>
        <v>0</v>
      </c>
      <c r="AU152">
        <f t="shared" si="158"/>
        <v>0</v>
      </c>
      <c r="AV152">
        <f t="shared" si="158"/>
        <v>0</v>
      </c>
      <c r="AW152">
        <f t="shared" si="158"/>
        <v>0</v>
      </c>
      <c r="AX152">
        <f t="shared" si="158"/>
        <v>0</v>
      </c>
      <c r="AY152">
        <f t="shared" si="159"/>
        <v>0</v>
      </c>
    </row>
    <row r="153" spans="1:51" ht="15" x14ac:dyDescent="0.25">
      <c r="A153" s="7"/>
      <c r="B153" s="8" t="s">
        <v>14</v>
      </c>
      <c r="C153" s="7"/>
      <c r="D153" s="288">
        <f>SUM(D147:D152)</f>
        <v>2.2000000000000001E-7</v>
      </c>
      <c r="E153" s="289">
        <f>SUM(E147:E152)</f>
        <v>123.41813724999999</v>
      </c>
      <c r="F153" s="289">
        <f>SUM(F147:F152)</f>
        <v>24.60055221</v>
      </c>
      <c r="G153" s="289">
        <f>SUM(G147:G152)</f>
        <v>23.328708449999997</v>
      </c>
      <c r="H153" s="290">
        <f>SUM(H147:H152)</f>
        <v>164.87002586999998</v>
      </c>
      <c r="J153">
        <v>2.2000000000000001E-7</v>
      </c>
      <c r="K153">
        <v>15.250074724433194</v>
      </c>
      <c r="L153">
        <v>-13.182406201005231</v>
      </c>
      <c r="M153">
        <v>1.0665637670300978</v>
      </c>
      <c r="N153">
        <v>-11.755581973017666</v>
      </c>
      <c r="O153" s="20"/>
      <c r="P153" s="20"/>
      <c r="Q153" s="147"/>
      <c r="R153" s="197"/>
      <c r="S153" s="197"/>
      <c r="T153" s="197"/>
      <c r="U153" s="197"/>
    </row>
    <row r="154" spans="1:51" ht="15" x14ac:dyDescent="0.25">
      <c r="A154" s="10"/>
      <c r="B154" s="9" t="s">
        <v>15</v>
      </c>
      <c r="C154" s="5"/>
      <c r="D154" s="291"/>
      <c r="E154" s="292"/>
      <c r="F154" s="292"/>
      <c r="G154" s="292"/>
      <c r="H154" s="293">
        <f>SUM(D153:H153)</f>
        <v>336.21742399999994</v>
      </c>
      <c r="N154">
        <v>-8.6213494625596034</v>
      </c>
      <c r="O154" s="20"/>
      <c r="P154" s="20"/>
      <c r="Q154" s="147"/>
      <c r="R154" s="197"/>
      <c r="S154" s="197"/>
      <c r="T154" s="197"/>
      <c r="U154" s="197"/>
    </row>
    <row r="155" spans="1:51" ht="15.75" thickBot="1" x14ac:dyDescent="0.3">
      <c r="A155" s="1"/>
      <c r="B155" s="2"/>
      <c r="C155" s="1"/>
      <c r="D155" s="297"/>
      <c r="E155" s="298"/>
      <c r="F155" s="298"/>
      <c r="G155" s="298"/>
      <c r="H155" s="299"/>
      <c r="O155" s="20"/>
      <c r="P155" s="20"/>
      <c r="Q155" s="147"/>
      <c r="R155" s="197"/>
      <c r="S155" s="197"/>
      <c r="T155" s="197"/>
      <c r="U155" s="197"/>
    </row>
    <row r="156" spans="1:51" ht="15" x14ac:dyDescent="0.25">
      <c r="A156" s="1">
        <v>17</v>
      </c>
      <c r="B156" s="2" t="s">
        <v>31</v>
      </c>
      <c r="C156" s="1" t="s">
        <v>8</v>
      </c>
      <c r="D156" s="282">
        <v>0</v>
      </c>
      <c r="E156" s="283">
        <v>0</v>
      </c>
      <c r="F156" s="283">
        <v>0</v>
      </c>
      <c r="G156" s="283">
        <v>0</v>
      </c>
      <c r="H156" s="284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 s="20"/>
      <c r="P156" s="20"/>
      <c r="Q156" s="147"/>
      <c r="R156" s="197"/>
      <c r="S156" s="197"/>
      <c r="T156" s="197"/>
      <c r="U156" s="197"/>
      <c r="V156" s="20">
        <f t="shared" ref="V156:Y161" si="160">IF(K156&gt;0,((E156-K156)*$Q156*$R156*10)+(K156*$O$12*$Q156*$R156*10),(E156*$Q156*$R156*10))</f>
        <v>0</v>
      </c>
      <c r="W156" s="20">
        <f t="shared" si="160"/>
        <v>0</v>
      </c>
      <c r="X156" s="20">
        <f t="shared" si="160"/>
        <v>0</v>
      </c>
      <c r="Y156" s="20">
        <f t="shared" si="160"/>
        <v>0</v>
      </c>
      <c r="Z156" s="20">
        <f t="shared" ref="Z156:AC161" si="161">V156*(EXP(1.01-0.34*LN(Z$8))*(1-$T156)+(1*$T156))</f>
        <v>0</v>
      </c>
      <c r="AA156" s="20">
        <f t="shared" si="161"/>
        <v>0</v>
      </c>
      <c r="AB156" s="20">
        <f t="shared" si="161"/>
        <v>0</v>
      </c>
      <c r="AC156" s="20">
        <f t="shared" si="161"/>
        <v>0</v>
      </c>
      <c r="AD156" s="20">
        <f t="shared" ref="AD156:AD161" si="162">SUM(Z156:AC156)</f>
        <v>0</v>
      </c>
      <c r="AE156" s="20">
        <f t="shared" ref="AE156:AH161" si="163">IF(K156&gt;0,((E156-K156)*$Q156*$S156*10)+(K156*$P$12*$Q156*$S156)*10,(E156*$Q156*$S156*10))</f>
        <v>0</v>
      </c>
      <c r="AF156" s="20">
        <f t="shared" si="163"/>
        <v>0</v>
      </c>
      <c r="AG156" s="20">
        <f t="shared" si="163"/>
        <v>0</v>
      </c>
      <c r="AH156" s="20">
        <f t="shared" si="163"/>
        <v>0</v>
      </c>
      <c r="AI156" s="20">
        <f t="shared" ref="AI156:AL161" si="164">AE156*(EXP(1.01-0.34*LN(AI$8))*(1-$T156)+(1*$T156))</f>
        <v>0</v>
      </c>
      <c r="AJ156" s="20">
        <f t="shared" si="164"/>
        <v>0</v>
      </c>
      <c r="AK156" s="20">
        <f t="shared" si="164"/>
        <v>0</v>
      </c>
      <c r="AL156" s="20">
        <f t="shared" si="164"/>
        <v>0</v>
      </c>
      <c r="AM156" s="20">
        <f t="shared" ref="AM156:AM161" si="165">SUM(AI156:AL156)</f>
        <v>0</v>
      </c>
      <c r="AO156">
        <f t="shared" ref="AO156:AR161" si="166">Z156*AO$10</f>
        <v>0</v>
      </c>
      <c r="AP156">
        <f t="shared" si="166"/>
        <v>0</v>
      </c>
      <c r="AQ156">
        <f t="shared" si="166"/>
        <v>0</v>
      </c>
      <c r="AR156">
        <f t="shared" si="166"/>
        <v>0</v>
      </c>
      <c r="AS156">
        <f t="shared" ref="AS156:AS161" si="167">SUM(AO156:AR156)</f>
        <v>0</v>
      </c>
      <c r="AU156">
        <f t="shared" ref="AU156:AX161" si="168">AI156*AU$10</f>
        <v>0</v>
      </c>
      <c r="AV156">
        <f t="shared" si="168"/>
        <v>0</v>
      </c>
      <c r="AW156">
        <f t="shared" si="168"/>
        <v>0</v>
      </c>
      <c r="AX156">
        <f t="shared" si="168"/>
        <v>0</v>
      </c>
      <c r="AY156">
        <f t="shared" ref="AY156:AY161" si="169">SUM(AU156:AX156)</f>
        <v>0</v>
      </c>
    </row>
    <row r="157" spans="1:51" ht="15" x14ac:dyDescent="0.25">
      <c r="A157" s="1"/>
      <c r="B157" s="2"/>
      <c r="C157" s="1" t="s">
        <v>9</v>
      </c>
      <c r="D157" s="285">
        <v>0</v>
      </c>
      <c r="E157" s="286">
        <v>0</v>
      </c>
      <c r="F157" s="286">
        <v>0</v>
      </c>
      <c r="G157" s="286">
        <v>0</v>
      </c>
      <c r="H157" s="28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 s="20"/>
      <c r="P157" s="20"/>
      <c r="Q157" s="147"/>
      <c r="R157" s="197"/>
      <c r="S157" s="197"/>
      <c r="T157" s="197"/>
      <c r="U157" s="197"/>
      <c r="V157" s="20">
        <f t="shared" si="160"/>
        <v>0</v>
      </c>
      <c r="W157" s="20">
        <f t="shared" si="160"/>
        <v>0</v>
      </c>
      <c r="X157" s="20">
        <f t="shared" si="160"/>
        <v>0</v>
      </c>
      <c r="Y157" s="20">
        <f t="shared" si="160"/>
        <v>0</v>
      </c>
      <c r="Z157" s="20">
        <f t="shared" si="161"/>
        <v>0</v>
      </c>
      <c r="AA157" s="20">
        <f t="shared" si="161"/>
        <v>0</v>
      </c>
      <c r="AB157" s="20">
        <f t="shared" si="161"/>
        <v>0</v>
      </c>
      <c r="AC157" s="20">
        <f t="shared" si="161"/>
        <v>0</v>
      </c>
      <c r="AD157" s="20">
        <f t="shared" si="162"/>
        <v>0</v>
      </c>
      <c r="AE157" s="20">
        <f t="shared" si="163"/>
        <v>0</v>
      </c>
      <c r="AF157" s="20">
        <f t="shared" si="163"/>
        <v>0</v>
      </c>
      <c r="AG157" s="20">
        <f t="shared" si="163"/>
        <v>0</v>
      </c>
      <c r="AH157" s="20">
        <f t="shared" si="163"/>
        <v>0</v>
      </c>
      <c r="AI157" s="20">
        <f t="shared" si="164"/>
        <v>0</v>
      </c>
      <c r="AJ157" s="20">
        <f t="shared" si="164"/>
        <v>0</v>
      </c>
      <c r="AK157" s="20">
        <f t="shared" si="164"/>
        <v>0</v>
      </c>
      <c r="AL157" s="20">
        <f t="shared" si="164"/>
        <v>0</v>
      </c>
      <c r="AM157" s="20">
        <f t="shared" si="165"/>
        <v>0</v>
      </c>
      <c r="AO157">
        <f t="shared" si="166"/>
        <v>0</v>
      </c>
      <c r="AP157">
        <f t="shared" si="166"/>
        <v>0</v>
      </c>
      <c r="AQ157">
        <f t="shared" si="166"/>
        <v>0</v>
      </c>
      <c r="AR157">
        <f t="shared" si="166"/>
        <v>0</v>
      </c>
      <c r="AS157">
        <f t="shared" si="167"/>
        <v>0</v>
      </c>
      <c r="AU157">
        <f t="shared" si="168"/>
        <v>0</v>
      </c>
      <c r="AV157">
        <f t="shared" si="168"/>
        <v>0</v>
      </c>
      <c r="AW157">
        <f t="shared" si="168"/>
        <v>0</v>
      </c>
      <c r="AX157">
        <f t="shared" si="168"/>
        <v>0</v>
      </c>
      <c r="AY157">
        <f t="shared" si="169"/>
        <v>0</v>
      </c>
    </row>
    <row r="158" spans="1:51" ht="15" x14ac:dyDescent="0.25">
      <c r="A158" s="1"/>
      <c r="B158" s="2"/>
      <c r="C158" s="1" t="s">
        <v>10</v>
      </c>
      <c r="D158" s="285">
        <v>0</v>
      </c>
      <c r="E158" s="286">
        <v>0</v>
      </c>
      <c r="F158" s="286">
        <v>0</v>
      </c>
      <c r="G158" s="286">
        <v>0</v>
      </c>
      <c r="H158" s="287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 s="20"/>
      <c r="P158" s="20"/>
      <c r="Q158" s="147"/>
      <c r="R158" s="197"/>
      <c r="S158" s="197"/>
      <c r="T158" s="197"/>
      <c r="U158" s="197"/>
      <c r="V158" s="20">
        <f t="shared" si="160"/>
        <v>0</v>
      </c>
      <c r="W158" s="20">
        <f t="shared" si="160"/>
        <v>0</v>
      </c>
      <c r="X158" s="20">
        <f t="shared" si="160"/>
        <v>0</v>
      </c>
      <c r="Y158" s="20">
        <f t="shared" si="160"/>
        <v>0</v>
      </c>
      <c r="Z158" s="20">
        <f t="shared" si="161"/>
        <v>0</v>
      </c>
      <c r="AA158" s="20">
        <f t="shared" si="161"/>
        <v>0</v>
      </c>
      <c r="AB158" s="20">
        <f t="shared" si="161"/>
        <v>0</v>
      </c>
      <c r="AC158" s="20">
        <f t="shared" si="161"/>
        <v>0</v>
      </c>
      <c r="AD158" s="20">
        <f t="shared" si="162"/>
        <v>0</v>
      </c>
      <c r="AE158" s="20">
        <f t="shared" si="163"/>
        <v>0</v>
      </c>
      <c r="AF158" s="20">
        <f t="shared" si="163"/>
        <v>0</v>
      </c>
      <c r="AG158" s="20">
        <f t="shared" si="163"/>
        <v>0</v>
      </c>
      <c r="AH158" s="20">
        <f t="shared" si="163"/>
        <v>0</v>
      </c>
      <c r="AI158" s="20">
        <f t="shared" si="164"/>
        <v>0</v>
      </c>
      <c r="AJ158" s="20">
        <f t="shared" si="164"/>
        <v>0</v>
      </c>
      <c r="AK158" s="20">
        <f t="shared" si="164"/>
        <v>0</v>
      </c>
      <c r="AL158" s="20">
        <f t="shared" si="164"/>
        <v>0</v>
      </c>
      <c r="AM158" s="20">
        <f t="shared" si="165"/>
        <v>0</v>
      </c>
      <c r="AO158">
        <f t="shared" si="166"/>
        <v>0</v>
      </c>
      <c r="AP158">
        <f t="shared" si="166"/>
        <v>0</v>
      </c>
      <c r="AQ158">
        <f t="shared" si="166"/>
        <v>0</v>
      </c>
      <c r="AR158">
        <f t="shared" si="166"/>
        <v>0</v>
      </c>
      <c r="AS158">
        <f t="shared" si="167"/>
        <v>0</v>
      </c>
      <c r="AU158">
        <f t="shared" si="168"/>
        <v>0</v>
      </c>
      <c r="AV158">
        <f t="shared" si="168"/>
        <v>0</v>
      </c>
      <c r="AW158">
        <f t="shared" si="168"/>
        <v>0</v>
      </c>
      <c r="AX158">
        <f t="shared" si="168"/>
        <v>0</v>
      </c>
      <c r="AY158">
        <f t="shared" si="169"/>
        <v>0</v>
      </c>
    </row>
    <row r="159" spans="1:51" ht="15" x14ac:dyDescent="0.25">
      <c r="A159" s="1"/>
      <c r="B159" s="2"/>
      <c r="C159" s="1" t="s">
        <v>11</v>
      </c>
      <c r="D159" s="285">
        <v>0</v>
      </c>
      <c r="E159" s="286">
        <v>0</v>
      </c>
      <c r="F159" s="286">
        <v>0</v>
      </c>
      <c r="G159" s="286">
        <v>0</v>
      </c>
      <c r="H159" s="287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 s="20"/>
      <c r="P159" s="20"/>
      <c r="Q159" s="147"/>
      <c r="R159" s="197"/>
      <c r="S159" s="197"/>
      <c r="T159" s="197"/>
      <c r="U159" s="197"/>
      <c r="V159" s="20">
        <f t="shared" si="160"/>
        <v>0</v>
      </c>
      <c r="W159" s="20">
        <f t="shared" si="160"/>
        <v>0</v>
      </c>
      <c r="X159" s="20">
        <f t="shared" si="160"/>
        <v>0</v>
      </c>
      <c r="Y159" s="20">
        <f t="shared" si="160"/>
        <v>0</v>
      </c>
      <c r="Z159" s="20">
        <f t="shared" si="161"/>
        <v>0</v>
      </c>
      <c r="AA159" s="20">
        <f t="shared" si="161"/>
        <v>0</v>
      </c>
      <c r="AB159" s="20">
        <f t="shared" si="161"/>
        <v>0</v>
      </c>
      <c r="AC159" s="20">
        <f t="shared" si="161"/>
        <v>0</v>
      </c>
      <c r="AD159" s="20">
        <f t="shared" si="162"/>
        <v>0</v>
      </c>
      <c r="AE159" s="20">
        <f t="shared" si="163"/>
        <v>0</v>
      </c>
      <c r="AF159" s="20">
        <f t="shared" si="163"/>
        <v>0</v>
      </c>
      <c r="AG159" s="20">
        <f t="shared" si="163"/>
        <v>0</v>
      </c>
      <c r="AH159" s="20">
        <f t="shared" si="163"/>
        <v>0</v>
      </c>
      <c r="AI159" s="20">
        <f t="shared" si="164"/>
        <v>0</v>
      </c>
      <c r="AJ159" s="20">
        <f t="shared" si="164"/>
        <v>0</v>
      </c>
      <c r="AK159" s="20">
        <f t="shared" si="164"/>
        <v>0</v>
      </c>
      <c r="AL159" s="20">
        <f t="shared" si="164"/>
        <v>0</v>
      </c>
      <c r="AM159" s="20">
        <f t="shared" si="165"/>
        <v>0</v>
      </c>
      <c r="AO159">
        <f t="shared" si="166"/>
        <v>0</v>
      </c>
      <c r="AP159">
        <f t="shared" si="166"/>
        <v>0</v>
      </c>
      <c r="AQ159">
        <f t="shared" si="166"/>
        <v>0</v>
      </c>
      <c r="AR159">
        <f t="shared" si="166"/>
        <v>0</v>
      </c>
      <c r="AS159">
        <f t="shared" si="167"/>
        <v>0</v>
      </c>
      <c r="AU159">
        <f t="shared" si="168"/>
        <v>0</v>
      </c>
      <c r="AV159">
        <f t="shared" si="168"/>
        <v>0</v>
      </c>
      <c r="AW159">
        <f t="shared" si="168"/>
        <v>0</v>
      </c>
      <c r="AX159">
        <f t="shared" si="168"/>
        <v>0</v>
      </c>
      <c r="AY159">
        <f t="shared" si="169"/>
        <v>0</v>
      </c>
    </row>
    <row r="160" spans="1:51" ht="15" x14ac:dyDescent="0.25">
      <c r="A160" s="1"/>
      <c r="B160" s="2"/>
      <c r="C160" s="1" t="s">
        <v>12</v>
      </c>
      <c r="D160" s="285">
        <v>0</v>
      </c>
      <c r="E160" s="286">
        <v>0</v>
      </c>
      <c r="F160" s="286">
        <v>0</v>
      </c>
      <c r="G160" s="286">
        <v>0</v>
      </c>
      <c r="H160" s="287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 s="20"/>
      <c r="P160" s="20"/>
      <c r="Q160" s="147"/>
      <c r="R160" s="197"/>
      <c r="S160" s="197"/>
      <c r="T160" s="197"/>
      <c r="U160" s="197"/>
      <c r="V160" s="20">
        <f t="shared" si="160"/>
        <v>0</v>
      </c>
      <c r="W160" s="20">
        <f t="shared" si="160"/>
        <v>0</v>
      </c>
      <c r="X160" s="20">
        <f t="shared" si="160"/>
        <v>0</v>
      </c>
      <c r="Y160" s="20">
        <f t="shared" si="160"/>
        <v>0</v>
      </c>
      <c r="Z160" s="20">
        <f t="shared" si="161"/>
        <v>0</v>
      </c>
      <c r="AA160" s="20">
        <f t="shared" si="161"/>
        <v>0</v>
      </c>
      <c r="AB160" s="20">
        <f t="shared" si="161"/>
        <v>0</v>
      </c>
      <c r="AC160" s="20">
        <f t="shared" si="161"/>
        <v>0</v>
      </c>
      <c r="AD160" s="20">
        <f t="shared" si="162"/>
        <v>0</v>
      </c>
      <c r="AE160" s="20">
        <f t="shared" si="163"/>
        <v>0</v>
      </c>
      <c r="AF160" s="20">
        <f t="shared" si="163"/>
        <v>0</v>
      </c>
      <c r="AG160" s="20">
        <f t="shared" si="163"/>
        <v>0</v>
      </c>
      <c r="AH160" s="20">
        <f t="shared" si="163"/>
        <v>0</v>
      </c>
      <c r="AI160" s="20">
        <f t="shared" si="164"/>
        <v>0</v>
      </c>
      <c r="AJ160" s="20">
        <f t="shared" si="164"/>
        <v>0</v>
      </c>
      <c r="AK160" s="20">
        <f t="shared" si="164"/>
        <v>0</v>
      </c>
      <c r="AL160" s="20">
        <f t="shared" si="164"/>
        <v>0</v>
      </c>
      <c r="AM160" s="20">
        <f t="shared" si="165"/>
        <v>0</v>
      </c>
      <c r="AO160">
        <f t="shared" si="166"/>
        <v>0</v>
      </c>
      <c r="AP160">
        <f t="shared" si="166"/>
        <v>0</v>
      </c>
      <c r="AQ160">
        <f t="shared" si="166"/>
        <v>0</v>
      </c>
      <c r="AR160">
        <f t="shared" si="166"/>
        <v>0</v>
      </c>
      <c r="AS160">
        <f t="shared" si="167"/>
        <v>0</v>
      </c>
      <c r="AU160">
        <f t="shared" si="168"/>
        <v>0</v>
      </c>
      <c r="AV160">
        <f t="shared" si="168"/>
        <v>0</v>
      </c>
      <c r="AW160">
        <f t="shared" si="168"/>
        <v>0</v>
      </c>
      <c r="AX160">
        <f t="shared" si="168"/>
        <v>0</v>
      </c>
      <c r="AY160">
        <f t="shared" si="169"/>
        <v>0</v>
      </c>
    </row>
    <row r="161" spans="1:51" ht="15" x14ac:dyDescent="0.25">
      <c r="A161" s="1"/>
      <c r="B161" s="2"/>
      <c r="C161" s="1" t="s">
        <v>13</v>
      </c>
      <c r="D161" s="285">
        <v>0</v>
      </c>
      <c r="E161" s="285">
        <v>0</v>
      </c>
      <c r="F161" s="285">
        <v>0</v>
      </c>
      <c r="G161" s="285">
        <v>0</v>
      </c>
      <c r="H161" s="285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 s="20"/>
      <c r="P161" s="20"/>
      <c r="Q161" s="147"/>
      <c r="R161" s="197"/>
      <c r="S161" s="197"/>
      <c r="T161" s="197"/>
      <c r="U161" s="197"/>
      <c r="V161" s="20">
        <f t="shared" si="160"/>
        <v>0</v>
      </c>
      <c r="W161" s="20">
        <f t="shared" si="160"/>
        <v>0</v>
      </c>
      <c r="X161" s="20">
        <f t="shared" si="160"/>
        <v>0</v>
      </c>
      <c r="Y161" s="20">
        <f t="shared" si="160"/>
        <v>0</v>
      </c>
      <c r="Z161" s="20">
        <f t="shared" si="161"/>
        <v>0</v>
      </c>
      <c r="AA161" s="20">
        <f t="shared" si="161"/>
        <v>0</v>
      </c>
      <c r="AB161" s="20">
        <f t="shared" si="161"/>
        <v>0</v>
      </c>
      <c r="AC161" s="20">
        <f t="shared" si="161"/>
        <v>0</v>
      </c>
      <c r="AD161" s="20">
        <f t="shared" si="162"/>
        <v>0</v>
      </c>
      <c r="AE161" s="20">
        <f t="shared" si="163"/>
        <v>0</v>
      </c>
      <c r="AF161" s="20">
        <f t="shared" si="163"/>
        <v>0</v>
      </c>
      <c r="AG161" s="20">
        <f t="shared" si="163"/>
        <v>0</v>
      </c>
      <c r="AH161" s="20">
        <f t="shared" si="163"/>
        <v>0</v>
      </c>
      <c r="AI161" s="20">
        <f t="shared" si="164"/>
        <v>0</v>
      </c>
      <c r="AJ161" s="20">
        <f t="shared" si="164"/>
        <v>0</v>
      </c>
      <c r="AK161" s="20">
        <f t="shared" si="164"/>
        <v>0</v>
      </c>
      <c r="AL161" s="20">
        <f t="shared" si="164"/>
        <v>0</v>
      </c>
      <c r="AM161" s="20">
        <f t="shared" si="165"/>
        <v>0</v>
      </c>
      <c r="AO161">
        <f t="shared" si="166"/>
        <v>0</v>
      </c>
      <c r="AP161">
        <f t="shared" si="166"/>
        <v>0</v>
      </c>
      <c r="AQ161">
        <f t="shared" si="166"/>
        <v>0</v>
      </c>
      <c r="AR161">
        <f t="shared" si="166"/>
        <v>0</v>
      </c>
      <c r="AS161">
        <f t="shared" si="167"/>
        <v>0</v>
      </c>
      <c r="AU161">
        <f t="shared" si="168"/>
        <v>0</v>
      </c>
      <c r="AV161">
        <f t="shared" si="168"/>
        <v>0</v>
      </c>
      <c r="AW161">
        <f t="shared" si="168"/>
        <v>0</v>
      </c>
      <c r="AX161">
        <f t="shared" si="168"/>
        <v>0</v>
      </c>
      <c r="AY161">
        <f t="shared" si="169"/>
        <v>0</v>
      </c>
    </row>
    <row r="162" spans="1:51" ht="15" x14ac:dyDescent="0.25">
      <c r="A162" s="7"/>
      <c r="B162" s="8" t="s">
        <v>14</v>
      </c>
      <c r="C162" s="7"/>
      <c r="D162" s="288">
        <f>SUM(D156:D161)</f>
        <v>0</v>
      </c>
      <c r="E162" s="289">
        <f>SUM(E156:E160)</f>
        <v>0</v>
      </c>
      <c r="F162" s="289">
        <f>SUM(F156:F160)</f>
        <v>0</v>
      </c>
      <c r="G162" s="289">
        <f>SUM(G156:G160)</f>
        <v>0</v>
      </c>
      <c r="H162" s="290">
        <f>SUM(H156:H160)</f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 s="20"/>
      <c r="P162" s="20"/>
      <c r="Q162" s="147"/>
      <c r="R162" s="197"/>
      <c r="S162" s="197"/>
      <c r="T162" s="197"/>
      <c r="U162" s="197"/>
    </row>
    <row r="163" spans="1:51" ht="15" x14ac:dyDescent="0.25">
      <c r="A163" s="10"/>
      <c r="B163" s="9" t="s">
        <v>15</v>
      </c>
      <c r="C163" s="5"/>
      <c r="D163" s="291"/>
      <c r="E163" s="292"/>
      <c r="F163" s="292"/>
      <c r="G163" s="292"/>
      <c r="H163" s="293">
        <f>SUM(D162:H162)</f>
        <v>0</v>
      </c>
      <c r="N163">
        <v>0</v>
      </c>
      <c r="O163" s="20"/>
      <c r="P163" s="20"/>
      <c r="Q163" s="147"/>
      <c r="R163" s="197"/>
      <c r="S163" s="197"/>
      <c r="T163" s="197"/>
      <c r="U163" s="197"/>
    </row>
    <row r="164" spans="1:51" ht="15.75" thickBot="1" x14ac:dyDescent="0.3">
      <c r="A164" s="1"/>
      <c r="B164" s="2"/>
      <c r="C164" s="1"/>
      <c r="D164" s="294"/>
      <c r="E164" s="295"/>
      <c r="F164" s="295"/>
      <c r="G164" s="295"/>
      <c r="H164" s="296"/>
      <c r="O164" s="20"/>
      <c r="P164" s="20"/>
      <c r="Q164" s="147"/>
      <c r="R164" s="197"/>
      <c r="S164" s="197"/>
      <c r="T164" s="197"/>
      <c r="U164" s="197"/>
    </row>
    <row r="165" spans="1:51" ht="15" x14ac:dyDescent="0.25">
      <c r="A165" s="1">
        <v>18</v>
      </c>
      <c r="B165" s="2" t="s">
        <v>709</v>
      </c>
      <c r="C165" s="1" t="s">
        <v>8</v>
      </c>
      <c r="D165" s="285">
        <v>0</v>
      </c>
      <c r="E165" s="286">
        <v>0</v>
      </c>
      <c r="F165" s="286">
        <v>0</v>
      </c>
      <c r="G165" s="286">
        <v>0</v>
      </c>
      <c r="H165" s="287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 s="20"/>
      <c r="P165" s="20"/>
      <c r="Q165" s="147"/>
      <c r="R165" s="197">
        <v>0.66599999999999993</v>
      </c>
      <c r="S165" s="197">
        <v>4.5549999999999997</v>
      </c>
      <c r="T165" s="197">
        <v>0.60039794540960334</v>
      </c>
      <c r="U165" s="197">
        <v>0.90789473684210531</v>
      </c>
      <c r="V165" s="20">
        <f t="shared" ref="V165:Y170" si="170">IF(K165&gt;0,((E165-K165)*$Q165*$R165*10)+(K165*$O$12*$Q165*$R165*10),(E165*$Q165*$R165*10))</f>
        <v>0</v>
      </c>
      <c r="W165" s="20">
        <f t="shared" si="170"/>
        <v>0</v>
      </c>
      <c r="X165" s="20">
        <f t="shared" si="170"/>
        <v>0</v>
      </c>
      <c r="Y165" s="20">
        <f t="shared" si="170"/>
        <v>0</v>
      </c>
      <c r="Z165" s="20">
        <f t="shared" ref="Z165:AC170" si="171">V165*(EXP(1.01-0.34*LN(Z$8))*(1-$T165)+(1*$T165))</f>
        <v>0</v>
      </c>
      <c r="AA165" s="20">
        <f t="shared" si="171"/>
        <v>0</v>
      </c>
      <c r="AB165" s="20">
        <f t="shared" si="171"/>
        <v>0</v>
      </c>
      <c r="AC165" s="20">
        <f t="shared" si="171"/>
        <v>0</v>
      </c>
      <c r="AD165" s="20">
        <f t="shared" ref="AD165:AD170" si="172">SUM(Z165:AC165)</f>
        <v>0</v>
      </c>
      <c r="AE165" s="20">
        <f t="shared" ref="AE165:AH170" si="173">IF(K165&gt;0,((E165-K165)*$Q165*$S165*10)+(K165*$P$12*$Q165*$S165)*10,(E165*$Q165*$S165*10))</f>
        <v>0</v>
      </c>
      <c r="AF165" s="20">
        <f t="shared" si="173"/>
        <v>0</v>
      </c>
      <c r="AG165" s="20">
        <f t="shared" si="173"/>
        <v>0</v>
      </c>
      <c r="AH165" s="20">
        <f t="shared" si="173"/>
        <v>0</v>
      </c>
      <c r="AI165" s="20">
        <f t="shared" ref="AI165:AL170" si="174">AE165*(EXP(1.01-0.34*LN(AI$8))*(1-$T165)+(1*$T165))</f>
        <v>0</v>
      </c>
      <c r="AJ165" s="20">
        <f t="shared" si="174"/>
        <v>0</v>
      </c>
      <c r="AK165" s="20">
        <f t="shared" si="174"/>
        <v>0</v>
      </c>
      <c r="AL165" s="20">
        <f t="shared" si="174"/>
        <v>0</v>
      </c>
      <c r="AM165" s="20">
        <f t="shared" ref="AM165:AM170" si="175">SUM(AI165:AL165)</f>
        <v>0</v>
      </c>
      <c r="AO165">
        <f t="shared" ref="AO165:AR170" si="176">Z165*AO$10</f>
        <v>0</v>
      </c>
      <c r="AP165">
        <f t="shared" si="176"/>
        <v>0</v>
      </c>
      <c r="AQ165">
        <f t="shared" si="176"/>
        <v>0</v>
      </c>
      <c r="AR165">
        <f t="shared" si="176"/>
        <v>0</v>
      </c>
      <c r="AS165">
        <f t="shared" ref="AS165:AS170" si="177">SUM(AO165:AR165)</f>
        <v>0</v>
      </c>
      <c r="AU165">
        <f t="shared" ref="AU165:AX170" si="178">AI165*AU$10</f>
        <v>0</v>
      </c>
      <c r="AV165">
        <f t="shared" si="178"/>
        <v>0</v>
      </c>
      <c r="AW165">
        <f t="shared" si="178"/>
        <v>0</v>
      </c>
      <c r="AX165">
        <f t="shared" si="178"/>
        <v>0</v>
      </c>
      <c r="AY165">
        <f t="shared" ref="AY165:AY170" si="179">SUM(AU165:AX165)</f>
        <v>0</v>
      </c>
    </row>
    <row r="166" spans="1:51" ht="15" x14ac:dyDescent="0.25">
      <c r="A166" s="1"/>
      <c r="B166" s="2"/>
      <c r="C166" s="1" t="s">
        <v>9</v>
      </c>
      <c r="D166" s="285">
        <v>0</v>
      </c>
      <c r="E166" s="286">
        <v>0</v>
      </c>
      <c r="F166" s="286">
        <v>0</v>
      </c>
      <c r="G166" s="286">
        <v>0</v>
      </c>
      <c r="H166" s="287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 s="20"/>
      <c r="P166" s="20"/>
      <c r="Q166" s="147"/>
      <c r="R166" s="197">
        <v>0.66599999999999993</v>
      </c>
      <c r="S166" s="197">
        <v>4.5549999999999997</v>
      </c>
      <c r="T166" s="197">
        <v>0.60039794540960334</v>
      </c>
      <c r="U166" s="197">
        <v>0.90789473684210531</v>
      </c>
      <c r="V166" s="20">
        <f t="shared" si="170"/>
        <v>0</v>
      </c>
      <c r="W166" s="20">
        <f t="shared" si="170"/>
        <v>0</v>
      </c>
      <c r="X166" s="20">
        <f t="shared" si="170"/>
        <v>0</v>
      </c>
      <c r="Y166" s="20">
        <f t="shared" si="170"/>
        <v>0</v>
      </c>
      <c r="Z166" s="20">
        <f t="shared" si="171"/>
        <v>0</v>
      </c>
      <c r="AA166" s="20">
        <f t="shared" si="171"/>
        <v>0</v>
      </c>
      <c r="AB166" s="20">
        <f t="shared" si="171"/>
        <v>0</v>
      </c>
      <c r="AC166" s="20">
        <f t="shared" si="171"/>
        <v>0</v>
      </c>
      <c r="AD166" s="20">
        <f t="shared" si="172"/>
        <v>0</v>
      </c>
      <c r="AE166" s="20">
        <f t="shared" si="173"/>
        <v>0</v>
      </c>
      <c r="AF166" s="20">
        <f t="shared" si="173"/>
        <v>0</v>
      </c>
      <c r="AG166" s="20">
        <f t="shared" si="173"/>
        <v>0</v>
      </c>
      <c r="AH166" s="20">
        <f t="shared" si="173"/>
        <v>0</v>
      </c>
      <c r="AI166" s="20">
        <f t="shared" si="174"/>
        <v>0</v>
      </c>
      <c r="AJ166" s="20">
        <f t="shared" si="174"/>
        <v>0</v>
      </c>
      <c r="AK166" s="20">
        <f t="shared" si="174"/>
        <v>0</v>
      </c>
      <c r="AL166" s="20">
        <f t="shared" si="174"/>
        <v>0</v>
      </c>
      <c r="AM166" s="20">
        <f t="shared" si="175"/>
        <v>0</v>
      </c>
      <c r="AO166">
        <f t="shared" si="176"/>
        <v>0</v>
      </c>
      <c r="AP166">
        <f t="shared" si="176"/>
        <v>0</v>
      </c>
      <c r="AQ166">
        <f t="shared" si="176"/>
        <v>0</v>
      </c>
      <c r="AR166">
        <f t="shared" si="176"/>
        <v>0</v>
      </c>
      <c r="AS166">
        <f t="shared" si="177"/>
        <v>0</v>
      </c>
      <c r="AU166">
        <f t="shared" si="178"/>
        <v>0</v>
      </c>
      <c r="AV166">
        <f t="shared" si="178"/>
        <v>0</v>
      </c>
      <c r="AW166">
        <f t="shared" si="178"/>
        <v>0</v>
      </c>
      <c r="AX166">
        <f t="shared" si="178"/>
        <v>0</v>
      </c>
      <c r="AY166">
        <f t="shared" si="179"/>
        <v>0</v>
      </c>
    </row>
    <row r="167" spans="1:51" ht="15" x14ac:dyDescent="0.25">
      <c r="A167" s="1"/>
      <c r="B167" s="2"/>
      <c r="C167" s="1" t="s">
        <v>10</v>
      </c>
      <c r="D167" s="285">
        <v>0</v>
      </c>
      <c r="E167" s="286">
        <v>0</v>
      </c>
      <c r="F167" s="286">
        <v>0</v>
      </c>
      <c r="G167" s="286">
        <v>0</v>
      </c>
      <c r="H167" s="28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 s="20"/>
      <c r="P167" s="20"/>
      <c r="Q167" s="147"/>
      <c r="R167" s="197">
        <v>0.66599999999999993</v>
      </c>
      <c r="S167" s="197">
        <v>4.5549999999999997</v>
      </c>
      <c r="T167" s="197">
        <v>0.60039794540960334</v>
      </c>
      <c r="U167" s="197">
        <v>0.90789473684210531</v>
      </c>
      <c r="V167" s="20">
        <f t="shared" si="170"/>
        <v>0</v>
      </c>
      <c r="W167" s="20">
        <f t="shared" si="170"/>
        <v>0</v>
      </c>
      <c r="X167" s="20">
        <f t="shared" si="170"/>
        <v>0</v>
      </c>
      <c r="Y167" s="20">
        <f t="shared" si="170"/>
        <v>0</v>
      </c>
      <c r="Z167" s="20">
        <f t="shared" si="171"/>
        <v>0</v>
      </c>
      <c r="AA167" s="20">
        <f t="shared" si="171"/>
        <v>0</v>
      </c>
      <c r="AB167" s="20">
        <f t="shared" si="171"/>
        <v>0</v>
      </c>
      <c r="AC167" s="20">
        <f t="shared" si="171"/>
        <v>0</v>
      </c>
      <c r="AD167" s="20">
        <f t="shared" si="172"/>
        <v>0</v>
      </c>
      <c r="AE167" s="20">
        <f t="shared" si="173"/>
        <v>0</v>
      </c>
      <c r="AF167" s="20">
        <f t="shared" si="173"/>
        <v>0</v>
      </c>
      <c r="AG167" s="20">
        <f t="shared" si="173"/>
        <v>0</v>
      </c>
      <c r="AH167" s="20">
        <f t="shared" si="173"/>
        <v>0</v>
      </c>
      <c r="AI167" s="20">
        <f t="shared" si="174"/>
        <v>0</v>
      </c>
      <c r="AJ167" s="20">
        <f t="shared" si="174"/>
        <v>0</v>
      </c>
      <c r="AK167" s="20">
        <f t="shared" si="174"/>
        <v>0</v>
      </c>
      <c r="AL167" s="20">
        <f t="shared" si="174"/>
        <v>0</v>
      </c>
      <c r="AM167" s="20">
        <f t="shared" si="175"/>
        <v>0</v>
      </c>
      <c r="AO167">
        <f t="shared" si="176"/>
        <v>0</v>
      </c>
      <c r="AP167">
        <f t="shared" si="176"/>
        <v>0</v>
      </c>
      <c r="AQ167">
        <f t="shared" si="176"/>
        <v>0</v>
      </c>
      <c r="AR167">
        <f t="shared" si="176"/>
        <v>0</v>
      </c>
      <c r="AS167">
        <f t="shared" si="177"/>
        <v>0</v>
      </c>
      <c r="AU167">
        <f t="shared" si="178"/>
        <v>0</v>
      </c>
      <c r="AV167">
        <f t="shared" si="178"/>
        <v>0</v>
      </c>
      <c r="AW167">
        <f t="shared" si="178"/>
        <v>0</v>
      </c>
      <c r="AX167">
        <f t="shared" si="178"/>
        <v>0</v>
      </c>
      <c r="AY167">
        <f t="shared" si="179"/>
        <v>0</v>
      </c>
    </row>
    <row r="168" spans="1:51" ht="15" x14ac:dyDescent="0.25">
      <c r="A168" s="1"/>
      <c r="B168" s="2"/>
      <c r="C168" s="1" t="s">
        <v>11</v>
      </c>
      <c r="D168" s="285">
        <v>0</v>
      </c>
      <c r="E168" s="286">
        <v>0</v>
      </c>
      <c r="F168" s="286">
        <v>0</v>
      </c>
      <c r="G168" s="286">
        <v>0</v>
      </c>
      <c r="H168" s="287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 s="20"/>
      <c r="P168" s="20"/>
      <c r="Q168" s="147"/>
      <c r="R168" s="197">
        <v>0.66599999999999993</v>
      </c>
      <c r="S168" s="197">
        <v>4.5549999999999997</v>
      </c>
      <c r="T168" s="197">
        <v>0.60039794540960334</v>
      </c>
      <c r="U168" s="197">
        <v>0.90789473684210531</v>
      </c>
      <c r="V168" s="20">
        <f t="shared" si="170"/>
        <v>0</v>
      </c>
      <c r="W168" s="20">
        <f t="shared" si="170"/>
        <v>0</v>
      </c>
      <c r="X168" s="20">
        <f t="shared" si="170"/>
        <v>0</v>
      </c>
      <c r="Y168" s="20">
        <f t="shared" si="170"/>
        <v>0</v>
      </c>
      <c r="Z168" s="20">
        <f t="shared" si="171"/>
        <v>0</v>
      </c>
      <c r="AA168" s="20">
        <f t="shared" si="171"/>
        <v>0</v>
      </c>
      <c r="AB168" s="20">
        <f t="shared" si="171"/>
        <v>0</v>
      </c>
      <c r="AC168" s="20">
        <f t="shared" si="171"/>
        <v>0</v>
      </c>
      <c r="AD168" s="20">
        <f t="shared" si="172"/>
        <v>0</v>
      </c>
      <c r="AE168" s="20">
        <f t="shared" si="173"/>
        <v>0</v>
      </c>
      <c r="AF168" s="20">
        <f t="shared" si="173"/>
        <v>0</v>
      </c>
      <c r="AG168" s="20">
        <f t="shared" si="173"/>
        <v>0</v>
      </c>
      <c r="AH168" s="20">
        <f t="shared" si="173"/>
        <v>0</v>
      </c>
      <c r="AI168" s="20">
        <f t="shared" si="174"/>
        <v>0</v>
      </c>
      <c r="AJ168" s="20">
        <f t="shared" si="174"/>
        <v>0</v>
      </c>
      <c r="AK168" s="20">
        <f t="shared" si="174"/>
        <v>0</v>
      </c>
      <c r="AL168" s="20">
        <f t="shared" si="174"/>
        <v>0</v>
      </c>
      <c r="AM168" s="20">
        <f t="shared" si="175"/>
        <v>0</v>
      </c>
      <c r="AO168">
        <f t="shared" si="176"/>
        <v>0</v>
      </c>
      <c r="AP168">
        <f t="shared" si="176"/>
        <v>0</v>
      </c>
      <c r="AQ168">
        <f t="shared" si="176"/>
        <v>0</v>
      </c>
      <c r="AR168">
        <f t="shared" si="176"/>
        <v>0</v>
      </c>
      <c r="AS168">
        <f t="shared" si="177"/>
        <v>0</v>
      </c>
      <c r="AU168">
        <f t="shared" si="178"/>
        <v>0</v>
      </c>
      <c r="AV168">
        <f t="shared" si="178"/>
        <v>0</v>
      </c>
      <c r="AW168">
        <f t="shared" si="178"/>
        <v>0</v>
      </c>
      <c r="AX168">
        <f t="shared" si="178"/>
        <v>0</v>
      </c>
      <c r="AY168">
        <f t="shared" si="179"/>
        <v>0</v>
      </c>
    </row>
    <row r="169" spans="1:51" ht="15" x14ac:dyDescent="0.25">
      <c r="A169" s="1"/>
      <c r="B169" s="2"/>
      <c r="C169" s="1" t="s">
        <v>12</v>
      </c>
      <c r="D169" s="285">
        <v>0</v>
      </c>
      <c r="E169" s="286">
        <v>0</v>
      </c>
      <c r="F169" s="286">
        <v>0</v>
      </c>
      <c r="G169" s="286">
        <v>0</v>
      </c>
      <c r="H169" s="287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 s="20"/>
      <c r="P169" s="20"/>
      <c r="Q169" s="147"/>
      <c r="R169" s="197">
        <v>0.66599999999999993</v>
      </c>
      <c r="S169" s="197">
        <v>4.5549999999999997</v>
      </c>
      <c r="T169" s="197">
        <v>0.60039794540960334</v>
      </c>
      <c r="U169" s="197">
        <v>0.90789473684210531</v>
      </c>
      <c r="V169" s="20">
        <f t="shared" si="170"/>
        <v>0</v>
      </c>
      <c r="W169" s="20">
        <f t="shared" si="170"/>
        <v>0</v>
      </c>
      <c r="X169" s="20">
        <f t="shared" si="170"/>
        <v>0</v>
      </c>
      <c r="Y169" s="20">
        <f t="shared" si="170"/>
        <v>0</v>
      </c>
      <c r="Z169" s="20">
        <f t="shared" si="171"/>
        <v>0</v>
      </c>
      <c r="AA169" s="20">
        <f t="shared" si="171"/>
        <v>0</v>
      </c>
      <c r="AB169" s="20">
        <f t="shared" si="171"/>
        <v>0</v>
      </c>
      <c r="AC169" s="20">
        <f t="shared" si="171"/>
        <v>0</v>
      </c>
      <c r="AD169" s="20">
        <f t="shared" si="172"/>
        <v>0</v>
      </c>
      <c r="AE169" s="20">
        <f t="shared" si="173"/>
        <v>0</v>
      </c>
      <c r="AF169" s="20">
        <f t="shared" si="173"/>
        <v>0</v>
      </c>
      <c r="AG169" s="20">
        <f t="shared" si="173"/>
        <v>0</v>
      </c>
      <c r="AH169" s="20">
        <f t="shared" si="173"/>
        <v>0</v>
      </c>
      <c r="AI169" s="20">
        <f t="shared" si="174"/>
        <v>0</v>
      </c>
      <c r="AJ169" s="20">
        <f t="shared" si="174"/>
        <v>0</v>
      </c>
      <c r="AK169" s="20">
        <f t="shared" si="174"/>
        <v>0</v>
      </c>
      <c r="AL169" s="20">
        <f t="shared" si="174"/>
        <v>0</v>
      </c>
      <c r="AM169" s="20">
        <f t="shared" si="175"/>
        <v>0</v>
      </c>
      <c r="AO169">
        <f t="shared" si="176"/>
        <v>0</v>
      </c>
      <c r="AP169">
        <f t="shared" si="176"/>
        <v>0</v>
      </c>
      <c r="AQ169">
        <f t="shared" si="176"/>
        <v>0</v>
      </c>
      <c r="AR169">
        <f t="shared" si="176"/>
        <v>0</v>
      </c>
      <c r="AS169">
        <f t="shared" si="177"/>
        <v>0</v>
      </c>
      <c r="AU169">
        <f t="shared" si="178"/>
        <v>0</v>
      </c>
      <c r="AV169">
        <f t="shared" si="178"/>
        <v>0</v>
      </c>
      <c r="AW169">
        <f t="shared" si="178"/>
        <v>0</v>
      </c>
      <c r="AX169">
        <f t="shared" si="178"/>
        <v>0</v>
      </c>
      <c r="AY169">
        <f t="shared" si="179"/>
        <v>0</v>
      </c>
    </row>
    <row r="170" spans="1:51" ht="15" x14ac:dyDescent="0.25">
      <c r="A170" s="1"/>
      <c r="B170" s="2"/>
      <c r="C170" s="1" t="s">
        <v>13</v>
      </c>
      <c r="D170" s="285">
        <v>0</v>
      </c>
      <c r="E170" s="286">
        <v>0</v>
      </c>
      <c r="F170" s="286">
        <v>0</v>
      </c>
      <c r="G170" s="286">
        <v>0</v>
      </c>
      <c r="H170" s="287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 s="20"/>
      <c r="P170" s="20"/>
      <c r="Q170" s="147"/>
      <c r="R170" s="197">
        <v>0.66599999999999993</v>
      </c>
      <c r="S170" s="197">
        <v>4.5549999999999997</v>
      </c>
      <c r="T170" s="197">
        <v>0.60039794540960334</v>
      </c>
      <c r="U170" s="197">
        <v>0.90789473684210531</v>
      </c>
      <c r="V170" s="20">
        <f t="shared" si="170"/>
        <v>0</v>
      </c>
      <c r="W170" s="20">
        <f t="shared" si="170"/>
        <v>0</v>
      </c>
      <c r="X170" s="20">
        <f t="shared" si="170"/>
        <v>0</v>
      </c>
      <c r="Y170" s="20">
        <f t="shared" si="170"/>
        <v>0</v>
      </c>
      <c r="Z170" s="20">
        <f t="shared" si="171"/>
        <v>0</v>
      </c>
      <c r="AA170" s="20">
        <f t="shared" si="171"/>
        <v>0</v>
      </c>
      <c r="AB170" s="20">
        <f t="shared" si="171"/>
        <v>0</v>
      </c>
      <c r="AC170" s="20">
        <f t="shared" si="171"/>
        <v>0</v>
      </c>
      <c r="AD170" s="20">
        <f t="shared" si="172"/>
        <v>0</v>
      </c>
      <c r="AE170" s="20">
        <f t="shared" si="173"/>
        <v>0</v>
      </c>
      <c r="AF170" s="20">
        <f t="shared" si="173"/>
        <v>0</v>
      </c>
      <c r="AG170" s="20">
        <f t="shared" si="173"/>
        <v>0</v>
      </c>
      <c r="AH170" s="20">
        <f t="shared" si="173"/>
        <v>0</v>
      </c>
      <c r="AI170" s="20">
        <f t="shared" si="174"/>
        <v>0</v>
      </c>
      <c r="AJ170" s="20">
        <f t="shared" si="174"/>
        <v>0</v>
      </c>
      <c r="AK170" s="20">
        <f t="shared" si="174"/>
        <v>0</v>
      </c>
      <c r="AL170" s="20">
        <f t="shared" si="174"/>
        <v>0</v>
      </c>
      <c r="AM170" s="20">
        <f t="shared" si="175"/>
        <v>0</v>
      </c>
      <c r="AO170">
        <f t="shared" si="176"/>
        <v>0</v>
      </c>
      <c r="AP170">
        <f t="shared" si="176"/>
        <v>0</v>
      </c>
      <c r="AQ170">
        <f t="shared" si="176"/>
        <v>0</v>
      </c>
      <c r="AR170">
        <f t="shared" si="176"/>
        <v>0</v>
      </c>
      <c r="AS170">
        <f t="shared" si="177"/>
        <v>0</v>
      </c>
      <c r="AU170">
        <f t="shared" si="178"/>
        <v>0</v>
      </c>
      <c r="AV170">
        <f t="shared" si="178"/>
        <v>0</v>
      </c>
      <c r="AW170">
        <f t="shared" si="178"/>
        <v>0</v>
      </c>
      <c r="AX170">
        <f t="shared" si="178"/>
        <v>0</v>
      </c>
      <c r="AY170">
        <f t="shared" si="179"/>
        <v>0</v>
      </c>
    </row>
    <row r="171" spans="1:51" ht="15" x14ac:dyDescent="0.25">
      <c r="A171" s="7"/>
      <c r="B171" s="8" t="s">
        <v>14</v>
      </c>
      <c r="C171" s="7"/>
      <c r="D171" s="288">
        <f>SUM(D165:D170)</f>
        <v>0</v>
      </c>
      <c r="E171" s="289">
        <f>SUM(E165:E170)</f>
        <v>0</v>
      </c>
      <c r="F171" s="289">
        <f>SUM(F165:F170)</f>
        <v>0</v>
      </c>
      <c r="G171" s="289">
        <f>SUM(G165:G170)</f>
        <v>0</v>
      </c>
      <c r="H171" s="290">
        <f>SUM(H165:H170)</f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 s="20"/>
      <c r="P171" s="20"/>
      <c r="Q171" s="147"/>
      <c r="R171" s="20"/>
      <c r="S171" s="20"/>
      <c r="T171" s="20"/>
      <c r="U171" s="20"/>
    </row>
    <row r="172" spans="1:51" ht="15" x14ac:dyDescent="0.25">
      <c r="A172" s="1"/>
      <c r="B172" s="9" t="s">
        <v>15</v>
      </c>
      <c r="C172" s="5"/>
      <c r="D172" s="291"/>
      <c r="E172" s="292"/>
      <c r="F172" s="292"/>
      <c r="G172" s="292"/>
      <c r="H172" s="293">
        <f>SUM(D171:H171)</f>
        <v>0</v>
      </c>
      <c r="N172">
        <v>0</v>
      </c>
      <c r="O172" s="20"/>
      <c r="P172" s="20"/>
      <c r="Q172" s="147"/>
      <c r="R172" s="20"/>
      <c r="S172" s="20"/>
      <c r="T172" s="20"/>
      <c r="U172" s="20"/>
    </row>
    <row r="173" spans="1:51" ht="15.75" thickBot="1" x14ac:dyDescent="0.3">
      <c r="A173" s="1"/>
      <c r="B173" s="2"/>
      <c r="C173" s="1"/>
      <c r="D173" s="297"/>
      <c r="E173" s="298"/>
      <c r="F173" s="298"/>
      <c r="G173" s="298"/>
      <c r="H173" s="299"/>
      <c r="O173" s="20"/>
      <c r="P173" s="20"/>
      <c r="Q173" s="147"/>
      <c r="R173" s="20"/>
      <c r="S173" s="20"/>
      <c r="T173" s="20"/>
      <c r="U173" s="20"/>
    </row>
    <row r="174" spans="1:51" ht="15" x14ac:dyDescent="0.25">
      <c r="A174" s="1">
        <v>19</v>
      </c>
      <c r="B174" s="2" t="s">
        <v>526</v>
      </c>
      <c r="C174" s="1" t="s">
        <v>8</v>
      </c>
      <c r="D174" s="282">
        <v>10.362623149999999</v>
      </c>
      <c r="E174" s="283">
        <v>0</v>
      </c>
      <c r="F174" s="283">
        <v>0</v>
      </c>
      <c r="G174" s="283">
        <v>0</v>
      </c>
      <c r="H174" s="284">
        <v>0</v>
      </c>
      <c r="J174">
        <v>-1.1042644558756365E-6</v>
      </c>
      <c r="K174">
        <v>0</v>
      </c>
      <c r="L174">
        <v>0</v>
      </c>
      <c r="M174">
        <v>0</v>
      </c>
      <c r="N174">
        <v>-7.2965769813300004E-10</v>
      </c>
      <c r="O174" s="20"/>
      <c r="P174" s="20"/>
      <c r="Q174" s="146">
        <v>0.9</v>
      </c>
      <c r="R174" s="20"/>
      <c r="S174" s="20"/>
      <c r="T174" s="20"/>
      <c r="U174" s="20"/>
    </row>
    <row r="175" spans="1:51" ht="15" x14ac:dyDescent="0.25">
      <c r="A175" s="1"/>
      <c r="B175" s="2"/>
      <c r="C175" s="1" t="s">
        <v>9</v>
      </c>
      <c r="D175" s="285">
        <v>5.0702140199999999</v>
      </c>
      <c r="E175" s="286">
        <v>0</v>
      </c>
      <c r="F175" s="286">
        <v>0</v>
      </c>
      <c r="G175" s="286">
        <v>0</v>
      </c>
      <c r="H175" s="287">
        <v>0</v>
      </c>
      <c r="J175">
        <v>-5.9277974084892548E-7</v>
      </c>
      <c r="K175">
        <v>0</v>
      </c>
      <c r="L175">
        <v>0</v>
      </c>
      <c r="M175">
        <v>0</v>
      </c>
      <c r="N175">
        <v>0</v>
      </c>
      <c r="O175" s="20"/>
      <c r="P175" s="20"/>
      <c r="Q175" s="147">
        <v>0.9</v>
      </c>
      <c r="R175" s="20"/>
      <c r="S175" s="20"/>
      <c r="T175" s="20"/>
      <c r="U175" s="20"/>
    </row>
    <row r="176" spans="1:51" ht="15" x14ac:dyDescent="0.25">
      <c r="A176" s="1"/>
      <c r="B176" s="2"/>
      <c r="C176" s="1" t="s">
        <v>10</v>
      </c>
      <c r="D176" s="285">
        <v>6.0503388200000003</v>
      </c>
      <c r="E176" s="286">
        <v>0</v>
      </c>
      <c r="F176" s="286">
        <v>0</v>
      </c>
      <c r="G176" s="286">
        <v>0</v>
      </c>
      <c r="H176" s="287">
        <v>0</v>
      </c>
      <c r="J176">
        <v>-1.5226914760191335E-6</v>
      </c>
      <c r="K176">
        <v>0</v>
      </c>
      <c r="L176">
        <v>0</v>
      </c>
      <c r="M176">
        <v>0</v>
      </c>
      <c r="N176">
        <v>0</v>
      </c>
      <c r="O176" s="20"/>
      <c r="P176" s="20"/>
      <c r="Q176" s="146">
        <v>0.9</v>
      </c>
      <c r="R176" s="20"/>
      <c r="S176" s="20"/>
      <c r="T176" s="20"/>
      <c r="U176" s="20"/>
    </row>
    <row r="177" spans="1:21" ht="15" x14ac:dyDescent="0.25">
      <c r="A177" s="1"/>
      <c r="B177" s="2"/>
      <c r="C177" s="1" t="s">
        <v>11</v>
      </c>
      <c r="D177" s="285">
        <v>1.9530215</v>
      </c>
      <c r="E177" s="286">
        <v>0</v>
      </c>
      <c r="F177" s="286">
        <v>0</v>
      </c>
      <c r="G177" s="286">
        <v>0</v>
      </c>
      <c r="H177" s="287">
        <v>0</v>
      </c>
      <c r="J177">
        <v>3.9409888019648065E-7</v>
      </c>
      <c r="K177">
        <v>0</v>
      </c>
      <c r="L177">
        <v>0</v>
      </c>
      <c r="M177">
        <v>0</v>
      </c>
      <c r="N177">
        <v>0</v>
      </c>
      <c r="O177" s="20"/>
      <c r="P177" s="20"/>
      <c r="Q177" s="146">
        <v>0.9</v>
      </c>
      <c r="R177" s="20"/>
      <c r="S177" s="20"/>
      <c r="T177" s="20"/>
      <c r="U177" s="20"/>
    </row>
    <row r="178" spans="1:21" ht="15" x14ac:dyDescent="0.25">
      <c r="A178" s="1"/>
      <c r="B178" s="2"/>
      <c r="C178" s="1" t="s">
        <v>12</v>
      </c>
      <c r="D178" s="285">
        <v>2239.5971424999998</v>
      </c>
      <c r="E178" s="286">
        <v>0</v>
      </c>
      <c r="F178" s="286">
        <v>0</v>
      </c>
      <c r="G178" s="286">
        <v>0</v>
      </c>
      <c r="H178" s="287">
        <v>0</v>
      </c>
      <c r="J178">
        <v>2.0651242266467307E-5</v>
      </c>
      <c r="K178">
        <v>0</v>
      </c>
      <c r="L178">
        <v>0</v>
      </c>
      <c r="M178">
        <v>0</v>
      </c>
      <c r="N178">
        <v>-1.1895432099971E-6</v>
      </c>
      <c r="O178" s="20"/>
      <c r="P178" s="20"/>
      <c r="Q178" s="146">
        <v>0.9</v>
      </c>
      <c r="R178" s="20"/>
      <c r="S178" s="20"/>
      <c r="T178" s="20"/>
      <c r="U178" s="20"/>
    </row>
    <row r="179" spans="1:21" ht="15" x14ac:dyDescent="0.25">
      <c r="A179" s="1"/>
      <c r="B179" s="2"/>
      <c r="C179" s="1" t="s">
        <v>13</v>
      </c>
      <c r="D179" s="285">
        <v>0</v>
      </c>
      <c r="E179" s="286">
        <v>0</v>
      </c>
      <c r="F179" s="286">
        <v>0</v>
      </c>
      <c r="G179" s="286">
        <v>0</v>
      </c>
      <c r="H179" s="287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 s="20"/>
      <c r="P179" s="20"/>
      <c r="Q179" s="146"/>
      <c r="R179" s="20"/>
      <c r="S179" s="20"/>
      <c r="T179" s="20"/>
      <c r="U179" s="20"/>
    </row>
    <row r="180" spans="1:21" ht="15" x14ac:dyDescent="0.25">
      <c r="A180" s="7"/>
      <c r="B180" s="8" t="s">
        <v>14</v>
      </c>
      <c r="C180" s="7"/>
      <c r="D180" s="288">
        <f>SUM(D174:D179)</f>
        <v>2263.0333399899996</v>
      </c>
      <c r="E180" s="289">
        <f>SUM(E174:E179)</f>
        <v>0</v>
      </c>
      <c r="F180" s="289">
        <f>SUM(F174:F179)</f>
        <v>0</v>
      </c>
      <c r="G180" s="289">
        <f>SUM(G174:G179)</f>
        <v>0</v>
      </c>
      <c r="H180" s="290">
        <f>SUM(H174:H179)</f>
        <v>0</v>
      </c>
      <c r="J180">
        <v>1.7825605473920092E-5</v>
      </c>
      <c r="K180">
        <v>0</v>
      </c>
      <c r="L180">
        <v>0</v>
      </c>
      <c r="M180">
        <v>0</v>
      </c>
      <c r="N180">
        <v>-1.190272867695233E-6</v>
      </c>
    </row>
    <row r="181" spans="1:21" ht="15" x14ac:dyDescent="0.25">
      <c r="A181" s="5"/>
      <c r="B181" s="9" t="s">
        <v>15</v>
      </c>
      <c r="C181" s="5"/>
      <c r="D181" s="185"/>
      <c r="E181" s="185"/>
      <c r="F181" s="185"/>
      <c r="G181" s="185"/>
      <c r="H181" s="235">
        <f>SUM(D180:H180)</f>
        <v>2263.0333399899996</v>
      </c>
    </row>
    <row r="182" spans="1:21" s="79" customFormat="1" ht="15" x14ac:dyDescent="0.25">
      <c r="A182" s="199"/>
      <c r="B182" s="198" t="s">
        <v>661</v>
      </c>
      <c r="C182" s="199"/>
    </row>
  </sheetData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Y182"/>
  <sheetViews>
    <sheetView defaultGridColor="0" colorId="11" zoomScale="75" workbookViewId="0">
      <pane xSplit="3" ySplit="11" topLeftCell="D12" activePane="bottomRight" state="frozen"/>
      <selection pane="topRight" activeCell="D1" sqref="D1"/>
      <selection pane="bottomLeft" activeCell="A14" sqref="A14"/>
      <selection pane="bottomRight" activeCell="AU10" sqref="AU10:AX10"/>
    </sheetView>
  </sheetViews>
  <sheetFormatPr defaultRowHeight="12.75" x14ac:dyDescent="0.2"/>
  <cols>
    <col min="2" max="2" width="26.42578125" bestFit="1" customWidth="1"/>
    <col min="4" max="8" width="13.7109375" customWidth="1"/>
    <col min="10" max="14" width="13.5703125" customWidth="1"/>
    <col min="15" max="15" width="12" bestFit="1" customWidth="1"/>
    <col min="17" max="17" width="15.7109375" style="108" bestFit="1" customWidth="1"/>
    <col min="18" max="19" width="12" bestFit="1" customWidth="1"/>
    <col min="20" max="21" width="12" customWidth="1"/>
    <col min="22" max="25" width="11.5703125" customWidth="1"/>
    <col min="26" max="29" width="10.7109375" customWidth="1"/>
    <col min="30" max="30" width="11.42578125" customWidth="1"/>
    <col min="31" max="34" width="13.42578125" customWidth="1"/>
    <col min="35" max="39" width="10.85546875" customWidth="1"/>
    <col min="45" max="45" width="28.140625" customWidth="1"/>
    <col min="51" max="51" width="28.42578125" customWidth="1"/>
  </cols>
  <sheetData>
    <row r="1" spans="1:51" ht="15" x14ac:dyDescent="0.25">
      <c r="A1" s="15"/>
      <c r="B1" s="16"/>
    </row>
    <row r="2" spans="1:51" ht="15" x14ac:dyDescent="0.25">
      <c r="A2" s="15"/>
      <c r="B2" s="16"/>
      <c r="V2" s="99"/>
      <c r="W2" s="99"/>
      <c r="X2" s="99"/>
      <c r="Y2" s="99"/>
      <c r="Z2" s="26"/>
      <c r="AA2" s="26"/>
      <c r="AB2" s="26"/>
      <c r="AC2" s="26"/>
      <c r="AD2" s="26"/>
      <c r="AE2" s="28"/>
      <c r="AF2" s="28"/>
      <c r="AG2" s="28"/>
      <c r="AH2" s="28"/>
      <c r="AI2" s="124"/>
      <c r="AJ2" s="124"/>
      <c r="AK2" s="124"/>
      <c r="AL2" s="124"/>
      <c r="AM2" s="124"/>
    </row>
    <row r="3" spans="1:51" ht="78.75" x14ac:dyDescent="0.25">
      <c r="B3" s="16"/>
      <c r="D3" s="179" t="s">
        <v>759</v>
      </c>
      <c r="E3" s="179"/>
      <c r="F3" s="179"/>
      <c r="G3" s="179"/>
      <c r="H3" s="179"/>
      <c r="J3" s="181" t="s">
        <v>758</v>
      </c>
      <c r="K3" s="181"/>
      <c r="L3" s="181"/>
      <c r="M3" s="181"/>
      <c r="N3" s="181"/>
      <c r="V3" s="99" t="s">
        <v>534</v>
      </c>
      <c r="W3" s="99"/>
      <c r="X3" s="99"/>
      <c r="Y3" s="99"/>
      <c r="Z3" s="26" t="s">
        <v>535</v>
      </c>
      <c r="AA3" s="26"/>
      <c r="AB3" s="26"/>
      <c r="AC3" s="26"/>
      <c r="AD3" s="125"/>
      <c r="AE3" s="28" t="s">
        <v>536</v>
      </c>
      <c r="AF3" s="28"/>
      <c r="AG3" s="28"/>
      <c r="AH3" s="28"/>
      <c r="AI3" s="124" t="s">
        <v>537</v>
      </c>
      <c r="AJ3" s="131"/>
      <c r="AK3" s="131"/>
      <c r="AL3" s="131"/>
      <c r="AM3" s="131"/>
    </row>
    <row r="4" spans="1:51" ht="15.75" x14ac:dyDescent="0.25">
      <c r="D4" s="180"/>
      <c r="E4" s="180"/>
      <c r="F4" s="180"/>
      <c r="G4" s="180"/>
      <c r="H4" s="180"/>
      <c r="J4" s="182"/>
      <c r="K4" s="182"/>
      <c r="L4" s="182"/>
      <c r="M4" s="182"/>
      <c r="N4" s="182"/>
      <c r="V4" s="101" t="s">
        <v>40</v>
      </c>
      <c r="W4" s="101"/>
      <c r="X4" s="101"/>
      <c r="Y4" s="101"/>
      <c r="Z4" s="27" t="s">
        <v>40</v>
      </c>
      <c r="AA4" s="27"/>
      <c r="AB4" s="27"/>
      <c r="AC4" s="27"/>
      <c r="AD4" s="126"/>
      <c r="AE4" s="30" t="s">
        <v>40</v>
      </c>
      <c r="AF4" s="30"/>
      <c r="AG4" s="30"/>
      <c r="AH4" s="30"/>
      <c r="AI4" s="132" t="s">
        <v>40</v>
      </c>
      <c r="AJ4" s="133"/>
      <c r="AK4" s="133"/>
      <c r="AL4" s="133"/>
      <c r="AM4" s="133"/>
    </row>
    <row r="5" spans="1:51" ht="94.5" x14ac:dyDescent="0.25">
      <c r="A5" s="1"/>
      <c r="B5" s="2"/>
      <c r="C5" s="3"/>
      <c r="D5" s="103"/>
      <c r="E5" s="229"/>
      <c r="F5" s="229"/>
      <c r="G5" s="229"/>
      <c r="H5" s="229"/>
      <c r="J5" s="115"/>
      <c r="K5" s="232"/>
      <c r="L5" s="232"/>
      <c r="M5" s="232"/>
      <c r="N5" s="232"/>
      <c r="V5" s="103"/>
      <c r="W5" s="103"/>
      <c r="X5" s="103"/>
      <c r="Y5" s="103"/>
      <c r="Z5" s="93"/>
      <c r="AA5" s="236"/>
      <c r="AB5" s="236"/>
      <c r="AC5" s="236"/>
      <c r="AD5" s="127"/>
      <c r="AE5" s="90"/>
      <c r="AF5" s="90"/>
      <c r="AG5" s="90"/>
      <c r="AH5" s="90"/>
      <c r="AI5" s="134"/>
      <c r="AJ5" s="135"/>
      <c r="AK5" s="135"/>
      <c r="AL5" s="135"/>
      <c r="AM5" s="135"/>
      <c r="AO5" s="240" t="s">
        <v>727</v>
      </c>
      <c r="AP5" s="241"/>
      <c r="AQ5" s="241"/>
      <c r="AR5" s="241"/>
      <c r="AS5" s="242" t="s">
        <v>727</v>
      </c>
      <c r="AU5" s="244" t="s">
        <v>728</v>
      </c>
      <c r="AV5" s="245"/>
      <c r="AW5" s="245"/>
      <c r="AX5" s="245"/>
      <c r="AY5" s="246" t="s">
        <v>728</v>
      </c>
    </row>
    <row r="6" spans="1:51" ht="39" x14ac:dyDescent="0.25">
      <c r="A6" s="1"/>
      <c r="B6" s="2" t="s">
        <v>0</v>
      </c>
      <c r="C6" s="3"/>
      <c r="D6" s="234" t="s">
        <v>862</v>
      </c>
      <c r="E6" s="234"/>
      <c r="F6" s="234"/>
      <c r="G6" s="234"/>
      <c r="H6" s="234"/>
      <c r="J6" s="117" t="s">
        <v>862</v>
      </c>
      <c r="K6" s="117"/>
      <c r="L6" s="117"/>
      <c r="M6" s="117"/>
      <c r="N6" s="117"/>
      <c r="O6" s="17" t="s">
        <v>35</v>
      </c>
      <c r="P6" s="18"/>
      <c r="Q6" s="146">
        <v>2007</v>
      </c>
      <c r="R6" s="22" t="s">
        <v>38</v>
      </c>
      <c r="S6" s="22" t="s">
        <v>39</v>
      </c>
      <c r="T6" s="196" t="s">
        <v>659</v>
      </c>
      <c r="U6" s="196" t="s">
        <v>660</v>
      </c>
      <c r="V6" s="105" t="s">
        <v>862</v>
      </c>
      <c r="W6" s="105"/>
      <c r="X6" s="105"/>
      <c r="Y6" s="105"/>
      <c r="Z6" s="78" t="s">
        <v>862</v>
      </c>
      <c r="AA6" s="78"/>
      <c r="AB6" s="78"/>
      <c r="AC6" s="78"/>
      <c r="AD6" s="128" t="s">
        <v>42</v>
      </c>
      <c r="AE6" s="72" t="s">
        <v>862</v>
      </c>
      <c r="AF6" s="72"/>
      <c r="AG6" s="72"/>
      <c r="AH6" s="72"/>
      <c r="AI6" s="137" t="s">
        <v>862</v>
      </c>
      <c r="AJ6" s="137"/>
      <c r="AK6" s="137"/>
      <c r="AL6" s="137"/>
      <c r="AM6" s="137"/>
      <c r="AO6" s="118" t="s">
        <v>862</v>
      </c>
      <c r="AP6" s="118"/>
      <c r="AQ6" s="118"/>
      <c r="AR6" s="118"/>
      <c r="AS6" s="129"/>
      <c r="AU6" s="118" t="s">
        <v>862</v>
      </c>
      <c r="AV6" s="118"/>
      <c r="AW6" s="118"/>
      <c r="AX6" s="118"/>
      <c r="AY6" s="247"/>
    </row>
    <row r="7" spans="1:51" ht="26.25" x14ac:dyDescent="0.25">
      <c r="A7" s="1"/>
      <c r="B7" s="2" t="s">
        <v>1</v>
      </c>
      <c r="C7" s="2"/>
      <c r="D7" s="107"/>
      <c r="E7" s="107"/>
      <c r="F7" s="107"/>
      <c r="G7" s="107"/>
      <c r="H7" s="107"/>
      <c r="J7" s="119"/>
      <c r="K7" s="233"/>
      <c r="L7" s="233"/>
      <c r="M7" s="233"/>
      <c r="N7" s="233"/>
      <c r="O7" s="21" t="s">
        <v>36</v>
      </c>
      <c r="P7" s="21" t="s">
        <v>37</v>
      </c>
      <c r="Q7" s="148" t="s">
        <v>538</v>
      </c>
      <c r="R7" s="22"/>
      <c r="S7" s="22"/>
      <c r="T7" s="22"/>
      <c r="U7" s="22"/>
      <c r="V7" s="107"/>
      <c r="W7" s="107"/>
      <c r="X7" s="107"/>
      <c r="Y7" s="107"/>
      <c r="Z7" s="237"/>
      <c r="AA7" s="237"/>
      <c r="AB7" s="237"/>
      <c r="AC7" s="237"/>
      <c r="AD7" s="129"/>
      <c r="AE7" s="91"/>
      <c r="AF7" s="91"/>
      <c r="AG7" s="91"/>
      <c r="AH7" s="91"/>
      <c r="AI7" s="139"/>
      <c r="AJ7" s="139"/>
      <c r="AK7" s="139"/>
      <c r="AL7" s="139"/>
      <c r="AM7" s="139"/>
      <c r="AS7" s="129"/>
      <c r="AY7" s="247"/>
    </row>
    <row r="8" spans="1:51" ht="15.75" x14ac:dyDescent="0.25">
      <c r="A8" s="1"/>
      <c r="B8" s="2" t="s">
        <v>4</v>
      </c>
      <c r="C8" s="2"/>
      <c r="D8" s="107"/>
      <c r="E8" s="230"/>
      <c r="F8" s="230"/>
      <c r="G8" s="230"/>
      <c r="H8" s="230"/>
      <c r="J8" s="183"/>
      <c r="K8" s="183"/>
      <c r="L8" s="183"/>
      <c r="M8" s="183"/>
      <c r="N8" s="183"/>
      <c r="O8" s="20"/>
      <c r="P8" s="20"/>
      <c r="Q8" s="145"/>
      <c r="R8" s="20"/>
      <c r="S8" s="20"/>
      <c r="T8" s="20"/>
      <c r="U8" s="20"/>
      <c r="V8" s="107"/>
      <c r="W8" s="107"/>
      <c r="X8" s="107"/>
      <c r="Y8" s="107"/>
      <c r="Z8" s="237">
        <v>646.83176063829774</v>
      </c>
      <c r="AA8" s="237">
        <v>536.30093137254926</v>
      </c>
      <c r="AB8" s="237">
        <v>501.97975742574283</v>
      </c>
      <c r="AC8" s="237">
        <v>1022.2701422018349</v>
      </c>
      <c r="AD8" s="129"/>
      <c r="AE8" s="91"/>
      <c r="AF8" s="91"/>
      <c r="AG8" s="91"/>
      <c r="AH8" s="91"/>
      <c r="AI8" s="139">
        <v>646.83176063829774</v>
      </c>
      <c r="AJ8" s="139">
        <v>536.30093137254926</v>
      </c>
      <c r="AK8" s="139">
        <v>501.97975742574283</v>
      </c>
      <c r="AL8" s="139">
        <v>1022.2701422018349</v>
      </c>
      <c r="AM8" s="139"/>
      <c r="AS8" s="129"/>
      <c r="AY8" s="247"/>
    </row>
    <row r="9" spans="1:51" ht="15.75" x14ac:dyDescent="0.25">
      <c r="A9" s="1"/>
      <c r="B9" s="15" t="s">
        <v>558</v>
      </c>
      <c r="C9" s="2"/>
      <c r="D9" s="109"/>
      <c r="E9" s="231"/>
      <c r="F9" s="231"/>
      <c r="G9" s="231"/>
      <c r="H9" s="231"/>
      <c r="J9" s="119"/>
      <c r="K9" s="233"/>
      <c r="L9" s="233"/>
      <c r="M9" s="233"/>
      <c r="N9" s="233"/>
      <c r="O9" s="21"/>
      <c r="P9" s="21"/>
      <c r="Q9" s="145"/>
      <c r="R9" s="20"/>
      <c r="S9" s="20"/>
      <c r="T9" s="20"/>
      <c r="U9" s="20"/>
      <c r="V9" s="109"/>
      <c r="W9" s="109"/>
      <c r="X9" s="109"/>
      <c r="Y9" s="109"/>
      <c r="Z9" s="238"/>
      <c r="AA9" s="238"/>
      <c r="AB9" s="238"/>
      <c r="AC9" s="238"/>
      <c r="AD9" s="129"/>
      <c r="AE9" s="92"/>
      <c r="AF9" s="92"/>
      <c r="AG9" s="92"/>
      <c r="AH9" s="92"/>
      <c r="AI9" s="139"/>
      <c r="AJ9" s="139"/>
      <c r="AK9" s="139"/>
      <c r="AL9" s="139"/>
      <c r="AM9" s="139"/>
      <c r="AO9" s="239">
        <v>2007</v>
      </c>
      <c r="AP9" s="239">
        <v>2007</v>
      </c>
      <c r="AQ9" s="239">
        <v>2007</v>
      </c>
      <c r="AR9" s="239">
        <v>2007</v>
      </c>
      <c r="AS9" s="243">
        <v>2007</v>
      </c>
      <c r="AU9" s="239">
        <v>2007</v>
      </c>
      <c r="AV9" s="239">
        <v>2007</v>
      </c>
      <c r="AW9" s="239">
        <v>2007</v>
      </c>
      <c r="AX9" s="239">
        <v>2007</v>
      </c>
      <c r="AY9" s="248">
        <v>2007</v>
      </c>
    </row>
    <row r="10" spans="1:51" ht="15" x14ac:dyDescent="0.2">
      <c r="B10" s="15" t="s">
        <v>726</v>
      </c>
      <c r="AO10" s="239">
        <v>1.0135000000000001</v>
      </c>
      <c r="AP10" s="239">
        <v>1.0135000000000001</v>
      </c>
      <c r="AQ10" s="239">
        <v>1.0135000000000001</v>
      </c>
      <c r="AR10" s="239">
        <v>1.0135000000000001</v>
      </c>
      <c r="AU10" s="239">
        <v>1.0135000000000001</v>
      </c>
      <c r="AV10" s="239">
        <v>1.0135000000000001</v>
      </c>
      <c r="AW10" s="239">
        <v>1.0135000000000001</v>
      </c>
      <c r="AX10" s="239">
        <v>1.0135000000000001</v>
      </c>
    </row>
    <row r="11" spans="1:51" ht="27.75" thickBot="1" x14ac:dyDescent="0.3">
      <c r="A11" s="1"/>
      <c r="B11" s="2" t="s">
        <v>5</v>
      </c>
      <c r="C11" s="4" t="s">
        <v>6</v>
      </c>
      <c r="D11" s="107"/>
      <c r="E11" s="230"/>
      <c r="F11" s="230"/>
      <c r="G11" s="230"/>
      <c r="H11" s="230"/>
      <c r="J11" s="183"/>
      <c r="K11" s="183"/>
      <c r="L11" s="183"/>
      <c r="M11" s="183"/>
      <c r="N11" s="183"/>
      <c r="O11" s="20"/>
      <c r="P11" s="20"/>
      <c r="Q11" s="147"/>
      <c r="R11" s="20"/>
      <c r="S11" s="20"/>
      <c r="T11" s="20"/>
      <c r="U11" s="20"/>
      <c r="V11" s="230"/>
      <c r="W11" s="230"/>
      <c r="X11" s="230"/>
      <c r="Y11" s="230"/>
      <c r="Z11" s="130"/>
      <c r="AA11" s="130"/>
      <c r="AB11" s="130"/>
      <c r="AC11" s="130"/>
      <c r="AD11" s="129"/>
      <c r="AE11" s="91"/>
      <c r="AF11" s="91"/>
      <c r="AG11" s="91"/>
      <c r="AH11" s="91"/>
      <c r="AI11" s="139"/>
      <c r="AJ11" s="139"/>
      <c r="AK11" s="139"/>
      <c r="AL11" s="139"/>
      <c r="AM11" s="139"/>
    </row>
    <row r="12" spans="1:51" ht="15" x14ac:dyDescent="0.25">
      <c r="A12" s="1">
        <v>1</v>
      </c>
      <c r="B12" s="2" t="s">
        <v>7</v>
      </c>
      <c r="C12" s="3" t="s">
        <v>8</v>
      </c>
      <c r="D12" s="282">
        <v>0</v>
      </c>
      <c r="E12" s="283">
        <v>59.619004480000001</v>
      </c>
      <c r="F12" s="283">
        <v>103.33968289000001</v>
      </c>
      <c r="G12" s="283">
        <v>131.82942186</v>
      </c>
      <c r="H12" s="284">
        <v>286.90933188000002</v>
      </c>
      <c r="J12">
        <v>0</v>
      </c>
      <c r="K12">
        <v>-9.079778811340006</v>
      </c>
      <c r="L12">
        <v>-29.116011425489972</v>
      </c>
      <c r="M12">
        <v>85.872521085660992</v>
      </c>
      <c r="N12">
        <v>89.873884540558521</v>
      </c>
      <c r="O12" s="20">
        <v>0.36775204520040022</v>
      </c>
      <c r="P12" s="20">
        <v>0.57913019816794442</v>
      </c>
      <c r="Q12" s="147">
        <v>6.0185228104269212E-2</v>
      </c>
      <c r="R12" s="197">
        <v>0.17699999999999999</v>
      </c>
      <c r="S12" s="197">
        <v>1.77</v>
      </c>
      <c r="T12" s="197">
        <v>0.50078889239507718</v>
      </c>
      <c r="U12" s="197">
        <v>0.75268470790377973</v>
      </c>
      <c r="V12" s="20">
        <f t="shared" ref="V12:Y17" si="0">IF(K12&gt;0,((E12-K12)*$Q12*$R12*10)+(K12*$O$12*$Q12*$R12*10),(E12*$Q12*$R12*10))</f>
        <v>6.3510845896414994</v>
      </c>
      <c r="W12" s="20">
        <f t="shared" si="0"/>
        <v>11.008554624914769</v>
      </c>
      <c r="X12" s="20">
        <f t="shared" si="0"/>
        <v>8.2598178145311945</v>
      </c>
      <c r="Y12" s="20">
        <f t="shared" si="0"/>
        <v>24.510647885785659</v>
      </c>
      <c r="Z12" s="20">
        <f t="shared" ref="Z12:AC17" si="1">V12*(EXP(1.01-0.34*LN(Z$8))*(1-$T12)+(1*$T12))</f>
        <v>4.1446047269916884</v>
      </c>
      <c r="AA12" s="20">
        <f t="shared" si="1"/>
        <v>7.2939173486815942</v>
      </c>
      <c r="AB12" s="20">
        <f t="shared" si="1"/>
        <v>5.5030797972143972</v>
      </c>
      <c r="AC12" s="20">
        <f t="shared" si="1"/>
        <v>15.459034635205175</v>
      </c>
      <c r="AD12" s="20">
        <f t="shared" ref="AD12:AD17" si="2">SUM(Z12:AC12)</f>
        <v>32.400636508092859</v>
      </c>
      <c r="AE12" s="20">
        <f t="shared" ref="AE12:AH17" si="3">IF(K12&gt;0,((E12-K12)*$Q12*$S12*10)+(K12*$P$12*$Q12*$S12)*10,(E12*$Q12*$S12*10))</f>
        <v>63.510845896414992</v>
      </c>
      <c r="AF12" s="20">
        <f t="shared" si="3"/>
        <v>110.08554624914768</v>
      </c>
      <c r="AG12" s="20">
        <f t="shared" si="3"/>
        <v>101.93466130472444</v>
      </c>
      <c r="AH12" s="20">
        <f t="shared" si="3"/>
        <v>265.34397547398515</v>
      </c>
      <c r="AI12" s="20">
        <f t="shared" ref="AI12:AL17" si="4">AE12*(EXP(1.01-0.34*LN(AI$8))*(1-$T12)+(1*$T12))</f>
        <v>41.446047269916882</v>
      </c>
      <c r="AJ12" s="20">
        <f t="shared" si="4"/>
        <v>72.939173486815946</v>
      </c>
      <c r="AK12" s="20">
        <f t="shared" si="4"/>
        <v>67.913674109742999</v>
      </c>
      <c r="AL12" s="20">
        <f t="shared" si="4"/>
        <v>167.35427501588808</v>
      </c>
      <c r="AM12" s="20">
        <f t="shared" ref="AM12:AM17" si="5">SUM(AI12:AL12)</f>
        <v>349.6531698823639</v>
      </c>
      <c r="AO12">
        <f t="shared" ref="AO12:AR17" si="6">Z12*AO$10</f>
        <v>4.2005568908060766</v>
      </c>
      <c r="AP12">
        <f t="shared" si="6"/>
        <v>7.3923852328887962</v>
      </c>
      <c r="AQ12">
        <f t="shared" si="6"/>
        <v>5.5773713744767921</v>
      </c>
      <c r="AR12">
        <f t="shared" si="6"/>
        <v>15.667731602780446</v>
      </c>
      <c r="AS12">
        <f t="shared" ref="AS12:AS17" si="7">SUM(AO12:AR12)</f>
        <v>32.838045100952115</v>
      </c>
      <c r="AU12">
        <f t="shared" ref="AU12:AX17" si="8">AI12*AU$10</f>
        <v>42.005568908060759</v>
      </c>
      <c r="AV12">
        <f t="shared" si="8"/>
        <v>73.923852328887961</v>
      </c>
      <c r="AW12">
        <f t="shared" si="8"/>
        <v>68.830508710224535</v>
      </c>
      <c r="AX12">
        <f t="shared" si="8"/>
        <v>169.61355772860259</v>
      </c>
      <c r="AY12">
        <f t="shared" ref="AY12:AY17" si="9">SUM(AU12:AX12)</f>
        <v>354.37348767577583</v>
      </c>
    </row>
    <row r="13" spans="1:51" ht="15" x14ac:dyDescent="0.25">
      <c r="A13" s="1"/>
      <c r="B13" s="2"/>
      <c r="C13" s="1" t="s">
        <v>9</v>
      </c>
      <c r="D13" s="285">
        <v>0</v>
      </c>
      <c r="E13" s="286">
        <v>16.468376460000002</v>
      </c>
      <c r="F13" s="286">
        <v>2.3555724800000002</v>
      </c>
      <c r="G13" s="286">
        <v>1.3500851700000001</v>
      </c>
      <c r="H13" s="287">
        <v>4.5430571000000004</v>
      </c>
      <c r="J13">
        <v>0</v>
      </c>
      <c r="K13">
        <v>-18.377520842300001</v>
      </c>
      <c r="L13">
        <v>-0.27297732333999969</v>
      </c>
      <c r="M13">
        <v>0.83979939983900009</v>
      </c>
      <c r="N13">
        <v>-4.5675684421400007</v>
      </c>
      <c r="O13" s="20"/>
      <c r="P13" s="20"/>
      <c r="Q13" s="147">
        <v>7.5370456208538411E-2</v>
      </c>
      <c r="R13" s="197">
        <v>0.17699999999999999</v>
      </c>
      <c r="S13" s="197">
        <v>1.77</v>
      </c>
      <c r="T13" s="197">
        <v>0.50078889239507718</v>
      </c>
      <c r="U13" s="197">
        <v>0.75268470790377973</v>
      </c>
      <c r="V13" s="20">
        <f t="shared" si="0"/>
        <v>2.1969754128433543</v>
      </c>
      <c r="W13" s="20">
        <f t="shared" si="0"/>
        <v>0.31424681323628445</v>
      </c>
      <c r="X13" s="20">
        <f t="shared" si="0"/>
        <v>0.10927577898881247</v>
      </c>
      <c r="Y13" s="20">
        <f t="shared" si="0"/>
        <v>0.60606974658893797</v>
      </c>
      <c r="Z13" s="20">
        <f t="shared" si="1"/>
        <v>1.433707038953022</v>
      </c>
      <c r="AA13" s="20">
        <f t="shared" si="1"/>
        <v>0.20820992045990652</v>
      </c>
      <c r="AB13" s="20">
        <f t="shared" si="1"/>
        <v>7.2804672594625572E-2</v>
      </c>
      <c r="AC13" s="20">
        <f t="shared" si="1"/>
        <v>0.38225236833914461</v>
      </c>
      <c r="AD13" s="20">
        <f t="shared" si="2"/>
        <v>2.096974000346699</v>
      </c>
      <c r="AE13" s="20">
        <f t="shared" si="3"/>
        <v>21.969754128433543</v>
      </c>
      <c r="AF13" s="20">
        <f t="shared" si="3"/>
        <v>3.1424681323628443</v>
      </c>
      <c r="AG13" s="20">
        <f t="shared" si="3"/>
        <v>1.3295732597170913</v>
      </c>
      <c r="AH13" s="20">
        <f t="shared" si="3"/>
        <v>6.0606974658893797</v>
      </c>
      <c r="AI13" s="20">
        <f t="shared" si="4"/>
        <v>14.337070389530219</v>
      </c>
      <c r="AJ13" s="20">
        <f t="shared" si="4"/>
        <v>2.0820992045990652</v>
      </c>
      <c r="AK13" s="20">
        <f t="shared" si="4"/>
        <v>0.88582434973245161</v>
      </c>
      <c r="AL13" s="20">
        <f t="shared" si="4"/>
        <v>3.822523683391446</v>
      </c>
      <c r="AM13" s="20">
        <f t="shared" si="5"/>
        <v>21.12751762725318</v>
      </c>
      <c r="AO13">
        <f t="shared" si="6"/>
        <v>1.4530620839788879</v>
      </c>
      <c r="AP13">
        <f t="shared" si="6"/>
        <v>0.21102075438611528</v>
      </c>
      <c r="AQ13">
        <f t="shared" si="6"/>
        <v>7.3787535674653015E-2</v>
      </c>
      <c r="AR13">
        <f t="shared" si="6"/>
        <v>0.38741277531172308</v>
      </c>
      <c r="AS13">
        <f t="shared" si="7"/>
        <v>2.1252831493513793</v>
      </c>
      <c r="AU13">
        <f t="shared" si="8"/>
        <v>14.530620839788877</v>
      </c>
      <c r="AV13">
        <f t="shared" si="8"/>
        <v>2.1102075438611525</v>
      </c>
      <c r="AW13">
        <f t="shared" si="8"/>
        <v>0.89778297845383981</v>
      </c>
      <c r="AX13">
        <f t="shared" si="8"/>
        <v>3.8741277531172309</v>
      </c>
      <c r="AY13">
        <f t="shared" si="9"/>
        <v>21.412739115221104</v>
      </c>
    </row>
    <row r="14" spans="1:51" ht="15" x14ac:dyDescent="0.25">
      <c r="A14" s="1"/>
      <c r="B14" s="2"/>
      <c r="C14" s="1" t="s">
        <v>10</v>
      </c>
      <c r="D14" s="285">
        <v>0</v>
      </c>
      <c r="E14" s="286">
        <v>25.549139530000001</v>
      </c>
      <c r="F14" s="286">
        <v>1.74590717</v>
      </c>
      <c r="G14" s="286">
        <v>7.3518532800000003</v>
      </c>
      <c r="H14" s="287">
        <v>31.52930001</v>
      </c>
      <c r="J14">
        <v>0</v>
      </c>
      <c r="K14">
        <v>-23.779906410477995</v>
      </c>
      <c r="L14">
        <v>0.10211229999999993</v>
      </c>
      <c r="M14">
        <v>3.1334984716888004</v>
      </c>
      <c r="N14">
        <v>3.4199885461904991</v>
      </c>
      <c r="O14" s="20"/>
      <c r="P14" s="20"/>
      <c r="Q14" s="147">
        <v>9.0555684312807638E-2</v>
      </c>
      <c r="R14" s="197">
        <v>0.17699999999999999</v>
      </c>
      <c r="S14" s="197">
        <v>1.77</v>
      </c>
      <c r="T14" s="197">
        <v>0.50078889239507718</v>
      </c>
      <c r="U14" s="197">
        <v>0.75268470790377973</v>
      </c>
      <c r="V14" s="20">
        <f t="shared" si="0"/>
        <v>4.095107070324322</v>
      </c>
      <c r="W14" s="20">
        <f t="shared" si="0"/>
        <v>0.26949226514113406</v>
      </c>
      <c r="X14" s="20">
        <f t="shared" si="0"/>
        <v>0.86083576859997923</v>
      </c>
      <c r="Y14" s="20">
        <f t="shared" si="0"/>
        <v>4.7070504276039378</v>
      </c>
      <c r="Z14" s="20">
        <f t="shared" si="1"/>
        <v>2.6723939638412726</v>
      </c>
      <c r="AA14" s="20">
        <f t="shared" si="1"/>
        <v>0.17855698363886136</v>
      </c>
      <c r="AB14" s="20">
        <f t="shared" si="1"/>
        <v>0.57352934813743794</v>
      </c>
      <c r="AC14" s="20">
        <f t="shared" si="1"/>
        <v>2.9687691622458376</v>
      </c>
      <c r="AD14" s="20">
        <f t="shared" si="2"/>
        <v>6.3932494578634103</v>
      </c>
      <c r="AE14" s="20">
        <f t="shared" si="3"/>
        <v>40.951070703243218</v>
      </c>
      <c r="AF14" s="20">
        <f t="shared" si="3"/>
        <v>2.7295187511360952</v>
      </c>
      <c r="AG14" s="20">
        <f t="shared" si="3"/>
        <v>9.6700008535115725</v>
      </c>
      <c r="AH14" s="20">
        <f t="shared" si="3"/>
        <v>48.229211550300434</v>
      </c>
      <c r="AI14" s="20">
        <f t="shared" si="4"/>
        <v>26.723939638412727</v>
      </c>
      <c r="AJ14" s="20">
        <f t="shared" si="4"/>
        <v>1.8084921091643695</v>
      </c>
      <c r="AK14" s="20">
        <f t="shared" si="4"/>
        <v>6.4426101798984821</v>
      </c>
      <c r="AL14" s="20">
        <f t="shared" si="4"/>
        <v>30.41849629022294</v>
      </c>
      <c r="AM14" s="20">
        <f t="shared" si="5"/>
        <v>65.39353821769852</v>
      </c>
      <c r="AO14">
        <f t="shared" si="6"/>
        <v>2.7084712823531301</v>
      </c>
      <c r="AP14">
        <f t="shared" si="6"/>
        <v>0.180967502917986</v>
      </c>
      <c r="AQ14">
        <f t="shared" si="6"/>
        <v>0.58127199433729337</v>
      </c>
      <c r="AR14">
        <f t="shared" si="6"/>
        <v>3.0088475459361566</v>
      </c>
      <c r="AS14">
        <f t="shared" si="7"/>
        <v>6.4795583255445663</v>
      </c>
      <c r="AU14">
        <f t="shared" si="8"/>
        <v>27.084712823531301</v>
      </c>
      <c r="AV14">
        <f t="shared" si="8"/>
        <v>1.8329067526380887</v>
      </c>
      <c r="AW14">
        <f t="shared" si="8"/>
        <v>6.5295854173271124</v>
      </c>
      <c r="AX14">
        <f t="shared" si="8"/>
        <v>30.829145990140951</v>
      </c>
      <c r="AY14">
        <f t="shared" si="9"/>
        <v>66.276350983637457</v>
      </c>
    </row>
    <row r="15" spans="1:51" ht="15" x14ac:dyDescent="0.25">
      <c r="A15" s="1"/>
      <c r="B15" s="2"/>
      <c r="C15" s="1" t="s">
        <v>11</v>
      </c>
      <c r="D15" s="285">
        <v>0</v>
      </c>
      <c r="E15" s="286">
        <v>5.49007735</v>
      </c>
      <c r="F15" s="286">
        <v>0</v>
      </c>
      <c r="G15" s="286">
        <v>0.88141493000000004</v>
      </c>
      <c r="H15" s="287">
        <v>4.6729596600000001</v>
      </c>
      <c r="J15">
        <v>0</v>
      </c>
      <c r="K15">
        <v>3.9938709975900002</v>
      </c>
      <c r="L15">
        <v>0</v>
      </c>
      <c r="M15">
        <v>0.51122100110900004</v>
      </c>
      <c r="N15">
        <v>1.5881206718100001</v>
      </c>
      <c r="O15" s="20"/>
      <c r="P15" s="20"/>
      <c r="Q15" s="147">
        <v>0.10574091241707684</v>
      </c>
      <c r="R15" s="197">
        <v>0.17699999999999999</v>
      </c>
      <c r="S15" s="197">
        <v>1.77</v>
      </c>
      <c r="T15" s="197">
        <v>0.50078889239507718</v>
      </c>
      <c r="U15" s="197">
        <v>0.75268470790377973</v>
      </c>
      <c r="V15" s="20">
        <f t="shared" si="0"/>
        <v>0.55492621751500137</v>
      </c>
      <c r="W15" s="20">
        <f t="shared" si="0"/>
        <v>0</v>
      </c>
      <c r="X15" s="20">
        <f t="shared" si="0"/>
        <v>0.10447284632637481</v>
      </c>
      <c r="Y15" s="20">
        <f t="shared" si="0"/>
        <v>0.6866715768364815</v>
      </c>
      <c r="Z15" s="20">
        <f t="shared" si="1"/>
        <v>0.36213496951299751</v>
      </c>
      <c r="AA15" s="20">
        <f t="shared" si="1"/>
        <v>0</v>
      </c>
      <c r="AB15" s="20">
        <f t="shared" si="1"/>
        <v>6.9604732560168289E-2</v>
      </c>
      <c r="AC15" s="20">
        <f t="shared" si="1"/>
        <v>0.43308849846772862</v>
      </c>
      <c r="AD15" s="20">
        <f t="shared" si="2"/>
        <v>0.86482820054089449</v>
      </c>
      <c r="AE15" s="20">
        <f t="shared" si="3"/>
        <v>7.1293107975737353</v>
      </c>
      <c r="AF15" s="20">
        <f t="shared" si="3"/>
        <v>0</v>
      </c>
      <c r="AG15" s="20">
        <f t="shared" si="3"/>
        <v>1.2469768681430669</v>
      </c>
      <c r="AH15" s="20">
        <f t="shared" si="3"/>
        <v>7.4950054355198663</v>
      </c>
      <c r="AI15" s="20">
        <f t="shared" si="4"/>
        <v>4.6524612945652635</v>
      </c>
      <c r="AJ15" s="20">
        <f t="shared" si="4"/>
        <v>0</v>
      </c>
      <c r="AK15" s="20">
        <f t="shared" si="4"/>
        <v>0.83079474205827541</v>
      </c>
      <c r="AL15" s="20">
        <f t="shared" si="4"/>
        <v>4.7271516101353646</v>
      </c>
      <c r="AM15" s="20">
        <f t="shared" si="5"/>
        <v>10.210407646758902</v>
      </c>
      <c r="AO15">
        <f t="shared" si="6"/>
        <v>0.36702379160142301</v>
      </c>
      <c r="AP15">
        <f t="shared" si="6"/>
        <v>0</v>
      </c>
      <c r="AQ15">
        <f t="shared" si="6"/>
        <v>7.0544396449730568E-2</v>
      </c>
      <c r="AR15">
        <f t="shared" si="6"/>
        <v>0.43893519319704299</v>
      </c>
      <c r="AS15">
        <f t="shared" si="7"/>
        <v>0.8765033812481966</v>
      </c>
      <c r="AU15">
        <f t="shared" si="8"/>
        <v>4.7152695220418952</v>
      </c>
      <c r="AV15">
        <f t="shared" si="8"/>
        <v>0</v>
      </c>
      <c r="AW15">
        <f t="shared" si="8"/>
        <v>0.84201047107606219</v>
      </c>
      <c r="AX15">
        <f t="shared" si="8"/>
        <v>4.790968156872192</v>
      </c>
      <c r="AY15">
        <f t="shared" si="9"/>
        <v>10.348248149990148</v>
      </c>
    </row>
    <row r="16" spans="1:51" ht="15" x14ac:dyDescent="0.25">
      <c r="A16" s="5"/>
      <c r="B16" s="6"/>
      <c r="C16" s="5" t="s">
        <v>12</v>
      </c>
      <c r="D16" s="285">
        <v>0</v>
      </c>
      <c r="E16" s="286">
        <v>0.53741125000000001</v>
      </c>
      <c r="F16" s="286">
        <v>1.67781421</v>
      </c>
      <c r="G16" s="286">
        <v>0.18883026999999999</v>
      </c>
      <c r="H16" s="287">
        <v>1.40021354</v>
      </c>
      <c r="J16">
        <v>0</v>
      </c>
      <c r="K16">
        <v>0.53741125000000001</v>
      </c>
      <c r="L16">
        <v>0.66395307587289998</v>
      </c>
      <c r="M16">
        <v>0.18883026999999999</v>
      </c>
      <c r="N16">
        <v>-7.2158026833202271E-3</v>
      </c>
      <c r="O16" s="20"/>
      <c r="P16" s="20"/>
      <c r="Q16" s="147">
        <v>0.10574091241707685</v>
      </c>
      <c r="R16" s="197">
        <v>0.17699999999999999</v>
      </c>
      <c r="S16" s="197">
        <v>1.77</v>
      </c>
      <c r="T16" s="197">
        <v>0.50078889239507718</v>
      </c>
      <c r="U16" s="197">
        <v>0.75268470790377973</v>
      </c>
      <c r="V16" s="20">
        <f t="shared" si="0"/>
        <v>3.6989475240062103E-2</v>
      </c>
      <c r="W16" s="20">
        <f t="shared" si="0"/>
        <v>0.23545490615975478</v>
      </c>
      <c r="X16" s="20">
        <f t="shared" si="0"/>
        <v>1.2996997358613614E-2</v>
      </c>
      <c r="Y16" s="20">
        <f t="shared" si="0"/>
        <v>0.26206594741807088</v>
      </c>
      <c r="Z16" s="20">
        <f t="shared" si="1"/>
        <v>2.413867297232096E-2</v>
      </c>
      <c r="AA16" s="20">
        <f t="shared" si="1"/>
        <v>0.15600491466736294</v>
      </c>
      <c r="AB16" s="20">
        <f t="shared" si="1"/>
        <v>8.6592120062026993E-3</v>
      </c>
      <c r="AC16" s="20">
        <f t="shared" si="1"/>
        <v>0.16528680011731794</v>
      </c>
      <c r="AD16" s="20">
        <f t="shared" si="2"/>
        <v>0.35408959976320453</v>
      </c>
      <c r="AE16" s="20">
        <f t="shared" si="3"/>
        <v>0.58250450012404498</v>
      </c>
      <c r="AF16" s="20">
        <f t="shared" si="3"/>
        <v>2.6172210766726485</v>
      </c>
      <c r="AG16" s="20">
        <f t="shared" si="3"/>
        <v>0.2046746919321813</v>
      </c>
      <c r="AH16" s="20">
        <f t="shared" si="3"/>
        <v>2.6206594741807092</v>
      </c>
      <c r="AI16" s="20">
        <f t="shared" si="4"/>
        <v>0.38013206573340963</v>
      </c>
      <c r="AJ16" s="20">
        <f t="shared" si="4"/>
        <v>1.734087250044013</v>
      </c>
      <c r="AK16" s="20">
        <f t="shared" si="4"/>
        <v>0.13636392320803212</v>
      </c>
      <c r="AL16" s="20">
        <f t="shared" si="4"/>
        <v>1.6528680011731798</v>
      </c>
      <c r="AM16" s="20">
        <f t="shared" si="5"/>
        <v>3.9034512401586348</v>
      </c>
      <c r="AO16">
        <f t="shared" si="6"/>
        <v>2.4464545057447294E-2</v>
      </c>
      <c r="AP16">
        <f t="shared" si="6"/>
        <v>0.15811098101537235</v>
      </c>
      <c r="AQ16">
        <f t="shared" si="6"/>
        <v>8.7761113682864357E-3</v>
      </c>
      <c r="AR16">
        <f t="shared" si="6"/>
        <v>0.16751817191890175</v>
      </c>
      <c r="AS16">
        <f t="shared" si="7"/>
        <v>0.35886980936000784</v>
      </c>
      <c r="AU16">
        <f t="shared" si="8"/>
        <v>0.3852638486208107</v>
      </c>
      <c r="AV16">
        <f t="shared" si="8"/>
        <v>1.7574974279196072</v>
      </c>
      <c r="AW16">
        <f t="shared" si="8"/>
        <v>0.13820483617134055</v>
      </c>
      <c r="AX16">
        <f t="shared" si="8"/>
        <v>1.6751817191890179</v>
      </c>
      <c r="AY16">
        <f t="shared" si="9"/>
        <v>3.9561478319007763</v>
      </c>
    </row>
    <row r="17" spans="1:51" ht="15" x14ac:dyDescent="0.25">
      <c r="A17" s="5"/>
      <c r="B17" s="6"/>
      <c r="C17" s="5" t="s">
        <v>13</v>
      </c>
      <c r="D17" s="285">
        <v>0</v>
      </c>
      <c r="E17" s="286">
        <v>0</v>
      </c>
      <c r="F17" s="286">
        <v>0</v>
      </c>
      <c r="G17" s="286">
        <v>0</v>
      </c>
      <c r="H17" s="287">
        <v>0</v>
      </c>
      <c r="J17">
        <v>0</v>
      </c>
      <c r="K17">
        <v>0</v>
      </c>
      <c r="L17">
        <v>0</v>
      </c>
      <c r="M17">
        <v>0</v>
      </c>
      <c r="N17">
        <v>0</v>
      </c>
      <c r="O17" s="20"/>
      <c r="P17" s="20"/>
      <c r="Q17" s="147"/>
      <c r="R17" s="197">
        <v>0.17699999999999999</v>
      </c>
      <c r="S17" s="197">
        <v>1.77</v>
      </c>
      <c r="T17" s="197">
        <v>0.50078889239507718</v>
      </c>
      <c r="U17" s="197">
        <v>0.75268470790377973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1"/>
        <v>0</v>
      </c>
      <c r="AA17" s="20">
        <f t="shared" si="1"/>
        <v>0</v>
      </c>
      <c r="AB17" s="20">
        <f t="shared" si="1"/>
        <v>0</v>
      </c>
      <c r="AC17" s="20">
        <f t="shared" si="1"/>
        <v>0</v>
      </c>
      <c r="AD17" s="20">
        <f t="shared" si="2"/>
        <v>0</v>
      </c>
      <c r="AE17" s="20">
        <f t="shared" si="3"/>
        <v>0</v>
      </c>
      <c r="AF17" s="20">
        <f t="shared" si="3"/>
        <v>0</v>
      </c>
      <c r="AG17" s="20">
        <f t="shared" si="3"/>
        <v>0</v>
      </c>
      <c r="AH17" s="20">
        <f t="shared" si="3"/>
        <v>0</v>
      </c>
      <c r="AI17" s="20">
        <f t="shared" si="4"/>
        <v>0</v>
      </c>
      <c r="AJ17" s="20">
        <f t="shared" si="4"/>
        <v>0</v>
      </c>
      <c r="AK17" s="20">
        <f t="shared" si="4"/>
        <v>0</v>
      </c>
      <c r="AL17" s="20">
        <f t="shared" si="4"/>
        <v>0</v>
      </c>
      <c r="AM17" s="20">
        <f t="shared" si="5"/>
        <v>0</v>
      </c>
      <c r="AO17">
        <f t="shared" si="6"/>
        <v>0</v>
      </c>
      <c r="AP17">
        <f t="shared" si="6"/>
        <v>0</v>
      </c>
      <c r="AQ17">
        <f t="shared" si="6"/>
        <v>0</v>
      </c>
      <c r="AR17">
        <f t="shared" si="6"/>
        <v>0</v>
      </c>
      <c r="AS17">
        <f t="shared" si="7"/>
        <v>0</v>
      </c>
      <c r="AU17">
        <f t="shared" si="8"/>
        <v>0</v>
      </c>
      <c r="AV17">
        <f t="shared" si="8"/>
        <v>0</v>
      </c>
      <c r="AW17">
        <f t="shared" si="8"/>
        <v>0</v>
      </c>
      <c r="AX17">
        <f t="shared" si="8"/>
        <v>0</v>
      </c>
      <c r="AY17">
        <f t="shared" si="9"/>
        <v>0</v>
      </c>
    </row>
    <row r="18" spans="1:51" ht="15" x14ac:dyDescent="0.25">
      <c r="A18" s="7"/>
      <c r="B18" s="8" t="s">
        <v>14</v>
      </c>
      <c r="C18" s="7"/>
      <c r="D18" s="288">
        <f>SUM(D12:D17)</f>
        <v>0</v>
      </c>
      <c r="E18" s="289">
        <f>SUM(E12:E17)</f>
        <v>107.66400907000001</v>
      </c>
      <c r="F18" s="289">
        <f>SUM(F12:F17)</f>
        <v>109.11897675</v>
      </c>
      <c r="G18" s="289">
        <f>SUM(G12:G17)</f>
        <v>141.60160551000001</v>
      </c>
      <c r="H18" s="290">
        <f>SUM(H12:H17)</f>
        <v>329.05486218999999</v>
      </c>
      <c r="J18">
        <v>0</v>
      </c>
      <c r="K18">
        <v>-46.705923816527999</v>
      </c>
      <c r="L18">
        <v>-28.622923372957072</v>
      </c>
      <c r="M18">
        <v>90.545870228297787</v>
      </c>
      <c r="N18">
        <v>90.3072095137357</v>
      </c>
      <c r="O18" s="20"/>
      <c r="P18" s="20"/>
      <c r="Q18" s="147"/>
      <c r="R18" s="197"/>
      <c r="S18" s="197"/>
      <c r="T18" s="197"/>
      <c r="U18" s="197"/>
    </row>
    <row r="19" spans="1:51" ht="15" x14ac:dyDescent="0.25">
      <c r="A19" s="5"/>
      <c r="B19" s="9" t="s">
        <v>15</v>
      </c>
      <c r="C19" s="5"/>
      <c r="D19" s="291"/>
      <c r="E19" s="292"/>
      <c r="F19" s="292"/>
      <c r="G19" s="292"/>
      <c r="H19" s="293">
        <f>SUM(D18:H18)</f>
        <v>687.43945352000003</v>
      </c>
      <c r="N19">
        <v>105.52423255254841</v>
      </c>
      <c r="O19" s="20"/>
      <c r="P19" s="20"/>
      <c r="Q19" s="147"/>
      <c r="R19" s="197"/>
      <c r="S19" s="197"/>
      <c r="T19" s="197"/>
      <c r="U19" s="197"/>
    </row>
    <row r="20" spans="1:51" ht="15.75" thickBot="1" x14ac:dyDescent="0.3">
      <c r="A20" s="1"/>
      <c r="B20" s="2"/>
      <c r="C20" s="1"/>
      <c r="D20" s="294"/>
      <c r="E20" s="295"/>
      <c r="F20" s="295"/>
      <c r="G20" s="295"/>
      <c r="H20" s="296"/>
      <c r="O20" s="20"/>
      <c r="P20" s="20"/>
      <c r="Q20" s="147"/>
      <c r="R20" s="197"/>
      <c r="S20" s="197"/>
      <c r="T20" s="197"/>
      <c r="U20" s="197"/>
    </row>
    <row r="21" spans="1:51" ht="15" x14ac:dyDescent="0.25">
      <c r="A21" s="1">
        <v>2</v>
      </c>
      <c r="B21" s="2" t="s">
        <v>16</v>
      </c>
      <c r="C21" s="1" t="s">
        <v>8</v>
      </c>
      <c r="D21" s="285">
        <v>4.0000000000000001E-8</v>
      </c>
      <c r="E21" s="286">
        <v>22.754948899999999</v>
      </c>
      <c r="F21" s="286">
        <v>36.947473600000002</v>
      </c>
      <c r="G21" s="286">
        <v>1.79408514</v>
      </c>
      <c r="H21" s="287">
        <v>109.38445659</v>
      </c>
      <c r="J21">
        <v>4.0000000000000001E-8</v>
      </c>
      <c r="K21">
        <v>7.4074821020299986</v>
      </c>
      <c r="L21">
        <v>14.755486059700001</v>
      </c>
      <c r="M21">
        <v>-27.071073666</v>
      </c>
      <c r="N21">
        <v>32.206011137549979</v>
      </c>
      <c r="O21" s="20"/>
      <c r="P21" s="20"/>
      <c r="Q21" s="147">
        <v>0.14858678304066192</v>
      </c>
      <c r="R21" s="197">
        <v>0.3</v>
      </c>
      <c r="S21" s="197">
        <v>2.29</v>
      </c>
      <c r="T21" s="197">
        <v>0.50078889239507718</v>
      </c>
      <c r="U21" s="197">
        <v>0.75268470790377973</v>
      </c>
      <c r="V21" s="20">
        <f t="shared" ref="V21:Y26" si="10">IF(K21&gt;0,((E21-K21)*$Q21*$R21*10)+(K21*$O$12*$Q21*$R21*10),(E21*$Q21*$R21*10))</f>
        <v>8.0555953660358206</v>
      </c>
      <c r="W21" s="20">
        <f t="shared" si="10"/>
        <v>12.311164320359975</v>
      </c>
      <c r="X21" s="20">
        <f t="shared" si="10"/>
        <v>0.79973201836096675</v>
      </c>
      <c r="Y21" s="20">
        <f t="shared" si="10"/>
        <v>39.682599008922281</v>
      </c>
      <c r="Z21" s="20">
        <f t="shared" ref="Z21:AC26" si="11">V21*(EXP(1.01-0.34*LN(Z$8))*(1-$T21)+(1*$T21))</f>
        <v>5.2569381121546392</v>
      </c>
      <c r="AA21" s="20">
        <f t="shared" si="11"/>
        <v>8.1569850065070373</v>
      </c>
      <c r="AB21" s="20">
        <f t="shared" si="11"/>
        <v>0.53281915076688868</v>
      </c>
      <c r="AC21" s="20">
        <f t="shared" si="11"/>
        <v>25.028088827045892</v>
      </c>
      <c r="AD21" s="20">
        <f t="shared" ref="AD21:AD26" si="12">SUM(Z21:AC21)</f>
        <v>38.97483109647446</v>
      </c>
      <c r="AE21" s="20">
        <f t="shared" ref="AE21:AH26" si="13">IF(K21&gt;0,((E21-K21)*$Q21*$S21*10)+(K21*$P$12*$Q21*$S21)*10,(E21*$Q21*$S21*10))</f>
        <v>66.818825716773205</v>
      </c>
      <c r="AF21" s="20">
        <f t="shared" si="13"/>
        <v>104.58800390693546</v>
      </c>
      <c r="AG21" s="20">
        <f t="shared" si="13"/>
        <v>6.1046210734887127</v>
      </c>
      <c r="AH21" s="20">
        <f t="shared" si="13"/>
        <v>326.07446009687123</v>
      </c>
      <c r="AI21" s="20">
        <f t="shared" ref="AI21:AL26" si="14">AE21*(EXP(1.01-0.34*LN(AI$8))*(1-$T21)+(1*$T21))</f>
        <v>43.604776004629528</v>
      </c>
      <c r="AJ21" s="20">
        <f t="shared" si="14"/>
        <v>69.296677189052971</v>
      </c>
      <c r="AK21" s="20">
        <f t="shared" si="14"/>
        <v>4.0671861841872499</v>
      </c>
      <c r="AL21" s="20">
        <f t="shared" si="14"/>
        <v>205.65741043575778</v>
      </c>
      <c r="AM21" s="20">
        <f t="shared" ref="AM21:AM26" si="15">SUM(AI21:AL21)</f>
        <v>322.62604981362756</v>
      </c>
      <c r="AO21">
        <f t="shared" ref="AO21:AR26" si="16">Z21*AO$10</f>
        <v>5.3279067766687271</v>
      </c>
      <c r="AP21">
        <f t="shared" si="16"/>
        <v>8.2671043040948824</v>
      </c>
      <c r="AQ21">
        <f t="shared" si="16"/>
        <v>0.5400122093022417</v>
      </c>
      <c r="AR21">
        <f t="shared" si="16"/>
        <v>25.365968026211014</v>
      </c>
      <c r="AS21">
        <f t="shared" ref="AS21:AS26" si="17">SUM(AO21:AR21)</f>
        <v>39.500991316276867</v>
      </c>
      <c r="AU21">
        <f t="shared" ref="AU21:AX26" si="18">AI21*AU$10</f>
        <v>44.193440480692033</v>
      </c>
      <c r="AV21">
        <f t="shared" si="18"/>
        <v>70.232182331105193</v>
      </c>
      <c r="AW21">
        <f t="shared" si="18"/>
        <v>4.1220931976737782</v>
      </c>
      <c r="AX21">
        <f t="shared" si="18"/>
        <v>208.43378547664054</v>
      </c>
      <c r="AY21">
        <f t="shared" ref="AY21:AY26" si="19">SUM(AU21:AX21)</f>
        <v>326.98150148611154</v>
      </c>
    </row>
    <row r="22" spans="1:51" ht="15" x14ac:dyDescent="0.25">
      <c r="A22" s="1"/>
      <c r="B22" s="2"/>
      <c r="C22" s="1" t="s">
        <v>9</v>
      </c>
      <c r="D22" s="285">
        <v>0</v>
      </c>
      <c r="E22" s="286">
        <v>23.523934709999999</v>
      </c>
      <c r="F22" s="286">
        <v>0.88824144999999999</v>
      </c>
      <c r="G22" s="286">
        <v>0</v>
      </c>
      <c r="H22" s="287">
        <v>5.99048392</v>
      </c>
      <c r="J22">
        <v>0</v>
      </c>
      <c r="K22">
        <v>22.265284125969998</v>
      </c>
      <c r="L22">
        <v>0.88824144999999999</v>
      </c>
      <c r="M22">
        <v>0</v>
      </c>
      <c r="N22">
        <v>5.99048392</v>
      </c>
      <c r="O22" s="20"/>
      <c r="P22" s="20"/>
      <c r="Q22" s="147">
        <v>0.16217356608132386</v>
      </c>
      <c r="R22" s="197">
        <v>0.3</v>
      </c>
      <c r="S22" s="197">
        <v>2.29</v>
      </c>
      <c r="T22" s="197">
        <v>0.50078889239507718</v>
      </c>
      <c r="U22" s="197">
        <v>0.75268470790377973</v>
      </c>
      <c r="V22" s="20">
        <f t="shared" si="10"/>
        <v>4.5960415265508177</v>
      </c>
      <c r="W22" s="20">
        <f t="shared" si="10"/>
        <v>0.15892325583681238</v>
      </c>
      <c r="X22" s="20">
        <f t="shared" si="10"/>
        <v>0</v>
      </c>
      <c r="Y22" s="20">
        <f t="shared" si="10"/>
        <v>1.0718112835248466</v>
      </c>
      <c r="Z22" s="20">
        <f t="shared" si="11"/>
        <v>2.9992948712194467</v>
      </c>
      <c r="AA22" s="20">
        <f t="shared" si="11"/>
        <v>0.10529748294418478</v>
      </c>
      <c r="AB22" s="20">
        <f t="shared" si="11"/>
        <v>0</v>
      </c>
      <c r="AC22" s="20">
        <f t="shared" si="11"/>
        <v>0.67599876721427643</v>
      </c>
      <c r="AD22" s="20">
        <f t="shared" si="12"/>
        <v>3.780591121377908</v>
      </c>
      <c r="AE22" s="20">
        <f t="shared" si="13"/>
        <v>52.561606132492308</v>
      </c>
      <c r="AF22" s="20">
        <f t="shared" si="13"/>
        <v>1.9103933431115792</v>
      </c>
      <c r="AG22" s="20">
        <f t="shared" si="13"/>
        <v>0</v>
      </c>
      <c r="AH22" s="20">
        <f t="shared" si="13"/>
        <v>12.884087544873029</v>
      </c>
      <c r="AI22" s="20">
        <f t="shared" si="14"/>
        <v>34.300768342828796</v>
      </c>
      <c r="AJ22" s="20">
        <f t="shared" si="14"/>
        <v>1.2657657270093494</v>
      </c>
      <c r="AK22" s="20">
        <f t="shared" si="14"/>
        <v>0</v>
      </c>
      <c r="AL22" s="20">
        <f t="shared" si="14"/>
        <v>8.1260828570229133</v>
      </c>
      <c r="AM22" s="20">
        <f t="shared" si="15"/>
        <v>43.692616926861064</v>
      </c>
      <c r="AO22">
        <f t="shared" si="16"/>
        <v>3.0397853519809095</v>
      </c>
      <c r="AP22">
        <f t="shared" si="16"/>
        <v>0.10671899896393129</v>
      </c>
      <c r="AQ22">
        <f t="shared" si="16"/>
        <v>0</v>
      </c>
      <c r="AR22">
        <f t="shared" si="16"/>
        <v>0.68512475057166922</v>
      </c>
      <c r="AS22">
        <f t="shared" si="17"/>
        <v>3.8316291015165103</v>
      </c>
      <c r="AU22">
        <f t="shared" si="18"/>
        <v>34.763828715456988</v>
      </c>
      <c r="AV22">
        <f t="shared" si="18"/>
        <v>1.2828535643239758</v>
      </c>
      <c r="AW22">
        <f t="shared" si="18"/>
        <v>0</v>
      </c>
      <c r="AX22">
        <f t="shared" si="18"/>
        <v>8.2357849755927237</v>
      </c>
      <c r="AY22">
        <f t="shared" si="19"/>
        <v>44.282467255373689</v>
      </c>
    </row>
    <row r="23" spans="1:51" ht="15" x14ac:dyDescent="0.25">
      <c r="A23" s="1"/>
      <c r="B23" s="2"/>
      <c r="C23" s="1" t="s">
        <v>10</v>
      </c>
      <c r="D23" s="285">
        <v>0</v>
      </c>
      <c r="E23" s="286">
        <v>21.99833061</v>
      </c>
      <c r="F23" s="286">
        <v>0</v>
      </c>
      <c r="G23" s="286">
        <v>0.20472351999999999</v>
      </c>
      <c r="H23" s="287">
        <v>1.57032422</v>
      </c>
      <c r="J23">
        <v>0</v>
      </c>
      <c r="K23">
        <v>19.940238007249999</v>
      </c>
      <c r="L23">
        <v>0</v>
      </c>
      <c r="M23">
        <v>-1.02222272788</v>
      </c>
      <c r="N23">
        <v>1.1131592694234009</v>
      </c>
      <c r="O23" s="20"/>
      <c r="P23" s="20"/>
      <c r="Q23" s="147">
        <v>0.17576034912198579</v>
      </c>
      <c r="R23" s="197">
        <v>0.3</v>
      </c>
      <c r="S23" s="197">
        <v>2.29</v>
      </c>
      <c r="T23" s="197">
        <v>0.50078889239507718</v>
      </c>
      <c r="U23" s="197">
        <v>0.75268470790377973</v>
      </c>
      <c r="V23" s="20">
        <f t="shared" si="10"/>
        <v>4.9517785250976205</v>
      </c>
      <c r="W23" s="20">
        <f t="shared" si="10"/>
        <v>0</v>
      </c>
      <c r="X23" s="20">
        <f t="shared" si="10"/>
        <v>0.10794683204604552</v>
      </c>
      <c r="Y23" s="20">
        <f t="shared" si="10"/>
        <v>0.4569056624902581</v>
      </c>
      <c r="Z23" s="20">
        <f t="shared" si="11"/>
        <v>3.2314425028456446</v>
      </c>
      <c r="AA23" s="20">
        <f t="shared" si="11"/>
        <v>0</v>
      </c>
      <c r="AB23" s="20">
        <f t="shared" si="11"/>
        <v>7.191926552675483E-2</v>
      </c>
      <c r="AC23" s="20">
        <f t="shared" si="11"/>
        <v>0.28817355193431926</v>
      </c>
      <c r="AD23" s="20">
        <f t="shared" si="12"/>
        <v>3.5915353203067184</v>
      </c>
      <c r="AE23" s="20">
        <f t="shared" si="13"/>
        <v>54.763301125303926</v>
      </c>
      <c r="AF23" s="20">
        <f t="shared" si="13"/>
        <v>0</v>
      </c>
      <c r="AG23" s="20">
        <f t="shared" si="13"/>
        <v>0.82399415128481412</v>
      </c>
      <c r="AH23" s="20">
        <f t="shared" si="13"/>
        <v>4.4347651563655672</v>
      </c>
      <c r="AI23" s="20">
        <f t="shared" si="14"/>
        <v>35.73755529564059</v>
      </c>
      <c r="AJ23" s="20">
        <f t="shared" si="14"/>
        <v>0</v>
      </c>
      <c r="AK23" s="20">
        <f t="shared" si="14"/>
        <v>0.54898372685422847</v>
      </c>
      <c r="AL23" s="20">
        <f t="shared" si="14"/>
        <v>2.7970369641275141</v>
      </c>
      <c r="AM23" s="20">
        <f t="shared" si="15"/>
        <v>39.083575986622336</v>
      </c>
      <c r="AO23">
        <f t="shared" si="16"/>
        <v>3.275066976634061</v>
      </c>
      <c r="AP23">
        <f t="shared" si="16"/>
        <v>0</v>
      </c>
      <c r="AQ23">
        <f t="shared" si="16"/>
        <v>7.2890175611366029E-2</v>
      </c>
      <c r="AR23">
        <f t="shared" si="16"/>
        <v>0.29206389488543261</v>
      </c>
      <c r="AS23">
        <f t="shared" si="17"/>
        <v>3.6400210471308596</v>
      </c>
      <c r="AU23">
        <f t="shared" si="18"/>
        <v>36.220012292131742</v>
      </c>
      <c r="AV23">
        <f t="shared" si="18"/>
        <v>0</v>
      </c>
      <c r="AW23">
        <f t="shared" si="18"/>
        <v>0.5563950071667606</v>
      </c>
      <c r="AX23">
        <f t="shared" si="18"/>
        <v>2.8347969631432357</v>
      </c>
      <c r="AY23">
        <f t="shared" si="19"/>
        <v>39.611204262441738</v>
      </c>
    </row>
    <row r="24" spans="1:51" ht="15" x14ac:dyDescent="0.25">
      <c r="A24" s="1"/>
      <c r="B24" s="2"/>
      <c r="C24" s="1" t="s">
        <v>11</v>
      </c>
      <c r="D24" s="285">
        <v>0</v>
      </c>
      <c r="E24" s="286">
        <v>8.9315889999999995E-2</v>
      </c>
      <c r="F24" s="286">
        <v>0</v>
      </c>
      <c r="G24" s="286">
        <v>0</v>
      </c>
      <c r="H24" s="287">
        <v>0.1163059</v>
      </c>
      <c r="J24">
        <v>0</v>
      </c>
      <c r="K24">
        <v>-0.372491127423</v>
      </c>
      <c r="L24">
        <v>0</v>
      </c>
      <c r="M24">
        <v>0</v>
      </c>
      <c r="N24">
        <v>2.6938042983200003E-2</v>
      </c>
      <c r="O24" s="20"/>
      <c r="P24" s="20"/>
      <c r="Q24" s="147">
        <v>0.18934713216264773</v>
      </c>
      <c r="R24" s="197">
        <v>0.3</v>
      </c>
      <c r="S24" s="197">
        <v>2.29</v>
      </c>
      <c r="T24" s="197">
        <v>0.50078889239507718</v>
      </c>
      <c r="U24" s="197">
        <v>0.75268470790377973</v>
      </c>
      <c r="V24" s="20">
        <f t="shared" si="10"/>
        <v>5.0735122884163514E-2</v>
      </c>
      <c r="W24" s="20">
        <f t="shared" si="10"/>
        <v>0</v>
      </c>
      <c r="X24" s="20">
        <f t="shared" si="10"/>
        <v>0</v>
      </c>
      <c r="Y24" s="20">
        <f t="shared" si="10"/>
        <v>5.6391955983746515E-2</v>
      </c>
      <c r="Z24" s="20">
        <f t="shared" si="11"/>
        <v>3.3108837894108074E-2</v>
      </c>
      <c r="AA24" s="20">
        <f t="shared" si="11"/>
        <v>0</v>
      </c>
      <c r="AB24" s="20">
        <f t="shared" si="11"/>
        <v>0</v>
      </c>
      <c r="AC24" s="20">
        <f t="shared" si="11"/>
        <v>3.5566795490757371E-2</v>
      </c>
      <c r="AD24" s="20">
        <f t="shared" si="12"/>
        <v>6.8675633384865445E-2</v>
      </c>
      <c r="AE24" s="20">
        <f t="shared" si="13"/>
        <v>0.38727810468244817</v>
      </c>
      <c r="AF24" s="20">
        <f t="shared" si="13"/>
        <v>0</v>
      </c>
      <c r="AG24" s="20">
        <f t="shared" si="13"/>
        <v>0</v>
      </c>
      <c r="AH24" s="20">
        <f t="shared" si="13"/>
        <v>0.45514855552167538</v>
      </c>
      <c r="AI24" s="20">
        <f t="shared" si="14"/>
        <v>0.25273079592502495</v>
      </c>
      <c r="AJ24" s="20">
        <f t="shared" si="14"/>
        <v>0</v>
      </c>
      <c r="AK24" s="20">
        <f t="shared" si="14"/>
        <v>0</v>
      </c>
      <c r="AL24" s="20">
        <f t="shared" si="14"/>
        <v>0.28706533245306948</v>
      </c>
      <c r="AM24" s="20">
        <f t="shared" si="15"/>
        <v>0.53979612837809443</v>
      </c>
      <c r="AO24">
        <f t="shared" si="16"/>
        <v>3.3555807205678537E-2</v>
      </c>
      <c r="AP24">
        <f t="shared" si="16"/>
        <v>0</v>
      </c>
      <c r="AQ24">
        <f t="shared" si="16"/>
        <v>0</v>
      </c>
      <c r="AR24">
        <f t="shared" si="16"/>
        <v>3.6046947229882595E-2</v>
      </c>
      <c r="AS24">
        <f t="shared" si="17"/>
        <v>6.9602754435561132E-2</v>
      </c>
      <c r="AU24">
        <f t="shared" si="18"/>
        <v>0.25614266167001282</v>
      </c>
      <c r="AV24">
        <f t="shared" si="18"/>
        <v>0</v>
      </c>
      <c r="AW24">
        <f t="shared" si="18"/>
        <v>0</v>
      </c>
      <c r="AX24">
        <f t="shared" si="18"/>
        <v>0.29094071444118591</v>
      </c>
      <c r="AY24">
        <f t="shared" si="19"/>
        <v>0.54708337611119873</v>
      </c>
    </row>
    <row r="25" spans="1:51" ht="15" x14ac:dyDescent="0.25">
      <c r="A25" s="1"/>
      <c r="B25" s="2"/>
      <c r="C25" s="1" t="s">
        <v>12</v>
      </c>
      <c r="D25" s="285">
        <v>0</v>
      </c>
      <c r="E25" s="286">
        <v>0.35930684000000002</v>
      </c>
      <c r="F25" s="286">
        <v>0.23843792</v>
      </c>
      <c r="G25" s="286">
        <v>0</v>
      </c>
      <c r="H25" s="287">
        <v>3.2241675500000002</v>
      </c>
      <c r="J25">
        <v>0</v>
      </c>
      <c r="K25">
        <v>0.15206683195700002</v>
      </c>
      <c r="L25">
        <v>0.23843792</v>
      </c>
      <c r="M25">
        <v>0</v>
      </c>
      <c r="N25">
        <v>1.8653058131290001</v>
      </c>
      <c r="O25" s="20"/>
      <c r="P25" s="20"/>
      <c r="Q25" s="147">
        <v>0.18934713216264767</v>
      </c>
      <c r="R25" s="197">
        <v>0.3</v>
      </c>
      <c r="S25" s="197">
        <v>2.29</v>
      </c>
      <c r="T25" s="197">
        <v>0.50078889239507718</v>
      </c>
      <c r="U25" s="197">
        <v>0.75268470790377973</v>
      </c>
      <c r="V25" s="20">
        <f t="shared" si="10"/>
        <v>0.14948741923299685</v>
      </c>
      <c r="W25" s="20">
        <f t="shared" si="10"/>
        <v>4.9809296486327925E-2</v>
      </c>
      <c r="X25" s="20">
        <f t="shared" si="10"/>
        <v>0</v>
      </c>
      <c r="Y25" s="20">
        <f t="shared" si="10"/>
        <v>1.1615490911311706</v>
      </c>
      <c r="Z25" s="20">
        <f t="shared" si="11"/>
        <v>9.7552828282175305E-2</v>
      </c>
      <c r="AA25" s="20">
        <f t="shared" si="11"/>
        <v>3.3002051962844781E-2</v>
      </c>
      <c r="AB25" s="20">
        <f t="shared" si="11"/>
        <v>0</v>
      </c>
      <c r="AC25" s="20">
        <f t="shared" si="11"/>
        <v>0.73259702126034953</v>
      </c>
      <c r="AD25" s="20">
        <f t="shared" si="12"/>
        <v>0.86315190150536969</v>
      </c>
      <c r="AE25" s="20">
        <f t="shared" si="13"/>
        <v>1.2804635615827822</v>
      </c>
      <c r="AF25" s="20">
        <f t="shared" si="13"/>
        <v>0.59875030832655762</v>
      </c>
      <c r="AG25" s="20">
        <f t="shared" si="13"/>
        <v>0</v>
      </c>
      <c r="AH25" s="20">
        <f t="shared" si="13"/>
        <v>10.576130159893243</v>
      </c>
      <c r="AI25" s="20">
        <f t="shared" si="14"/>
        <v>0.83560772261359184</v>
      </c>
      <c r="AJ25" s="20">
        <f t="shared" si="14"/>
        <v>0.39671286651451254</v>
      </c>
      <c r="AK25" s="20">
        <f t="shared" si="14"/>
        <v>0</v>
      </c>
      <c r="AL25" s="20">
        <f t="shared" si="14"/>
        <v>6.6704382197519783</v>
      </c>
      <c r="AM25" s="20">
        <f t="shared" si="15"/>
        <v>7.9027588088800824</v>
      </c>
      <c r="AO25">
        <f t="shared" si="16"/>
        <v>9.8869791463984683E-2</v>
      </c>
      <c r="AP25">
        <f t="shared" si="16"/>
        <v>3.344757966434319E-2</v>
      </c>
      <c r="AQ25">
        <f t="shared" si="16"/>
        <v>0</v>
      </c>
      <c r="AR25">
        <f t="shared" si="16"/>
        <v>0.74248708104736427</v>
      </c>
      <c r="AS25">
        <f t="shared" si="17"/>
        <v>0.87480445217569214</v>
      </c>
      <c r="AU25">
        <f t="shared" si="18"/>
        <v>0.84688842686887533</v>
      </c>
      <c r="AV25">
        <f t="shared" si="18"/>
        <v>0.4020684902124585</v>
      </c>
      <c r="AW25">
        <f t="shared" si="18"/>
        <v>0</v>
      </c>
      <c r="AX25">
        <f t="shared" si="18"/>
        <v>6.7604891357186307</v>
      </c>
      <c r="AY25">
        <f t="shared" si="19"/>
        <v>8.009446052799964</v>
      </c>
    </row>
    <row r="26" spans="1:51" ht="15" x14ac:dyDescent="0.25">
      <c r="A26" s="1"/>
      <c r="B26" s="2"/>
      <c r="C26" s="1" t="s">
        <v>13</v>
      </c>
      <c r="D26" s="285">
        <v>0</v>
      </c>
      <c r="E26" s="286">
        <v>0</v>
      </c>
      <c r="F26" s="286">
        <v>0</v>
      </c>
      <c r="G26" s="286">
        <v>0</v>
      </c>
      <c r="H26" s="287">
        <v>0</v>
      </c>
      <c r="J26">
        <v>0</v>
      </c>
      <c r="K26">
        <v>0</v>
      </c>
      <c r="L26">
        <v>0</v>
      </c>
      <c r="M26">
        <v>0</v>
      </c>
      <c r="N26">
        <v>0</v>
      </c>
      <c r="O26" s="20"/>
      <c r="P26" s="20"/>
      <c r="Q26" s="147"/>
      <c r="R26" s="197">
        <v>0.3</v>
      </c>
      <c r="S26" s="197">
        <v>2.29</v>
      </c>
      <c r="T26" s="197">
        <v>0.50078889239507718</v>
      </c>
      <c r="U26" s="197">
        <v>0.75268470790377973</v>
      </c>
      <c r="V26" s="20">
        <f t="shared" si="10"/>
        <v>0</v>
      </c>
      <c r="W26" s="20">
        <f t="shared" si="10"/>
        <v>0</v>
      </c>
      <c r="X26" s="20">
        <f t="shared" si="10"/>
        <v>0</v>
      </c>
      <c r="Y26" s="20">
        <f t="shared" si="10"/>
        <v>0</v>
      </c>
      <c r="Z26" s="20">
        <f t="shared" si="11"/>
        <v>0</v>
      </c>
      <c r="AA26" s="20">
        <f t="shared" si="11"/>
        <v>0</v>
      </c>
      <c r="AB26" s="20">
        <f t="shared" si="11"/>
        <v>0</v>
      </c>
      <c r="AC26" s="20">
        <f t="shared" si="11"/>
        <v>0</v>
      </c>
      <c r="AD26" s="20">
        <f t="shared" si="12"/>
        <v>0</v>
      </c>
      <c r="AE26" s="20">
        <f t="shared" si="13"/>
        <v>0</v>
      </c>
      <c r="AF26" s="20">
        <f t="shared" si="13"/>
        <v>0</v>
      </c>
      <c r="AG26" s="20">
        <f t="shared" si="13"/>
        <v>0</v>
      </c>
      <c r="AH26" s="20">
        <f t="shared" si="13"/>
        <v>0</v>
      </c>
      <c r="AI26" s="20">
        <f t="shared" si="14"/>
        <v>0</v>
      </c>
      <c r="AJ26" s="20">
        <f t="shared" si="14"/>
        <v>0</v>
      </c>
      <c r="AK26" s="20">
        <f t="shared" si="14"/>
        <v>0</v>
      </c>
      <c r="AL26" s="20">
        <f t="shared" si="14"/>
        <v>0</v>
      </c>
      <c r="AM26" s="20">
        <f t="shared" si="15"/>
        <v>0</v>
      </c>
      <c r="AO26">
        <f t="shared" si="16"/>
        <v>0</v>
      </c>
      <c r="AP26">
        <f t="shared" si="16"/>
        <v>0</v>
      </c>
      <c r="AQ26">
        <f t="shared" si="16"/>
        <v>0</v>
      </c>
      <c r="AR26">
        <f t="shared" si="16"/>
        <v>0</v>
      </c>
      <c r="AS26">
        <f t="shared" si="17"/>
        <v>0</v>
      </c>
      <c r="AU26">
        <f t="shared" si="18"/>
        <v>0</v>
      </c>
      <c r="AV26">
        <f t="shared" si="18"/>
        <v>0</v>
      </c>
      <c r="AW26">
        <f t="shared" si="18"/>
        <v>0</v>
      </c>
      <c r="AX26">
        <f t="shared" si="18"/>
        <v>0</v>
      </c>
      <c r="AY26">
        <f t="shared" si="19"/>
        <v>0</v>
      </c>
    </row>
    <row r="27" spans="1:51" ht="15" x14ac:dyDescent="0.25">
      <c r="A27" s="7"/>
      <c r="B27" s="8" t="s">
        <v>14</v>
      </c>
      <c r="C27" s="7"/>
      <c r="D27" s="288">
        <f>SUM(D21:D26)</f>
        <v>4.0000000000000001E-8</v>
      </c>
      <c r="E27" s="289">
        <f>SUM(E21:E26)</f>
        <v>68.725836949999987</v>
      </c>
      <c r="F27" s="289">
        <f>SUM(F21:F26)</f>
        <v>38.074152970000007</v>
      </c>
      <c r="G27" s="289">
        <f>SUM(G21:G26)</f>
        <v>1.9988086599999999</v>
      </c>
      <c r="H27" s="290">
        <f>SUM(H21:H26)</f>
        <v>120.28573818000001</v>
      </c>
      <c r="J27">
        <v>4.0000000000000001E-8</v>
      </c>
      <c r="K27">
        <v>49.392579939784</v>
      </c>
      <c r="L27">
        <v>15.882165429700002</v>
      </c>
      <c r="M27">
        <v>-28.093296393879999</v>
      </c>
      <c r="N27">
        <v>41.201898183085575</v>
      </c>
      <c r="O27" s="20"/>
      <c r="P27" s="20"/>
      <c r="Q27" s="147"/>
      <c r="R27" s="197"/>
      <c r="S27" s="197"/>
      <c r="T27" s="197"/>
      <c r="U27" s="197"/>
    </row>
    <row r="28" spans="1:51" ht="15" x14ac:dyDescent="0.25">
      <c r="A28" s="5"/>
      <c r="B28" s="9" t="s">
        <v>15</v>
      </c>
      <c r="C28" s="5"/>
      <c r="D28" s="291"/>
      <c r="E28" s="292"/>
      <c r="F28" s="292"/>
      <c r="G28" s="292"/>
      <c r="H28" s="293">
        <f>SUM(D27:H27)</f>
        <v>229.08453680000002</v>
      </c>
      <c r="N28">
        <v>78.383347198689592</v>
      </c>
      <c r="O28" s="20"/>
      <c r="P28" s="20"/>
      <c r="Q28" s="147"/>
      <c r="R28" s="197"/>
      <c r="S28" s="197"/>
      <c r="T28" s="197"/>
      <c r="U28" s="197"/>
    </row>
    <row r="29" spans="1:51" ht="15.75" thickBot="1" x14ac:dyDescent="0.3">
      <c r="A29" s="1"/>
      <c r="B29" s="2"/>
      <c r="C29" s="1"/>
      <c r="D29" s="297"/>
      <c r="E29" s="298"/>
      <c r="F29" s="298"/>
      <c r="G29" s="298"/>
      <c r="H29" s="299"/>
      <c r="O29" s="20"/>
      <c r="P29" s="20"/>
      <c r="Q29" s="147"/>
      <c r="R29" s="197"/>
      <c r="S29" s="197"/>
      <c r="T29" s="197"/>
      <c r="U29" s="197"/>
    </row>
    <row r="30" spans="1:51" ht="15" x14ac:dyDescent="0.25">
      <c r="A30" s="1">
        <v>3</v>
      </c>
      <c r="B30" s="2" t="s">
        <v>17</v>
      </c>
      <c r="C30" s="1" t="s">
        <v>8</v>
      </c>
      <c r="D30" s="282">
        <v>0</v>
      </c>
      <c r="E30" s="283">
        <v>0</v>
      </c>
      <c r="F30" s="283">
        <v>0</v>
      </c>
      <c r="G30" s="283">
        <v>0</v>
      </c>
      <c r="H30" s="284">
        <v>6.1000772200000002</v>
      </c>
      <c r="J30">
        <v>0</v>
      </c>
      <c r="K30">
        <v>0</v>
      </c>
      <c r="L30">
        <v>0</v>
      </c>
      <c r="M30">
        <v>0</v>
      </c>
      <c r="N30">
        <v>1.4420044916599997</v>
      </c>
      <c r="O30" s="20"/>
      <c r="P30" s="20"/>
      <c r="Q30" s="147">
        <v>0.23698833797705465</v>
      </c>
      <c r="R30" s="197">
        <v>0.49</v>
      </c>
      <c r="S30" s="197">
        <v>2.42</v>
      </c>
      <c r="T30" s="197">
        <v>0.50078889239507718</v>
      </c>
      <c r="U30" s="197">
        <v>0.75268470790377973</v>
      </c>
      <c r="V30" s="20">
        <f t="shared" ref="V30:Y35" si="20">IF(K30&gt;0,((E30-K30)*$Q30*$R30*10)+(K30*$O$12*$Q30*$R30*10),(E30*$Q30*$R30*10))</f>
        <v>0</v>
      </c>
      <c r="W30" s="20">
        <f t="shared" si="20"/>
        <v>0</v>
      </c>
      <c r="X30" s="20">
        <f t="shared" si="20"/>
        <v>0</v>
      </c>
      <c r="Y30" s="20">
        <f t="shared" si="20"/>
        <v>6.0249608827854209</v>
      </c>
      <c r="Z30" s="20">
        <f t="shared" ref="Z30:AC35" si="21">V30*(EXP(1.01-0.34*LN(Z$8))*(1-$T30)+(1*$T30))</f>
        <v>0</v>
      </c>
      <c r="AA30" s="20">
        <f t="shared" si="21"/>
        <v>0</v>
      </c>
      <c r="AB30" s="20">
        <f t="shared" si="21"/>
        <v>0</v>
      </c>
      <c r="AC30" s="20">
        <f t="shared" si="21"/>
        <v>3.7999843740054882</v>
      </c>
      <c r="AD30" s="20">
        <f t="shared" ref="AD30:AD35" si="22">SUM(Z30:AC30)</f>
        <v>3.7999843740054882</v>
      </c>
      <c r="AE30" s="20">
        <f t="shared" ref="AE30:AH35" si="23">IF(K30&gt;0,((E30-K30)*$Q30*$S30*10)+(K30*$P$12*$Q30*$S30)*10,(E30*$Q30*$S30*10))</f>
        <v>0</v>
      </c>
      <c r="AF30" s="20">
        <f t="shared" si="23"/>
        <v>0</v>
      </c>
      <c r="AG30" s="20">
        <f t="shared" si="23"/>
        <v>0</v>
      </c>
      <c r="AH30" s="20">
        <f t="shared" si="23"/>
        <v>31.504040448775431</v>
      </c>
      <c r="AI30" s="20">
        <f t="shared" ref="AI30:AL35" si="24">AE30*(EXP(1.01-0.34*LN(AI$8))*(1-$T30)+(1*$T30))</f>
        <v>0</v>
      </c>
      <c r="AJ30" s="20">
        <f t="shared" si="24"/>
        <v>0</v>
      </c>
      <c r="AK30" s="20">
        <f t="shared" si="24"/>
        <v>0</v>
      </c>
      <c r="AL30" s="20">
        <f t="shared" si="24"/>
        <v>19.869815547754676</v>
      </c>
      <c r="AM30" s="20">
        <f t="shared" ref="AM30:AM35" si="25">SUM(AI30:AL30)</f>
        <v>19.869815547754676</v>
      </c>
      <c r="AO30">
        <f t="shared" ref="AO30:AR35" si="26">Z30*AO$10</f>
        <v>0</v>
      </c>
      <c r="AP30">
        <f t="shared" si="26"/>
        <v>0</v>
      </c>
      <c r="AQ30">
        <f t="shared" si="26"/>
        <v>0</v>
      </c>
      <c r="AR30">
        <f t="shared" si="26"/>
        <v>3.8512841630545624</v>
      </c>
      <c r="AS30">
        <f t="shared" ref="AS30:AS35" si="27">SUM(AO30:AR30)</f>
        <v>3.8512841630545624</v>
      </c>
      <c r="AU30">
        <f t="shared" ref="AU30:AX35" si="28">AI30*AU$10</f>
        <v>0</v>
      </c>
      <c r="AV30">
        <f t="shared" si="28"/>
        <v>0</v>
      </c>
      <c r="AW30">
        <f t="shared" si="28"/>
        <v>0</v>
      </c>
      <c r="AX30">
        <f t="shared" si="28"/>
        <v>20.138058057649367</v>
      </c>
      <c r="AY30">
        <f t="shared" ref="AY30:AY35" si="29">SUM(AU30:AX30)</f>
        <v>20.138058057649367</v>
      </c>
    </row>
    <row r="31" spans="1:51" ht="15" x14ac:dyDescent="0.25">
      <c r="A31" s="1"/>
      <c r="B31" s="2"/>
      <c r="C31" s="1" t="s">
        <v>9</v>
      </c>
      <c r="D31" s="285">
        <v>0</v>
      </c>
      <c r="E31" s="286">
        <v>0</v>
      </c>
      <c r="F31" s="286">
        <v>0</v>
      </c>
      <c r="G31" s="286">
        <v>0</v>
      </c>
      <c r="H31" s="287">
        <v>0</v>
      </c>
      <c r="J31">
        <v>0</v>
      </c>
      <c r="K31">
        <v>0</v>
      </c>
      <c r="L31">
        <v>0</v>
      </c>
      <c r="M31">
        <v>0</v>
      </c>
      <c r="N31">
        <v>0</v>
      </c>
      <c r="O31" s="20"/>
      <c r="P31" s="20"/>
      <c r="Q31" s="147"/>
      <c r="R31" s="197">
        <v>0.49</v>
      </c>
      <c r="S31" s="197">
        <v>2.42</v>
      </c>
      <c r="T31" s="197">
        <v>0.50078889239507718</v>
      </c>
      <c r="U31" s="197">
        <v>0.75268470790377973</v>
      </c>
      <c r="V31" s="20">
        <f t="shared" si="20"/>
        <v>0</v>
      </c>
      <c r="W31" s="20">
        <f t="shared" si="20"/>
        <v>0</v>
      </c>
      <c r="X31" s="20">
        <f t="shared" si="20"/>
        <v>0</v>
      </c>
      <c r="Y31" s="20">
        <f t="shared" si="20"/>
        <v>0</v>
      </c>
      <c r="Z31" s="20">
        <f t="shared" si="21"/>
        <v>0</v>
      </c>
      <c r="AA31" s="20">
        <f t="shared" si="21"/>
        <v>0</v>
      </c>
      <c r="AB31" s="20">
        <f t="shared" si="21"/>
        <v>0</v>
      </c>
      <c r="AC31" s="20">
        <f t="shared" si="21"/>
        <v>0</v>
      </c>
      <c r="AD31" s="20">
        <f t="shared" si="22"/>
        <v>0</v>
      </c>
      <c r="AE31" s="20">
        <f t="shared" si="23"/>
        <v>0</v>
      </c>
      <c r="AF31" s="20">
        <f t="shared" si="23"/>
        <v>0</v>
      </c>
      <c r="AG31" s="20">
        <f t="shared" si="23"/>
        <v>0</v>
      </c>
      <c r="AH31" s="20">
        <f t="shared" si="23"/>
        <v>0</v>
      </c>
      <c r="AI31" s="20">
        <f t="shared" si="24"/>
        <v>0</v>
      </c>
      <c r="AJ31" s="20">
        <f t="shared" si="24"/>
        <v>0</v>
      </c>
      <c r="AK31" s="20">
        <f t="shared" si="24"/>
        <v>0</v>
      </c>
      <c r="AL31" s="20">
        <f t="shared" si="24"/>
        <v>0</v>
      </c>
      <c r="AM31" s="20">
        <f t="shared" si="25"/>
        <v>0</v>
      </c>
      <c r="AO31">
        <f t="shared" si="26"/>
        <v>0</v>
      </c>
      <c r="AP31">
        <f t="shared" si="26"/>
        <v>0</v>
      </c>
      <c r="AQ31">
        <f t="shared" si="26"/>
        <v>0</v>
      </c>
      <c r="AR31">
        <f t="shared" si="26"/>
        <v>0</v>
      </c>
      <c r="AS31">
        <f t="shared" si="27"/>
        <v>0</v>
      </c>
      <c r="AU31">
        <f t="shared" si="28"/>
        <v>0</v>
      </c>
      <c r="AV31">
        <f t="shared" si="28"/>
        <v>0</v>
      </c>
      <c r="AW31">
        <f t="shared" si="28"/>
        <v>0</v>
      </c>
      <c r="AX31">
        <f t="shared" si="28"/>
        <v>0</v>
      </c>
      <c r="AY31">
        <f t="shared" si="29"/>
        <v>0</v>
      </c>
    </row>
    <row r="32" spans="1:51" ht="15" x14ac:dyDescent="0.25">
      <c r="A32" s="1"/>
      <c r="B32" s="2"/>
      <c r="C32" s="1" t="s">
        <v>10</v>
      </c>
      <c r="D32" s="285">
        <v>0</v>
      </c>
      <c r="E32" s="286">
        <v>0</v>
      </c>
      <c r="F32" s="286">
        <v>0</v>
      </c>
      <c r="G32" s="286">
        <v>0</v>
      </c>
      <c r="H32" s="287">
        <v>0.26119365999999999</v>
      </c>
      <c r="J32">
        <v>0</v>
      </c>
      <c r="K32">
        <v>0</v>
      </c>
      <c r="L32">
        <v>0</v>
      </c>
      <c r="M32">
        <v>0</v>
      </c>
      <c r="N32">
        <v>1.8588043421999989E-2</v>
      </c>
      <c r="O32" s="20"/>
      <c r="P32" s="20"/>
      <c r="Q32" s="147">
        <v>0.26096501393116395</v>
      </c>
      <c r="R32" s="197">
        <v>0.49</v>
      </c>
      <c r="S32" s="197">
        <v>2.42</v>
      </c>
      <c r="T32" s="197">
        <v>0.50078889239507718</v>
      </c>
      <c r="U32" s="197">
        <v>0.75268470790377973</v>
      </c>
      <c r="V32" s="20">
        <f t="shared" si="20"/>
        <v>0</v>
      </c>
      <c r="W32" s="20">
        <f t="shared" si="20"/>
        <v>0</v>
      </c>
      <c r="X32" s="20">
        <f t="shared" si="20"/>
        <v>0</v>
      </c>
      <c r="Y32" s="20">
        <f t="shared" si="20"/>
        <v>0.31896785395810318</v>
      </c>
      <c r="Z32" s="20">
        <f t="shared" si="21"/>
        <v>0</v>
      </c>
      <c r="AA32" s="20">
        <f t="shared" si="21"/>
        <v>0</v>
      </c>
      <c r="AB32" s="20">
        <f t="shared" si="21"/>
        <v>0</v>
      </c>
      <c r="AC32" s="20">
        <f t="shared" si="21"/>
        <v>0.20117522494029855</v>
      </c>
      <c r="AD32" s="20">
        <f t="shared" si="22"/>
        <v>0.20117522494029855</v>
      </c>
      <c r="AE32" s="20">
        <f t="shared" si="23"/>
        <v>0</v>
      </c>
      <c r="AF32" s="20">
        <f t="shared" si="23"/>
        <v>0</v>
      </c>
      <c r="AG32" s="20">
        <f t="shared" si="23"/>
        <v>0</v>
      </c>
      <c r="AH32" s="20">
        <f t="shared" si="23"/>
        <v>1.6001243201647584</v>
      </c>
      <c r="AI32" s="20">
        <f t="shared" si="24"/>
        <v>0</v>
      </c>
      <c r="AJ32" s="20">
        <f t="shared" si="24"/>
        <v>0</v>
      </c>
      <c r="AK32" s="20">
        <f t="shared" si="24"/>
        <v>0</v>
      </c>
      <c r="AL32" s="20">
        <f t="shared" si="24"/>
        <v>1.0092094424156932</v>
      </c>
      <c r="AM32" s="20">
        <f t="shared" si="25"/>
        <v>1.0092094424156932</v>
      </c>
      <c r="AO32">
        <f t="shared" si="26"/>
        <v>0</v>
      </c>
      <c r="AP32">
        <f t="shared" si="26"/>
        <v>0</v>
      </c>
      <c r="AQ32">
        <f t="shared" si="26"/>
        <v>0</v>
      </c>
      <c r="AR32">
        <f t="shared" si="26"/>
        <v>0.20389109047699258</v>
      </c>
      <c r="AS32">
        <f t="shared" si="27"/>
        <v>0.20389109047699258</v>
      </c>
      <c r="AU32">
        <f t="shared" si="28"/>
        <v>0</v>
      </c>
      <c r="AV32">
        <f t="shared" si="28"/>
        <v>0</v>
      </c>
      <c r="AW32">
        <f t="shared" si="28"/>
        <v>0</v>
      </c>
      <c r="AX32">
        <f t="shared" si="28"/>
        <v>1.0228337698883052</v>
      </c>
      <c r="AY32">
        <f t="shared" si="29"/>
        <v>1.0228337698883052</v>
      </c>
    </row>
    <row r="33" spans="1:51" ht="15" x14ac:dyDescent="0.25">
      <c r="A33" s="1"/>
      <c r="B33" s="2"/>
      <c r="C33" s="1" t="s">
        <v>11</v>
      </c>
      <c r="D33" s="285">
        <v>0</v>
      </c>
      <c r="E33" s="286">
        <v>0</v>
      </c>
      <c r="F33" s="286">
        <v>0</v>
      </c>
      <c r="G33" s="286">
        <v>0</v>
      </c>
      <c r="H33" s="287">
        <v>0</v>
      </c>
      <c r="J33">
        <v>0</v>
      </c>
      <c r="K33">
        <v>0</v>
      </c>
      <c r="L33">
        <v>0</v>
      </c>
      <c r="M33">
        <v>0</v>
      </c>
      <c r="N33">
        <v>0</v>
      </c>
      <c r="O33" s="20"/>
      <c r="P33" s="20"/>
      <c r="Q33" s="147"/>
      <c r="R33" s="197">
        <v>0.49</v>
      </c>
      <c r="S33" s="197">
        <v>2.42</v>
      </c>
      <c r="T33" s="197">
        <v>0.50078889239507718</v>
      </c>
      <c r="U33" s="197">
        <v>0.75268470790377973</v>
      </c>
      <c r="V33" s="20">
        <f t="shared" si="20"/>
        <v>0</v>
      </c>
      <c r="W33" s="20">
        <f t="shared" si="20"/>
        <v>0</v>
      </c>
      <c r="X33" s="20">
        <f t="shared" si="20"/>
        <v>0</v>
      </c>
      <c r="Y33" s="20">
        <f t="shared" si="20"/>
        <v>0</v>
      </c>
      <c r="Z33" s="20">
        <f t="shared" si="21"/>
        <v>0</v>
      </c>
      <c r="AA33" s="20">
        <f t="shared" si="21"/>
        <v>0</v>
      </c>
      <c r="AB33" s="20">
        <f t="shared" si="21"/>
        <v>0</v>
      </c>
      <c r="AC33" s="20">
        <f t="shared" si="21"/>
        <v>0</v>
      </c>
      <c r="AD33" s="20">
        <f t="shared" si="22"/>
        <v>0</v>
      </c>
      <c r="AE33" s="20">
        <f t="shared" si="23"/>
        <v>0</v>
      </c>
      <c r="AF33" s="20">
        <f t="shared" si="23"/>
        <v>0</v>
      </c>
      <c r="AG33" s="20">
        <f t="shared" si="23"/>
        <v>0</v>
      </c>
      <c r="AH33" s="20">
        <f t="shared" si="23"/>
        <v>0</v>
      </c>
      <c r="AI33" s="20">
        <f t="shared" si="24"/>
        <v>0</v>
      </c>
      <c r="AJ33" s="20">
        <f t="shared" si="24"/>
        <v>0</v>
      </c>
      <c r="AK33" s="20">
        <f t="shared" si="24"/>
        <v>0</v>
      </c>
      <c r="AL33" s="20">
        <f t="shared" si="24"/>
        <v>0</v>
      </c>
      <c r="AM33" s="20">
        <f t="shared" si="25"/>
        <v>0</v>
      </c>
      <c r="AO33">
        <f t="shared" si="26"/>
        <v>0</v>
      </c>
      <c r="AP33">
        <f t="shared" si="26"/>
        <v>0</v>
      </c>
      <c r="AQ33">
        <f t="shared" si="26"/>
        <v>0</v>
      </c>
      <c r="AR33">
        <f t="shared" si="26"/>
        <v>0</v>
      </c>
      <c r="AS33">
        <f t="shared" si="27"/>
        <v>0</v>
      </c>
      <c r="AU33">
        <f t="shared" si="28"/>
        <v>0</v>
      </c>
      <c r="AV33">
        <f t="shared" si="28"/>
        <v>0</v>
      </c>
      <c r="AW33">
        <f t="shared" si="28"/>
        <v>0</v>
      </c>
      <c r="AX33">
        <f t="shared" si="28"/>
        <v>0</v>
      </c>
      <c r="AY33">
        <f t="shared" si="29"/>
        <v>0</v>
      </c>
    </row>
    <row r="34" spans="1:51" ht="15" x14ac:dyDescent="0.25">
      <c r="A34" s="1"/>
      <c r="B34" s="2"/>
      <c r="C34" s="1" t="s">
        <v>12</v>
      </c>
      <c r="D34" s="285">
        <v>0</v>
      </c>
      <c r="E34" s="286">
        <v>0</v>
      </c>
      <c r="F34" s="286">
        <v>0</v>
      </c>
      <c r="G34" s="286">
        <v>0</v>
      </c>
      <c r="H34" s="287">
        <v>0</v>
      </c>
      <c r="J34">
        <v>0</v>
      </c>
      <c r="K34">
        <v>0</v>
      </c>
      <c r="L34">
        <v>0</v>
      </c>
      <c r="M34">
        <v>0</v>
      </c>
      <c r="N34">
        <v>0</v>
      </c>
      <c r="O34" s="20"/>
      <c r="P34" s="20"/>
      <c r="Q34" s="147"/>
      <c r="R34" s="197">
        <v>0.49</v>
      </c>
      <c r="S34" s="197">
        <v>2.42</v>
      </c>
      <c r="T34" s="197">
        <v>0.50078889239507718</v>
      </c>
      <c r="U34" s="197">
        <v>0.75268470790377973</v>
      </c>
      <c r="V34" s="20">
        <f t="shared" si="20"/>
        <v>0</v>
      </c>
      <c r="W34" s="20">
        <f t="shared" si="20"/>
        <v>0</v>
      </c>
      <c r="X34" s="20">
        <f t="shared" si="20"/>
        <v>0</v>
      </c>
      <c r="Y34" s="20">
        <f t="shared" si="20"/>
        <v>0</v>
      </c>
      <c r="Z34" s="20">
        <f t="shared" si="21"/>
        <v>0</v>
      </c>
      <c r="AA34" s="20">
        <f t="shared" si="21"/>
        <v>0</v>
      </c>
      <c r="AB34" s="20">
        <f t="shared" si="21"/>
        <v>0</v>
      </c>
      <c r="AC34" s="20">
        <f t="shared" si="21"/>
        <v>0</v>
      </c>
      <c r="AD34" s="20">
        <f t="shared" si="22"/>
        <v>0</v>
      </c>
      <c r="AE34" s="20">
        <f t="shared" si="23"/>
        <v>0</v>
      </c>
      <c r="AF34" s="20">
        <f t="shared" si="23"/>
        <v>0</v>
      </c>
      <c r="AG34" s="20">
        <f t="shared" si="23"/>
        <v>0</v>
      </c>
      <c r="AH34" s="20">
        <f t="shared" si="23"/>
        <v>0</v>
      </c>
      <c r="AI34" s="20">
        <f t="shared" si="24"/>
        <v>0</v>
      </c>
      <c r="AJ34" s="20">
        <f t="shared" si="24"/>
        <v>0</v>
      </c>
      <c r="AK34" s="20">
        <f t="shared" si="24"/>
        <v>0</v>
      </c>
      <c r="AL34" s="20">
        <f t="shared" si="24"/>
        <v>0</v>
      </c>
      <c r="AM34" s="20">
        <f t="shared" si="25"/>
        <v>0</v>
      </c>
      <c r="AO34">
        <f t="shared" si="26"/>
        <v>0</v>
      </c>
      <c r="AP34">
        <f t="shared" si="26"/>
        <v>0</v>
      </c>
      <c r="AQ34">
        <f t="shared" si="26"/>
        <v>0</v>
      </c>
      <c r="AR34">
        <f t="shared" si="26"/>
        <v>0</v>
      </c>
      <c r="AS34">
        <f t="shared" si="27"/>
        <v>0</v>
      </c>
      <c r="AU34">
        <f t="shared" si="28"/>
        <v>0</v>
      </c>
      <c r="AV34">
        <f t="shared" si="28"/>
        <v>0</v>
      </c>
      <c r="AW34">
        <f t="shared" si="28"/>
        <v>0</v>
      </c>
      <c r="AX34">
        <f t="shared" si="28"/>
        <v>0</v>
      </c>
      <c r="AY34">
        <f t="shared" si="29"/>
        <v>0</v>
      </c>
    </row>
    <row r="35" spans="1:51" ht="15" x14ac:dyDescent="0.25">
      <c r="A35" s="1"/>
      <c r="B35" s="2"/>
      <c r="C35" s="1" t="s">
        <v>13</v>
      </c>
      <c r="D35" s="285">
        <v>0</v>
      </c>
      <c r="E35" s="286">
        <v>0</v>
      </c>
      <c r="F35" s="286">
        <v>0</v>
      </c>
      <c r="G35" s="286">
        <v>0</v>
      </c>
      <c r="H35" s="287">
        <v>0</v>
      </c>
      <c r="J35">
        <v>0</v>
      </c>
      <c r="K35">
        <v>0</v>
      </c>
      <c r="L35">
        <v>0</v>
      </c>
      <c r="M35">
        <v>0</v>
      </c>
      <c r="N35">
        <v>0</v>
      </c>
      <c r="O35" s="20"/>
      <c r="P35" s="20"/>
      <c r="Q35" s="147"/>
      <c r="R35" s="197">
        <v>0.49</v>
      </c>
      <c r="S35" s="197">
        <v>2.42</v>
      </c>
      <c r="T35" s="197">
        <v>0.50078889239507718</v>
      </c>
      <c r="U35" s="197">
        <v>0.75268470790377973</v>
      </c>
      <c r="V35" s="20">
        <f t="shared" si="20"/>
        <v>0</v>
      </c>
      <c r="W35" s="20">
        <f t="shared" si="20"/>
        <v>0</v>
      </c>
      <c r="X35" s="20">
        <f t="shared" si="20"/>
        <v>0</v>
      </c>
      <c r="Y35" s="20">
        <f t="shared" si="20"/>
        <v>0</v>
      </c>
      <c r="Z35" s="20">
        <f t="shared" si="21"/>
        <v>0</v>
      </c>
      <c r="AA35" s="20">
        <f t="shared" si="21"/>
        <v>0</v>
      </c>
      <c r="AB35" s="20">
        <f t="shared" si="21"/>
        <v>0</v>
      </c>
      <c r="AC35" s="20">
        <f t="shared" si="21"/>
        <v>0</v>
      </c>
      <c r="AD35" s="20">
        <f t="shared" si="22"/>
        <v>0</v>
      </c>
      <c r="AE35" s="20">
        <f t="shared" si="23"/>
        <v>0</v>
      </c>
      <c r="AF35" s="20">
        <f t="shared" si="23"/>
        <v>0</v>
      </c>
      <c r="AG35" s="20">
        <f t="shared" si="23"/>
        <v>0</v>
      </c>
      <c r="AH35" s="20">
        <f t="shared" si="23"/>
        <v>0</v>
      </c>
      <c r="AI35" s="20">
        <f t="shared" si="24"/>
        <v>0</v>
      </c>
      <c r="AJ35" s="20">
        <f t="shared" si="24"/>
        <v>0</v>
      </c>
      <c r="AK35" s="20">
        <f t="shared" si="24"/>
        <v>0</v>
      </c>
      <c r="AL35" s="20">
        <f t="shared" si="24"/>
        <v>0</v>
      </c>
      <c r="AM35" s="20">
        <f t="shared" si="25"/>
        <v>0</v>
      </c>
      <c r="AO35">
        <f t="shared" si="26"/>
        <v>0</v>
      </c>
      <c r="AP35">
        <f t="shared" si="26"/>
        <v>0</v>
      </c>
      <c r="AQ35">
        <f t="shared" si="26"/>
        <v>0</v>
      </c>
      <c r="AR35">
        <f t="shared" si="26"/>
        <v>0</v>
      </c>
      <c r="AS35">
        <f t="shared" si="27"/>
        <v>0</v>
      </c>
      <c r="AU35">
        <f t="shared" si="28"/>
        <v>0</v>
      </c>
      <c r="AV35">
        <f t="shared" si="28"/>
        <v>0</v>
      </c>
      <c r="AW35">
        <f t="shared" si="28"/>
        <v>0</v>
      </c>
      <c r="AX35">
        <f t="shared" si="28"/>
        <v>0</v>
      </c>
      <c r="AY35">
        <f t="shared" si="29"/>
        <v>0</v>
      </c>
    </row>
    <row r="36" spans="1:51" ht="15" x14ac:dyDescent="0.25">
      <c r="A36" s="7"/>
      <c r="B36" s="8" t="s">
        <v>14</v>
      </c>
      <c r="C36" s="7"/>
      <c r="D36" s="288">
        <f>SUM(D30:D35)</f>
        <v>0</v>
      </c>
      <c r="E36" s="289">
        <f>SUM(E30:E35)</f>
        <v>0</v>
      </c>
      <c r="F36" s="289">
        <f>SUM(F30:F35)</f>
        <v>0</v>
      </c>
      <c r="G36" s="289">
        <f>SUM(G30:G35)</f>
        <v>0</v>
      </c>
      <c r="H36" s="290">
        <f>SUM(H30:H35)</f>
        <v>6.3612708800000002</v>
      </c>
      <c r="J36">
        <v>0</v>
      </c>
      <c r="K36">
        <v>0</v>
      </c>
      <c r="L36">
        <v>0</v>
      </c>
      <c r="M36">
        <v>0</v>
      </c>
      <c r="N36">
        <v>1.4605925350819997</v>
      </c>
      <c r="O36" s="20"/>
      <c r="P36" s="20"/>
      <c r="Q36" s="147"/>
      <c r="R36" s="197"/>
      <c r="S36" s="197"/>
      <c r="T36" s="197"/>
      <c r="U36" s="197"/>
    </row>
    <row r="37" spans="1:51" ht="15" x14ac:dyDescent="0.25">
      <c r="A37" s="5"/>
      <c r="B37" s="9" t="s">
        <v>15</v>
      </c>
      <c r="C37" s="5"/>
      <c r="D37" s="291"/>
      <c r="E37" s="292"/>
      <c r="F37" s="292"/>
      <c r="G37" s="292"/>
      <c r="H37" s="293">
        <f>SUM(D36:H36)</f>
        <v>6.3612708800000002</v>
      </c>
      <c r="N37">
        <v>1.4605925350819997</v>
      </c>
      <c r="O37" s="20"/>
      <c r="P37" s="20"/>
      <c r="Q37" s="147"/>
      <c r="R37" s="197"/>
      <c r="S37" s="197"/>
      <c r="T37" s="197"/>
      <c r="U37" s="197"/>
    </row>
    <row r="38" spans="1:51" ht="15.75" thickBot="1" x14ac:dyDescent="0.3">
      <c r="A38" s="1"/>
      <c r="B38" s="2"/>
      <c r="C38" s="1"/>
      <c r="D38" s="294"/>
      <c r="E38" s="295"/>
      <c r="F38" s="295"/>
      <c r="G38" s="295"/>
      <c r="H38" s="296"/>
      <c r="O38" s="20"/>
      <c r="P38" s="20"/>
      <c r="Q38" s="147"/>
      <c r="R38" s="197"/>
      <c r="S38" s="197"/>
      <c r="T38" s="197"/>
      <c r="U38" s="197"/>
    </row>
    <row r="39" spans="1:51" ht="15" x14ac:dyDescent="0.25">
      <c r="A39" s="1">
        <v>4</v>
      </c>
      <c r="B39" s="2" t="s">
        <v>18</v>
      </c>
      <c r="C39" s="1" t="s">
        <v>8</v>
      </c>
      <c r="D39" s="285">
        <v>0</v>
      </c>
      <c r="E39" s="286">
        <v>0</v>
      </c>
      <c r="F39" s="286">
        <v>9.29167904</v>
      </c>
      <c r="G39" s="286">
        <v>1.2610978799999999</v>
      </c>
      <c r="H39" s="287">
        <v>8.5514406300000001</v>
      </c>
      <c r="J39">
        <v>0</v>
      </c>
      <c r="K39">
        <v>0</v>
      </c>
      <c r="L39">
        <v>9.29167904</v>
      </c>
      <c r="M39">
        <v>1.2610978799999999</v>
      </c>
      <c r="N39">
        <v>-9.9771619833200003</v>
      </c>
      <c r="O39" s="20"/>
      <c r="P39" s="20"/>
      <c r="Q39" s="147">
        <v>0.36959067038164373</v>
      </c>
      <c r="R39" s="197">
        <v>0.19500000000000001</v>
      </c>
      <c r="S39" s="197">
        <v>1.22</v>
      </c>
      <c r="T39" s="197">
        <v>0.4144562334217507</v>
      </c>
      <c r="U39" s="197">
        <v>0.6566321730950142</v>
      </c>
      <c r="V39" s="20">
        <f t="shared" ref="V39:Y44" si="30">IF(K39&gt;0,((E39-K39)*$Q39*$R39*10)+(K39*$O$12*$Q39*$R39*10),(E39*$Q39*$R39*10))</f>
        <v>0</v>
      </c>
      <c r="W39" s="20">
        <f t="shared" si="30"/>
        <v>2.4626625578141539</v>
      </c>
      <c r="X39" s="20">
        <f t="shared" si="30"/>
        <v>0.33424083176411645</v>
      </c>
      <c r="Y39" s="20">
        <f t="shared" si="30"/>
        <v>6.1630387165825251</v>
      </c>
      <c r="Z39" s="20">
        <f t="shared" ref="Z39:AC44" si="31">V39*(EXP(1.01-0.34*LN(Z$8))*(1-$T39)+(1*$T39))</f>
        <v>0</v>
      </c>
      <c r="AA39" s="20">
        <f t="shared" si="31"/>
        <v>1.487973388324084</v>
      </c>
      <c r="AB39" s="20">
        <f t="shared" si="31"/>
        <v>0.20339507217864866</v>
      </c>
      <c r="AC39" s="20">
        <f t="shared" si="31"/>
        <v>3.4934693104406875</v>
      </c>
      <c r="AD39" s="20">
        <f t="shared" ref="AD39:AD44" si="32">SUM(Z39:AC39)</f>
        <v>5.1848377709434201</v>
      </c>
      <c r="AE39" s="20">
        <f t="shared" ref="AE39:AH44" si="33">IF(K39&gt;0,((E39-K39)*$Q39*$S39*10)+(K39*$P$12*$Q39*$S39)*10,(E39*$Q39*$S39*10))</f>
        <v>0</v>
      </c>
      <c r="AF39" s="20">
        <f t="shared" si="33"/>
        <v>24.263376732096532</v>
      </c>
      <c r="AG39" s="20">
        <f t="shared" si="33"/>
        <v>3.293106964496296</v>
      </c>
      <c r="AH39" s="20">
        <f t="shared" si="33"/>
        <v>38.558498637080412</v>
      </c>
      <c r="AI39" s="20">
        <f t="shared" ref="AI39:AL44" si="34">AE39*(EXP(1.01-0.34*LN(AI$8))*(1-$T39)+(1*$T39))</f>
        <v>0</v>
      </c>
      <c r="AJ39" s="20">
        <f t="shared" si="34"/>
        <v>14.660254111422589</v>
      </c>
      <c r="AK39" s="20">
        <f t="shared" si="34"/>
        <v>2.0039494432817633</v>
      </c>
      <c r="AL39" s="20">
        <f t="shared" si="34"/>
        <v>21.856577224295584</v>
      </c>
      <c r="AM39" s="20">
        <f t="shared" ref="AM39:AM44" si="35">SUM(AI39:AL39)</f>
        <v>38.520780778999935</v>
      </c>
      <c r="AO39">
        <f t="shared" ref="AO39:AR44" si="36">Z39*AO$10</f>
        <v>0</v>
      </c>
      <c r="AP39">
        <f t="shared" si="36"/>
        <v>1.5080610290664591</v>
      </c>
      <c r="AQ39">
        <f t="shared" si="36"/>
        <v>0.20614090565306042</v>
      </c>
      <c r="AR39">
        <f t="shared" si="36"/>
        <v>3.5406311461316369</v>
      </c>
      <c r="AS39">
        <f t="shared" ref="AS39:AS44" si="37">SUM(AO39:AR39)</f>
        <v>5.2548330808511565</v>
      </c>
      <c r="AU39">
        <f t="shared" ref="AU39:AX44" si="38">AI39*AU$10</f>
        <v>0</v>
      </c>
      <c r="AV39">
        <f t="shared" si="38"/>
        <v>14.858167541926795</v>
      </c>
      <c r="AW39">
        <f t="shared" si="38"/>
        <v>2.031002760766067</v>
      </c>
      <c r="AX39">
        <f t="shared" si="38"/>
        <v>22.151641016823575</v>
      </c>
      <c r="AY39">
        <f t="shared" ref="AY39:AY44" si="39">SUM(AU39:AX39)</f>
        <v>39.040811319516436</v>
      </c>
    </row>
    <row r="40" spans="1:51" ht="15" x14ac:dyDescent="0.25">
      <c r="A40" s="1"/>
      <c r="B40" s="2"/>
      <c r="C40" s="1" t="s">
        <v>9</v>
      </c>
      <c r="D40" s="285">
        <v>0</v>
      </c>
      <c r="E40" s="286">
        <v>5.1513709999999997E-2</v>
      </c>
      <c r="F40" s="286">
        <v>0</v>
      </c>
      <c r="G40" s="286">
        <v>0</v>
      </c>
      <c r="H40" s="287">
        <v>0</v>
      </c>
      <c r="J40">
        <v>0</v>
      </c>
      <c r="K40">
        <v>7.0933910339999948E-3</v>
      </c>
      <c r="L40">
        <v>0</v>
      </c>
      <c r="M40">
        <v>0</v>
      </c>
      <c r="N40">
        <v>0</v>
      </c>
      <c r="O40" s="20"/>
      <c r="P40" s="20"/>
      <c r="Q40" s="147">
        <v>0.37918134076328741</v>
      </c>
      <c r="R40" s="197">
        <v>0.19500000000000001</v>
      </c>
      <c r="S40" s="197">
        <v>1.22</v>
      </c>
      <c r="T40" s="197">
        <v>0.4144562334217507</v>
      </c>
      <c r="U40" s="197">
        <v>0.6566321730950142</v>
      </c>
      <c r="V40" s="20">
        <f t="shared" si="30"/>
        <v>3.4773359368057782E-2</v>
      </c>
      <c r="W40" s="20">
        <f t="shared" si="30"/>
        <v>0</v>
      </c>
      <c r="X40" s="20">
        <f t="shared" si="30"/>
        <v>0</v>
      </c>
      <c r="Y40" s="20">
        <f t="shared" si="30"/>
        <v>0</v>
      </c>
      <c r="Z40" s="20">
        <f t="shared" si="31"/>
        <v>2.0603229125663928E-2</v>
      </c>
      <c r="AA40" s="20">
        <f t="shared" si="31"/>
        <v>0</v>
      </c>
      <c r="AB40" s="20">
        <f t="shared" si="31"/>
        <v>0</v>
      </c>
      <c r="AC40" s="20">
        <f t="shared" si="31"/>
        <v>0</v>
      </c>
      <c r="AD40" s="20">
        <f t="shared" si="32"/>
        <v>2.0603229125663928E-2</v>
      </c>
      <c r="AE40" s="20">
        <f t="shared" si="33"/>
        <v>0.22449258913103154</v>
      </c>
      <c r="AF40" s="20">
        <f t="shared" si="33"/>
        <v>0</v>
      </c>
      <c r="AG40" s="20">
        <f t="shared" si="33"/>
        <v>0</v>
      </c>
      <c r="AH40" s="20">
        <f t="shared" si="33"/>
        <v>0</v>
      </c>
      <c r="AI40" s="20">
        <f t="shared" si="34"/>
        <v>0.13301194750625303</v>
      </c>
      <c r="AJ40" s="20">
        <f t="shared" si="34"/>
        <v>0</v>
      </c>
      <c r="AK40" s="20">
        <f t="shared" si="34"/>
        <v>0</v>
      </c>
      <c r="AL40" s="20">
        <f t="shared" si="34"/>
        <v>0</v>
      </c>
      <c r="AM40" s="20">
        <f t="shared" si="35"/>
        <v>0.13301194750625303</v>
      </c>
      <c r="AO40">
        <f t="shared" si="36"/>
        <v>2.0881372718860394E-2</v>
      </c>
      <c r="AP40">
        <f t="shared" si="36"/>
        <v>0</v>
      </c>
      <c r="AQ40">
        <f t="shared" si="36"/>
        <v>0</v>
      </c>
      <c r="AR40">
        <f t="shared" si="36"/>
        <v>0</v>
      </c>
      <c r="AS40">
        <f t="shared" si="37"/>
        <v>2.0881372718860394E-2</v>
      </c>
      <c r="AU40">
        <f t="shared" si="38"/>
        <v>0.13480760879758746</v>
      </c>
      <c r="AV40">
        <f t="shared" si="38"/>
        <v>0</v>
      </c>
      <c r="AW40">
        <f t="shared" si="38"/>
        <v>0</v>
      </c>
      <c r="AX40">
        <f t="shared" si="38"/>
        <v>0</v>
      </c>
      <c r="AY40">
        <f t="shared" si="39"/>
        <v>0.13480760879758746</v>
      </c>
    </row>
    <row r="41" spans="1:51" ht="15" x14ac:dyDescent="0.25">
      <c r="A41" s="1"/>
      <c r="B41" s="2"/>
      <c r="C41" s="1" t="s">
        <v>10</v>
      </c>
      <c r="D41" s="285">
        <v>0</v>
      </c>
      <c r="E41" s="286">
        <v>0.88866780000000001</v>
      </c>
      <c r="F41" s="286">
        <v>0</v>
      </c>
      <c r="G41" s="286">
        <v>0</v>
      </c>
      <c r="H41" s="287">
        <v>0.76716918999999995</v>
      </c>
      <c r="J41">
        <v>0</v>
      </c>
      <c r="K41">
        <v>-0.21548125997200007</v>
      </c>
      <c r="L41">
        <v>0</v>
      </c>
      <c r="M41">
        <v>0</v>
      </c>
      <c r="N41">
        <v>0.74679570328749989</v>
      </c>
      <c r="O41" s="20"/>
      <c r="P41" s="20"/>
      <c r="Q41" s="147">
        <v>0.38877201114493115</v>
      </c>
      <c r="R41" s="197">
        <v>0.19500000000000001</v>
      </c>
      <c r="S41" s="197">
        <v>1.22</v>
      </c>
      <c r="T41" s="197">
        <v>0.4144562334217507</v>
      </c>
      <c r="U41" s="197">
        <v>0.6566321730950142</v>
      </c>
      <c r="V41" s="20">
        <f t="shared" si="30"/>
        <v>0.6737038772991959</v>
      </c>
      <c r="W41" s="20">
        <f t="shared" si="30"/>
        <v>0</v>
      </c>
      <c r="X41" s="20">
        <f t="shared" si="30"/>
        <v>0</v>
      </c>
      <c r="Y41" s="20">
        <f t="shared" si="30"/>
        <v>0.22364802390309663</v>
      </c>
      <c r="Z41" s="20">
        <f t="shared" si="31"/>
        <v>0.39916981272720742</v>
      </c>
      <c r="AA41" s="20">
        <f t="shared" si="31"/>
        <v>0</v>
      </c>
      <c r="AB41" s="20">
        <f t="shared" si="31"/>
        <v>0</v>
      </c>
      <c r="AC41" s="20">
        <f t="shared" si="31"/>
        <v>0.12677309745660942</v>
      </c>
      <c r="AD41" s="20">
        <f t="shared" si="32"/>
        <v>0.52594291018381689</v>
      </c>
      <c r="AE41" s="20">
        <f t="shared" si="33"/>
        <v>4.2149678477180457</v>
      </c>
      <c r="AF41" s="20">
        <f t="shared" si="33"/>
        <v>0</v>
      </c>
      <c r="AG41" s="20">
        <f t="shared" si="33"/>
        <v>0</v>
      </c>
      <c r="AH41" s="20">
        <f t="shared" si="33"/>
        <v>2.1479491304414657</v>
      </c>
      <c r="AI41" s="20">
        <f t="shared" si="34"/>
        <v>2.4973701103958614</v>
      </c>
      <c r="AJ41" s="20">
        <f t="shared" si="34"/>
        <v>0</v>
      </c>
      <c r="AK41" s="20">
        <f t="shared" si="34"/>
        <v>0</v>
      </c>
      <c r="AL41" s="20">
        <f t="shared" si="34"/>
        <v>1.2175478222122806</v>
      </c>
      <c r="AM41" s="20">
        <f t="shared" si="35"/>
        <v>3.7149179326081421</v>
      </c>
      <c r="AO41">
        <f t="shared" si="36"/>
        <v>0.40455860519902476</v>
      </c>
      <c r="AP41">
        <f t="shared" si="36"/>
        <v>0</v>
      </c>
      <c r="AQ41">
        <f t="shared" si="36"/>
        <v>0</v>
      </c>
      <c r="AR41">
        <f t="shared" si="36"/>
        <v>0.12848453427227366</v>
      </c>
      <c r="AS41">
        <f t="shared" si="37"/>
        <v>0.53304313947129844</v>
      </c>
      <c r="AU41">
        <f t="shared" si="38"/>
        <v>2.5310846068862056</v>
      </c>
      <c r="AV41">
        <f t="shared" si="38"/>
        <v>0</v>
      </c>
      <c r="AW41">
        <f t="shared" si="38"/>
        <v>0</v>
      </c>
      <c r="AX41">
        <f t="shared" si="38"/>
        <v>1.2339847178121466</v>
      </c>
      <c r="AY41">
        <f t="shared" si="39"/>
        <v>3.7650693246983522</v>
      </c>
    </row>
    <row r="42" spans="1:51" ht="15" x14ac:dyDescent="0.25">
      <c r="A42" s="1"/>
      <c r="B42" s="2"/>
      <c r="C42" s="1" t="s">
        <v>11</v>
      </c>
      <c r="D42" s="285">
        <v>0</v>
      </c>
      <c r="E42" s="286">
        <v>0</v>
      </c>
      <c r="F42" s="286">
        <v>0</v>
      </c>
      <c r="G42" s="286">
        <v>0</v>
      </c>
      <c r="H42" s="287">
        <v>0</v>
      </c>
      <c r="J42">
        <v>0</v>
      </c>
      <c r="K42">
        <v>0</v>
      </c>
      <c r="L42">
        <v>0</v>
      </c>
      <c r="M42">
        <v>0</v>
      </c>
      <c r="N42">
        <v>0</v>
      </c>
      <c r="O42" s="20"/>
      <c r="P42" s="20"/>
      <c r="Q42" s="147"/>
      <c r="R42" s="197">
        <v>0.19500000000000001</v>
      </c>
      <c r="S42" s="197">
        <v>1.22</v>
      </c>
      <c r="T42" s="197">
        <v>0.4144562334217507</v>
      </c>
      <c r="U42" s="197">
        <v>0.6566321730950142</v>
      </c>
      <c r="V42" s="20">
        <f t="shared" si="30"/>
        <v>0</v>
      </c>
      <c r="W42" s="20">
        <f t="shared" si="30"/>
        <v>0</v>
      </c>
      <c r="X42" s="20">
        <f t="shared" si="30"/>
        <v>0</v>
      </c>
      <c r="Y42" s="20">
        <f t="shared" si="30"/>
        <v>0</v>
      </c>
      <c r="Z42" s="20">
        <f t="shared" si="31"/>
        <v>0</v>
      </c>
      <c r="AA42" s="20">
        <f t="shared" si="31"/>
        <v>0</v>
      </c>
      <c r="AB42" s="20">
        <f t="shared" si="31"/>
        <v>0</v>
      </c>
      <c r="AC42" s="20">
        <f t="shared" si="31"/>
        <v>0</v>
      </c>
      <c r="AD42" s="20">
        <f t="shared" si="32"/>
        <v>0</v>
      </c>
      <c r="AE42" s="20">
        <f t="shared" si="33"/>
        <v>0</v>
      </c>
      <c r="AF42" s="20">
        <f t="shared" si="33"/>
        <v>0</v>
      </c>
      <c r="AG42" s="20">
        <f t="shared" si="33"/>
        <v>0</v>
      </c>
      <c r="AH42" s="20">
        <f t="shared" si="33"/>
        <v>0</v>
      </c>
      <c r="AI42" s="20">
        <f t="shared" si="34"/>
        <v>0</v>
      </c>
      <c r="AJ42" s="20">
        <f t="shared" si="34"/>
        <v>0</v>
      </c>
      <c r="AK42" s="20">
        <f t="shared" si="34"/>
        <v>0</v>
      </c>
      <c r="AL42" s="20">
        <f t="shared" si="34"/>
        <v>0</v>
      </c>
      <c r="AM42" s="20">
        <f t="shared" si="35"/>
        <v>0</v>
      </c>
      <c r="AO42">
        <f t="shared" si="36"/>
        <v>0</v>
      </c>
      <c r="AP42">
        <f t="shared" si="36"/>
        <v>0</v>
      </c>
      <c r="AQ42">
        <f t="shared" si="36"/>
        <v>0</v>
      </c>
      <c r="AR42">
        <f t="shared" si="36"/>
        <v>0</v>
      </c>
      <c r="AS42">
        <f t="shared" si="37"/>
        <v>0</v>
      </c>
      <c r="AU42">
        <f t="shared" si="38"/>
        <v>0</v>
      </c>
      <c r="AV42">
        <f t="shared" si="38"/>
        <v>0</v>
      </c>
      <c r="AW42">
        <f t="shared" si="38"/>
        <v>0</v>
      </c>
      <c r="AX42">
        <f t="shared" si="38"/>
        <v>0</v>
      </c>
      <c r="AY42">
        <f t="shared" si="39"/>
        <v>0</v>
      </c>
    </row>
    <row r="43" spans="1:51" ht="15" x14ac:dyDescent="0.25">
      <c r="A43" s="1"/>
      <c r="B43" s="2"/>
      <c r="C43" s="1" t="s">
        <v>12</v>
      </c>
      <c r="D43" s="285">
        <v>0</v>
      </c>
      <c r="E43" s="286">
        <v>0</v>
      </c>
      <c r="F43" s="286">
        <v>0</v>
      </c>
      <c r="G43" s="286">
        <v>0</v>
      </c>
      <c r="H43" s="287">
        <v>9.0651750000000003E-2</v>
      </c>
      <c r="J43">
        <v>0</v>
      </c>
      <c r="K43">
        <v>0</v>
      </c>
      <c r="L43">
        <v>0</v>
      </c>
      <c r="M43">
        <v>0</v>
      </c>
      <c r="N43">
        <v>9.0651750000000003E-2</v>
      </c>
      <c r="O43" s="20"/>
      <c r="P43" s="20"/>
      <c r="Q43" s="147">
        <v>0.39836268152657478</v>
      </c>
      <c r="R43" s="197">
        <v>0.19500000000000001</v>
      </c>
      <c r="S43" s="197">
        <v>1.22</v>
      </c>
      <c r="T43" s="197">
        <v>0.4144562334217507</v>
      </c>
      <c r="U43" s="197">
        <v>0.6566321730950142</v>
      </c>
      <c r="V43" s="20">
        <f t="shared" si="30"/>
        <v>0</v>
      </c>
      <c r="W43" s="20">
        <f t="shared" si="30"/>
        <v>0</v>
      </c>
      <c r="X43" s="20">
        <f t="shared" si="30"/>
        <v>0</v>
      </c>
      <c r="Y43" s="20">
        <f t="shared" si="30"/>
        <v>2.5896707263892642E-2</v>
      </c>
      <c r="Z43" s="20">
        <f t="shared" si="31"/>
        <v>0</v>
      </c>
      <c r="AA43" s="20">
        <f t="shared" si="31"/>
        <v>0</v>
      </c>
      <c r="AB43" s="20">
        <f t="shared" si="31"/>
        <v>0</v>
      </c>
      <c r="AC43" s="20">
        <f t="shared" si="31"/>
        <v>1.4679341835782213E-2</v>
      </c>
      <c r="AD43" s="20">
        <f t="shared" si="32"/>
        <v>1.4679341835782213E-2</v>
      </c>
      <c r="AE43" s="20">
        <f t="shared" si="33"/>
        <v>0</v>
      </c>
      <c r="AF43" s="20">
        <f t="shared" si="33"/>
        <v>0</v>
      </c>
      <c r="AG43" s="20">
        <f t="shared" si="33"/>
        <v>0</v>
      </c>
      <c r="AH43" s="20">
        <f t="shared" si="33"/>
        <v>0.25514724397416455</v>
      </c>
      <c r="AI43" s="20">
        <f t="shared" si="34"/>
        <v>0</v>
      </c>
      <c r="AJ43" s="20">
        <f t="shared" si="34"/>
        <v>0</v>
      </c>
      <c r="AK43" s="20">
        <f t="shared" si="34"/>
        <v>0</v>
      </c>
      <c r="AL43" s="20">
        <f t="shared" si="34"/>
        <v>0.14462817896453678</v>
      </c>
      <c r="AM43" s="20">
        <f t="shared" si="35"/>
        <v>0.14462817896453678</v>
      </c>
      <c r="AO43">
        <f t="shared" si="36"/>
        <v>0</v>
      </c>
      <c r="AP43">
        <f t="shared" si="36"/>
        <v>0</v>
      </c>
      <c r="AQ43">
        <f t="shared" si="36"/>
        <v>0</v>
      </c>
      <c r="AR43">
        <f t="shared" si="36"/>
        <v>1.4877512950565273E-2</v>
      </c>
      <c r="AS43">
        <f t="shared" si="37"/>
        <v>1.4877512950565273E-2</v>
      </c>
      <c r="AU43">
        <f t="shared" si="38"/>
        <v>0</v>
      </c>
      <c r="AV43">
        <f t="shared" si="38"/>
        <v>0</v>
      </c>
      <c r="AW43">
        <f t="shared" si="38"/>
        <v>0</v>
      </c>
      <c r="AX43">
        <f t="shared" si="38"/>
        <v>0.14658065938055803</v>
      </c>
      <c r="AY43">
        <f t="shared" si="39"/>
        <v>0.14658065938055803</v>
      </c>
    </row>
    <row r="44" spans="1:51" ht="15" x14ac:dyDescent="0.25">
      <c r="A44" s="1"/>
      <c r="B44" s="2"/>
      <c r="C44" s="1" t="s">
        <v>13</v>
      </c>
      <c r="D44" s="285">
        <v>0</v>
      </c>
      <c r="E44" s="286">
        <v>0</v>
      </c>
      <c r="F44" s="286">
        <v>0</v>
      </c>
      <c r="G44" s="286">
        <v>0</v>
      </c>
      <c r="H44" s="287">
        <v>0</v>
      </c>
      <c r="J44">
        <v>0</v>
      </c>
      <c r="K44">
        <v>0</v>
      </c>
      <c r="L44">
        <v>0</v>
      </c>
      <c r="M44">
        <v>0</v>
      </c>
      <c r="N44">
        <v>0</v>
      </c>
      <c r="O44" s="20"/>
      <c r="P44" s="20"/>
      <c r="Q44" s="147"/>
      <c r="R44" s="197">
        <v>0.19500000000000001</v>
      </c>
      <c r="S44" s="197">
        <v>1.22</v>
      </c>
      <c r="T44" s="197">
        <v>0.4144562334217507</v>
      </c>
      <c r="U44" s="197">
        <v>0.6566321730950142</v>
      </c>
      <c r="V44" s="20">
        <f t="shared" si="30"/>
        <v>0</v>
      </c>
      <c r="W44" s="20">
        <f t="shared" si="30"/>
        <v>0</v>
      </c>
      <c r="X44" s="20">
        <f t="shared" si="30"/>
        <v>0</v>
      </c>
      <c r="Y44" s="20">
        <f t="shared" si="30"/>
        <v>0</v>
      </c>
      <c r="Z44" s="20">
        <f t="shared" si="31"/>
        <v>0</v>
      </c>
      <c r="AA44" s="20">
        <f t="shared" si="31"/>
        <v>0</v>
      </c>
      <c r="AB44" s="20">
        <f t="shared" si="31"/>
        <v>0</v>
      </c>
      <c r="AC44" s="20">
        <f t="shared" si="31"/>
        <v>0</v>
      </c>
      <c r="AD44" s="20">
        <f t="shared" si="32"/>
        <v>0</v>
      </c>
      <c r="AE44" s="20">
        <f t="shared" si="33"/>
        <v>0</v>
      </c>
      <c r="AF44" s="20">
        <f t="shared" si="33"/>
        <v>0</v>
      </c>
      <c r="AG44" s="20">
        <f t="shared" si="33"/>
        <v>0</v>
      </c>
      <c r="AH44" s="20">
        <f t="shared" si="33"/>
        <v>0</v>
      </c>
      <c r="AI44" s="20">
        <f t="shared" si="34"/>
        <v>0</v>
      </c>
      <c r="AJ44" s="20">
        <f t="shared" si="34"/>
        <v>0</v>
      </c>
      <c r="AK44" s="20">
        <f t="shared" si="34"/>
        <v>0</v>
      </c>
      <c r="AL44" s="20">
        <f t="shared" si="34"/>
        <v>0</v>
      </c>
      <c r="AM44" s="20">
        <f t="shared" si="35"/>
        <v>0</v>
      </c>
      <c r="AO44">
        <f t="shared" si="36"/>
        <v>0</v>
      </c>
      <c r="AP44">
        <f t="shared" si="36"/>
        <v>0</v>
      </c>
      <c r="AQ44">
        <f t="shared" si="36"/>
        <v>0</v>
      </c>
      <c r="AR44">
        <f t="shared" si="36"/>
        <v>0</v>
      </c>
      <c r="AS44">
        <f t="shared" si="37"/>
        <v>0</v>
      </c>
      <c r="AU44">
        <f t="shared" si="38"/>
        <v>0</v>
      </c>
      <c r="AV44">
        <f t="shared" si="38"/>
        <v>0</v>
      </c>
      <c r="AW44">
        <f t="shared" si="38"/>
        <v>0</v>
      </c>
      <c r="AX44">
        <f t="shared" si="38"/>
        <v>0</v>
      </c>
      <c r="AY44">
        <f t="shared" si="39"/>
        <v>0</v>
      </c>
    </row>
    <row r="45" spans="1:51" ht="15" x14ac:dyDescent="0.25">
      <c r="A45" s="7"/>
      <c r="B45" s="8" t="s">
        <v>14</v>
      </c>
      <c r="C45" s="7"/>
      <c r="D45" s="288">
        <f>SUM(D39:D44)</f>
        <v>0</v>
      </c>
      <c r="E45" s="289">
        <f>SUM(E39:E44)</f>
        <v>0.94018151000000005</v>
      </c>
      <c r="F45" s="289">
        <f>SUM(F39:F44)</f>
        <v>9.29167904</v>
      </c>
      <c r="G45" s="289">
        <f>SUM(G39:G44)</f>
        <v>1.2610978799999999</v>
      </c>
      <c r="H45" s="290">
        <f>SUM(H39:H44)</f>
        <v>9.40926157</v>
      </c>
      <c r="J45">
        <v>0</v>
      </c>
      <c r="K45">
        <v>-0.20838786893800007</v>
      </c>
      <c r="L45">
        <v>9.29167904</v>
      </c>
      <c r="M45">
        <v>1.2610978799999999</v>
      </c>
      <c r="N45">
        <v>-9.1397145300325011</v>
      </c>
      <c r="O45" s="20"/>
      <c r="P45" s="20"/>
      <c r="Q45" s="147"/>
      <c r="R45" s="197"/>
      <c r="S45" s="197"/>
      <c r="T45" s="197"/>
      <c r="U45" s="197"/>
    </row>
    <row r="46" spans="1:51" ht="15" x14ac:dyDescent="0.25">
      <c r="A46" s="10"/>
      <c r="B46" s="9" t="s">
        <v>15</v>
      </c>
      <c r="C46" s="5"/>
      <c r="D46" s="291"/>
      <c r="E46" s="292"/>
      <c r="F46" s="292"/>
      <c r="G46" s="292"/>
      <c r="H46" s="293">
        <f>SUM(D45:H45)</f>
        <v>20.90222</v>
      </c>
      <c r="N46">
        <v>1.2046745210294976</v>
      </c>
      <c r="O46" s="20"/>
      <c r="P46" s="20"/>
      <c r="Q46" s="147"/>
      <c r="R46" s="197"/>
      <c r="S46" s="197"/>
      <c r="T46" s="197"/>
      <c r="U46" s="197"/>
    </row>
    <row r="47" spans="1:51" ht="15.75" thickBot="1" x14ac:dyDescent="0.3">
      <c r="A47" s="1"/>
      <c r="B47" s="2"/>
      <c r="C47" s="1"/>
      <c r="D47" s="297"/>
      <c r="E47" s="298"/>
      <c r="F47" s="298"/>
      <c r="G47" s="298"/>
      <c r="H47" s="299"/>
      <c r="O47" s="20"/>
      <c r="P47" s="20"/>
      <c r="Q47" s="147"/>
      <c r="R47" s="197"/>
      <c r="S47" s="197"/>
      <c r="T47" s="197"/>
      <c r="U47" s="197"/>
    </row>
    <row r="48" spans="1:51" ht="15" x14ac:dyDescent="0.25">
      <c r="A48" s="1">
        <v>5</v>
      </c>
      <c r="B48" s="2" t="s">
        <v>19</v>
      </c>
      <c r="C48" s="1" t="s">
        <v>8</v>
      </c>
      <c r="D48" s="282">
        <v>0</v>
      </c>
      <c r="E48" s="283">
        <v>0.85534902999999995</v>
      </c>
      <c r="F48" s="283">
        <v>0</v>
      </c>
      <c r="G48" s="283">
        <v>3.41090888</v>
      </c>
      <c r="H48" s="284">
        <v>3.39066695</v>
      </c>
      <c r="J48">
        <v>0</v>
      </c>
      <c r="K48">
        <v>0.306432985233</v>
      </c>
      <c r="L48">
        <v>0</v>
      </c>
      <c r="M48">
        <v>0.40126053755000024</v>
      </c>
      <c r="N48">
        <v>3.39066695</v>
      </c>
      <c r="O48" s="20"/>
      <c r="P48" s="20"/>
      <c r="Q48" s="147">
        <v>0.41379144784984007</v>
      </c>
      <c r="R48" s="197">
        <v>0.43</v>
      </c>
      <c r="S48" s="197">
        <v>2.83</v>
      </c>
      <c r="T48" s="197">
        <v>0.76744186046511631</v>
      </c>
      <c r="U48" s="197">
        <v>0.76744186046511631</v>
      </c>
      <c r="V48" s="20">
        <f t="shared" ref="V48:Y53" si="40">IF(K48&gt;0,((E48-K48)*$Q48*$R48*10)+(K48*$O$12*$Q48*$R48*10),(E48*$Q48*$R48*10))</f>
        <v>1.1772001842115407</v>
      </c>
      <c r="W48" s="20">
        <f t="shared" si="40"/>
        <v>0</v>
      </c>
      <c r="X48" s="20">
        <f t="shared" si="40"/>
        <v>5.6176387873946698</v>
      </c>
      <c r="Y48" s="20">
        <f t="shared" si="40"/>
        <v>2.2186571506904338</v>
      </c>
      <c r="Z48" s="20">
        <f t="shared" ref="Z48:AC53" si="41">V48*(EXP(1.01-0.34*LN(Z$8))*(1-$T48)+(1*$T48))</f>
        <v>0.9866761815263686</v>
      </c>
      <c r="AA48" s="20">
        <f t="shared" si="41"/>
        <v>0</v>
      </c>
      <c r="AB48" s="20">
        <f t="shared" si="41"/>
        <v>4.7442127337789568</v>
      </c>
      <c r="AC48" s="20">
        <f t="shared" si="41"/>
        <v>1.8369689814804899</v>
      </c>
      <c r="AD48" s="20">
        <f t="shared" ref="AD48:AD53" si="42">SUM(Z48:AC48)</f>
        <v>7.5678578967858154</v>
      </c>
      <c r="AE48" s="20">
        <f t="shared" ref="AE48:AH53" si="43">IF(K48&gt;0,((E48-K48)*$Q48*$S48*10)+(K48*$P$12*$Q48*$S48)*10,(E48*$Q48*$S48*10))</f>
        <v>8.5061337397496253</v>
      </c>
      <c r="AF48" s="20">
        <f t="shared" si="43"/>
        <v>0</v>
      </c>
      <c r="AG48" s="20">
        <f t="shared" si="43"/>
        <v>37.965142459452281</v>
      </c>
      <c r="AH48" s="20">
        <f t="shared" si="43"/>
        <v>22.9947816747767</v>
      </c>
      <c r="AI48" s="20">
        <f t="shared" ref="AI48:AL53" si="44">AE48*(EXP(1.01-0.34*LN(AI$8))*(1-$T48)+(1*$T48))</f>
        <v>7.1294582437651055</v>
      </c>
      <c r="AJ48" s="20">
        <f t="shared" si="44"/>
        <v>0</v>
      </c>
      <c r="AK48" s="20">
        <f t="shared" si="44"/>
        <v>32.062352015231419</v>
      </c>
      <c r="AL48" s="20">
        <f t="shared" si="44"/>
        <v>19.038859005022797</v>
      </c>
      <c r="AM48" s="20">
        <f t="shared" ref="AM48:AM53" si="45">SUM(AI48:AL48)</f>
        <v>58.230669264019326</v>
      </c>
      <c r="AO48">
        <f t="shared" ref="AO48:AR53" si="46">Z48*AO$10</f>
        <v>0.99999630997697464</v>
      </c>
      <c r="AP48">
        <f t="shared" si="46"/>
        <v>0</v>
      </c>
      <c r="AQ48">
        <f t="shared" si="46"/>
        <v>4.8082596056849729</v>
      </c>
      <c r="AR48">
        <f t="shared" si="46"/>
        <v>1.8617680627304767</v>
      </c>
      <c r="AS48">
        <f t="shared" ref="AS48:AS53" si="47">SUM(AO48:AR48)</f>
        <v>7.6700239783924236</v>
      </c>
      <c r="AU48">
        <f t="shared" ref="AU48:AX53" si="48">AI48*AU$10</f>
        <v>7.225705930055935</v>
      </c>
      <c r="AV48">
        <f t="shared" si="48"/>
        <v>0</v>
      </c>
      <c r="AW48">
        <f t="shared" si="48"/>
        <v>32.495193767437044</v>
      </c>
      <c r="AX48">
        <f t="shared" si="48"/>
        <v>19.295883601590607</v>
      </c>
      <c r="AY48">
        <f t="shared" ref="AY48:AY53" si="49">SUM(AU48:AX48)</f>
        <v>59.016783299083585</v>
      </c>
    </row>
    <row r="49" spans="1:51" ht="15" x14ac:dyDescent="0.25">
      <c r="A49" s="1"/>
      <c r="B49" s="2"/>
      <c r="C49" s="1" t="s">
        <v>9</v>
      </c>
      <c r="D49" s="285">
        <v>0</v>
      </c>
      <c r="E49" s="286">
        <v>3.7575771699999998</v>
      </c>
      <c r="F49" s="286">
        <v>0</v>
      </c>
      <c r="G49" s="286">
        <v>0</v>
      </c>
      <c r="H49" s="287">
        <v>0</v>
      </c>
      <c r="J49">
        <v>0</v>
      </c>
      <c r="K49">
        <v>3.7575771699999998</v>
      </c>
      <c r="L49">
        <v>0</v>
      </c>
      <c r="M49">
        <v>0</v>
      </c>
      <c r="N49">
        <v>0</v>
      </c>
      <c r="O49" s="20"/>
      <c r="P49" s="20"/>
      <c r="Q49" s="147">
        <v>0.42258289569968011</v>
      </c>
      <c r="R49" s="197">
        <v>0.43</v>
      </c>
      <c r="S49" s="197">
        <v>2.83</v>
      </c>
      <c r="T49" s="197">
        <v>0.76744186046511631</v>
      </c>
      <c r="U49" s="197">
        <v>0.76744186046511631</v>
      </c>
      <c r="V49" s="20">
        <f t="shared" si="40"/>
        <v>2.5109807051252915</v>
      </c>
      <c r="W49" s="20">
        <f t="shared" si="40"/>
        <v>0</v>
      </c>
      <c r="X49" s="20">
        <f t="shared" si="40"/>
        <v>0</v>
      </c>
      <c r="Y49" s="20">
        <f t="shared" si="40"/>
        <v>0</v>
      </c>
      <c r="Z49" s="20">
        <f t="shared" si="41"/>
        <v>2.1045909499910547</v>
      </c>
      <c r="AA49" s="20">
        <f t="shared" si="41"/>
        <v>0</v>
      </c>
      <c r="AB49" s="20">
        <f t="shared" si="41"/>
        <v>0</v>
      </c>
      <c r="AC49" s="20">
        <f t="shared" si="41"/>
        <v>0</v>
      </c>
      <c r="AD49" s="20">
        <f t="shared" si="42"/>
        <v>2.1045909499910547</v>
      </c>
      <c r="AE49" s="20">
        <f t="shared" si="43"/>
        <v>26.024504545898285</v>
      </c>
      <c r="AF49" s="20">
        <f t="shared" si="43"/>
        <v>0</v>
      </c>
      <c r="AG49" s="20">
        <f t="shared" si="43"/>
        <v>0</v>
      </c>
      <c r="AH49" s="20">
        <f t="shared" si="43"/>
        <v>0</v>
      </c>
      <c r="AI49" s="20">
        <f t="shared" si="44"/>
        <v>21.812567748331489</v>
      </c>
      <c r="AJ49" s="20">
        <f t="shared" si="44"/>
        <v>0</v>
      </c>
      <c r="AK49" s="20">
        <f t="shared" si="44"/>
        <v>0</v>
      </c>
      <c r="AL49" s="20">
        <f t="shared" si="44"/>
        <v>0</v>
      </c>
      <c r="AM49" s="20">
        <f t="shared" si="45"/>
        <v>21.812567748331489</v>
      </c>
      <c r="AO49">
        <f t="shared" si="46"/>
        <v>2.1330029278159341</v>
      </c>
      <c r="AP49">
        <f t="shared" si="46"/>
        <v>0</v>
      </c>
      <c r="AQ49">
        <f t="shared" si="46"/>
        <v>0</v>
      </c>
      <c r="AR49">
        <f t="shared" si="46"/>
        <v>0</v>
      </c>
      <c r="AS49">
        <f t="shared" si="47"/>
        <v>2.1330029278159341</v>
      </c>
      <c r="AU49">
        <f t="shared" si="48"/>
        <v>22.107037412933966</v>
      </c>
      <c r="AV49">
        <f t="shared" si="48"/>
        <v>0</v>
      </c>
      <c r="AW49">
        <f t="shared" si="48"/>
        <v>0</v>
      </c>
      <c r="AX49">
        <f t="shared" si="48"/>
        <v>0</v>
      </c>
      <c r="AY49">
        <f t="shared" si="49"/>
        <v>22.107037412933966</v>
      </c>
    </row>
    <row r="50" spans="1:51" ht="15" x14ac:dyDescent="0.25">
      <c r="A50" s="1"/>
      <c r="B50" s="2"/>
      <c r="C50" s="1" t="s">
        <v>10</v>
      </c>
      <c r="D50" s="285">
        <v>0</v>
      </c>
      <c r="E50" s="286">
        <v>1.96858654</v>
      </c>
      <c r="F50" s="286">
        <v>0</v>
      </c>
      <c r="G50" s="286">
        <v>0</v>
      </c>
      <c r="H50" s="287">
        <v>0</v>
      </c>
      <c r="J50">
        <v>0</v>
      </c>
      <c r="K50">
        <v>1.96858654</v>
      </c>
      <c r="L50">
        <v>0</v>
      </c>
      <c r="M50">
        <v>0</v>
      </c>
      <c r="N50">
        <v>0</v>
      </c>
      <c r="O50" s="20"/>
      <c r="P50" s="20"/>
      <c r="Q50" s="147">
        <v>0.43137434354952026</v>
      </c>
      <c r="R50" s="197">
        <v>0.43</v>
      </c>
      <c r="S50" s="197">
        <v>2.83</v>
      </c>
      <c r="T50" s="197">
        <v>0.76744186046511631</v>
      </c>
      <c r="U50" s="197">
        <v>0.76744186046511631</v>
      </c>
      <c r="V50" s="20">
        <f t="shared" si="40"/>
        <v>1.3428650628718917</v>
      </c>
      <c r="W50" s="20">
        <f t="shared" si="40"/>
        <v>0</v>
      </c>
      <c r="X50" s="20">
        <f t="shared" si="40"/>
        <v>0</v>
      </c>
      <c r="Y50" s="20">
        <f t="shared" si="40"/>
        <v>0</v>
      </c>
      <c r="Z50" s="20">
        <f t="shared" si="41"/>
        <v>1.1255290224296377</v>
      </c>
      <c r="AA50" s="20">
        <f t="shared" si="41"/>
        <v>0</v>
      </c>
      <c r="AB50" s="20">
        <f t="shared" si="41"/>
        <v>0</v>
      </c>
      <c r="AC50" s="20">
        <f t="shared" si="41"/>
        <v>0</v>
      </c>
      <c r="AD50" s="20">
        <f t="shared" si="42"/>
        <v>1.1255290224296377</v>
      </c>
      <c r="AE50" s="20">
        <f t="shared" si="43"/>
        <v>13.91782814655031</v>
      </c>
      <c r="AF50" s="20">
        <f t="shared" si="43"/>
        <v>0</v>
      </c>
      <c r="AG50" s="20">
        <f t="shared" si="43"/>
        <v>0</v>
      </c>
      <c r="AH50" s="20">
        <f t="shared" si="43"/>
        <v>0</v>
      </c>
      <c r="AI50" s="20">
        <f t="shared" si="44"/>
        <v>11.66529679060158</v>
      </c>
      <c r="AJ50" s="20">
        <f t="shared" si="44"/>
        <v>0</v>
      </c>
      <c r="AK50" s="20">
        <f t="shared" si="44"/>
        <v>0</v>
      </c>
      <c r="AL50" s="20">
        <f t="shared" si="44"/>
        <v>0</v>
      </c>
      <c r="AM50" s="20">
        <f t="shared" si="45"/>
        <v>11.66529679060158</v>
      </c>
      <c r="AO50">
        <f t="shared" si="46"/>
        <v>1.1407236642324379</v>
      </c>
      <c r="AP50">
        <f t="shared" si="46"/>
        <v>0</v>
      </c>
      <c r="AQ50">
        <f t="shared" si="46"/>
        <v>0</v>
      </c>
      <c r="AR50">
        <f t="shared" si="46"/>
        <v>0</v>
      </c>
      <c r="AS50">
        <f t="shared" si="47"/>
        <v>1.1407236642324379</v>
      </c>
      <c r="AU50">
        <f t="shared" si="48"/>
        <v>11.822778297274702</v>
      </c>
      <c r="AV50">
        <f t="shared" si="48"/>
        <v>0</v>
      </c>
      <c r="AW50">
        <f t="shared" si="48"/>
        <v>0</v>
      </c>
      <c r="AX50">
        <f t="shared" si="48"/>
        <v>0</v>
      </c>
      <c r="AY50">
        <f t="shared" si="49"/>
        <v>11.822778297274702</v>
      </c>
    </row>
    <row r="51" spans="1:51" ht="15" x14ac:dyDescent="0.25">
      <c r="A51" s="1"/>
      <c r="B51" s="2"/>
      <c r="C51" s="1" t="s">
        <v>11</v>
      </c>
      <c r="D51" s="285">
        <v>0</v>
      </c>
      <c r="E51" s="286">
        <v>0</v>
      </c>
      <c r="F51" s="286">
        <v>0</v>
      </c>
      <c r="G51" s="286">
        <v>0</v>
      </c>
      <c r="H51" s="287">
        <v>0</v>
      </c>
      <c r="J51">
        <v>0</v>
      </c>
      <c r="K51">
        <v>0</v>
      </c>
      <c r="L51">
        <v>0</v>
      </c>
      <c r="M51">
        <v>0</v>
      </c>
      <c r="N51">
        <v>0</v>
      </c>
      <c r="O51" s="20"/>
      <c r="P51" s="20"/>
      <c r="Q51" s="147"/>
      <c r="R51" s="197">
        <v>0.43</v>
      </c>
      <c r="S51" s="197">
        <v>2.83</v>
      </c>
      <c r="T51" s="197">
        <v>0.76744186046511631</v>
      </c>
      <c r="U51" s="197">
        <v>0.76744186046511631</v>
      </c>
      <c r="V51" s="20">
        <f t="shared" si="40"/>
        <v>0</v>
      </c>
      <c r="W51" s="20">
        <f t="shared" si="40"/>
        <v>0</v>
      </c>
      <c r="X51" s="20">
        <f t="shared" si="40"/>
        <v>0</v>
      </c>
      <c r="Y51" s="20">
        <f t="shared" si="40"/>
        <v>0</v>
      </c>
      <c r="Z51" s="20">
        <f t="shared" si="41"/>
        <v>0</v>
      </c>
      <c r="AA51" s="20">
        <f t="shared" si="41"/>
        <v>0</v>
      </c>
      <c r="AB51" s="20">
        <f t="shared" si="41"/>
        <v>0</v>
      </c>
      <c r="AC51" s="20">
        <f t="shared" si="41"/>
        <v>0</v>
      </c>
      <c r="AD51" s="20">
        <f t="shared" si="42"/>
        <v>0</v>
      </c>
      <c r="AE51" s="20">
        <f t="shared" si="43"/>
        <v>0</v>
      </c>
      <c r="AF51" s="20">
        <f t="shared" si="43"/>
        <v>0</v>
      </c>
      <c r="AG51" s="20">
        <f t="shared" si="43"/>
        <v>0</v>
      </c>
      <c r="AH51" s="20">
        <f t="shared" si="43"/>
        <v>0</v>
      </c>
      <c r="AI51" s="20">
        <f t="shared" si="44"/>
        <v>0</v>
      </c>
      <c r="AJ51" s="20">
        <f t="shared" si="44"/>
        <v>0</v>
      </c>
      <c r="AK51" s="20">
        <f t="shared" si="44"/>
        <v>0</v>
      </c>
      <c r="AL51" s="20">
        <f t="shared" si="44"/>
        <v>0</v>
      </c>
      <c r="AM51" s="20">
        <f t="shared" si="45"/>
        <v>0</v>
      </c>
      <c r="AO51">
        <f t="shared" si="46"/>
        <v>0</v>
      </c>
      <c r="AP51">
        <f t="shared" si="46"/>
        <v>0</v>
      </c>
      <c r="AQ51">
        <f t="shared" si="46"/>
        <v>0</v>
      </c>
      <c r="AR51">
        <f t="shared" si="46"/>
        <v>0</v>
      </c>
      <c r="AS51">
        <f t="shared" si="47"/>
        <v>0</v>
      </c>
      <c r="AU51">
        <f t="shared" si="48"/>
        <v>0</v>
      </c>
      <c r="AV51">
        <f t="shared" si="48"/>
        <v>0</v>
      </c>
      <c r="AW51">
        <f t="shared" si="48"/>
        <v>0</v>
      </c>
      <c r="AX51">
        <f t="shared" si="48"/>
        <v>0</v>
      </c>
      <c r="AY51">
        <f t="shared" si="49"/>
        <v>0</v>
      </c>
    </row>
    <row r="52" spans="1:51" ht="15" x14ac:dyDescent="0.25">
      <c r="A52" s="1"/>
      <c r="B52" s="2"/>
      <c r="C52" s="1" t="s">
        <v>12</v>
      </c>
      <c r="D52" s="285">
        <v>0</v>
      </c>
      <c r="E52" s="286">
        <v>0</v>
      </c>
      <c r="F52" s="286">
        <v>0</v>
      </c>
      <c r="G52" s="286">
        <v>0</v>
      </c>
      <c r="H52" s="287">
        <v>0</v>
      </c>
      <c r="J52">
        <v>0</v>
      </c>
      <c r="K52">
        <v>0</v>
      </c>
      <c r="L52">
        <v>0</v>
      </c>
      <c r="M52">
        <v>0</v>
      </c>
      <c r="N52">
        <v>0</v>
      </c>
      <c r="O52" s="20"/>
      <c r="P52" s="20"/>
      <c r="Q52" s="147"/>
      <c r="R52" s="197">
        <v>0.43</v>
      </c>
      <c r="S52" s="197">
        <v>2.83</v>
      </c>
      <c r="T52" s="197">
        <v>0.76744186046511631</v>
      </c>
      <c r="U52" s="197">
        <v>0.76744186046511631</v>
      </c>
      <c r="V52" s="20">
        <f t="shared" si="40"/>
        <v>0</v>
      </c>
      <c r="W52" s="20">
        <f t="shared" si="40"/>
        <v>0</v>
      </c>
      <c r="X52" s="20">
        <f t="shared" si="40"/>
        <v>0</v>
      </c>
      <c r="Y52" s="20">
        <f t="shared" si="40"/>
        <v>0</v>
      </c>
      <c r="Z52" s="20">
        <f t="shared" si="41"/>
        <v>0</v>
      </c>
      <c r="AA52" s="20">
        <f t="shared" si="41"/>
        <v>0</v>
      </c>
      <c r="AB52" s="20">
        <f t="shared" si="41"/>
        <v>0</v>
      </c>
      <c r="AC52" s="20">
        <f t="shared" si="41"/>
        <v>0</v>
      </c>
      <c r="AD52" s="20">
        <f t="shared" si="42"/>
        <v>0</v>
      </c>
      <c r="AE52" s="20">
        <f t="shared" si="43"/>
        <v>0</v>
      </c>
      <c r="AF52" s="20">
        <f t="shared" si="43"/>
        <v>0</v>
      </c>
      <c r="AG52" s="20">
        <f t="shared" si="43"/>
        <v>0</v>
      </c>
      <c r="AH52" s="20">
        <f t="shared" si="43"/>
        <v>0</v>
      </c>
      <c r="AI52" s="20">
        <f t="shared" si="44"/>
        <v>0</v>
      </c>
      <c r="AJ52" s="20">
        <f t="shared" si="44"/>
        <v>0</v>
      </c>
      <c r="AK52" s="20">
        <f t="shared" si="44"/>
        <v>0</v>
      </c>
      <c r="AL52" s="20">
        <f t="shared" si="44"/>
        <v>0</v>
      </c>
      <c r="AM52" s="20">
        <f t="shared" si="45"/>
        <v>0</v>
      </c>
      <c r="AO52">
        <f t="shared" si="46"/>
        <v>0</v>
      </c>
      <c r="AP52">
        <f t="shared" si="46"/>
        <v>0</v>
      </c>
      <c r="AQ52">
        <f t="shared" si="46"/>
        <v>0</v>
      </c>
      <c r="AR52">
        <f t="shared" si="46"/>
        <v>0</v>
      </c>
      <c r="AS52">
        <f t="shared" si="47"/>
        <v>0</v>
      </c>
      <c r="AU52">
        <f t="shared" si="48"/>
        <v>0</v>
      </c>
      <c r="AV52">
        <f t="shared" si="48"/>
        <v>0</v>
      </c>
      <c r="AW52">
        <f t="shared" si="48"/>
        <v>0</v>
      </c>
      <c r="AX52">
        <f t="shared" si="48"/>
        <v>0</v>
      </c>
      <c r="AY52">
        <f t="shared" si="49"/>
        <v>0</v>
      </c>
    </row>
    <row r="53" spans="1:51" ht="15" x14ac:dyDescent="0.25">
      <c r="A53" s="1"/>
      <c r="B53" s="2"/>
      <c r="C53" s="1" t="s">
        <v>13</v>
      </c>
      <c r="D53" s="285">
        <v>0</v>
      </c>
      <c r="E53" s="286">
        <v>0</v>
      </c>
      <c r="F53" s="286">
        <v>0</v>
      </c>
      <c r="G53" s="286">
        <v>0</v>
      </c>
      <c r="H53" s="287">
        <v>0</v>
      </c>
      <c r="J53">
        <v>0</v>
      </c>
      <c r="K53">
        <v>0</v>
      </c>
      <c r="L53">
        <v>0</v>
      </c>
      <c r="M53">
        <v>0</v>
      </c>
      <c r="N53">
        <v>0</v>
      </c>
      <c r="O53" s="20"/>
      <c r="P53" s="20"/>
      <c r="Q53" s="147"/>
      <c r="R53" s="197">
        <v>0.43</v>
      </c>
      <c r="S53" s="197">
        <v>2.83</v>
      </c>
      <c r="T53" s="197">
        <v>0.76744186046511631</v>
      </c>
      <c r="U53" s="197">
        <v>0.76744186046511631</v>
      </c>
      <c r="V53" s="20">
        <f t="shared" si="40"/>
        <v>0</v>
      </c>
      <c r="W53" s="20">
        <f t="shared" si="40"/>
        <v>0</v>
      </c>
      <c r="X53" s="20">
        <f t="shared" si="40"/>
        <v>0</v>
      </c>
      <c r="Y53" s="20">
        <f t="shared" si="40"/>
        <v>0</v>
      </c>
      <c r="Z53" s="20">
        <f t="shared" si="41"/>
        <v>0</v>
      </c>
      <c r="AA53" s="20">
        <f t="shared" si="41"/>
        <v>0</v>
      </c>
      <c r="AB53" s="20">
        <f t="shared" si="41"/>
        <v>0</v>
      </c>
      <c r="AC53" s="20">
        <f t="shared" si="41"/>
        <v>0</v>
      </c>
      <c r="AD53" s="20">
        <f t="shared" si="42"/>
        <v>0</v>
      </c>
      <c r="AE53" s="20">
        <f t="shared" si="43"/>
        <v>0</v>
      </c>
      <c r="AF53" s="20">
        <f t="shared" si="43"/>
        <v>0</v>
      </c>
      <c r="AG53" s="20">
        <f t="shared" si="43"/>
        <v>0</v>
      </c>
      <c r="AH53" s="20">
        <f t="shared" si="43"/>
        <v>0</v>
      </c>
      <c r="AI53" s="20">
        <f t="shared" si="44"/>
        <v>0</v>
      </c>
      <c r="AJ53" s="20">
        <f t="shared" si="44"/>
        <v>0</v>
      </c>
      <c r="AK53" s="20">
        <f t="shared" si="44"/>
        <v>0</v>
      </c>
      <c r="AL53" s="20">
        <f t="shared" si="44"/>
        <v>0</v>
      </c>
      <c r="AM53" s="20">
        <f t="shared" si="45"/>
        <v>0</v>
      </c>
      <c r="AO53">
        <f t="shared" si="46"/>
        <v>0</v>
      </c>
      <c r="AP53">
        <f t="shared" si="46"/>
        <v>0</v>
      </c>
      <c r="AQ53">
        <f t="shared" si="46"/>
        <v>0</v>
      </c>
      <c r="AR53">
        <f t="shared" si="46"/>
        <v>0</v>
      </c>
      <c r="AS53">
        <f t="shared" si="47"/>
        <v>0</v>
      </c>
      <c r="AU53">
        <f t="shared" si="48"/>
        <v>0</v>
      </c>
      <c r="AV53">
        <f t="shared" si="48"/>
        <v>0</v>
      </c>
      <c r="AW53">
        <f t="shared" si="48"/>
        <v>0</v>
      </c>
      <c r="AX53">
        <f t="shared" si="48"/>
        <v>0</v>
      </c>
      <c r="AY53">
        <f t="shared" si="49"/>
        <v>0</v>
      </c>
    </row>
    <row r="54" spans="1:51" ht="15" x14ac:dyDescent="0.25">
      <c r="A54" s="7"/>
      <c r="B54" s="8" t="s">
        <v>14</v>
      </c>
      <c r="C54" s="7"/>
      <c r="D54" s="288">
        <f>SUM(D48:D53)</f>
        <v>0</v>
      </c>
      <c r="E54" s="289">
        <f>SUM(E48:E53)</f>
        <v>6.5815127399999991</v>
      </c>
      <c r="F54" s="289">
        <f>SUM(F48:F53)</f>
        <v>0</v>
      </c>
      <c r="G54" s="289">
        <f>SUM(G48:G53)</f>
        <v>3.41090888</v>
      </c>
      <c r="H54" s="290">
        <f>SUM(H48:H53)</f>
        <v>3.39066695</v>
      </c>
      <c r="J54">
        <v>0</v>
      </c>
      <c r="K54">
        <v>6.0325966952329999</v>
      </c>
      <c r="L54">
        <v>0</v>
      </c>
      <c r="M54">
        <v>0.40126053755000024</v>
      </c>
      <c r="N54">
        <v>3.39066695</v>
      </c>
      <c r="O54" s="20"/>
      <c r="P54" s="20"/>
      <c r="Q54" s="147"/>
      <c r="R54" s="197"/>
      <c r="S54" s="197"/>
      <c r="T54" s="197"/>
      <c r="U54" s="197"/>
    </row>
    <row r="55" spans="1:51" ht="15" x14ac:dyDescent="0.25">
      <c r="A55" s="10"/>
      <c r="B55" s="9" t="s">
        <v>15</v>
      </c>
      <c r="C55" s="5"/>
      <c r="D55" s="291"/>
      <c r="E55" s="292"/>
      <c r="F55" s="292"/>
      <c r="G55" s="292"/>
      <c r="H55" s="293">
        <f>SUM(D54:H54)</f>
        <v>13.383088569999998</v>
      </c>
      <c r="N55">
        <v>9.8245241827829997</v>
      </c>
      <c r="O55" s="20"/>
      <c r="P55" s="20"/>
      <c r="Q55" s="147"/>
      <c r="R55" s="197"/>
      <c r="S55" s="197"/>
      <c r="T55" s="197"/>
      <c r="U55" s="197"/>
    </row>
    <row r="56" spans="1:51" ht="15.75" thickBot="1" x14ac:dyDescent="0.3">
      <c r="A56" s="1"/>
      <c r="B56" s="2"/>
      <c r="C56" s="1"/>
      <c r="D56" s="294"/>
      <c r="E56" s="295"/>
      <c r="F56" s="295"/>
      <c r="G56" s="295"/>
      <c r="H56" s="296"/>
      <c r="O56" s="20"/>
      <c r="P56" s="20"/>
      <c r="Q56" s="147"/>
      <c r="R56" s="197"/>
      <c r="S56" s="197"/>
      <c r="T56" s="197"/>
      <c r="U56" s="197"/>
    </row>
    <row r="57" spans="1:51" ht="15" x14ac:dyDescent="0.25">
      <c r="A57" s="1">
        <v>6</v>
      </c>
      <c r="B57" s="2" t="s">
        <v>20</v>
      </c>
      <c r="C57" s="1" t="s">
        <v>8</v>
      </c>
      <c r="D57" s="285">
        <v>0</v>
      </c>
      <c r="E57" s="286">
        <v>0</v>
      </c>
      <c r="F57" s="286">
        <v>0</v>
      </c>
      <c r="G57" s="286">
        <v>1.81947269</v>
      </c>
      <c r="H57" s="287">
        <v>0</v>
      </c>
      <c r="J57">
        <v>0</v>
      </c>
      <c r="K57">
        <v>0</v>
      </c>
      <c r="L57">
        <v>0</v>
      </c>
      <c r="M57">
        <v>1.81947269</v>
      </c>
      <c r="N57">
        <v>0</v>
      </c>
      <c r="O57" s="20"/>
      <c r="P57" s="20"/>
      <c r="Q57" s="147">
        <v>0.45799222531803646</v>
      </c>
      <c r="R57" s="197">
        <v>0.33900000000000002</v>
      </c>
      <c r="S57" s="197">
        <v>1.9830000000000001</v>
      </c>
      <c r="T57" s="197">
        <v>0.76146788990825687</v>
      </c>
      <c r="U57" s="197">
        <v>0.76146788990825687</v>
      </c>
      <c r="V57" s="20">
        <f t="shared" ref="V57:Y62" si="50">IF(K57&gt;0,((E57-K57)*$Q57*$R57*10)+(K57*$O$12*$Q57*$R57*10),(E57*$Q57*$R57*10))</f>
        <v>0</v>
      </c>
      <c r="W57" s="20">
        <f t="shared" si="50"/>
        <v>0</v>
      </c>
      <c r="X57" s="20">
        <f t="shared" si="50"/>
        <v>1.038863390026298</v>
      </c>
      <c r="Y57" s="20">
        <f t="shared" si="50"/>
        <v>0</v>
      </c>
      <c r="Z57" s="20">
        <f t="shared" ref="Z57:AC62" si="51">V57*(EXP(1.01-0.34*LN(Z$8))*(1-$T57)+(1*$T57))</f>
        <v>0</v>
      </c>
      <c r="AA57" s="20">
        <f t="shared" si="51"/>
        <v>0</v>
      </c>
      <c r="AB57" s="20">
        <f t="shared" si="51"/>
        <v>0.87319254816703962</v>
      </c>
      <c r="AC57" s="20">
        <f t="shared" si="51"/>
        <v>0</v>
      </c>
      <c r="AD57" s="20">
        <f t="shared" ref="AD57:AD62" si="52">SUM(Z57:AC57)</f>
        <v>0.87319254816703962</v>
      </c>
      <c r="AE57" s="20">
        <f t="shared" ref="AE57:AH62" si="53">IF(K57&gt;0,((E57-K57)*$Q57*$S57*10)+(K57*$P$12*$Q57*$S57)*10,(E57*$Q57*$S57*10))</f>
        <v>0</v>
      </c>
      <c r="AF57" s="20">
        <f t="shared" si="53"/>
        <v>0</v>
      </c>
      <c r="AG57" s="20">
        <f t="shared" si="53"/>
        <v>9.5697936320676789</v>
      </c>
      <c r="AH57" s="20">
        <f t="shared" si="53"/>
        <v>0</v>
      </c>
      <c r="AI57" s="20">
        <f t="shared" ref="AI57:AL62" si="54">AE57*(EXP(1.01-0.34*LN(AI$8))*(1-$T57)+(1*$T57))</f>
        <v>0</v>
      </c>
      <c r="AJ57" s="20">
        <f t="shared" si="54"/>
        <v>0</v>
      </c>
      <c r="AK57" s="20">
        <f t="shared" si="54"/>
        <v>8.0436682698062487</v>
      </c>
      <c r="AL57" s="20">
        <f t="shared" si="54"/>
        <v>0</v>
      </c>
      <c r="AM57" s="20">
        <f t="shared" ref="AM57:AM62" si="55">SUM(AI57:AL57)</f>
        <v>8.0436682698062487</v>
      </c>
      <c r="AO57">
        <f t="shared" ref="AO57:AR62" si="56">Z57*AO$10</f>
        <v>0</v>
      </c>
      <c r="AP57">
        <f t="shared" si="56"/>
        <v>0</v>
      </c>
      <c r="AQ57">
        <f t="shared" si="56"/>
        <v>0.88498064756729466</v>
      </c>
      <c r="AR57">
        <f t="shared" si="56"/>
        <v>0</v>
      </c>
      <c r="AS57">
        <f t="shared" ref="AS57:AS62" si="57">SUM(AO57:AR57)</f>
        <v>0.88498064756729466</v>
      </c>
      <c r="AU57">
        <f t="shared" ref="AU57:AX62" si="58">AI57*AU$10</f>
        <v>0</v>
      </c>
      <c r="AV57">
        <f t="shared" si="58"/>
        <v>0</v>
      </c>
      <c r="AW57">
        <f t="shared" si="58"/>
        <v>8.1522577914486334</v>
      </c>
      <c r="AX57">
        <f t="shared" si="58"/>
        <v>0</v>
      </c>
      <c r="AY57">
        <f t="shared" ref="AY57:AY62" si="59">SUM(AU57:AX57)</f>
        <v>8.1522577914486334</v>
      </c>
    </row>
    <row r="58" spans="1:51" ht="15" x14ac:dyDescent="0.25">
      <c r="A58" s="1"/>
      <c r="B58" s="2"/>
      <c r="C58" s="1" t="s">
        <v>9</v>
      </c>
      <c r="D58" s="285">
        <v>0</v>
      </c>
      <c r="E58" s="286">
        <v>0</v>
      </c>
      <c r="F58" s="286">
        <v>0</v>
      </c>
      <c r="G58" s="286">
        <v>0</v>
      </c>
      <c r="H58" s="287">
        <v>0</v>
      </c>
      <c r="J58">
        <v>0</v>
      </c>
      <c r="K58">
        <v>0</v>
      </c>
      <c r="L58">
        <v>0</v>
      </c>
      <c r="M58">
        <v>0</v>
      </c>
      <c r="N58">
        <v>0</v>
      </c>
      <c r="O58" s="20"/>
      <c r="P58" s="20"/>
      <c r="Q58" s="147"/>
      <c r="R58" s="197">
        <v>0.33900000000000002</v>
      </c>
      <c r="S58" s="197">
        <v>1.9830000000000001</v>
      </c>
      <c r="T58" s="197">
        <v>0.76146788990825687</v>
      </c>
      <c r="U58" s="197">
        <v>0.76146788990825687</v>
      </c>
      <c r="V58" s="20">
        <f t="shared" si="50"/>
        <v>0</v>
      </c>
      <c r="W58" s="20">
        <f t="shared" si="50"/>
        <v>0</v>
      </c>
      <c r="X58" s="20">
        <f t="shared" si="50"/>
        <v>0</v>
      </c>
      <c r="Y58" s="20">
        <f t="shared" si="50"/>
        <v>0</v>
      </c>
      <c r="Z58" s="20">
        <f t="shared" si="51"/>
        <v>0</v>
      </c>
      <c r="AA58" s="20">
        <f t="shared" si="51"/>
        <v>0</v>
      </c>
      <c r="AB58" s="20">
        <f t="shared" si="51"/>
        <v>0</v>
      </c>
      <c r="AC58" s="20">
        <f t="shared" si="51"/>
        <v>0</v>
      </c>
      <c r="AD58" s="20">
        <f t="shared" si="52"/>
        <v>0</v>
      </c>
      <c r="AE58" s="20">
        <f t="shared" si="53"/>
        <v>0</v>
      </c>
      <c r="AF58" s="20">
        <f t="shared" si="53"/>
        <v>0</v>
      </c>
      <c r="AG58" s="20">
        <f t="shared" si="53"/>
        <v>0</v>
      </c>
      <c r="AH58" s="20">
        <f t="shared" si="53"/>
        <v>0</v>
      </c>
      <c r="AI58" s="20">
        <f t="shared" si="54"/>
        <v>0</v>
      </c>
      <c r="AJ58" s="20">
        <f t="shared" si="54"/>
        <v>0</v>
      </c>
      <c r="AK58" s="20">
        <f t="shared" si="54"/>
        <v>0</v>
      </c>
      <c r="AL58" s="20">
        <f t="shared" si="54"/>
        <v>0</v>
      </c>
      <c r="AM58" s="20">
        <f t="shared" si="55"/>
        <v>0</v>
      </c>
      <c r="AO58">
        <f t="shared" si="56"/>
        <v>0</v>
      </c>
      <c r="AP58">
        <f t="shared" si="56"/>
        <v>0</v>
      </c>
      <c r="AQ58">
        <f t="shared" si="56"/>
        <v>0</v>
      </c>
      <c r="AR58">
        <f t="shared" si="56"/>
        <v>0</v>
      </c>
      <c r="AS58">
        <f t="shared" si="57"/>
        <v>0</v>
      </c>
      <c r="AU58">
        <f t="shared" si="58"/>
        <v>0</v>
      </c>
      <c r="AV58">
        <f t="shared" si="58"/>
        <v>0</v>
      </c>
      <c r="AW58">
        <f t="shared" si="58"/>
        <v>0</v>
      </c>
      <c r="AX58">
        <f t="shared" si="58"/>
        <v>0</v>
      </c>
      <c r="AY58">
        <f t="shared" si="59"/>
        <v>0</v>
      </c>
    </row>
    <row r="59" spans="1:51" ht="15" x14ac:dyDescent="0.25">
      <c r="A59" s="1"/>
      <c r="B59" s="2"/>
      <c r="C59" s="1" t="s">
        <v>10</v>
      </c>
      <c r="D59" s="285">
        <v>0</v>
      </c>
      <c r="E59" s="286">
        <v>0</v>
      </c>
      <c r="F59" s="286">
        <v>0</v>
      </c>
      <c r="G59" s="286">
        <v>0</v>
      </c>
      <c r="H59" s="287">
        <v>0</v>
      </c>
      <c r="J59">
        <v>0</v>
      </c>
      <c r="K59">
        <v>0</v>
      </c>
      <c r="L59">
        <v>0</v>
      </c>
      <c r="M59">
        <v>0</v>
      </c>
      <c r="N59">
        <v>0</v>
      </c>
      <c r="O59" s="20"/>
      <c r="P59" s="20"/>
      <c r="Q59" s="147"/>
      <c r="R59" s="197">
        <v>0.33900000000000002</v>
      </c>
      <c r="S59" s="197">
        <v>1.9830000000000001</v>
      </c>
      <c r="T59" s="197">
        <v>0.76146788990825687</v>
      </c>
      <c r="U59" s="197">
        <v>0.76146788990825687</v>
      </c>
      <c r="V59" s="20">
        <f t="shared" si="50"/>
        <v>0</v>
      </c>
      <c r="W59" s="20">
        <f t="shared" si="50"/>
        <v>0</v>
      </c>
      <c r="X59" s="20">
        <f t="shared" si="50"/>
        <v>0</v>
      </c>
      <c r="Y59" s="20">
        <f t="shared" si="50"/>
        <v>0</v>
      </c>
      <c r="Z59" s="20">
        <f t="shared" si="51"/>
        <v>0</v>
      </c>
      <c r="AA59" s="20">
        <f t="shared" si="51"/>
        <v>0</v>
      </c>
      <c r="AB59" s="20">
        <f t="shared" si="51"/>
        <v>0</v>
      </c>
      <c r="AC59" s="20">
        <f t="shared" si="51"/>
        <v>0</v>
      </c>
      <c r="AD59" s="20">
        <f t="shared" si="52"/>
        <v>0</v>
      </c>
      <c r="AE59" s="20">
        <f t="shared" si="53"/>
        <v>0</v>
      </c>
      <c r="AF59" s="20">
        <f t="shared" si="53"/>
        <v>0</v>
      </c>
      <c r="AG59" s="20">
        <f t="shared" si="53"/>
        <v>0</v>
      </c>
      <c r="AH59" s="20">
        <f t="shared" si="53"/>
        <v>0</v>
      </c>
      <c r="AI59" s="20">
        <f t="shared" si="54"/>
        <v>0</v>
      </c>
      <c r="AJ59" s="20">
        <f t="shared" si="54"/>
        <v>0</v>
      </c>
      <c r="AK59" s="20">
        <f t="shared" si="54"/>
        <v>0</v>
      </c>
      <c r="AL59" s="20">
        <f t="shared" si="54"/>
        <v>0</v>
      </c>
      <c r="AM59" s="20">
        <f t="shared" si="55"/>
        <v>0</v>
      </c>
      <c r="AO59">
        <f t="shared" si="56"/>
        <v>0</v>
      </c>
      <c r="AP59">
        <f t="shared" si="56"/>
        <v>0</v>
      </c>
      <c r="AQ59">
        <f t="shared" si="56"/>
        <v>0</v>
      </c>
      <c r="AR59">
        <f t="shared" si="56"/>
        <v>0</v>
      </c>
      <c r="AS59">
        <f t="shared" si="57"/>
        <v>0</v>
      </c>
      <c r="AU59">
        <f t="shared" si="58"/>
        <v>0</v>
      </c>
      <c r="AV59">
        <f t="shared" si="58"/>
        <v>0</v>
      </c>
      <c r="AW59">
        <f t="shared" si="58"/>
        <v>0</v>
      </c>
      <c r="AX59">
        <f t="shared" si="58"/>
        <v>0</v>
      </c>
      <c r="AY59">
        <f t="shared" si="59"/>
        <v>0</v>
      </c>
    </row>
    <row r="60" spans="1:51" ht="15" x14ac:dyDescent="0.25">
      <c r="A60" s="1"/>
      <c r="B60" s="2"/>
      <c r="C60" s="1" t="s">
        <v>11</v>
      </c>
      <c r="D60" s="285">
        <v>0</v>
      </c>
      <c r="E60" s="286">
        <v>0</v>
      </c>
      <c r="F60" s="286">
        <v>0</v>
      </c>
      <c r="G60" s="286">
        <v>0</v>
      </c>
      <c r="H60" s="287">
        <v>0</v>
      </c>
      <c r="J60">
        <v>0</v>
      </c>
      <c r="K60">
        <v>0</v>
      </c>
      <c r="L60">
        <v>0</v>
      </c>
      <c r="M60">
        <v>0</v>
      </c>
      <c r="N60">
        <v>0</v>
      </c>
      <c r="O60" s="20"/>
      <c r="P60" s="20"/>
      <c r="Q60" s="147"/>
      <c r="R60" s="197">
        <v>0.33900000000000002</v>
      </c>
      <c r="S60" s="197">
        <v>1.9830000000000001</v>
      </c>
      <c r="T60" s="197">
        <v>0.76146788990825687</v>
      </c>
      <c r="U60" s="197">
        <v>0.76146788990825687</v>
      </c>
      <c r="V60" s="20">
        <f t="shared" si="50"/>
        <v>0</v>
      </c>
      <c r="W60" s="20">
        <f t="shared" si="50"/>
        <v>0</v>
      </c>
      <c r="X60" s="20">
        <f t="shared" si="50"/>
        <v>0</v>
      </c>
      <c r="Y60" s="20">
        <f t="shared" si="50"/>
        <v>0</v>
      </c>
      <c r="Z60" s="20">
        <f t="shared" si="51"/>
        <v>0</v>
      </c>
      <c r="AA60" s="20">
        <f t="shared" si="51"/>
        <v>0</v>
      </c>
      <c r="AB60" s="20">
        <f t="shared" si="51"/>
        <v>0</v>
      </c>
      <c r="AC60" s="20">
        <f t="shared" si="51"/>
        <v>0</v>
      </c>
      <c r="AD60" s="20">
        <f t="shared" si="52"/>
        <v>0</v>
      </c>
      <c r="AE60" s="20">
        <f t="shared" si="53"/>
        <v>0</v>
      </c>
      <c r="AF60" s="20">
        <f t="shared" si="53"/>
        <v>0</v>
      </c>
      <c r="AG60" s="20">
        <f t="shared" si="53"/>
        <v>0</v>
      </c>
      <c r="AH60" s="20">
        <f t="shared" si="53"/>
        <v>0</v>
      </c>
      <c r="AI60" s="20">
        <f t="shared" si="54"/>
        <v>0</v>
      </c>
      <c r="AJ60" s="20">
        <f t="shared" si="54"/>
        <v>0</v>
      </c>
      <c r="AK60" s="20">
        <f t="shared" si="54"/>
        <v>0</v>
      </c>
      <c r="AL60" s="20">
        <f t="shared" si="54"/>
        <v>0</v>
      </c>
      <c r="AM60" s="20">
        <f t="shared" si="55"/>
        <v>0</v>
      </c>
      <c r="AO60">
        <f t="shared" si="56"/>
        <v>0</v>
      </c>
      <c r="AP60">
        <f t="shared" si="56"/>
        <v>0</v>
      </c>
      <c r="AQ60">
        <f t="shared" si="56"/>
        <v>0</v>
      </c>
      <c r="AR60">
        <f t="shared" si="56"/>
        <v>0</v>
      </c>
      <c r="AS60">
        <f t="shared" si="57"/>
        <v>0</v>
      </c>
      <c r="AU60">
        <f t="shared" si="58"/>
        <v>0</v>
      </c>
      <c r="AV60">
        <f t="shared" si="58"/>
        <v>0</v>
      </c>
      <c r="AW60">
        <f t="shared" si="58"/>
        <v>0</v>
      </c>
      <c r="AX60">
        <f t="shared" si="58"/>
        <v>0</v>
      </c>
      <c r="AY60">
        <f t="shared" si="59"/>
        <v>0</v>
      </c>
    </row>
    <row r="61" spans="1:51" ht="15" x14ac:dyDescent="0.25">
      <c r="A61" s="1"/>
      <c r="B61" s="2"/>
      <c r="C61" s="1" t="s">
        <v>12</v>
      </c>
      <c r="D61" s="285">
        <v>0</v>
      </c>
      <c r="E61" s="286">
        <v>0</v>
      </c>
      <c r="F61" s="286">
        <v>0</v>
      </c>
      <c r="G61" s="286">
        <v>0</v>
      </c>
      <c r="H61" s="287">
        <v>0</v>
      </c>
      <c r="J61">
        <v>0</v>
      </c>
      <c r="K61">
        <v>0</v>
      </c>
      <c r="L61">
        <v>0</v>
      </c>
      <c r="M61">
        <v>0</v>
      </c>
      <c r="N61">
        <v>0</v>
      </c>
      <c r="O61" s="20"/>
      <c r="P61" s="20"/>
      <c r="Q61" s="147"/>
      <c r="R61" s="197">
        <v>0.33900000000000002</v>
      </c>
      <c r="S61" s="197">
        <v>1.9830000000000001</v>
      </c>
      <c r="T61" s="197">
        <v>0.76146788990825687</v>
      </c>
      <c r="U61" s="197">
        <v>0.76146788990825687</v>
      </c>
      <c r="V61" s="20">
        <f t="shared" si="50"/>
        <v>0</v>
      </c>
      <c r="W61" s="20">
        <f t="shared" si="50"/>
        <v>0</v>
      </c>
      <c r="X61" s="20">
        <f t="shared" si="50"/>
        <v>0</v>
      </c>
      <c r="Y61" s="20">
        <f t="shared" si="50"/>
        <v>0</v>
      </c>
      <c r="Z61" s="20">
        <f t="shared" si="51"/>
        <v>0</v>
      </c>
      <c r="AA61" s="20">
        <f t="shared" si="51"/>
        <v>0</v>
      </c>
      <c r="AB61" s="20">
        <f t="shared" si="51"/>
        <v>0</v>
      </c>
      <c r="AC61" s="20">
        <f t="shared" si="51"/>
        <v>0</v>
      </c>
      <c r="AD61" s="20">
        <f t="shared" si="52"/>
        <v>0</v>
      </c>
      <c r="AE61" s="20">
        <f t="shared" si="53"/>
        <v>0</v>
      </c>
      <c r="AF61" s="20">
        <f t="shared" si="53"/>
        <v>0</v>
      </c>
      <c r="AG61" s="20">
        <f t="shared" si="53"/>
        <v>0</v>
      </c>
      <c r="AH61" s="20">
        <f t="shared" si="53"/>
        <v>0</v>
      </c>
      <c r="AI61" s="20">
        <f t="shared" si="54"/>
        <v>0</v>
      </c>
      <c r="AJ61" s="20">
        <f t="shared" si="54"/>
        <v>0</v>
      </c>
      <c r="AK61" s="20">
        <f t="shared" si="54"/>
        <v>0</v>
      </c>
      <c r="AL61" s="20">
        <f t="shared" si="54"/>
        <v>0</v>
      </c>
      <c r="AM61" s="20">
        <f t="shared" si="55"/>
        <v>0</v>
      </c>
      <c r="AO61">
        <f t="shared" si="56"/>
        <v>0</v>
      </c>
      <c r="AP61">
        <f t="shared" si="56"/>
        <v>0</v>
      </c>
      <c r="AQ61">
        <f t="shared" si="56"/>
        <v>0</v>
      </c>
      <c r="AR61">
        <f t="shared" si="56"/>
        <v>0</v>
      </c>
      <c r="AS61">
        <f t="shared" si="57"/>
        <v>0</v>
      </c>
      <c r="AU61">
        <f t="shared" si="58"/>
        <v>0</v>
      </c>
      <c r="AV61">
        <f t="shared" si="58"/>
        <v>0</v>
      </c>
      <c r="AW61">
        <f t="shared" si="58"/>
        <v>0</v>
      </c>
      <c r="AX61">
        <f t="shared" si="58"/>
        <v>0</v>
      </c>
      <c r="AY61">
        <f t="shared" si="59"/>
        <v>0</v>
      </c>
    </row>
    <row r="62" spans="1:51" ht="15" x14ac:dyDescent="0.25">
      <c r="A62" s="1"/>
      <c r="B62" s="2"/>
      <c r="C62" s="1" t="s">
        <v>13</v>
      </c>
      <c r="D62" s="285">
        <v>0</v>
      </c>
      <c r="E62" s="286">
        <v>0</v>
      </c>
      <c r="F62" s="286">
        <v>0</v>
      </c>
      <c r="G62" s="286">
        <v>0</v>
      </c>
      <c r="H62" s="287">
        <v>0</v>
      </c>
      <c r="J62">
        <v>0</v>
      </c>
      <c r="K62">
        <v>0</v>
      </c>
      <c r="L62">
        <v>0</v>
      </c>
      <c r="M62">
        <v>0</v>
      </c>
      <c r="N62">
        <v>0</v>
      </c>
      <c r="O62" s="20"/>
      <c r="P62" s="20"/>
      <c r="Q62" s="147"/>
      <c r="R62" s="197">
        <v>0.33900000000000002</v>
      </c>
      <c r="S62" s="197">
        <v>1.9830000000000001</v>
      </c>
      <c r="T62" s="197">
        <v>0.76146788990825687</v>
      </c>
      <c r="U62" s="197">
        <v>0.76146788990825687</v>
      </c>
      <c r="V62" s="20">
        <f t="shared" si="50"/>
        <v>0</v>
      </c>
      <c r="W62" s="20">
        <f t="shared" si="50"/>
        <v>0</v>
      </c>
      <c r="X62" s="20">
        <f t="shared" si="50"/>
        <v>0</v>
      </c>
      <c r="Y62" s="20">
        <f t="shared" si="50"/>
        <v>0</v>
      </c>
      <c r="Z62" s="20">
        <f t="shared" si="51"/>
        <v>0</v>
      </c>
      <c r="AA62" s="20">
        <f t="shared" si="51"/>
        <v>0</v>
      </c>
      <c r="AB62" s="20">
        <f t="shared" si="51"/>
        <v>0</v>
      </c>
      <c r="AC62" s="20">
        <f t="shared" si="51"/>
        <v>0</v>
      </c>
      <c r="AD62" s="20">
        <f t="shared" si="52"/>
        <v>0</v>
      </c>
      <c r="AE62" s="20">
        <f t="shared" si="53"/>
        <v>0</v>
      </c>
      <c r="AF62" s="20">
        <f t="shared" si="53"/>
        <v>0</v>
      </c>
      <c r="AG62" s="20">
        <f t="shared" si="53"/>
        <v>0</v>
      </c>
      <c r="AH62" s="20">
        <f t="shared" si="53"/>
        <v>0</v>
      </c>
      <c r="AI62" s="20">
        <f t="shared" si="54"/>
        <v>0</v>
      </c>
      <c r="AJ62" s="20">
        <f t="shared" si="54"/>
        <v>0</v>
      </c>
      <c r="AK62" s="20">
        <f t="shared" si="54"/>
        <v>0</v>
      </c>
      <c r="AL62" s="20">
        <f t="shared" si="54"/>
        <v>0</v>
      </c>
      <c r="AM62" s="20">
        <f t="shared" si="55"/>
        <v>0</v>
      </c>
      <c r="AO62">
        <f t="shared" si="56"/>
        <v>0</v>
      </c>
      <c r="AP62">
        <f t="shared" si="56"/>
        <v>0</v>
      </c>
      <c r="AQ62">
        <f t="shared" si="56"/>
        <v>0</v>
      </c>
      <c r="AR62">
        <f t="shared" si="56"/>
        <v>0</v>
      </c>
      <c r="AS62">
        <f t="shared" si="57"/>
        <v>0</v>
      </c>
      <c r="AU62">
        <f t="shared" si="58"/>
        <v>0</v>
      </c>
      <c r="AV62">
        <f t="shared" si="58"/>
        <v>0</v>
      </c>
      <c r="AW62">
        <f t="shared" si="58"/>
        <v>0</v>
      </c>
      <c r="AX62">
        <f t="shared" si="58"/>
        <v>0</v>
      </c>
      <c r="AY62">
        <f t="shared" si="59"/>
        <v>0</v>
      </c>
    </row>
    <row r="63" spans="1:51" ht="15" x14ac:dyDescent="0.25">
      <c r="A63" s="7"/>
      <c r="B63" s="8" t="s">
        <v>14</v>
      </c>
      <c r="C63" s="7"/>
      <c r="D63" s="288">
        <f>SUM(D57:D62)</f>
        <v>0</v>
      </c>
      <c r="E63" s="289">
        <f>SUM(E57:E62)</f>
        <v>0</v>
      </c>
      <c r="F63" s="289">
        <f>SUM(F57:F62)</f>
        <v>0</v>
      </c>
      <c r="G63" s="289">
        <f>SUM(G57:G62)</f>
        <v>1.81947269</v>
      </c>
      <c r="H63" s="290">
        <f>SUM(H57:H62)</f>
        <v>0</v>
      </c>
      <c r="J63">
        <v>0</v>
      </c>
      <c r="K63">
        <v>0</v>
      </c>
      <c r="L63">
        <v>0</v>
      </c>
      <c r="M63">
        <v>1.81947269</v>
      </c>
      <c r="N63">
        <v>0</v>
      </c>
      <c r="O63" s="20"/>
      <c r="P63" s="20"/>
      <c r="Q63" s="147"/>
      <c r="R63" s="197"/>
      <c r="S63" s="197"/>
      <c r="T63" s="197"/>
      <c r="U63" s="197"/>
    </row>
    <row r="64" spans="1:51" ht="15" x14ac:dyDescent="0.25">
      <c r="A64" s="10"/>
      <c r="B64" s="9" t="s">
        <v>15</v>
      </c>
      <c r="C64" s="5"/>
      <c r="D64" s="291"/>
      <c r="E64" s="292"/>
      <c r="F64" s="292"/>
      <c r="G64" s="292"/>
      <c r="H64" s="293">
        <f>SUM(D63:H63)</f>
        <v>1.81947269</v>
      </c>
      <c r="N64">
        <v>1.81947269</v>
      </c>
      <c r="O64" s="20"/>
      <c r="P64" s="20"/>
      <c r="Q64" s="147"/>
      <c r="R64" s="197"/>
      <c r="S64" s="197"/>
      <c r="T64" s="197"/>
      <c r="U64" s="197"/>
    </row>
    <row r="65" spans="1:51" ht="15.75" thickBot="1" x14ac:dyDescent="0.3">
      <c r="A65" s="3"/>
      <c r="B65" s="11"/>
      <c r="C65" s="3"/>
      <c r="D65" s="297"/>
      <c r="E65" s="298"/>
      <c r="F65" s="298"/>
      <c r="G65" s="298"/>
      <c r="H65" s="299"/>
      <c r="O65" s="20"/>
      <c r="P65" s="20"/>
      <c r="Q65" s="147"/>
      <c r="R65" s="197"/>
      <c r="S65" s="197"/>
      <c r="T65" s="197"/>
      <c r="U65" s="197"/>
    </row>
    <row r="66" spans="1:51" ht="15" x14ac:dyDescent="0.25">
      <c r="A66" s="3">
        <v>7</v>
      </c>
      <c r="B66" s="11" t="s">
        <v>21</v>
      </c>
      <c r="C66" s="3" t="s">
        <v>8</v>
      </c>
      <c r="D66" s="282">
        <v>0</v>
      </c>
      <c r="E66" s="283">
        <v>1.0983453700000001</v>
      </c>
      <c r="F66" s="283">
        <v>9.7564670400000004</v>
      </c>
      <c r="G66" s="283">
        <v>0</v>
      </c>
      <c r="H66" s="284">
        <v>0</v>
      </c>
      <c r="J66">
        <v>0</v>
      </c>
      <c r="K66">
        <v>1.0983453700000001</v>
      </c>
      <c r="L66">
        <v>0.42801480557000104</v>
      </c>
      <c r="M66">
        <v>0</v>
      </c>
      <c r="N66">
        <v>0</v>
      </c>
      <c r="O66" s="20"/>
      <c r="P66" s="20"/>
      <c r="Q66" s="147">
        <v>2.4824606129712126E-2</v>
      </c>
      <c r="R66" s="197">
        <v>0.15</v>
      </c>
      <c r="S66" s="197">
        <v>1.18</v>
      </c>
      <c r="T66" s="197">
        <v>0.46666666666666673</v>
      </c>
      <c r="U66" s="197">
        <v>0.6566321730950142</v>
      </c>
      <c r="V66" s="20">
        <f t="shared" ref="V66:Y71" si="60">IF(K66&gt;0,((E66-K66)*$Q66*$R66*10)+(K66*$O$12*$Q66*$R66*10),(E66*$Q66*$R66*10))</f>
        <v>1.5040686044885345E-2</v>
      </c>
      <c r="W66" s="20">
        <f t="shared" si="60"/>
        <v>0.35322394191773315</v>
      </c>
      <c r="X66" s="20">
        <f t="shared" si="60"/>
        <v>0</v>
      </c>
      <c r="Y66" s="20">
        <f t="shared" si="60"/>
        <v>0</v>
      </c>
      <c r="Z66" s="20">
        <f t="shared" ref="Z66:AC71" si="61">V66*(EXP(1.01-0.34*LN(Z$8))*(1-$T66)+(1*$T66))</f>
        <v>9.4581156890443645E-3</v>
      </c>
      <c r="AA66" s="20">
        <f t="shared" si="61"/>
        <v>0.22588808020141343</v>
      </c>
      <c r="AB66" s="20">
        <f t="shared" si="61"/>
        <v>0</v>
      </c>
      <c r="AC66" s="20">
        <f t="shared" si="61"/>
        <v>0</v>
      </c>
      <c r="AD66" s="20">
        <f t="shared" ref="AD66:AD71" si="62">SUM(Z66:AC66)</f>
        <v>0.2353461958904578</v>
      </c>
      <c r="AE66" s="20">
        <f t="shared" ref="AE66:AH71" si="63">IF(K66&gt;0,((E66-K66)*$Q66*$S66*10)+(K66*$P$12*$Q66*$S66)*10,(E66*$Q66*$S66*10))</f>
        <v>0.18632859489716547</v>
      </c>
      <c r="AF66" s="20">
        <f t="shared" si="63"/>
        <v>2.8051972913806358</v>
      </c>
      <c r="AG66" s="20">
        <f t="shared" si="63"/>
        <v>0</v>
      </c>
      <c r="AH66" s="20">
        <f t="shared" si="63"/>
        <v>0</v>
      </c>
      <c r="AI66" s="20">
        <f t="shared" ref="AI66:AL71" si="64">AE66*(EXP(1.01-0.34*LN(AI$8))*(1-$T66)+(1*$T66))</f>
        <v>0.11717001481549817</v>
      </c>
      <c r="AJ66" s="20">
        <f t="shared" si="64"/>
        <v>1.7939345427602926</v>
      </c>
      <c r="AK66" s="20">
        <f t="shared" si="64"/>
        <v>0</v>
      </c>
      <c r="AL66" s="20">
        <f t="shared" si="64"/>
        <v>0</v>
      </c>
      <c r="AM66" s="20">
        <f t="shared" ref="AM66:AM71" si="65">SUM(AI66:AL66)</f>
        <v>1.9111045575757908</v>
      </c>
      <c r="AO66">
        <f t="shared" ref="AO66:AR71" si="66">Z66*AO$10</f>
        <v>9.5858002508464636E-3</v>
      </c>
      <c r="AP66">
        <f t="shared" si="66"/>
        <v>0.22893756928413253</v>
      </c>
      <c r="AQ66">
        <f t="shared" si="66"/>
        <v>0</v>
      </c>
      <c r="AR66">
        <f t="shared" si="66"/>
        <v>0</v>
      </c>
      <c r="AS66">
        <f t="shared" ref="AS66:AS71" si="67">SUM(AO66:AR66)</f>
        <v>0.23852336953497899</v>
      </c>
      <c r="AU66">
        <f t="shared" ref="AU66:AX71" si="68">AI66*AU$10</f>
        <v>0.1187518100155074</v>
      </c>
      <c r="AV66">
        <f t="shared" si="68"/>
        <v>1.8181526590875567</v>
      </c>
      <c r="AW66">
        <f t="shared" si="68"/>
        <v>0</v>
      </c>
      <c r="AX66">
        <f t="shared" si="68"/>
        <v>0</v>
      </c>
      <c r="AY66">
        <f t="shared" ref="AY66:AY71" si="69">SUM(AU66:AX66)</f>
        <v>1.9369044691030641</v>
      </c>
    </row>
    <row r="67" spans="1:51" ht="15" x14ac:dyDescent="0.25">
      <c r="A67" s="3"/>
      <c r="B67" s="11"/>
      <c r="C67" s="3" t="s">
        <v>9</v>
      </c>
      <c r="D67" s="285">
        <v>0</v>
      </c>
      <c r="E67" s="286">
        <v>0</v>
      </c>
      <c r="F67" s="286">
        <v>0</v>
      </c>
      <c r="G67" s="286">
        <v>0</v>
      </c>
      <c r="H67" s="287">
        <v>0</v>
      </c>
      <c r="J67">
        <v>0</v>
      </c>
      <c r="K67">
        <v>0</v>
      </c>
      <c r="L67">
        <v>0</v>
      </c>
      <c r="M67">
        <v>0</v>
      </c>
      <c r="N67">
        <v>0</v>
      </c>
      <c r="O67" s="20"/>
      <c r="P67" s="20"/>
      <c r="Q67" s="147"/>
      <c r="R67" s="197">
        <v>0.15</v>
      </c>
      <c r="S67" s="197">
        <v>1.18</v>
      </c>
      <c r="T67" s="197">
        <v>0.46666666666666673</v>
      </c>
      <c r="U67" s="197">
        <v>0.6566321730950142</v>
      </c>
      <c r="V67" s="20">
        <f t="shared" si="60"/>
        <v>0</v>
      </c>
      <c r="W67" s="20">
        <f t="shared" si="60"/>
        <v>0</v>
      </c>
      <c r="X67" s="20">
        <f t="shared" si="60"/>
        <v>0</v>
      </c>
      <c r="Y67" s="20">
        <f t="shared" si="60"/>
        <v>0</v>
      </c>
      <c r="Z67" s="20">
        <f t="shared" si="61"/>
        <v>0</v>
      </c>
      <c r="AA67" s="20">
        <f t="shared" si="61"/>
        <v>0</v>
      </c>
      <c r="AB67" s="20">
        <f t="shared" si="61"/>
        <v>0</v>
      </c>
      <c r="AC67" s="20">
        <f t="shared" si="61"/>
        <v>0</v>
      </c>
      <c r="AD67" s="20">
        <f t="shared" si="62"/>
        <v>0</v>
      </c>
      <c r="AE67" s="20">
        <f t="shared" si="63"/>
        <v>0</v>
      </c>
      <c r="AF67" s="20">
        <f t="shared" si="63"/>
        <v>0</v>
      </c>
      <c r="AG67" s="20">
        <f t="shared" si="63"/>
        <v>0</v>
      </c>
      <c r="AH67" s="20">
        <f t="shared" si="63"/>
        <v>0</v>
      </c>
      <c r="AI67" s="20">
        <f t="shared" si="64"/>
        <v>0</v>
      </c>
      <c r="AJ67" s="20">
        <f t="shared" si="64"/>
        <v>0</v>
      </c>
      <c r="AK67" s="20">
        <f t="shared" si="64"/>
        <v>0</v>
      </c>
      <c r="AL67" s="20">
        <f t="shared" si="64"/>
        <v>0</v>
      </c>
      <c r="AM67" s="20">
        <f t="shared" si="65"/>
        <v>0</v>
      </c>
      <c r="AO67">
        <f t="shared" si="66"/>
        <v>0</v>
      </c>
      <c r="AP67">
        <f t="shared" si="66"/>
        <v>0</v>
      </c>
      <c r="AQ67">
        <f t="shared" si="66"/>
        <v>0</v>
      </c>
      <c r="AR67">
        <f t="shared" si="66"/>
        <v>0</v>
      </c>
      <c r="AS67">
        <f t="shared" si="67"/>
        <v>0</v>
      </c>
      <c r="AU67">
        <f t="shared" si="68"/>
        <v>0</v>
      </c>
      <c r="AV67">
        <f t="shared" si="68"/>
        <v>0</v>
      </c>
      <c r="AW67">
        <f t="shared" si="68"/>
        <v>0</v>
      </c>
      <c r="AX67">
        <f t="shared" si="68"/>
        <v>0</v>
      </c>
      <c r="AY67">
        <f t="shared" si="69"/>
        <v>0</v>
      </c>
    </row>
    <row r="68" spans="1:51" ht="15" x14ac:dyDescent="0.25">
      <c r="A68" s="3"/>
      <c r="B68" s="11"/>
      <c r="C68" s="3" t="s">
        <v>10</v>
      </c>
      <c r="D68" s="285">
        <v>0</v>
      </c>
      <c r="E68" s="286">
        <v>0</v>
      </c>
      <c r="F68" s="286">
        <v>0</v>
      </c>
      <c r="G68" s="286">
        <v>0</v>
      </c>
      <c r="H68" s="287">
        <v>0</v>
      </c>
      <c r="J68">
        <v>0</v>
      </c>
      <c r="K68">
        <v>0</v>
      </c>
      <c r="L68">
        <v>0</v>
      </c>
      <c r="M68">
        <v>0</v>
      </c>
      <c r="N68">
        <v>0</v>
      </c>
      <c r="O68" s="20"/>
      <c r="P68" s="20"/>
      <c r="Q68" s="147"/>
      <c r="R68" s="197">
        <v>0.15</v>
      </c>
      <c r="S68" s="197">
        <v>1.18</v>
      </c>
      <c r="T68" s="197">
        <v>0.46666666666666673</v>
      </c>
      <c r="U68" s="197">
        <v>0.6566321730950142</v>
      </c>
      <c r="V68" s="20">
        <f t="shared" si="60"/>
        <v>0</v>
      </c>
      <c r="W68" s="20">
        <f t="shared" si="60"/>
        <v>0</v>
      </c>
      <c r="X68" s="20">
        <f t="shared" si="60"/>
        <v>0</v>
      </c>
      <c r="Y68" s="20">
        <f t="shared" si="60"/>
        <v>0</v>
      </c>
      <c r="Z68" s="20">
        <f t="shared" si="61"/>
        <v>0</v>
      </c>
      <c r="AA68" s="20">
        <f t="shared" si="61"/>
        <v>0</v>
      </c>
      <c r="AB68" s="20">
        <f t="shared" si="61"/>
        <v>0</v>
      </c>
      <c r="AC68" s="20">
        <f t="shared" si="61"/>
        <v>0</v>
      </c>
      <c r="AD68" s="20">
        <f t="shared" si="62"/>
        <v>0</v>
      </c>
      <c r="AE68" s="20">
        <f t="shared" si="63"/>
        <v>0</v>
      </c>
      <c r="AF68" s="20">
        <f t="shared" si="63"/>
        <v>0</v>
      </c>
      <c r="AG68" s="20">
        <f t="shared" si="63"/>
        <v>0</v>
      </c>
      <c r="AH68" s="20">
        <f t="shared" si="63"/>
        <v>0</v>
      </c>
      <c r="AI68" s="20">
        <f t="shared" si="64"/>
        <v>0</v>
      </c>
      <c r="AJ68" s="20">
        <f t="shared" si="64"/>
        <v>0</v>
      </c>
      <c r="AK68" s="20">
        <f t="shared" si="64"/>
        <v>0</v>
      </c>
      <c r="AL68" s="20">
        <f t="shared" si="64"/>
        <v>0</v>
      </c>
      <c r="AM68" s="20">
        <f t="shared" si="65"/>
        <v>0</v>
      </c>
      <c r="AO68">
        <f t="shared" si="66"/>
        <v>0</v>
      </c>
      <c r="AP68">
        <f t="shared" si="66"/>
        <v>0</v>
      </c>
      <c r="AQ68">
        <f t="shared" si="66"/>
        <v>0</v>
      </c>
      <c r="AR68">
        <f t="shared" si="66"/>
        <v>0</v>
      </c>
      <c r="AS68">
        <f t="shared" si="67"/>
        <v>0</v>
      </c>
      <c r="AU68">
        <f t="shared" si="68"/>
        <v>0</v>
      </c>
      <c r="AV68">
        <f t="shared" si="68"/>
        <v>0</v>
      </c>
      <c r="AW68">
        <f t="shared" si="68"/>
        <v>0</v>
      </c>
      <c r="AX68">
        <f t="shared" si="68"/>
        <v>0</v>
      </c>
      <c r="AY68">
        <f t="shared" si="69"/>
        <v>0</v>
      </c>
    </row>
    <row r="69" spans="1:51" ht="15" x14ac:dyDescent="0.25">
      <c r="A69" s="3"/>
      <c r="B69" s="11"/>
      <c r="C69" s="3" t="s">
        <v>11</v>
      </c>
      <c r="D69" s="285">
        <v>0</v>
      </c>
      <c r="E69" s="286">
        <v>0</v>
      </c>
      <c r="F69" s="286">
        <v>0</v>
      </c>
      <c r="G69" s="286">
        <v>0</v>
      </c>
      <c r="H69" s="287">
        <v>0</v>
      </c>
      <c r="J69">
        <v>0</v>
      </c>
      <c r="K69">
        <v>0</v>
      </c>
      <c r="L69">
        <v>0</v>
      </c>
      <c r="M69">
        <v>0</v>
      </c>
      <c r="N69">
        <v>0</v>
      </c>
      <c r="O69" s="20"/>
      <c r="P69" s="20"/>
      <c r="Q69" s="147"/>
      <c r="R69" s="197">
        <v>0.15</v>
      </c>
      <c r="S69" s="197">
        <v>1.18</v>
      </c>
      <c r="T69" s="197">
        <v>0.46666666666666673</v>
      </c>
      <c r="U69" s="197">
        <v>0.6566321730950142</v>
      </c>
      <c r="V69" s="20">
        <f t="shared" si="60"/>
        <v>0</v>
      </c>
      <c r="W69" s="20">
        <f t="shared" si="60"/>
        <v>0</v>
      </c>
      <c r="X69" s="20">
        <f t="shared" si="60"/>
        <v>0</v>
      </c>
      <c r="Y69" s="20">
        <f t="shared" si="60"/>
        <v>0</v>
      </c>
      <c r="Z69" s="20">
        <f t="shared" si="61"/>
        <v>0</v>
      </c>
      <c r="AA69" s="20">
        <f t="shared" si="61"/>
        <v>0</v>
      </c>
      <c r="AB69" s="20">
        <f t="shared" si="61"/>
        <v>0</v>
      </c>
      <c r="AC69" s="20">
        <f t="shared" si="61"/>
        <v>0</v>
      </c>
      <c r="AD69" s="20">
        <f t="shared" si="62"/>
        <v>0</v>
      </c>
      <c r="AE69" s="20">
        <f t="shared" si="63"/>
        <v>0</v>
      </c>
      <c r="AF69" s="20">
        <f t="shared" si="63"/>
        <v>0</v>
      </c>
      <c r="AG69" s="20">
        <f t="shared" si="63"/>
        <v>0</v>
      </c>
      <c r="AH69" s="20">
        <f t="shared" si="63"/>
        <v>0</v>
      </c>
      <c r="AI69" s="20">
        <f t="shared" si="64"/>
        <v>0</v>
      </c>
      <c r="AJ69" s="20">
        <f t="shared" si="64"/>
        <v>0</v>
      </c>
      <c r="AK69" s="20">
        <f t="shared" si="64"/>
        <v>0</v>
      </c>
      <c r="AL69" s="20">
        <f t="shared" si="64"/>
        <v>0</v>
      </c>
      <c r="AM69" s="20">
        <f t="shared" si="65"/>
        <v>0</v>
      </c>
      <c r="AO69">
        <f t="shared" si="66"/>
        <v>0</v>
      </c>
      <c r="AP69">
        <f t="shared" si="66"/>
        <v>0</v>
      </c>
      <c r="AQ69">
        <f t="shared" si="66"/>
        <v>0</v>
      </c>
      <c r="AR69">
        <f t="shared" si="66"/>
        <v>0</v>
      </c>
      <c r="AS69">
        <f t="shared" si="67"/>
        <v>0</v>
      </c>
      <c r="AU69">
        <f t="shared" si="68"/>
        <v>0</v>
      </c>
      <c r="AV69">
        <f t="shared" si="68"/>
        <v>0</v>
      </c>
      <c r="AW69">
        <f t="shared" si="68"/>
        <v>0</v>
      </c>
      <c r="AX69">
        <f t="shared" si="68"/>
        <v>0</v>
      </c>
      <c r="AY69">
        <f t="shared" si="69"/>
        <v>0</v>
      </c>
    </row>
    <row r="70" spans="1:51" ht="15" x14ac:dyDescent="0.25">
      <c r="A70" s="3"/>
      <c r="B70" s="12"/>
      <c r="C70" s="3" t="s">
        <v>12</v>
      </c>
      <c r="D70" s="285">
        <v>0</v>
      </c>
      <c r="E70" s="286">
        <v>0</v>
      </c>
      <c r="F70" s="286">
        <v>0</v>
      </c>
      <c r="G70" s="286">
        <v>0</v>
      </c>
      <c r="H70" s="287">
        <v>0</v>
      </c>
      <c r="J70">
        <v>0</v>
      </c>
      <c r="K70">
        <v>0</v>
      </c>
      <c r="L70">
        <v>0</v>
      </c>
      <c r="M70">
        <v>0</v>
      </c>
      <c r="N70">
        <v>0</v>
      </c>
      <c r="O70" s="20"/>
      <c r="P70" s="20"/>
      <c r="Q70" s="147"/>
      <c r="R70" s="197">
        <v>0.15</v>
      </c>
      <c r="S70" s="197">
        <v>1.18</v>
      </c>
      <c r="T70" s="197">
        <v>0.46666666666666673</v>
      </c>
      <c r="U70" s="197">
        <v>0.6566321730950142</v>
      </c>
      <c r="V70" s="20">
        <f t="shared" si="60"/>
        <v>0</v>
      </c>
      <c r="W70" s="20">
        <f t="shared" si="60"/>
        <v>0</v>
      </c>
      <c r="X70" s="20">
        <f t="shared" si="60"/>
        <v>0</v>
      </c>
      <c r="Y70" s="20">
        <f t="shared" si="60"/>
        <v>0</v>
      </c>
      <c r="Z70" s="20">
        <f t="shared" si="61"/>
        <v>0</v>
      </c>
      <c r="AA70" s="20">
        <f t="shared" si="61"/>
        <v>0</v>
      </c>
      <c r="AB70" s="20">
        <f t="shared" si="61"/>
        <v>0</v>
      </c>
      <c r="AC70" s="20">
        <f t="shared" si="61"/>
        <v>0</v>
      </c>
      <c r="AD70" s="20">
        <f t="shared" si="62"/>
        <v>0</v>
      </c>
      <c r="AE70" s="20">
        <f t="shared" si="63"/>
        <v>0</v>
      </c>
      <c r="AF70" s="20">
        <f t="shared" si="63"/>
        <v>0</v>
      </c>
      <c r="AG70" s="20">
        <f t="shared" si="63"/>
        <v>0</v>
      </c>
      <c r="AH70" s="20">
        <f t="shared" si="63"/>
        <v>0</v>
      </c>
      <c r="AI70" s="20">
        <f t="shared" si="64"/>
        <v>0</v>
      </c>
      <c r="AJ70" s="20">
        <f t="shared" si="64"/>
        <v>0</v>
      </c>
      <c r="AK70" s="20">
        <f t="shared" si="64"/>
        <v>0</v>
      </c>
      <c r="AL70" s="20">
        <f t="shared" si="64"/>
        <v>0</v>
      </c>
      <c r="AM70" s="20">
        <f t="shared" si="65"/>
        <v>0</v>
      </c>
      <c r="AO70">
        <f t="shared" si="66"/>
        <v>0</v>
      </c>
      <c r="AP70">
        <f t="shared" si="66"/>
        <v>0</v>
      </c>
      <c r="AQ70">
        <f t="shared" si="66"/>
        <v>0</v>
      </c>
      <c r="AR70">
        <f t="shared" si="66"/>
        <v>0</v>
      </c>
      <c r="AS70">
        <f t="shared" si="67"/>
        <v>0</v>
      </c>
      <c r="AU70">
        <f t="shared" si="68"/>
        <v>0</v>
      </c>
      <c r="AV70">
        <f t="shared" si="68"/>
        <v>0</v>
      </c>
      <c r="AW70">
        <f t="shared" si="68"/>
        <v>0</v>
      </c>
      <c r="AX70">
        <f t="shared" si="68"/>
        <v>0</v>
      </c>
      <c r="AY70">
        <f t="shared" si="69"/>
        <v>0</v>
      </c>
    </row>
    <row r="71" spans="1:51" ht="15" x14ac:dyDescent="0.25">
      <c r="A71" s="3"/>
      <c r="B71" s="12"/>
      <c r="C71" s="3" t="s">
        <v>13</v>
      </c>
      <c r="D71" s="285">
        <v>0</v>
      </c>
      <c r="E71" s="286">
        <v>0</v>
      </c>
      <c r="F71" s="286">
        <v>0</v>
      </c>
      <c r="G71" s="286">
        <v>0</v>
      </c>
      <c r="H71" s="287">
        <v>0</v>
      </c>
      <c r="J71">
        <v>0</v>
      </c>
      <c r="K71">
        <v>0</v>
      </c>
      <c r="L71">
        <v>0</v>
      </c>
      <c r="M71">
        <v>0</v>
      </c>
      <c r="N71">
        <v>0</v>
      </c>
      <c r="O71" s="20"/>
      <c r="P71" s="20"/>
      <c r="Q71" s="147"/>
      <c r="R71" s="197">
        <v>0.15</v>
      </c>
      <c r="S71" s="197">
        <v>1.18</v>
      </c>
      <c r="T71" s="197">
        <v>0.46666666666666673</v>
      </c>
      <c r="U71" s="197">
        <v>0.6566321730950142</v>
      </c>
      <c r="V71" s="20">
        <f t="shared" si="60"/>
        <v>0</v>
      </c>
      <c r="W71" s="20">
        <f t="shared" si="60"/>
        <v>0</v>
      </c>
      <c r="X71" s="20">
        <f t="shared" si="60"/>
        <v>0</v>
      </c>
      <c r="Y71" s="20">
        <f t="shared" si="60"/>
        <v>0</v>
      </c>
      <c r="Z71" s="20">
        <f t="shared" si="61"/>
        <v>0</v>
      </c>
      <c r="AA71" s="20">
        <f t="shared" si="61"/>
        <v>0</v>
      </c>
      <c r="AB71" s="20">
        <f t="shared" si="61"/>
        <v>0</v>
      </c>
      <c r="AC71" s="20">
        <f t="shared" si="61"/>
        <v>0</v>
      </c>
      <c r="AD71" s="20">
        <f t="shared" si="62"/>
        <v>0</v>
      </c>
      <c r="AE71" s="20">
        <f t="shared" si="63"/>
        <v>0</v>
      </c>
      <c r="AF71" s="20">
        <f t="shared" si="63"/>
        <v>0</v>
      </c>
      <c r="AG71" s="20">
        <f t="shared" si="63"/>
        <v>0</v>
      </c>
      <c r="AH71" s="20">
        <f t="shared" si="63"/>
        <v>0</v>
      </c>
      <c r="AI71" s="20">
        <f t="shared" si="64"/>
        <v>0</v>
      </c>
      <c r="AJ71" s="20">
        <f t="shared" si="64"/>
        <v>0</v>
      </c>
      <c r="AK71" s="20">
        <f t="shared" si="64"/>
        <v>0</v>
      </c>
      <c r="AL71" s="20">
        <f t="shared" si="64"/>
        <v>0</v>
      </c>
      <c r="AM71" s="20">
        <f t="shared" si="65"/>
        <v>0</v>
      </c>
      <c r="AO71">
        <f t="shared" si="66"/>
        <v>0</v>
      </c>
      <c r="AP71">
        <f t="shared" si="66"/>
        <v>0</v>
      </c>
      <c r="AQ71">
        <f t="shared" si="66"/>
        <v>0</v>
      </c>
      <c r="AR71">
        <f t="shared" si="66"/>
        <v>0</v>
      </c>
      <c r="AS71">
        <f t="shared" si="67"/>
        <v>0</v>
      </c>
      <c r="AU71">
        <f t="shared" si="68"/>
        <v>0</v>
      </c>
      <c r="AV71">
        <f t="shared" si="68"/>
        <v>0</v>
      </c>
      <c r="AW71">
        <f t="shared" si="68"/>
        <v>0</v>
      </c>
      <c r="AX71">
        <f t="shared" si="68"/>
        <v>0</v>
      </c>
      <c r="AY71">
        <f t="shared" si="69"/>
        <v>0</v>
      </c>
    </row>
    <row r="72" spans="1:51" ht="15" x14ac:dyDescent="0.25">
      <c r="A72" s="7"/>
      <c r="B72" s="8" t="s">
        <v>14</v>
      </c>
      <c r="C72" s="7"/>
      <c r="D72" s="288">
        <f>SUM(D66:D71)</f>
        <v>0</v>
      </c>
      <c r="E72" s="289">
        <f>SUM(E66:E71)</f>
        <v>1.0983453700000001</v>
      </c>
      <c r="F72" s="289">
        <f>SUM(F66:F71)</f>
        <v>9.7564670400000004</v>
      </c>
      <c r="G72" s="289">
        <f>SUM(G66:G71)</f>
        <v>0</v>
      </c>
      <c r="H72" s="290">
        <f>SUM(H66:H71)</f>
        <v>0</v>
      </c>
      <c r="J72">
        <v>0</v>
      </c>
      <c r="K72">
        <v>1.0983453700000001</v>
      </c>
      <c r="L72">
        <v>0.42801480557000104</v>
      </c>
      <c r="M72">
        <v>0</v>
      </c>
      <c r="N72">
        <v>0</v>
      </c>
      <c r="O72" s="20"/>
      <c r="P72" s="20"/>
      <c r="Q72" s="147"/>
      <c r="R72" s="197"/>
      <c r="S72" s="197"/>
      <c r="T72" s="197"/>
      <c r="U72" s="197"/>
    </row>
    <row r="73" spans="1:51" ht="15" x14ac:dyDescent="0.25">
      <c r="A73" s="10"/>
      <c r="B73" s="9" t="s">
        <v>15</v>
      </c>
      <c r="C73" s="5"/>
      <c r="D73" s="291"/>
      <c r="E73" s="292"/>
      <c r="F73" s="292"/>
      <c r="G73" s="292"/>
      <c r="H73" s="293">
        <f>SUM(D72:H72)</f>
        <v>10.854812410000001</v>
      </c>
      <c r="N73">
        <v>1.5263601755700011</v>
      </c>
      <c r="O73" s="20"/>
      <c r="P73" s="20"/>
      <c r="Q73" s="147"/>
      <c r="R73" s="197"/>
      <c r="S73" s="197"/>
      <c r="T73" s="197"/>
      <c r="U73" s="197"/>
    </row>
    <row r="74" spans="1:51" ht="15.75" thickBot="1" x14ac:dyDescent="0.3">
      <c r="A74" s="1"/>
      <c r="B74" s="2"/>
      <c r="C74" s="1"/>
      <c r="D74" s="294"/>
      <c r="E74" s="295"/>
      <c r="F74" s="295"/>
      <c r="G74" s="295"/>
      <c r="H74" s="296"/>
      <c r="O74" s="20"/>
      <c r="P74" s="20"/>
      <c r="Q74" s="147"/>
      <c r="R74" s="197"/>
      <c r="S74" s="197"/>
      <c r="T74" s="197"/>
      <c r="U74" s="197"/>
    </row>
    <row r="75" spans="1:51" ht="15" x14ac:dyDescent="0.25">
      <c r="A75" s="1">
        <v>8</v>
      </c>
      <c r="B75" s="2" t="s">
        <v>22</v>
      </c>
      <c r="C75" s="1" t="s">
        <v>8</v>
      </c>
      <c r="D75" s="285">
        <v>0</v>
      </c>
      <c r="E75" s="286">
        <v>210.79454375</v>
      </c>
      <c r="F75" s="286">
        <v>6.1400194600000004</v>
      </c>
      <c r="G75" s="286">
        <v>3.3235228299999999</v>
      </c>
      <c r="H75" s="287">
        <v>14.408158459999999</v>
      </c>
      <c r="J75">
        <v>0</v>
      </c>
      <c r="K75">
        <v>-27.968910759576005</v>
      </c>
      <c r="L75">
        <v>-6.9476869898047999</v>
      </c>
      <c r="M75">
        <v>-0.23227662802500015</v>
      </c>
      <c r="N75">
        <v>-3.1744190109850017</v>
      </c>
      <c r="O75" s="20"/>
      <c r="P75" s="20"/>
      <c r="Q75" s="147">
        <v>2.4824606129712126E-2</v>
      </c>
      <c r="R75" s="197">
        <v>5.6499999999999995E-2</v>
      </c>
      <c r="S75" s="197">
        <v>1.25</v>
      </c>
      <c r="T75" s="197">
        <v>0.50078889239507718</v>
      </c>
      <c r="U75" s="197">
        <v>0.75268470790377973</v>
      </c>
      <c r="V75" s="20">
        <f t="shared" ref="V75:Y80" si="70">IF(K75&gt;0,((E75-K75)*$Q75*$R75*10)+(K75*$O$12*$Q75*$R75*10),(E75*$Q75*$R75*10))</f>
        <v>2.956583710430658</v>
      </c>
      <c r="W75" s="20">
        <f t="shared" si="70"/>
        <v>8.6119314068646272E-2</v>
      </c>
      <c r="X75" s="20">
        <f t="shared" si="70"/>
        <v>4.6615407048088739E-2</v>
      </c>
      <c r="Y75" s="20">
        <f t="shared" si="70"/>
        <v>0.20208742523554843</v>
      </c>
      <c r="Z75" s="20">
        <f t="shared" ref="Z75:AC80" si="71">V75*(EXP(1.01-0.34*LN(Z$8))*(1-$T75)+(1*$T75))</f>
        <v>1.9294138897131627</v>
      </c>
      <c r="AA75" s="20">
        <f t="shared" si="71"/>
        <v>5.7059912072400805E-2</v>
      </c>
      <c r="AB75" s="20">
        <f t="shared" si="71"/>
        <v>3.1057380504684002E-2</v>
      </c>
      <c r="AC75" s="20">
        <f t="shared" si="71"/>
        <v>0.12745793259375693</v>
      </c>
      <c r="AD75" s="20">
        <f t="shared" ref="AD75:AD80" si="72">SUM(Z75:AC75)</f>
        <v>2.1449891148840048</v>
      </c>
      <c r="AE75" s="20">
        <f t="shared" ref="AE75:AH80" si="73">IF(K75&gt;0,((E75-K75)*$Q75*$S75*10)+(K75*$P$12*$Q75*$S75)*10,(E75*$Q75*$S75*10))</f>
        <v>65.411144036076507</v>
      </c>
      <c r="AF75" s="20">
        <f t="shared" si="73"/>
        <v>1.9052945590408465</v>
      </c>
      <c r="AG75" s="20">
        <f t="shared" si="73"/>
        <v>1.0313143152232023</v>
      </c>
      <c r="AH75" s="20">
        <f t="shared" si="73"/>
        <v>4.4709607352997445</v>
      </c>
      <c r="AI75" s="20">
        <f t="shared" ref="AI75:AL80" si="74">AE75*(EXP(1.01-0.34*LN(AI$8))*(1-$T75)+(1*$T75))</f>
        <v>42.6861480025036</v>
      </c>
      <c r="AJ75" s="20">
        <f t="shared" si="74"/>
        <v>1.2623874352301063</v>
      </c>
      <c r="AK75" s="20">
        <f t="shared" si="74"/>
        <v>0.68711018815672575</v>
      </c>
      <c r="AL75" s="20">
        <f t="shared" si="74"/>
        <v>2.819865765348605</v>
      </c>
      <c r="AM75" s="20">
        <f t="shared" ref="AM75:AM80" si="75">SUM(AI75:AL75)</f>
        <v>47.455511391239028</v>
      </c>
      <c r="AO75">
        <f t="shared" ref="AO75:AR80" si="76">Z75*AO$10</f>
        <v>1.9554609772242906</v>
      </c>
      <c r="AP75">
        <f t="shared" si="76"/>
        <v>5.7830220885378217E-2</v>
      </c>
      <c r="AQ75">
        <f t="shared" si="76"/>
        <v>3.1476655141497237E-2</v>
      </c>
      <c r="AR75">
        <f t="shared" si="76"/>
        <v>0.12917861468377265</v>
      </c>
      <c r="AS75">
        <f t="shared" ref="AS75:AS80" si="77">SUM(AO75:AR75)</f>
        <v>2.1739464679349387</v>
      </c>
      <c r="AU75">
        <f t="shared" ref="AU75:AX80" si="78">AI75*AU$10</f>
        <v>43.262411000537405</v>
      </c>
      <c r="AV75">
        <f t="shared" si="78"/>
        <v>1.2794296656057129</v>
      </c>
      <c r="AW75">
        <f t="shared" si="78"/>
        <v>0.69638617569684158</v>
      </c>
      <c r="AX75">
        <f t="shared" si="78"/>
        <v>2.8579339531808112</v>
      </c>
      <c r="AY75">
        <f t="shared" ref="AY75:AY80" si="79">SUM(AU75:AX75)</f>
        <v>48.096160795020772</v>
      </c>
    </row>
    <row r="76" spans="1:51" ht="15" x14ac:dyDescent="0.25">
      <c r="A76" s="1"/>
      <c r="B76" s="2"/>
      <c r="C76" s="1" t="s">
        <v>9</v>
      </c>
      <c r="D76" s="285">
        <v>0</v>
      </c>
      <c r="E76" s="286">
        <v>7.7057743299999997</v>
      </c>
      <c r="F76" s="286">
        <v>2.5756169799999999</v>
      </c>
      <c r="G76" s="286">
        <v>0</v>
      </c>
      <c r="H76" s="287">
        <v>0</v>
      </c>
      <c r="J76">
        <v>0</v>
      </c>
      <c r="K76">
        <v>-19.951962900589997</v>
      </c>
      <c r="L76">
        <v>2.3364730311413999</v>
      </c>
      <c r="M76">
        <v>0</v>
      </c>
      <c r="N76">
        <v>-0.94717243048599997</v>
      </c>
      <c r="O76" s="20"/>
      <c r="P76" s="20"/>
      <c r="Q76" s="147">
        <v>4.064921225942425E-2</v>
      </c>
      <c r="R76" s="197">
        <v>5.6499999999999995E-2</v>
      </c>
      <c r="S76" s="197">
        <v>1.25</v>
      </c>
      <c r="T76" s="197">
        <v>0.50078889239507718</v>
      </c>
      <c r="U76" s="197">
        <v>0.75268470790377973</v>
      </c>
      <c r="V76" s="20">
        <f t="shared" si="70"/>
        <v>0.17697701584531683</v>
      </c>
      <c r="W76" s="20">
        <f t="shared" si="70"/>
        <v>2.5226432719532638E-2</v>
      </c>
      <c r="X76" s="20">
        <f t="shared" si="70"/>
        <v>0</v>
      </c>
      <c r="Y76" s="20">
        <f t="shared" si="70"/>
        <v>0</v>
      </c>
      <c r="Z76" s="20">
        <f t="shared" si="71"/>
        <v>0.11549204960011202</v>
      </c>
      <c r="AA76" s="20">
        <f t="shared" si="71"/>
        <v>1.6714230117177868E-2</v>
      </c>
      <c r="AB76" s="20">
        <f t="shared" si="71"/>
        <v>0</v>
      </c>
      <c r="AC76" s="20">
        <f t="shared" si="71"/>
        <v>0</v>
      </c>
      <c r="AD76" s="20">
        <f t="shared" si="72"/>
        <v>0.13220627971728988</v>
      </c>
      <c r="AE76" s="20">
        <f t="shared" si="73"/>
        <v>3.9154207045424085</v>
      </c>
      <c r="AF76" s="20">
        <f t="shared" si="73"/>
        <v>0.80905450210369567</v>
      </c>
      <c r="AG76" s="20">
        <f t="shared" si="73"/>
        <v>0</v>
      </c>
      <c r="AH76" s="20">
        <f t="shared" si="73"/>
        <v>0</v>
      </c>
      <c r="AI76" s="20">
        <f t="shared" si="74"/>
        <v>2.5551338407104431</v>
      </c>
      <c r="AJ76" s="20">
        <f t="shared" si="74"/>
        <v>0.53605372094602144</v>
      </c>
      <c r="AK76" s="20">
        <f t="shared" si="74"/>
        <v>0</v>
      </c>
      <c r="AL76" s="20">
        <f t="shared" si="74"/>
        <v>0</v>
      </c>
      <c r="AM76" s="20">
        <f t="shared" si="75"/>
        <v>3.0911875616564646</v>
      </c>
      <c r="AO76">
        <f t="shared" si="76"/>
        <v>0.11705119226971354</v>
      </c>
      <c r="AP76">
        <f t="shared" si="76"/>
        <v>1.6939872223759769E-2</v>
      </c>
      <c r="AQ76">
        <f t="shared" si="76"/>
        <v>0</v>
      </c>
      <c r="AR76">
        <f t="shared" si="76"/>
        <v>0</v>
      </c>
      <c r="AS76">
        <f t="shared" si="77"/>
        <v>0.13399106449347331</v>
      </c>
      <c r="AU76">
        <f t="shared" si="78"/>
        <v>2.5896281475600342</v>
      </c>
      <c r="AV76">
        <f t="shared" si="78"/>
        <v>0.54329044617879274</v>
      </c>
      <c r="AW76">
        <f t="shared" si="78"/>
        <v>0</v>
      </c>
      <c r="AX76">
        <f t="shared" si="78"/>
        <v>0</v>
      </c>
      <c r="AY76">
        <f t="shared" si="79"/>
        <v>3.1329185937388271</v>
      </c>
    </row>
    <row r="77" spans="1:51" ht="15" x14ac:dyDescent="0.25">
      <c r="A77" s="1"/>
      <c r="B77" s="2"/>
      <c r="C77" s="1" t="s">
        <v>10</v>
      </c>
      <c r="D77" s="285">
        <v>0</v>
      </c>
      <c r="E77" s="286">
        <v>11.647192410000001</v>
      </c>
      <c r="F77" s="286">
        <v>0</v>
      </c>
      <c r="G77" s="286">
        <v>0</v>
      </c>
      <c r="H77" s="287">
        <v>0</v>
      </c>
      <c r="J77">
        <v>0</v>
      </c>
      <c r="K77">
        <v>-3.6175834833550002</v>
      </c>
      <c r="L77">
        <v>0</v>
      </c>
      <c r="M77">
        <v>-3.4364205122290001</v>
      </c>
      <c r="N77">
        <v>-0.68537294772299995</v>
      </c>
      <c r="O77" s="20"/>
      <c r="P77" s="20"/>
      <c r="Q77" s="147">
        <v>5.6473818389136378E-2</v>
      </c>
      <c r="R77" s="197">
        <v>5.6499999999999995E-2</v>
      </c>
      <c r="S77" s="197">
        <v>1.25</v>
      </c>
      <c r="T77" s="197">
        <v>0.50078889239507718</v>
      </c>
      <c r="U77" s="197">
        <v>0.75268470790377973</v>
      </c>
      <c r="V77" s="20">
        <f t="shared" si="70"/>
        <v>0.37163520733170219</v>
      </c>
      <c r="W77" s="20">
        <f t="shared" si="70"/>
        <v>0</v>
      </c>
      <c r="X77" s="20">
        <f t="shared" si="70"/>
        <v>0</v>
      </c>
      <c r="Y77" s="20">
        <f t="shared" si="70"/>
        <v>0</v>
      </c>
      <c r="Z77" s="20">
        <f t="shared" si="71"/>
        <v>0.24252251962376298</v>
      </c>
      <c r="AA77" s="20">
        <f t="shared" si="71"/>
        <v>0</v>
      </c>
      <c r="AB77" s="20">
        <f t="shared" si="71"/>
        <v>0</v>
      </c>
      <c r="AC77" s="20">
        <f t="shared" si="71"/>
        <v>0</v>
      </c>
      <c r="AD77" s="20">
        <f t="shared" si="72"/>
        <v>0.24252251962376298</v>
      </c>
      <c r="AE77" s="20">
        <f t="shared" si="73"/>
        <v>8.2220178613208468</v>
      </c>
      <c r="AF77" s="20">
        <f t="shared" si="73"/>
        <v>0</v>
      </c>
      <c r="AG77" s="20">
        <f t="shared" si="73"/>
        <v>0</v>
      </c>
      <c r="AH77" s="20">
        <f t="shared" si="73"/>
        <v>0</v>
      </c>
      <c r="AI77" s="20">
        <f t="shared" si="74"/>
        <v>5.3655424695522793</v>
      </c>
      <c r="AJ77" s="20">
        <f t="shared" si="74"/>
        <v>0</v>
      </c>
      <c r="AK77" s="20">
        <f t="shared" si="74"/>
        <v>0</v>
      </c>
      <c r="AL77" s="20">
        <f t="shared" si="74"/>
        <v>0</v>
      </c>
      <c r="AM77" s="20">
        <f t="shared" si="75"/>
        <v>5.3655424695522793</v>
      </c>
      <c r="AO77">
        <f t="shared" si="76"/>
        <v>0.24579657363868379</v>
      </c>
      <c r="AP77">
        <f t="shared" si="76"/>
        <v>0</v>
      </c>
      <c r="AQ77">
        <f t="shared" si="76"/>
        <v>0</v>
      </c>
      <c r="AR77">
        <f t="shared" si="76"/>
        <v>0</v>
      </c>
      <c r="AS77">
        <f t="shared" si="77"/>
        <v>0.24579657363868379</v>
      </c>
      <c r="AU77">
        <f t="shared" si="78"/>
        <v>5.4379772928912358</v>
      </c>
      <c r="AV77">
        <f t="shared" si="78"/>
        <v>0</v>
      </c>
      <c r="AW77">
        <f t="shared" si="78"/>
        <v>0</v>
      </c>
      <c r="AX77">
        <f t="shared" si="78"/>
        <v>0</v>
      </c>
      <c r="AY77">
        <f t="shared" si="79"/>
        <v>5.4379772928912358</v>
      </c>
    </row>
    <row r="78" spans="1:51" ht="15" x14ac:dyDescent="0.25">
      <c r="A78" s="1"/>
      <c r="B78" s="2"/>
      <c r="C78" s="1" t="s">
        <v>11</v>
      </c>
      <c r="D78" s="285">
        <v>0</v>
      </c>
      <c r="E78" s="286">
        <v>0.78291162000000003</v>
      </c>
      <c r="F78" s="286">
        <v>0</v>
      </c>
      <c r="G78" s="286">
        <v>0</v>
      </c>
      <c r="H78" s="287">
        <v>0</v>
      </c>
      <c r="J78">
        <v>0</v>
      </c>
      <c r="K78">
        <v>-11.959299697982999</v>
      </c>
      <c r="L78">
        <v>0</v>
      </c>
      <c r="M78">
        <v>0</v>
      </c>
      <c r="N78">
        <v>-1.32979537788E-2</v>
      </c>
      <c r="O78" s="20"/>
      <c r="P78" s="20"/>
      <c r="Q78" s="147">
        <v>7.2298424518848506E-2</v>
      </c>
      <c r="R78" s="197">
        <v>5.6499999999999995E-2</v>
      </c>
      <c r="S78" s="197">
        <v>1.25</v>
      </c>
      <c r="T78" s="197">
        <v>0.50078889239507718</v>
      </c>
      <c r="U78" s="197">
        <v>0.75268470790377973</v>
      </c>
      <c r="V78" s="20">
        <f t="shared" si="70"/>
        <v>3.1980851314877164E-2</v>
      </c>
      <c r="W78" s="20">
        <f t="shared" si="70"/>
        <v>0</v>
      </c>
      <c r="X78" s="20">
        <f t="shared" si="70"/>
        <v>0</v>
      </c>
      <c r="Y78" s="20">
        <f t="shared" si="70"/>
        <v>0</v>
      </c>
      <c r="Z78" s="20">
        <f t="shared" si="71"/>
        <v>2.0870134173467246E-2</v>
      </c>
      <c r="AA78" s="20">
        <f t="shared" si="71"/>
        <v>0</v>
      </c>
      <c r="AB78" s="20">
        <f t="shared" si="71"/>
        <v>0</v>
      </c>
      <c r="AC78" s="20">
        <f t="shared" si="71"/>
        <v>0</v>
      </c>
      <c r="AD78" s="20">
        <f t="shared" si="72"/>
        <v>2.0870134173467246E-2</v>
      </c>
      <c r="AE78" s="20">
        <f t="shared" si="73"/>
        <v>0.70754095829374264</v>
      </c>
      <c r="AF78" s="20">
        <f t="shared" si="73"/>
        <v>0</v>
      </c>
      <c r="AG78" s="20">
        <f t="shared" si="73"/>
        <v>0</v>
      </c>
      <c r="AH78" s="20">
        <f t="shared" si="73"/>
        <v>0</v>
      </c>
      <c r="AI78" s="20">
        <f t="shared" si="74"/>
        <v>0.46172863215635501</v>
      </c>
      <c r="AJ78" s="20">
        <f t="shared" si="74"/>
        <v>0</v>
      </c>
      <c r="AK78" s="20">
        <f t="shared" si="74"/>
        <v>0</v>
      </c>
      <c r="AL78" s="20">
        <f t="shared" si="74"/>
        <v>0</v>
      </c>
      <c r="AM78" s="20">
        <f t="shared" si="75"/>
        <v>0.46172863215635501</v>
      </c>
      <c r="AO78">
        <f t="shared" si="76"/>
        <v>2.1151880984809055E-2</v>
      </c>
      <c r="AP78">
        <f t="shared" si="76"/>
        <v>0</v>
      </c>
      <c r="AQ78">
        <f t="shared" si="76"/>
        <v>0</v>
      </c>
      <c r="AR78">
        <f t="shared" si="76"/>
        <v>0</v>
      </c>
      <c r="AS78">
        <f t="shared" si="77"/>
        <v>2.1151880984809055E-2</v>
      </c>
      <c r="AU78">
        <f t="shared" si="78"/>
        <v>0.46796196869046586</v>
      </c>
      <c r="AV78">
        <f t="shared" si="78"/>
        <v>0</v>
      </c>
      <c r="AW78">
        <f t="shared" si="78"/>
        <v>0</v>
      </c>
      <c r="AX78">
        <f t="shared" si="78"/>
        <v>0</v>
      </c>
      <c r="AY78">
        <f t="shared" si="79"/>
        <v>0.46796196869046586</v>
      </c>
    </row>
    <row r="79" spans="1:51" ht="15" x14ac:dyDescent="0.25">
      <c r="A79" s="1"/>
      <c r="B79" s="13"/>
      <c r="C79" s="1" t="s">
        <v>12</v>
      </c>
      <c r="D79" s="285">
        <v>0</v>
      </c>
      <c r="E79" s="286">
        <v>1.4651121499999999</v>
      </c>
      <c r="F79" s="286">
        <v>0</v>
      </c>
      <c r="G79" s="286">
        <v>0</v>
      </c>
      <c r="H79" s="287">
        <v>0</v>
      </c>
      <c r="J79">
        <v>0</v>
      </c>
      <c r="K79">
        <v>-6.392958635158001</v>
      </c>
      <c r="L79">
        <v>-0.86004761266899998</v>
      </c>
      <c r="M79">
        <v>-3.3812473861979999</v>
      </c>
      <c r="N79">
        <v>-2.0042868427891758</v>
      </c>
      <c r="O79" s="20"/>
      <c r="P79" s="20"/>
      <c r="Q79" s="147">
        <v>7.2298424518848506E-2</v>
      </c>
      <c r="R79" s="197">
        <v>5.6499999999999995E-2</v>
      </c>
      <c r="S79" s="197">
        <v>1.25</v>
      </c>
      <c r="T79" s="197">
        <v>0.50078889239507718</v>
      </c>
      <c r="U79" s="197">
        <v>0.75268470790377973</v>
      </c>
      <c r="V79" s="20">
        <f t="shared" si="70"/>
        <v>5.9847794606458907E-2</v>
      </c>
      <c r="W79" s="20">
        <f t="shared" si="70"/>
        <v>0</v>
      </c>
      <c r="X79" s="20">
        <f t="shared" si="70"/>
        <v>0</v>
      </c>
      <c r="Y79" s="20">
        <f t="shared" si="70"/>
        <v>0</v>
      </c>
      <c r="Z79" s="20">
        <f t="shared" si="71"/>
        <v>3.9055605215920879E-2</v>
      </c>
      <c r="AA79" s="20">
        <f t="shared" si="71"/>
        <v>0</v>
      </c>
      <c r="AB79" s="20">
        <f t="shared" si="71"/>
        <v>0</v>
      </c>
      <c r="AC79" s="20">
        <f t="shared" si="71"/>
        <v>0</v>
      </c>
      <c r="AD79" s="20">
        <f t="shared" si="72"/>
        <v>3.9055605215920879E-2</v>
      </c>
      <c r="AE79" s="20">
        <f t="shared" si="73"/>
        <v>1.3240662523552857</v>
      </c>
      <c r="AF79" s="20">
        <f t="shared" si="73"/>
        <v>0</v>
      </c>
      <c r="AG79" s="20">
        <f t="shared" si="73"/>
        <v>0</v>
      </c>
      <c r="AH79" s="20">
        <f t="shared" si="73"/>
        <v>0</v>
      </c>
      <c r="AI79" s="20">
        <f t="shared" si="74"/>
        <v>0.86406206229913463</v>
      </c>
      <c r="AJ79" s="20">
        <f t="shared" si="74"/>
        <v>0</v>
      </c>
      <c r="AK79" s="20">
        <f t="shared" si="74"/>
        <v>0</v>
      </c>
      <c r="AL79" s="20">
        <f t="shared" si="74"/>
        <v>0</v>
      </c>
      <c r="AM79" s="20">
        <f t="shared" si="75"/>
        <v>0.86406206229913463</v>
      </c>
      <c r="AO79">
        <f t="shared" si="76"/>
        <v>3.958285588633581E-2</v>
      </c>
      <c r="AP79">
        <f t="shared" si="76"/>
        <v>0</v>
      </c>
      <c r="AQ79">
        <f t="shared" si="76"/>
        <v>0</v>
      </c>
      <c r="AR79">
        <f t="shared" si="76"/>
        <v>0</v>
      </c>
      <c r="AS79">
        <f t="shared" si="77"/>
        <v>3.958285588633581E-2</v>
      </c>
      <c r="AU79">
        <f t="shared" si="78"/>
        <v>0.87572690014017296</v>
      </c>
      <c r="AV79">
        <f t="shared" si="78"/>
        <v>0</v>
      </c>
      <c r="AW79">
        <f t="shared" si="78"/>
        <v>0</v>
      </c>
      <c r="AX79">
        <f t="shared" si="78"/>
        <v>0</v>
      </c>
      <c r="AY79">
        <f t="shared" si="79"/>
        <v>0.87572690014017296</v>
      </c>
    </row>
    <row r="80" spans="1:51" ht="15" x14ac:dyDescent="0.25">
      <c r="A80" s="1"/>
      <c r="B80" s="13"/>
      <c r="C80" s="1" t="s">
        <v>13</v>
      </c>
      <c r="D80" s="285">
        <v>0</v>
      </c>
      <c r="E80" s="286">
        <v>0</v>
      </c>
      <c r="F80" s="286">
        <v>0</v>
      </c>
      <c r="G80" s="286">
        <v>0</v>
      </c>
      <c r="H80" s="287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20"/>
      <c r="P80" s="20"/>
      <c r="Q80" s="147"/>
      <c r="R80" s="197">
        <v>5.6499999999999995E-2</v>
      </c>
      <c r="S80" s="197">
        <v>1.25</v>
      </c>
      <c r="T80" s="197">
        <v>0.50078889239507718</v>
      </c>
      <c r="U80" s="197">
        <v>0.75268470790377973</v>
      </c>
      <c r="V80" s="20">
        <f t="shared" si="70"/>
        <v>0</v>
      </c>
      <c r="W80" s="20">
        <f t="shared" si="70"/>
        <v>0</v>
      </c>
      <c r="X80" s="20">
        <f t="shared" si="70"/>
        <v>0</v>
      </c>
      <c r="Y80" s="20">
        <f t="shared" si="70"/>
        <v>0</v>
      </c>
      <c r="Z80" s="20">
        <f t="shared" si="71"/>
        <v>0</v>
      </c>
      <c r="AA80" s="20">
        <f t="shared" si="71"/>
        <v>0</v>
      </c>
      <c r="AB80" s="20">
        <f t="shared" si="71"/>
        <v>0</v>
      </c>
      <c r="AC80" s="20">
        <f t="shared" si="71"/>
        <v>0</v>
      </c>
      <c r="AD80" s="20">
        <f t="shared" si="72"/>
        <v>0</v>
      </c>
      <c r="AE80" s="20">
        <f t="shared" si="73"/>
        <v>0</v>
      </c>
      <c r="AF80" s="20">
        <f t="shared" si="73"/>
        <v>0</v>
      </c>
      <c r="AG80" s="20">
        <f t="shared" si="73"/>
        <v>0</v>
      </c>
      <c r="AH80" s="20">
        <f t="shared" si="73"/>
        <v>0</v>
      </c>
      <c r="AI80" s="20">
        <f t="shared" si="74"/>
        <v>0</v>
      </c>
      <c r="AJ80" s="20">
        <f t="shared" si="74"/>
        <v>0</v>
      </c>
      <c r="AK80" s="20">
        <f t="shared" si="74"/>
        <v>0</v>
      </c>
      <c r="AL80" s="20">
        <f t="shared" si="74"/>
        <v>0</v>
      </c>
      <c r="AM80" s="20">
        <f t="shared" si="75"/>
        <v>0</v>
      </c>
      <c r="AO80">
        <f t="shared" si="76"/>
        <v>0</v>
      </c>
      <c r="AP80">
        <f t="shared" si="76"/>
        <v>0</v>
      </c>
      <c r="AQ80">
        <f t="shared" si="76"/>
        <v>0</v>
      </c>
      <c r="AR80">
        <f t="shared" si="76"/>
        <v>0</v>
      </c>
      <c r="AS80">
        <f t="shared" si="77"/>
        <v>0</v>
      </c>
      <c r="AU80">
        <f t="shared" si="78"/>
        <v>0</v>
      </c>
      <c r="AV80">
        <f t="shared" si="78"/>
        <v>0</v>
      </c>
      <c r="AW80">
        <f t="shared" si="78"/>
        <v>0</v>
      </c>
      <c r="AX80">
        <f t="shared" si="78"/>
        <v>0</v>
      </c>
      <c r="AY80">
        <f t="shared" si="79"/>
        <v>0</v>
      </c>
    </row>
    <row r="81" spans="1:51" ht="15" x14ac:dyDescent="0.25">
      <c r="A81" s="7"/>
      <c r="B81" s="8" t="s">
        <v>14</v>
      </c>
      <c r="C81" s="7"/>
      <c r="D81" s="288">
        <f>SUM(D75:D80)</f>
        <v>0</v>
      </c>
      <c r="E81" s="289">
        <f>SUM(E75:E80)</f>
        <v>232.39553426000001</v>
      </c>
      <c r="F81" s="289">
        <f>SUM(F75:F80)</f>
        <v>8.7156364400000008</v>
      </c>
      <c r="G81" s="289">
        <f>SUM(G75:G80)</f>
        <v>3.3235228299999999</v>
      </c>
      <c r="H81" s="290">
        <f>SUM(H75:H80)</f>
        <v>14.408158459999999</v>
      </c>
      <c r="J81">
        <v>0</v>
      </c>
      <c r="K81">
        <v>-69.890715476661995</v>
      </c>
      <c r="L81">
        <v>-5.4712615713324002</v>
      </c>
      <c r="M81">
        <v>-7.0499445264520002</v>
      </c>
      <c r="N81">
        <v>-6.8245491857619767</v>
      </c>
      <c r="O81" s="20"/>
      <c r="P81" s="20"/>
      <c r="Q81" s="147"/>
      <c r="R81" s="197"/>
      <c r="S81" s="197"/>
      <c r="T81" s="197"/>
      <c r="U81" s="197"/>
    </row>
    <row r="82" spans="1:51" ht="15" x14ac:dyDescent="0.25">
      <c r="A82" s="10"/>
      <c r="B82" s="9" t="s">
        <v>15</v>
      </c>
      <c r="C82" s="5"/>
      <c r="D82" s="291"/>
      <c r="E82" s="292"/>
      <c r="F82" s="292"/>
      <c r="G82" s="292"/>
      <c r="H82" s="293">
        <f>SUM(D81:H81)</f>
        <v>258.84285198999999</v>
      </c>
      <c r="N82">
        <v>-89.236470760208377</v>
      </c>
      <c r="O82" s="20"/>
      <c r="P82" s="20"/>
      <c r="Q82" s="147"/>
      <c r="R82" s="197"/>
      <c r="S82" s="197"/>
      <c r="T82" s="197"/>
      <c r="U82" s="197"/>
    </row>
    <row r="83" spans="1:51" ht="15.75" thickBot="1" x14ac:dyDescent="0.3">
      <c r="A83" s="1"/>
      <c r="B83" s="2"/>
      <c r="C83" s="1"/>
      <c r="D83" s="297"/>
      <c r="E83" s="298"/>
      <c r="F83" s="298"/>
      <c r="G83" s="298"/>
      <c r="H83" s="299"/>
      <c r="O83" s="20"/>
      <c r="P83" s="20"/>
      <c r="Q83" s="147"/>
      <c r="R83" s="197"/>
      <c r="S83" s="197"/>
      <c r="T83" s="197"/>
      <c r="U83" s="197"/>
    </row>
    <row r="84" spans="1:51" ht="15" x14ac:dyDescent="0.25">
      <c r="A84" s="1">
        <v>9</v>
      </c>
      <c r="B84" s="2" t="s">
        <v>23</v>
      </c>
      <c r="C84" s="1" t="s">
        <v>8</v>
      </c>
      <c r="D84" s="282">
        <v>0</v>
      </c>
      <c r="E84" s="283">
        <v>3.8081370899999998</v>
      </c>
      <c r="F84" s="283">
        <v>15.41136605</v>
      </c>
      <c r="G84" s="283">
        <v>90.138140440000001</v>
      </c>
      <c r="H84" s="284">
        <v>205.95822059</v>
      </c>
      <c r="J84">
        <v>0</v>
      </c>
      <c r="K84">
        <v>-78.691164906149993</v>
      </c>
      <c r="L84">
        <v>9.349220743410001</v>
      </c>
      <c r="M84">
        <v>61.25684696551</v>
      </c>
      <c r="N84">
        <v>144.1368872389626</v>
      </c>
      <c r="O84" s="20"/>
      <c r="P84" s="20"/>
      <c r="Q84" s="147">
        <v>2.4824606129712129E-2</v>
      </c>
      <c r="R84" s="197">
        <v>0.38700000000000001</v>
      </c>
      <c r="S84" s="197">
        <v>2.48</v>
      </c>
      <c r="T84" s="197">
        <v>0.72182006204756977</v>
      </c>
      <c r="U84" s="197">
        <v>0.90789473684210531</v>
      </c>
      <c r="V84" s="20">
        <f t="shared" ref="V84:Y89" si="80">IF(K84&gt;0,((E84-K84)*$Q84*$R84*10)+(K84*$O$12*$Q84*$R84*10),(E84*$Q84*$R84*10))</f>
        <v>0.36585239795365665</v>
      </c>
      <c r="W84" s="20">
        <f t="shared" si="80"/>
        <v>0.91270934277783611</v>
      </c>
      <c r="X84" s="20">
        <f t="shared" si="80"/>
        <v>4.9388895423210712</v>
      </c>
      <c r="Y84" s="20">
        <f t="shared" si="80"/>
        <v>11.03166367346563</v>
      </c>
      <c r="Z84" s="20">
        <f t="shared" ref="Z84:AC89" si="81">V84*(EXP(1.01-0.34*LN(Z$8))*(1-$T84)+(1*$T84))</f>
        <v>0.29502528442995812</v>
      </c>
      <c r="AA84" s="20">
        <f t="shared" si="81"/>
        <v>0.74109239534273219</v>
      </c>
      <c r="AB84" s="20">
        <f t="shared" si="81"/>
        <v>4.0203541253754445</v>
      </c>
      <c r="AC84" s="20">
        <f t="shared" si="81"/>
        <v>8.7615177340337862</v>
      </c>
      <c r="AD84" s="20">
        <f t="shared" ref="AD84:AD89" si="82">SUM(Z84:AC84)</f>
        <v>13.817989539181921</v>
      </c>
      <c r="AE84" s="20">
        <f t="shared" ref="AE84:AH89" si="83">IF(K84&gt;0,((E84-K84)*$Q84*$S84*10)+(K84*$P$12*$Q84*$S84)*10,(E84*$Q84*$S84*10))</f>
        <v>2.3444804830105133</v>
      </c>
      <c r="AF84" s="20">
        <f t="shared" si="83"/>
        <v>7.0655476692339132</v>
      </c>
      <c r="AG84" s="20">
        <f t="shared" si="83"/>
        <v>39.621391760126251</v>
      </c>
      <c r="AH84" s="20">
        <f t="shared" si="83"/>
        <v>89.4511205072412</v>
      </c>
      <c r="AI84" s="20">
        <f t="shared" ref="AI84:AL89" si="84">AE84*(EXP(1.01-0.34*LN(AI$8))*(1-$T84)+(1*$T84))</f>
        <v>1.8906013059077422</v>
      </c>
      <c r="AJ84" s="20">
        <f t="shared" si="84"/>
        <v>5.7370111175419138</v>
      </c>
      <c r="AK84" s="20">
        <f t="shared" si="84"/>
        <v>32.252599385140257</v>
      </c>
      <c r="AL84" s="20">
        <f t="shared" si="84"/>
        <v>71.043461970154198</v>
      </c>
      <c r="AM84" s="20">
        <f t="shared" ref="AM84:AM89" si="85">SUM(AI84:AL84)</f>
        <v>110.9236737787441</v>
      </c>
      <c r="AO84">
        <f t="shared" ref="AO84:AR89" si="86">Z84*AO$10</f>
        <v>0.2990081257697626</v>
      </c>
      <c r="AP84">
        <f t="shared" si="86"/>
        <v>0.75109714267985916</v>
      </c>
      <c r="AQ84">
        <f t="shared" si="86"/>
        <v>4.0746289060680132</v>
      </c>
      <c r="AR84">
        <f t="shared" si="86"/>
        <v>8.8797982234432435</v>
      </c>
      <c r="AS84">
        <f t="shared" ref="AS84:AS89" si="87">SUM(AO84:AR84)</f>
        <v>14.00453239796088</v>
      </c>
      <c r="AU84">
        <f t="shared" ref="AU84:AX89" si="88">AI84*AU$10</f>
        <v>1.9161244235374968</v>
      </c>
      <c r="AV84">
        <f t="shared" si="88"/>
        <v>5.8144607676287299</v>
      </c>
      <c r="AW84">
        <f t="shared" si="88"/>
        <v>32.688009476839653</v>
      </c>
      <c r="AX84">
        <f t="shared" si="88"/>
        <v>72.002548706751284</v>
      </c>
      <c r="AY84">
        <f t="shared" ref="AY84:AY89" si="89">SUM(AU84:AX84)</f>
        <v>112.42114337475716</v>
      </c>
    </row>
    <row r="85" spans="1:51" ht="15" x14ac:dyDescent="0.25">
      <c r="A85" s="1"/>
      <c r="B85" s="2"/>
      <c r="C85" s="1" t="s">
        <v>9</v>
      </c>
      <c r="D85" s="285">
        <v>0</v>
      </c>
      <c r="E85" s="286">
        <v>0</v>
      </c>
      <c r="F85" s="286">
        <v>0</v>
      </c>
      <c r="G85" s="286">
        <v>1.17883128</v>
      </c>
      <c r="H85" s="287">
        <v>10.10015729</v>
      </c>
      <c r="J85">
        <v>0</v>
      </c>
      <c r="K85">
        <v>-2.1227532942499998</v>
      </c>
      <c r="L85">
        <v>0</v>
      </c>
      <c r="M85">
        <v>1.1549124489154001</v>
      </c>
      <c r="N85">
        <v>-2.2202391601000002</v>
      </c>
      <c r="O85" s="20"/>
      <c r="P85" s="20"/>
      <c r="Q85" s="147">
        <v>4.064921225942425E-2</v>
      </c>
      <c r="R85" s="197">
        <v>0.38700000000000001</v>
      </c>
      <c r="S85" s="197">
        <v>2.48</v>
      </c>
      <c r="T85" s="197">
        <v>0.72182006204756977</v>
      </c>
      <c r="U85" s="197">
        <v>0.90789473684210531</v>
      </c>
      <c r="V85" s="20">
        <f t="shared" si="80"/>
        <v>0</v>
      </c>
      <c r="W85" s="20">
        <f t="shared" si="80"/>
        <v>0</v>
      </c>
      <c r="X85" s="20">
        <f t="shared" si="80"/>
        <v>7.057669694624992E-2</v>
      </c>
      <c r="Y85" s="20">
        <f t="shared" si="80"/>
        <v>1.5888805032596032</v>
      </c>
      <c r="Z85" s="20">
        <f t="shared" si="81"/>
        <v>0</v>
      </c>
      <c r="AA85" s="20">
        <f t="shared" si="81"/>
        <v>0</v>
      </c>
      <c r="AB85" s="20">
        <f t="shared" si="81"/>
        <v>5.7450832275524215E-2</v>
      </c>
      <c r="AC85" s="20">
        <f t="shared" si="81"/>
        <v>1.2619134446650706</v>
      </c>
      <c r="AD85" s="20">
        <f t="shared" si="82"/>
        <v>1.3193642769405949</v>
      </c>
      <c r="AE85" s="20">
        <f t="shared" si="83"/>
        <v>0</v>
      </c>
      <c r="AF85" s="20">
        <f t="shared" si="83"/>
        <v>0</v>
      </c>
      <c r="AG85" s="20">
        <f t="shared" si="83"/>
        <v>0.69837521235981148</v>
      </c>
      <c r="AH85" s="20">
        <f t="shared" si="83"/>
        <v>10.181973250862573</v>
      </c>
      <c r="AI85" s="20">
        <f t="shared" si="84"/>
        <v>0</v>
      </c>
      <c r="AJ85" s="20">
        <f t="shared" si="84"/>
        <v>0</v>
      </c>
      <c r="AK85" s="20">
        <f t="shared" si="84"/>
        <v>0.56849128574582608</v>
      </c>
      <c r="AL85" s="20">
        <f t="shared" si="84"/>
        <v>8.0866804722722865</v>
      </c>
      <c r="AM85" s="20">
        <f t="shared" si="85"/>
        <v>8.6551717580181133</v>
      </c>
      <c r="AO85">
        <f t="shared" si="86"/>
        <v>0</v>
      </c>
      <c r="AP85">
        <f t="shared" si="86"/>
        <v>0</v>
      </c>
      <c r="AQ85">
        <f t="shared" si="86"/>
        <v>5.8226418511243792E-2</v>
      </c>
      <c r="AR85">
        <f t="shared" si="86"/>
        <v>1.2789492761680492</v>
      </c>
      <c r="AS85">
        <f t="shared" si="87"/>
        <v>1.337175694679293</v>
      </c>
      <c r="AU85">
        <f t="shared" si="88"/>
        <v>0</v>
      </c>
      <c r="AV85">
        <f t="shared" si="88"/>
        <v>0</v>
      </c>
      <c r="AW85">
        <f t="shared" si="88"/>
        <v>0.57616591810339479</v>
      </c>
      <c r="AX85">
        <f t="shared" si="88"/>
        <v>8.1958506586479629</v>
      </c>
      <c r="AY85">
        <f t="shared" si="89"/>
        <v>8.7720165767513585</v>
      </c>
    </row>
    <row r="86" spans="1:51" ht="15" x14ac:dyDescent="0.25">
      <c r="A86" s="1"/>
      <c r="B86" s="2"/>
      <c r="C86" s="1" t="s">
        <v>10</v>
      </c>
      <c r="D86" s="285">
        <v>0</v>
      </c>
      <c r="E86" s="286">
        <v>3.1382823200000001</v>
      </c>
      <c r="F86" s="286">
        <v>0</v>
      </c>
      <c r="G86" s="286">
        <v>8.2785517199999994</v>
      </c>
      <c r="H86" s="287">
        <v>5.4227730599999999</v>
      </c>
      <c r="J86">
        <v>0</v>
      </c>
      <c r="K86">
        <v>-2.4850799520499995</v>
      </c>
      <c r="L86">
        <v>0</v>
      </c>
      <c r="M86">
        <v>6.8875442954699997</v>
      </c>
      <c r="N86">
        <v>5.4227730599999999</v>
      </c>
      <c r="O86" s="20"/>
      <c r="P86" s="20"/>
      <c r="Q86" s="147">
        <v>5.6473818389136378E-2</v>
      </c>
      <c r="R86" s="197">
        <v>0.38700000000000001</v>
      </c>
      <c r="S86" s="197">
        <v>2.48</v>
      </c>
      <c r="T86" s="197">
        <v>0.72182006204756977</v>
      </c>
      <c r="U86" s="197">
        <v>0.90789473684210531</v>
      </c>
      <c r="V86" s="20">
        <f t="shared" si="80"/>
        <v>0.68588314102091308</v>
      </c>
      <c r="W86" s="20">
        <f t="shared" si="80"/>
        <v>0</v>
      </c>
      <c r="X86" s="20">
        <f t="shared" si="80"/>
        <v>0.85758625442938374</v>
      </c>
      <c r="Y86" s="20">
        <f t="shared" si="80"/>
        <v>0.4358475854692464</v>
      </c>
      <c r="Z86" s="20">
        <f t="shared" si="81"/>
        <v>0.55309974704891907</v>
      </c>
      <c r="AA86" s="20">
        <f t="shared" si="81"/>
        <v>0</v>
      </c>
      <c r="AB86" s="20">
        <f t="shared" si="81"/>
        <v>0.69809223436086942</v>
      </c>
      <c r="AC86" s="20">
        <f t="shared" si="81"/>
        <v>0.34615688643678139</v>
      </c>
      <c r="AD86" s="20">
        <f t="shared" si="82"/>
        <v>1.5973488678465699</v>
      </c>
      <c r="AE86" s="20">
        <f t="shared" si="83"/>
        <v>4.395323487679236</v>
      </c>
      <c r="AF86" s="20">
        <f t="shared" si="83"/>
        <v>0</v>
      </c>
      <c r="AG86" s="20">
        <f t="shared" si="83"/>
        <v>7.5346718745405159</v>
      </c>
      <c r="AH86" s="20">
        <f t="shared" si="83"/>
        <v>4.3984177479419291</v>
      </c>
      <c r="AI86" s="20">
        <f t="shared" si="84"/>
        <v>3.5444118157140028</v>
      </c>
      <c r="AJ86" s="20">
        <f t="shared" si="84"/>
        <v>0</v>
      </c>
      <c r="AK86" s="20">
        <f t="shared" si="84"/>
        <v>6.1333724705904844</v>
      </c>
      <c r="AL86" s="20">
        <f t="shared" si="84"/>
        <v>3.4932913331082096</v>
      </c>
      <c r="AM86" s="20">
        <f t="shared" si="85"/>
        <v>13.171075619412697</v>
      </c>
      <c r="AO86">
        <f t="shared" si="86"/>
        <v>0.56056659363407946</v>
      </c>
      <c r="AP86">
        <f t="shared" si="86"/>
        <v>0</v>
      </c>
      <c r="AQ86">
        <f t="shared" si="86"/>
        <v>0.70751647952474117</v>
      </c>
      <c r="AR86">
        <f t="shared" si="86"/>
        <v>0.35083000440367795</v>
      </c>
      <c r="AS86">
        <f t="shared" si="87"/>
        <v>1.6189130775624987</v>
      </c>
      <c r="AU86">
        <f t="shared" si="88"/>
        <v>3.5922613752261419</v>
      </c>
      <c r="AV86">
        <f t="shared" si="88"/>
        <v>0</v>
      </c>
      <c r="AW86">
        <f t="shared" si="88"/>
        <v>6.2161729989434562</v>
      </c>
      <c r="AX86">
        <f t="shared" si="88"/>
        <v>3.5404507661051707</v>
      </c>
      <c r="AY86">
        <f t="shared" si="89"/>
        <v>13.348885140274769</v>
      </c>
    </row>
    <row r="87" spans="1:51" ht="15" x14ac:dyDescent="0.25">
      <c r="A87" s="1"/>
      <c r="B87" s="2"/>
      <c r="C87" s="1" t="s">
        <v>11</v>
      </c>
      <c r="D87" s="285">
        <v>0</v>
      </c>
      <c r="E87" s="286">
        <v>0</v>
      </c>
      <c r="F87" s="286">
        <v>0</v>
      </c>
      <c r="G87" s="286">
        <v>3.9220495400000002</v>
      </c>
      <c r="H87" s="287">
        <v>0</v>
      </c>
      <c r="J87">
        <v>0</v>
      </c>
      <c r="K87">
        <v>-0.26721763230700002</v>
      </c>
      <c r="L87">
        <v>0</v>
      </c>
      <c r="M87">
        <v>3.9220495400000002</v>
      </c>
      <c r="N87">
        <v>0</v>
      </c>
      <c r="O87" s="20"/>
      <c r="P87" s="20"/>
      <c r="Q87" s="147">
        <v>7.2298424518848506E-2</v>
      </c>
      <c r="R87" s="197">
        <v>0.38700000000000001</v>
      </c>
      <c r="S87" s="197">
        <v>2.48</v>
      </c>
      <c r="T87" s="197">
        <v>0.72182006204756977</v>
      </c>
      <c r="U87" s="197">
        <v>0.90789473684210531</v>
      </c>
      <c r="V87" s="20">
        <f t="shared" si="80"/>
        <v>0</v>
      </c>
      <c r="W87" s="20">
        <f t="shared" si="80"/>
        <v>0</v>
      </c>
      <c r="X87" s="20">
        <f t="shared" si="80"/>
        <v>0.40355986699402774</v>
      </c>
      <c r="Y87" s="20">
        <f t="shared" si="80"/>
        <v>0</v>
      </c>
      <c r="Z87" s="20">
        <f t="shared" si="81"/>
        <v>0</v>
      </c>
      <c r="AA87" s="20">
        <f t="shared" si="81"/>
        <v>0</v>
      </c>
      <c r="AB87" s="20">
        <f t="shared" si="81"/>
        <v>0.32850574247564968</v>
      </c>
      <c r="AC87" s="20">
        <f t="shared" si="81"/>
        <v>0</v>
      </c>
      <c r="AD87" s="20">
        <f t="shared" si="82"/>
        <v>0.32850574247564968</v>
      </c>
      <c r="AE87" s="20">
        <f t="shared" si="83"/>
        <v>0</v>
      </c>
      <c r="AF87" s="20">
        <f t="shared" si="83"/>
        <v>0</v>
      </c>
      <c r="AG87" s="20">
        <f t="shared" si="83"/>
        <v>4.0725816558845267</v>
      </c>
      <c r="AH87" s="20">
        <f t="shared" si="83"/>
        <v>0</v>
      </c>
      <c r="AI87" s="20">
        <f t="shared" si="84"/>
        <v>0</v>
      </c>
      <c r="AJ87" s="20">
        <f t="shared" si="84"/>
        <v>0</v>
      </c>
      <c r="AK87" s="20">
        <f t="shared" si="84"/>
        <v>3.3151623094346401</v>
      </c>
      <c r="AL87" s="20">
        <f t="shared" si="84"/>
        <v>0</v>
      </c>
      <c r="AM87" s="20">
        <f t="shared" si="85"/>
        <v>3.3151623094346401</v>
      </c>
      <c r="AO87">
        <f t="shared" si="86"/>
        <v>0</v>
      </c>
      <c r="AP87">
        <f t="shared" si="86"/>
        <v>0</v>
      </c>
      <c r="AQ87">
        <f t="shared" si="86"/>
        <v>0.33294056999907096</v>
      </c>
      <c r="AR87">
        <f t="shared" si="86"/>
        <v>0</v>
      </c>
      <c r="AS87">
        <f t="shared" si="87"/>
        <v>0.33294056999907096</v>
      </c>
      <c r="AU87">
        <f t="shared" si="88"/>
        <v>0</v>
      </c>
      <c r="AV87">
        <f t="shared" si="88"/>
        <v>0</v>
      </c>
      <c r="AW87">
        <f t="shared" si="88"/>
        <v>3.359917000612008</v>
      </c>
      <c r="AX87">
        <f t="shared" si="88"/>
        <v>0</v>
      </c>
      <c r="AY87">
        <f t="shared" si="89"/>
        <v>3.359917000612008</v>
      </c>
    </row>
    <row r="88" spans="1:51" ht="15" x14ac:dyDescent="0.25">
      <c r="A88" s="1"/>
      <c r="B88" s="2"/>
      <c r="C88" s="1" t="s">
        <v>12</v>
      </c>
      <c r="D88" s="285">
        <v>0</v>
      </c>
      <c r="E88" s="286">
        <v>0</v>
      </c>
      <c r="F88" s="286">
        <v>0</v>
      </c>
      <c r="G88" s="286">
        <v>0</v>
      </c>
      <c r="H88" s="287">
        <v>8.4744599999999996E-3</v>
      </c>
      <c r="J88">
        <v>0</v>
      </c>
      <c r="K88">
        <v>0</v>
      </c>
      <c r="L88">
        <v>0</v>
      </c>
      <c r="M88">
        <v>0</v>
      </c>
      <c r="N88">
        <v>-0.937410731971</v>
      </c>
      <c r="O88" s="20"/>
      <c r="P88" s="20"/>
      <c r="Q88" s="147">
        <v>7.2298424518848492E-2</v>
      </c>
      <c r="R88" s="197">
        <v>0.38700000000000001</v>
      </c>
      <c r="S88" s="197">
        <v>2.48</v>
      </c>
      <c r="T88" s="197">
        <v>0.72182006204756977</v>
      </c>
      <c r="U88" s="197">
        <v>0.90789473684210531</v>
      </c>
      <c r="V88" s="20">
        <f t="shared" si="80"/>
        <v>0</v>
      </c>
      <c r="W88" s="20">
        <f t="shared" si="80"/>
        <v>0</v>
      </c>
      <c r="X88" s="20">
        <f t="shared" si="80"/>
        <v>0</v>
      </c>
      <c r="Y88" s="20">
        <f t="shared" si="80"/>
        <v>2.3711107127277632E-3</v>
      </c>
      <c r="Z88" s="20">
        <f t="shared" si="81"/>
        <v>0</v>
      </c>
      <c r="AA88" s="20">
        <f t="shared" si="81"/>
        <v>0</v>
      </c>
      <c r="AB88" s="20">
        <f t="shared" si="81"/>
        <v>0</v>
      </c>
      <c r="AC88" s="20">
        <f t="shared" si="81"/>
        <v>1.8831727628617423E-3</v>
      </c>
      <c r="AD88" s="20">
        <f t="shared" si="82"/>
        <v>1.8831727628617423E-3</v>
      </c>
      <c r="AE88" s="20">
        <f t="shared" si="83"/>
        <v>0</v>
      </c>
      <c r="AF88" s="20">
        <f t="shared" si="83"/>
        <v>0</v>
      </c>
      <c r="AG88" s="20">
        <f t="shared" si="83"/>
        <v>0</v>
      </c>
      <c r="AH88" s="20">
        <f t="shared" si="83"/>
        <v>1.5194714644870421E-2</v>
      </c>
      <c r="AI88" s="20">
        <f t="shared" si="84"/>
        <v>0</v>
      </c>
      <c r="AJ88" s="20">
        <f t="shared" si="84"/>
        <v>0</v>
      </c>
      <c r="AK88" s="20">
        <f t="shared" si="84"/>
        <v>0</v>
      </c>
      <c r="AL88" s="20">
        <f t="shared" si="84"/>
        <v>1.2067877136685067E-2</v>
      </c>
      <c r="AM88" s="20">
        <f t="shared" si="85"/>
        <v>1.2067877136685067E-2</v>
      </c>
      <c r="AO88">
        <f t="shared" si="86"/>
        <v>0</v>
      </c>
      <c r="AP88">
        <f t="shared" si="86"/>
        <v>0</v>
      </c>
      <c r="AQ88">
        <f t="shared" si="86"/>
        <v>0</v>
      </c>
      <c r="AR88">
        <f t="shared" si="86"/>
        <v>1.908595595160376E-3</v>
      </c>
      <c r="AS88">
        <f t="shared" si="87"/>
        <v>1.908595595160376E-3</v>
      </c>
      <c r="AU88">
        <f t="shared" si="88"/>
        <v>0</v>
      </c>
      <c r="AV88">
        <f t="shared" si="88"/>
        <v>0</v>
      </c>
      <c r="AW88">
        <f t="shared" si="88"/>
        <v>0</v>
      </c>
      <c r="AX88">
        <f t="shared" si="88"/>
        <v>1.2230793478030317E-2</v>
      </c>
      <c r="AY88">
        <f t="shared" si="89"/>
        <v>1.2230793478030317E-2</v>
      </c>
    </row>
    <row r="89" spans="1:51" ht="15" x14ac:dyDescent="0.25">
      <c r="A89" s="1"/>
      <c r="B89" s="2"/>
      <c r="C89" s="1" t="s">
        <v>13</v>
      </c>
      <c r="D89" s="285">
        <v>0</v>
      </c>
      <c r="E89" s="286">
        <v>0</v>
      </c>
      <c r="F89" s="286">
        <v>0</v>
      </c>
      <c r="G89" s="286">
        <v>0</v>
      </c>
      <c r="H89" s="287">
        <v>0</v>
      </c>
      <c r="J89">
        <v>0</v>
      </c>
      <c r="K89">
        <v>0</v>
      </c>
      <c r="L89">
        <v>0</v>
      </c>
      <c r="M89">
        <v>0</v>
      </c>
      <c r="N89">
        <v>0</v>
      </c>
      <c r="O89" s="20"/>
      <c r="P89" s="20"/>
      <c r="Q89" s="147"/>
      <c r="R89" s="197">
        <v>0.38700000000000001</v>
      </c>
      <c r="S89" s="197">
        <v>2.48</v>
      </c>
      <c r="T89" s="197">
        <v>0.72182006204756977</v>
      </c>
      <c r="U89" s="197">
        <v>0.90789473684210531</v>
      </c>
      <c r="V89" s="20">
        <f t="shared" si="80"/>
        <v>0</v>
      </c>
      <c r="W89" s="20">
        <f t="shared" si="80"/>
        <v>0</v>
      </c>
      <c r="X89" s="20">
        <f t="shared" si="80"/>
        <v>0</v>
      </c>
      <c r="Y89" s="20">
        <f t="shared" si="80"/>
        <v>0</v>
      </c>
      <c r="Z89" s="20">
        <f t="shared" si="81"/>
        <v>0</v>
      </c>
      <c r="AA89" s="20">
        <f t="shared" si="81"/>
        <v>0</v>
      </c>
      <c r="AB89" s="20">
        <f t="shared" si="81"/>
        <v>0</v>
      </c>
      <c r="AC89" s="20">
        <f t="shared" si="81"/>
        <v>0</v>
      </c>
      <c r="AD89" s="20">
        <f t="shared" si="82"/>
        <v>0</v>
      </c>
      <c r="AE89" s="20">
        <f t="shared" si="83"/>
        <v>0</v>
      </c>
      <c r="AF89" s="20">
        <f t="shared" si="83"/>
        <v>0</v>
      </c>
      <c r="AG89" s="20">
        <f t="shared" si="83"/>
        <v>0</v>
      </c>
      <c r="AH89" s="20">
        <f t="shared" si="83"/>
        <v>0</v>
      </c>
      <c r="AI89" s="20">
        <f t="shared" si="84"/>
        <v>0</v>
      </c>
      <c r="AJ89" s="20">
        <f t="shared" si="84"/>
        <v>0</v>
      </c>
      <c r="AK89" s="20">
        <f t="shared" si="84"/>
        <v>0</v>
      </c>
      <c r="AL89" s="20">
        <f t="shared" si="84"/>
        <v>0</v>
      </c>
      <c r="AM89" s="20">
        <f t="shared" si="85"/>
        <v>0</v>
      </c>
      <c r="AO89">
        <f t="shared" si="86"/>
        <v>0</v>
      </c>
      <c r="AP89">
        <f t="shared" si="86"/>
        <v>0</v>
      </c>
      <c r="AQ89">
        <f t="shared" si="86"/>
        <v>0</v>
      </c>
      <c r="AR89">
        <f t="shared" si="86"/>
        <v>0</v>
      </c>
      <c r="AS89">
        <f t="shared" si="87"/>
        <v>0</v>
      </c>
      <c r="AU89">
        <f t="shared" si="88"/>
        <v>0</v>
      </c>
      <c r="AV89">
        <f t="shared" si="88"/>
        <v>0</v>
      </c>
      <c r="AW89">
        <f t="shared" si="88"/>
        <v>0</v>
      </c>
      <c r="AX89">
        <f t="shared" si="88"/>
        <v>0</v>
      </c>
      <c r="AY89">
        <f t="shared" si="89"/>
        <v>0</v>
      </c>
    </row>
    <row r="90" spans="1:51" ht="15" x14ac:dyDescent="0.25">
      <c r="A90" s="7"/>
      <c r="B90" s="8" t="s">
        <v>14</v>
      </c>
      <c r="C90" s="7"/>
      <c r="D90" s="288">
        <f>SUM(D84:D89)</f>
        <v>0</v>
      </c>
      <c r="E90" s="289">
        <f>SUM(E84:E89)</f>
        <v>6.9464194099999998</v>
      </c>
      <c r="F90" s="289">
        <f>SUM(F84:F89)</f>
        <v>15.41136605</v>
      </c>
      <c r="G90" s="289">
        <f>SUM(G84:G89)</f>
        <v>103.51757298</v>
      </c>
      <c r="H90" s="290">
        <f>SUM(H84:H89)</f>
        <v>221.48962539999999</v>
      </c>
      <c r="J90">
        <v>0</v>
      </c>
      <c r="K90">
        <v>-83.566215784756992</v>
      </c>
      <c r="L90">
        <v>9.349220743410001</v>
      </c>
      <c r="M90">
        <v>73.221353249895401</v>
      </c>
      <c r="N90">
        <v>146.40201040689161</v>
      </c>
      <c r="O90" s="20"/>
      <c r="P90" s="20"/>
      <c r="Q90" s="147"/>
      <c r="R90" s="197"/>
      <c r="S90" s="197"/>
      <c r="T90" s="197"/>
      <c r="U90" s="197"/>
    </row>
    <row r="91" spans="1:51" ht="15" x14ac:dyDescent="0.25">
      <c r="A91" s="10"/>
      <c r="B91" s="9" t="s">
        <v>15</v>
      </c>
      <c r="C91" s="5"/>
      <c r="D91" s="291"/>
      <c r="E91" s="292"/>
      <c r="F91" s="292"/>
      <c r="G91" s="292"/>
      <c r="H91" s="293">
        <f>SUM(D90:H90)</f>
        <v>347.36498383999998</v>
      </c>
      <c r="N91">
        <v>145.40636861544002</v>
      </c>
      <c r="O91" s="20"/>
      <c r="P91" s="20"/>
      <c r="Q91" s="147"/>
      <c r="R91" s="197"/>
      <c r="S91" s="197"/>
      <c r="T91" s="197"/>
      <c r="U91" s="197"/>
    </row>
    <row r="92" spans="1:51" ht="15.75" thickBot="1" x14ac:dyDescent="0.3">
      <c r="A92" s="1"/>
      <c r="B92" s="2"/>
      <c r="C92" s="1"/>
      <c r="D92" s="294"/>
      <c r="E92" s="295"/>
      <c r="F92" s="295"/>
      <c r="G92" s="295"/>
      <c r="H92" s="296"/>
      <c r="O92" s="20"/>
      <c r="P92" s="20"/>
      <c r="Q92" s="147"/>
      <c r="R92" s="197"/>
      <c r="S92" s="197"/>
      <c r="T92" s="197"/>
      <c r="U92" s="197"/>
    </row>
    <row r="93" spans="1:51" ht="15" x14ac:dyDescent="0.25">
      <c r="A93" s="1">
        <v>10</v>
      </c>
      <c r="B93" s="2" t="s">
        <v>24</v>
      </c>
      <c r="C93" s="1" t="s">
        <v>8</v>
      </c>
      <c r="D93" s="285">
        <v>0</v>
      </c>
      <c r="E93" s="286">
        <v>5.7486316000000004</v>
      </c>
      <c r="F93" s="286">
        <v>0</v>
      </c>
      <c r="G93" s="286">
        <v>16.1388277</v>
      </c>
      <c r="H93" s="287">
        <v>1.9431316199999999</v>
      </c>
      <c r="J93">
        <v>0</v>
      </c>
      <c r="K93">
        <v>-56.989754534049993</v>
      </c>
      <c r="L93">
        <v>-27.516994168144002</v>
      </c>
      <c r="M93">
        <v>-48.931417991979991</v>
      </c>
      <c r="N93">
        <v>-149.73163242408003</v>
      </c>
      <c r="O93" s="20"/>
      <c r="P93" s="20"/>
      <c r="Q93" s="147">
        <v>2.4824606129712126E-2</v>
      </c>
      <c r="R93" s="197">
        <v>0.66599999999999993</v>
      </c>
      <c r="S93" s="197">
        <v>4.5549999999999997</v>
      </c>
      <c r="T93" s="197">
        <v>0.60039794540960334</v>
      </c>
      <c r="U93" s="197">
        <v>0.90789473684210531</v>
      </c>
      <c r="V93" s="20">
        <f t="shared" ref="V93:Y98" si="90">IF(K93&gt;0,((E93-K93)*$Q93*$R93*10)+(K93*$O$12*$Q93*$R93*10),(E93*$Q93*$R93*10))</f>
        <v>0.95043205159708</v>
      </c>
      <c r="W93" s="20">
        <f t="shared" si="90"/>
        <v>0</v>
      </c>
      <c r="X93" s="20">
        <f t="shared" si="90"/>
        <v>2.6682626733782664</v>
      </c>
      <c r="Y93" s="20">
        <f t="shared" si="90"/>
        <v>0.32126159765043177</v>
      </c>
      <c r="Z93" s="20">
        <f t="shared" ref="Z93:AC98" si="91">V93*(EXP(1.01-0.34*LN(Z$8))*(1-$T93)+(1*$T93))</f>
        <v>0.68612021201761364</v>
      </c>
      <c r="AA93" s="20">
        <f t="shared" si="91"/>
        <v>0</v>
      </c>
      <c r="AB93" s="20">
        <f t="shared" si="91"/>
        <v>1.9554144350572735</v>
      </c>
      <c r="AC93" s="20">
        <f t="shared" si="91"/>
        <v>0.22629442994244622</v>
      </c>
      <c r="AD93" s="20">
        <f t="shared" ref="AD93:AD98" si="92">SUM(Z93:AC93)</f>
        <v>2.8678290770173334</v>
      </c>
      <c r="AE93" s="20">
        <f t="shared" ref="AE93:AH98" si="93">IF(K93&gt;0,((E93-K93)*$Q93*$S93*10)+(K93*$P$12*$Q93*$S93)*10,(E93*$Q93*$S93*10))</f>
        <v>6.5003273198569067</v>
      </c>
      <c r="AF93" s="20">
        <f t="shared" si="93"/>
        <v>0</v>
      </c>
      <c r="AG93" s="20">
        <f t="shared" si="93"/>
        <v>18.249153869726737</v>
      </c>
      <c r="AH93" s="20">
        <f t="shared" si="93"/>
        <v>2.1972170830296047</v>
      </c>
      <c r="AI93" s="20">
        <f t="shared" ref="AI93:AL98" si="94">AE93*(EXP(1.01-0.34*LN(AI$8))*(1-$T93)+(1*$T93))</f>
        <v>4.6926089575679137</v>
      </c>
      <c r="AJ93" s="20">
        <f t="shared" si="94"/>
        <v>0</v>
      </c>
      <c r="AK93" s="20">
        <f t="shared" si="94"/>
        <v>13.373742870399223</v>
      </c>
      <c r="AL93" s="20">
        <f t="shared" si="94"/>
        <v>1.5477043969787427</v>
      </c>
      <c r="AM93" s="20">
        <f t="shared" ref="AM93:AM98" si="95">SUM(AI93:AL93)</f>
        <v>19.614056224945877</v>
      </c>
      <c r="AO93">
        <f t="shared" ref="AO93:AR98" si="96">Z93*AO$10</f>
        <v>0.69538283487985142</v>
      </c>
      <c r="AP93">
        <f t="shared" si="96"/>
        <v>0</v>
      </c>
      <c r="AQ93">
        <f t="shared" si="96"/>
        <v>1.9818125299305469</v>
      </c>
      <c r="AR93">
        <f t="shared" si="96"/>
        <v>0.22934940474666926</v>
      </c>
      <c r="AS93">
        <f t="shared" ref="AS93:AS98" si="97">SUM(AO93:AR93)</f>
        <v>2.9065447695570672</v>
      </c>
      <c r="AU93">
        <f t="shared" ref="AU93:AX98" si="98">AI93*AU$10</f>
        <v>4.7559591784950808</v>
      </c>
      <c r="AV93">
        <f t="shared" si="98"/>
        <v>0</v>
      </c>
      <c r="AW93">
        <f t="shared" si="98"/>
        <v>13.554288399149613</v>
      </c>
      <c r="AX93">
        <f t="shared" si="98"/>
        <v>1.5685984063379559</v>
      </c>
      <c r="AY93">
        <f t="shared" ref="AY93:AY98" si="99">SUM(AU93:AX93)</f>
        <v>19.87884598398265</v>
      </c>
    </row>
    <row r="94" spans="1:51" ht="15" x14ac:dyDescent="0.25">
      <c r="A94" s="1"/>
      <c r="B94" s="2"/>
      <c r="C94" s="1" t="s">
        <v>9</v>
      </c>
      <c r="D94" s="285">
        <v>0</v>
      </c>
      <c r="E94" s="286">
        <v>0</v>
      </c>
      <c r="F94" s="286">
        <v>0</v>
      </c>
      <c r="G94" s="286">
        <v>0</v>
      </c>
      <c r="H94" s="287">
        <v>0</v>
      </c>
      <c r="J94">
        <v>0</v>
      </c>
      <c r="K94">
        <v>0</v>
      </c>
      <c r="L94">
        <v>-9.3874204262299997E-3</v>
      </c>
      <c r="M94">
        <v>-3.0016664161599999E-2</v>
      </c>
      <c r="N94">
        <v>-2.2121547666349999</v>
      </c>
      <c r="O94" s="20"/>
      <c r="P94" s="20"/>
      <c r="Q94" s="147"/>
      <c r="R94" s="197">
        <v>0.66599999999999993</v>
      </c>
      <c r="S94" s="197">
        <v>4.5549999999999997</v>
      </c>
      <c r="T94" s="197">
        <v>0.60039794540960334</v>
      </c>
      <c r="U94" s="197">
        <v>0.90789473684210531</v>
      </c>
      <c r="V94" s="20">
        <f t="shared" si="90"/>
        <v>0</v>
      </c>
      <c r="W94" s="20">
        <f t="shared" si="90"/>
        <v>0</v>
      </c>
      <c r="X94" s="20">
        <f t="shared" si="90"/>
        <v>0</v>
      </c>
      <c r="Y94" s="20">
        <f t="shared" si="90"/>
        <v>0</v>
      </c>
      <c r="Z94" s="20">
        <f t="shared" si="91"/>
        <v>0</v>
      </c>
      <c r="AA94" s="20">
        <f t="shared" si="91"/>
        <v>0</v>
      </c>
      <c r="AB94" s="20">
        <f t="shared" si="91"/>
        <v>0</v>
      </c>
      <c r="AC94" s="20">
        <f t="shared" si="91"/>
        <v>0</v>
      </c>
      <c r="AD94" s="20">
        <f t="shared" si="92"/>
        <v>0</v>
      </c>
      <c r="AE94" s="20">
        <f t="shared" si="93"/>
        <v>0</v>
      </c>
      <c r="AF94" s="20">
        <f t="shared" si="93"/>
        <v>0</v>
      </c>
      <c r="AG94" s="20">
        <f t="shared" si="93"/>
        <v>0</v>
      </c>
      <c r="AH94" s="20">
        <f t="shared" si="93"/>
        <v>0</v>
      </c>
      <c r="AI94" s="20">
        <f t="shared" si="94"/>
        <v>0</v>
      </c>
      <c r="AJ94" s="20">
        <f t="shared" si="94"/>
        <v>0</v>
      </c>
      <c r="AK94" s="20">
        <f t="shared" si="94"/>
        <v>0</v>
      </c>
      <c r="AL94" s="20">
        <f t="shared" si="94"/>
        <v>0</v>
      </c>
      <c r="AM94" s="20">
        <f t="shared" si="95"/>
        <v>0</v>
      </c>
      <c r="AO94">
        <f t="shared" si="96"/>
        <v>0</v>
      </c>
      <c r="AP94">
        <f t="shared" si="96"/>
        <v>0</v>
      </c>
      <c r="AQ94">
        <f t="shared" si="96"/>
        <v>0</v>
      </c>
      <c r="AR94">
        <f t="shared" si="96"/>
        <v>0</v>
      </c>
      <c r="AS94">
        <f t="shared" si="97"/>
        <v>0</v>
      </c>
      <c r="AU94">
        <f t="shared" si="98"/>
        <v>0</v>
      </c>
      <c r="AV94">
        <f t="shared" si="98"/>
        <v>0</v>
      </c>
      <c r="AW94">
        <f t="shared" si="98"/>
        <v>0</v>
      </c>
      <c r="AX94">
        <f t="shared" si="98"/>
        <v>0</v>
      </c>
      <c r="AY94">
        <f t="shared" si="99"/>
        <v>0</v>
      </c>
    </row>
    <row r="95" spans="1:51" ht="15" x14ac:dyDescent="0.25">
      <c r="A95" s="1"/>
      <c r="B95" s="2"/>
      <c r="C95" s="1" t="s">
        <v>10</v>
      </c>
      <c r="D95" s="285">
        <v>0</v>
      </c>
      <c r="E95" s="286">
        <v>0</v>
      </c>
      <c r="F95" s="286">
        <v>0</v>
      </c>
      <c r="G95" s="286">
        <v>0.15779884</v>
      </c>
      <c r="H95" s="287">
        <v>0</v>
      </c>
      <c r="J95">
        <v>0</v>
      </c>
      <c r="K95">
        <v>-3.25819994069</v>
      </c>
      <c r="L95">
        <v>0</v>
      </c>
      <c r="M95">
        <v>-0.39056961641400001</v>
      </c>
      <c r="N95">
        <v>-6.3553800042879995</v>
      </c>
      <c r="O95" s="20"/>
      <c r="P95" s="20"/>
      <c r="Q95" s="147">
        <v>5.6473818389136371E-2</v>
      </c>
      <c r="R95" s="197">
        <v>0.66599999999999993</v>
      </c>
      <c r="S95" s="197">
        <v>4.5549999999999997</v>
      </c>
      <c r="T95" s="197">
        <v>0.60039794540960334</v>
      </c>
      <c r="U95" s="197">
        <v>0.90789473684210531</v>
      </c>
      <c r="V95" s="20">
        <f t="shared" si="90"/>
        <v>0</v>
      </c>
      <c r="W95" s="20">
        <f t="shared" si="90"/>
        <v>0</v>
      </c>
      <c r="X95" s="20">
        <f t="shared" si="90"/>
        <v>5.9350610194294738E-2</v>
      </c>
      <c r="Y95" s="20">
        <f t="shared" si="90"/>
        <v>0</v>
      </c>
      <c r="Z95" s="20">
        <f t="shared" si="91"/>
        <v>0</v>
      </c>
      <c r="AA95" s="20">
        <f t="shared" si="91"/>
        <v>0</v>
      </c>
      <c r="AB95" s="20">
        <f t="shared" si="91"/>
        <v>4.3494608331212353E-2</v>
      </c>
      <c r="AC95" s="20">
        <f t="shared" si="91"/>
        <v>0</v>
      </c>
      <c r="AD95" s="20">
        <f t="shared" si="92"/>
        <v>4.3494608331212353E-2</v>
      </c>
      <c r="AE95" s="20">
        <f t="shared" si="93"/>
        <v>0</v>
      </c>
      <c r="AF95" s="20">
        <f t="shared" si="93"/>
        <v>0</v>
      </c>
      <c r="AG95" s="20">
        <f t="shared" si="93"/>
        <v>0.40591896311563447</v>
      </c>
      <c r="AH95" s="20">
        <f t="shared" si="93"/>
        <v>0</v>
      </c>
      <c r="AI95" s="20">
        <f t="shared" si="94"/>
        <v>0</v>
      </c>
      <c r="AJ95" s="20">
        <f t="shared" si="94"/>
        <v>0</v>
      </c>
      <c r="AK95" s="20">
        <f t="shared" si="94"/>
        <v>0.29747438580881724</v>
      </c>
      <c r="AL95" s="20">
        <f t="shared" si="94"/>
        <v>0</v>
      </c>
      <c r="AM95" s="20">
        <f t="shared" si="95"/>
        <v>0.29747438580881724</v>
      </c>
      <c r="AO95">
        <f t="shared" si="96"/>
        <v>0</v>
      </c>
      <c r="AP95">
        <f t="shared" si="96"/>
        <v>0</v>
      </c>
      <c r="AQ95">
        <f t="shared" si="96"/>
        <v>4.4081785543683721E-2</v>
      </c>
      <c r="AR95">
        <f t="shared" si="96"/>
        <v>0</v>
      </c>
      <c r="AS95">
        <f t="shared" si="97"/>
        <v>4.4081785543683721E-2</v>
      </c>
      <c r="AU95">
        <f t="shared" si="98"/>
        <v>0</v>
      </c>
      <c r="AV95">
        <f t="shared" si="98"/>
        <v>0</v>
      </c>
      <c r="AW95">
        <f t="shared" si="98"/>
        <v>0.30149029001723632</v>
      </c>
      <c r="AX95">
        <f t="shared" si="98"/>
        <v>0</v>
      </c>
      <c r="AY95">
        <f t="shared" si="99"/>
        <v>0.30149029001723632</v>
      </c>
    </row>
    <row r="96" spans="1:51" ht="15" x14ac:dyDescent="0.25">
      <c r="A96" s="1"/>
      <c r="B96" s="2"/>
      <c r="C96" s="1" t="s">
        <v>11</v>
      </c>
      <c r="D96" s="285">
        <v>0</v>
      </c>
      <c r="E96" s="286">
        <v>0</v>
      </c>
      <c r="F96" s="286">
        <v>0</v>
      </c>
      <c r="G96" s="286">
        <v>0</v>
      </c>
      <c r="H96" s="287">
        <v>0</v>
      </c>
      <c r="J96">
        <v>0</v>
      </c>
      <c r="K96">
        <v>0</v>
      </c>
      <c r="L96">
        <v>0</v>
      </c>
      <c r="M96">
        <v>-1.52974340484</v>
      </c>
      <c r="N96">
        <v>-0.49902798576060003</v>
      </c>
      <c r="O96" s="20"/>
      <c r="P96" s="20"/>
      <c r="Q96" s="147"/>
      <c r="R96" s="197">
        <v>0.66599999999999993</v>
      </c>
      <c r="S96" s="197">
        <v>4.5549999999999997</v>
      </c>
      <c r="T96" s="197">
        <v>0.60039794540960334</v>
      </c>
      <c r="U96" s="197">
        <v>0.90789473684210531</v>
      </c>
      <c r="V96" s="20">
        <f t="shared" si="90"/>
        <v>0</v>
      </c>
      <c r="W96" s="20">
        <f t="shared" si="90"/>
        <v>0</v>
      </c>
      <c r="X96" s="20">
        <f t="shared" si="90"/>
        <v>0</v>
      </c>
      <c r="Y96" s="20">
        <f t="shared" si="90"/>
        <v>0</v>
      </c>
      <c r="Z96" s="20">
        <f t="shared" si="91"/>
        <v>0</v>
      </c>
      <c r="AA96" s="20">
        <f t="shared" si="91"/>
        <v>0</v>
      </c>
      <c r="AB96" s="20">
        <f t="shared" si="91"/>
        <v>0</v>
      </c>
      <c r="AC96" s="20">
        <f t="shared" si="91"/>
        <v>0</v>
      </c>
      <c r="AD96" s="20">
        <f t="shared" si="92"/>
        <v>0</v>
      </c>
      <c r="AE96" s="20">
        <f t="shared" si="93"/>
        <v>0</v>
      </c>
      <c r="AF96" s="20">
        <f t="shared" si="93"/>
        <v>0</v>
      </c>
      <c r="AG96" s="20">
        <f t="shared" si="93"/>
        <v>0</v>
      </c>
      <c r="AH96" s="20">
        <f t="shared" si="93"/>
        <v>0</v>
      </c>
      <c r="AI96" s="20">
        <f t="shared" si="94"/>
        <v>0</v>
      </c>
      <c r="AJ96" s="20">
        <f t="shared" si="94"/>
        <v>0</v>
      </c>
      <c r="AK96" s="20">
        <f t="shared" si="94"/>
        <v>0</v>
      </c>
      <c r="AL96" s="20">
        <f t="shared" si="94"/>
        <v>0</v>
      </c>
      <c r="AM96" s="20">
        <f t="shared" si="95"/>
        <v>0</v>
      </c>
      <c r="AO96">
        <f t="shared" si="96"/>
        <v>0</v>
      </c>
      <c r="AP96">
        <f t="shared" si="96"/>
        <v>0</v>
      </c>
      <c r="AQ96">
        <f t="shared" si="96"/>
        <v>0</v>
      </c>
      <c r="AR96">
        <f t="shared" si="96"/>
        <v>0</v>
      </c>
      <c r="AS96">
        <f t="shared" si="97"/>
        <v>0</v>
      </c>
      <c r="AU96">
        <f t="shared" si="98"/>
        <v>0</v>
      </c>
      <c r="AV96">
        <f t="shared" si="98"/>
        <v>0</v>
      </c>
      <c r="AW96">
        <f t="shared" si="98"/>
        <v>0</v>
      </c>
      <c r="AX96">
        <f t="shared" si="98"/>
        <v>0</v>
      </c>
      <c r="AY96">
        <f t="shared" si="99"/>
        <v>0</v>
      </c>
    </row>
    <row r="97" spans="1:51" ht="15" x14ac:dyDescent="0.25">
      <c r="A97" s="1"/>
      <c r="B97" s="2"/>
      <c r="C97" s="1" t="s">
        <v>12</v>
      </c>
      <c r="D97" s="285">
        <v>0</v>
      </c>
      <c r="E97" s="286">
        <v>0</v>
      </c>
      <c r="F97" s="286">
        <v>0</v>
      </c>
      <c r="G97" s="286">
        <v>0</v>
      </c>
      <c r="H97" s="28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20"/>
      <c r="P97" s="20"/>
      <c r="Q97" s="147"/>
      <c r="R97" s="197">
        <v>0.66599999999999993</v>
      </c>
      <c r="S97" s="197">
        <v>4.5549999999999997</v>
      </c>
      <c r="T97" s="197">
        <v>0.60039794540960334</v>
      </c>
      <c r="U97" s="197">
        <v>0.90789473684210531</v>
      </c>
      <c r="V97" s="20">
        <f t="shared" si="90"/>
        <v>0</v>
      </c>
      <c r="W97" s="20">
        <f t="shared" si="90"/>
        <v>0</v>
      </c>
      <c r="X97" s="20">
        <f t="shared" si="90"/>
        <v>0</v>
      </c>
      <c r="Y97" s="20">
        <f t="shared" si="90"/>
        <v>0</v>
      </c>
      <c r="Z97" s="20">
        <f t="shared" si="91"/>
        <v>0</v>
      </c>
      <c r="AA97" s="20">
        <f t="shared" si="91"/>
        <v>0</v>
      </c>
      <c r="AB97" s="20">
        <f t="shared" si="91"/>
        <v>0</v>
      </c>
      <c r="AC97" s="20">
        <f t="shared" si="91"/>
        <v>0</v>
      </c>
      <c r="AD97" s="20">
        <f t="shared" si="92"/>
        <v>0</v>
      </c>
      <c r="AE97" s="20">
        <f t="shared" si="93"/>
        <v>0</v>
      </c>
      <c r="AF97" s="20">
        <f t="shared" si="93"/>
        <v>0</v>
      </c>
      <c r="AG97" s="20">
        <f t="shared" si="93"/>
        <v>0</v>
      </c>
      <c r="AH97" s="20">
        <f t="shared" si="93"/>
        <v>0</v>
      </c>
      <c r="AI97" s="20">
        <f t="shared" si="94"/>
        <v>0</v>
      </c>
      <c r="AJ97" s="20">
        <f t="shared" si="94"/>
        <v>0</v>
      </c>
      <c r="AK97" s="20">
        <f t="shared" si="94"/>
        <v>0</v>
      </c>
      <c r="AL97" s="20">
        <f t="shared" si="94"/>
        <v>0</v>
      </c>
      <c r="AM97" s="20">
        <f t="shared" si="95"/>
        <v>0</v>
      </c>
      <c r="AO97">
        <f t="shared" si="96"/>
        <v>0</v>
      </c>
      <c r="AP97">
        <f t="shared" si="96"/>
        <v>0</v>
      </c>
      <c r="AQ97">
        <f t="shared" si="96"/>
        <v>0</v>
      </c>
      <c r="AR97">
        <f t="shared" si="96"/>
        <v>0</v>
      </c>
      <c r="AS97">
        <f t="shared" si="97"/>
        <v>0</v>
      </c>
      <c r="AU97">
        <f t="shared" si="98"/>
        <v>0</v>
      </c>
      <c r="AV97">
        <f t="shared" si="98"/>
        <v>0</v>
      </c>
      <c r="AW97">
        <f t="shared" si="98"/>
        <v>0</v>
      </c>
      <c r="AX97">
        <f t="shared" si="98"/>
        <v>0</v>
      </c>
      <c r="AY97">
        <f t="shared" si="99"/>
        <v>0</v>
      </c>
    </row>
    <row r="98" spans="1:51" ht="15" x14ac:dyDescent="0.25">
      <c r="A98" s="1"/>
      <c r="B98" s="2"/>
      <c r="C98" s="1" t="s">
        <v>13</v>
      </c>
      <c r="D98" s="285">
        <v>0</v>
      </c>
      <c r="E98" s="286">
        <v>0</v>
      </c>
      <c r="F98" s="286">
        <v>0</v>
      </c>
      <c r="G98" s="286">
        <v>0</v>
      </c>
      <c r="H98" s="287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20"/>
      <c r="P98" s="20"/>
      <c r="Q98" s="147"/>
      <c r="R98" s="197">
        <v>0.66599999999999993</v>
      </c>
      <c r="S98" s="197">
        <v>4.5549999999999997</v>
      </c>
      <c r="T98" s="197">
        <v>0.60039794540960334</v>
      </c>
      <c r="U98" s="197">
        <v>0.90789473684210531</v>
      </c>
      <c r="V98" s="20">
        <f t="shared" si="90"/>
        <v>0</v>
      </c>
      <c r="W98" s="20">
        <f t="shared" si="90"/>
        <v>0</v>
      </c>
      <c r="X98" s="20">
        <f t="shared" si="90"/>
        <v>0</v>
      </c>
      <c r="Y98" s="20">
        <f t="shared" si="90"/>
        <v>0</v>
      </c>
      <c r="Z98" s="20">
        <f t="shared" si="91"/>
        <v>0</v>
      </c>
      <c r="AA98" s="20">
        <f t="shared" si="91"/>
        <v>0</v>
      </c>
      <c r="AB98" s="20">
        <f t="shared" si="91"/>
        <v>0</v>
      </c>
      <c r="AC98" s="20">
        <f t="shared" si="91"/>
        <v>0</v>
      </c>
      <c r="AD98" s="20">
        <f t="shared" si="92"/>
        <v>0</v>
      </c>
      <c r="AE98" s="20">
        <f t="shared" si="93"/>
        <v>0</v>
      </c>
      <c r="AF98" s="20">
        <f t="shared" si="93"/>
        <v>0</v>
      </c>
      <c r="AG98" s="20">
        <f t="shared" si="93"/>
        <v>0</v>
      </c>
      <c r="AH98" s="20">
        <f t="shared" si="93"/>
        <v>0</v>
      </c>
      <c r="AI98" s="20">
        <f t="shared" si="94"/>
        <v>0</v>
      </c>
      <c r="AJ98" s="20">
        <f t="shared" si="94"/>
        <v>0</v>
      </c>
      <c r="AK98" s="20">
        <f t="shared" si="94"/>
        <v>0</v>
      </c>
      <c r="AL98" s="20">
        <f t="shared" si="94"/>
        <v>0</v>
      </c>
      <c r="AM98" s="20">
        <f t="shared" si="95"/>
        <v>0</v>
      </c>
      <c r="AO98">
        <f t="shared" si="96"/>
        <v>0</v>
      </c>
      <c r="AP98">
        <f t="shared" si="96"/>
        <v>0</v>
      </c>
      <c r="AQ98">
        <f t="shared" si="96"/>
        <v>0</v>
      </c>
      <c r="AR98">
        <f t="shared" si="96"/>
        <v>0</v>
      </c>
      <c r="AS98">
        <f t="shared" si="97"/>
        <v>0</v>
      </c>
      <c r="AU98">
        <f t="shared" si="98"/>
        <v>0</v>
      </c>
      <c r="AV98">
        <f t="shared" si="98"/>
        <v>0</v>
      </c>
      <c r="AW98">
        <f t="shared" si="98"/>
        <v>0</v>
      </c>
      <c r="AX98">
        <f t="shared" si="98"/>
        <v>0</v>
      </c>
      <c r="AY98">
        <f t="shared" si="99"/>
        <v>0</v>
      </c>
    </row>
    <row r="99" spans="1:51" ht="15" x14ac:dyDescent="0.25">
      <c r="A99" s="7"/>
      <c r="B99" s="8" t="s">
        <v>14</v>
      </c>
      <c r="C99" s="7"/>
      <c r="D99" s="288">
        <f>SUM(D93:D98)</f>
        <v>0</v>
      </c>
      <c r="E99" s="289">
        <f>SUM(E93:E98)</f>
        <v>5.7486316000000004</v>
      </c>
      <c r="F99" s="289">
        <f>SUM(F93:F98)</f>
        <v>0</v>
      </c>
      <c r="G99" s="289">
        <f>SUM(G93:G98)</f>
        <v>16.296626540000002</v>
      </c>
      <c r="H99" s="290">
        <f>SUM(H93:H98)</f>
        <v>1.9431316199999999</v>
      </c>
      <c r="J99">
        <v>0</v>
      </c>
      <c r="K99">
        <v>-60.247954474739991</v>
      </c>
      <c r="L99">
        <v>-27.526381588570231</v>
      </c>
      <c r="M99">
        <v>-50.881747677395587</v>
      </c>
      <c r="N99">
        <v>-158.79819518076363</v>
      </c>
      <c r="O99" s="20"/>
      <c r="P99" s="20"/>
      <c r="Q99" s="147"/>
      <c r="R99" s="197"/>
      <c r="S99" s="197"/>
      <c r="T99" s="197"/>
      <c r="U99" s="197"/>
    </row>
    <row r="100" spans="1:51" ht="15" x14ac:dyDescent="0.25">
      <c r="A100" s="10"/>
      <c r="B100" s="9" t="s">
        <v>15</v>
      </c>
      <c r="C100" s="5"/>
      <c r="D100" s="291"/>
      <c r="E100" s="292"/>
      <c r="F100" s="292"/>
      <c r="G100" s="292"/>
      <c r="H100" s="293">
        <f>SUM(D99:H99)</f>
        <v>23.98838976</v>
      </c>
      <c r="N100">
        <v>-297.45427892146944</v>
      </c>
      <c r="O100" s="20"/>
      <c r="P100" s="20"/>
      <c r="Q100" s="147"/>
      <c r="R100" s="197"/>
      <c r="S100" s="197"/>
      <c r="T100" s="197"/>
      <c r="U100" s="197"/>
    </row>
    <row r="101" spans="1:51" ht="15.75" thickBot="1" x14ac:dyDescent="0.3">
      <c r="A101" s="1"/>
      <c r="B101" s="2"/>
      <c r="C101" s="1"/>
      <c r="D101" s="297"/>
      <c r="E101" s="298"/>
      <c r="F101" s="298"/>
      <c r="G101" s="298"/>
      <c r="H101" s="299"/>
      <c r="O101" s="20"/>
      <c r="P101" s="20"/>
      <c r="Q101" s="147"/>
      <c r="R101" s="197"/>
      <c r="S101" s="197"/>
      <c r="T101" s="197"/>
      <c r="U101" s="197"/>
    </row>
    <row r="102" spans="1:51" ht="15" x14ac:dyDescent="0.25">
      <c r="A102" s="1">
        <v>11</v>
      </c>
      <c r="B102" s="2" t="s">
        <v>25</v>
      </c>
      <c r="C102" s="1" t="s">
        <v>8</v>
      </c>
      <c r="D102" s="282">
        <v>0</v>
      </c>
      <c r="E102" s="283">
        <v>9.2207803199999994</v>
      </c>
      <c r="F102" s="283">
        <v>31.275141869999999</v>
      </c>
      <c r="G102" s="283">
        <v>74.482870239999997</v>
      </c>
      <c r="H102" s="284">
        <v>51.986484949999998</v>
      </c>
      <c r="J102">
        <v>0</v>
      </c>
      <c r="K102">
        <v>-41.170489095640008</v>
      </c>
      <c r="L102">
        <v>-34.5437547306</v>
      </c>
      <c r="M102">
        <v>-51.238298047768993</v>
      </c>
      <c r="N102">
        <v>-71.698947157092022</v>
      </c>
      <c r="O102" s="20"/>
      <c r="P102" s="20"/>
      <c r="Q102" s="147">
        <v>2.4824606129712126E-2</v>
      </c>
      <c r="R102" s="197">
        <v>0.14000000000000001</v>
      </c>
      <c r="S102" s="197">
        <v>2.0499999999999998</v>
      </c>
      <c r="T102" s="197">
        <v>0.62857142857142845</v>
      </c>
      <c r="U102" s="197">
        <v>0.90789473684210531</v>
      </c>
      <c r="V102" s="20">
        <f t="shared" ref="V102:Y107" si="100">IF(K102&gt;0,((E102-K102)*$Q102*$R102*10)+(K102*$O$12*$Q102*$R102*10),(E102*$Q102*$R102*10))</f>
        <v>0.32046313551364136</v>
      </c>
      <c r="W102" s="20">
        <f t="shared" si="100"/>
        <v>1.0869503100030657</v>
      </c>
      <c r="X102" s="20">
        <f t="shared" si="100"/>
        <v>2.5886110839658398</v>
      </c>
      <c r="Y102" s="20">
        <f t="shared" si="100"/>
        <v>1.8067616181327404</v>
      </c>
      <c r="Z102" s="20">
        <f t="shared" ref="Z102:AC107" si="101">V102*(EXP(1.01-0.34*LN(Z$8))*(1-$T102)+(1*$T102))</f>
        <v>0.23762673547741148</v>
      </c>
      <c r="AA102" s="20">
        <f t="shared" si="101"/>
        <v>0.81406078239868029</v>
      </c>
      <c r="AB102" s="20">
        <f t="shared" si="101"/>
        <v>1.9458006735113782</v>
      </c>
      <c r="AC102" s="20">
        <f t="shared" si="101"/>
        <v>1.3103257840115916</v>
      </c>
      <c r="AD102" s="20">
        <f t="shared" ref="AD102:AD107" si="102">SUM(Z102:AC102)</f>
        <v>4.3078139753990614</v>
      </c>
      <c r="AE102" s="20">
        <f t="shared" ref="AE102:AH107" si="103">IF(K102&gt;0,((E102-K102)*$Q102*$S102*10)+(K102*$P$12*$Q102*$S102)*10,(E102*$Q102*$S102*10))</f>
        <v>4.6924959128783179</v>
      </c>
      <c r="AF102" s="20">
        <f t="shared" si="103"/>
        <v>15.916058110759172</v>
      </c>
      <c r="AG102" s="20">
        <f t="shared" si="103"/>
        <v>37.904662300928365</v>
      </c>
      <c r="AH102" s="20">
        <f t="shared" si="103"/>
        <v>26.456152265515122</v>
      </c>
      <c r="AI102" s="20">
        <f t="shared" ref="AI102:AL107" si="104">AE102*(EXP(1.01-0.34*LN(AI$8))*(1-$T102)+(1*$T102))</f>
        <v>3.4795343409192379</v>
      </c>
      <c r="AJ102" s="20">
        <f t="shared" si="104"/>
        <v>11.920175742266386</v>
      </c>
      <c r="AK102" s="20">
        <f t="shared" si="104"/>
        <v>28.492081290702323</v>
      </c>
      <c r="AL102" s="20">
        <f t="shared" si="104"/>
        <v>19.186913265884016</v>
      </c>
      <c r="AM102" s="20">
        <f t="shared" ref="AM102:AM107" si="105">SUM(AI102:AL102)</f>
        <v>63.078704639771964</v>
      </c>
      <c r="AO102">
        <f t="shared" ref="AO102:AR107" si="106">Z102*AO$10</f>
        <v>0.24083469640635655</v>
      </c>
      <c r="AP102">
        <f t="shared" si="106"/>
        <v>0.82505060296106258</v>
      </c>
      <c r="AQ102">
        <f t="shared" si="106"/>
        <v>1.9720689826037818</v>
      </c>
      <c r="AR102">
        <f t="shared" si="106"/>
        <v>1.3280151820957482</v>
      </c>
      <c r="AS102">
        <f t="shared" ref="AS102:AS107" si="107">SUM(AO102:AR102)</f>
        <v>4.3659694640669491</v>
      </c>
      <c r="AU102">
        <f t="shared" ref="AU102:AX107" si="108">AI102*AU$10</f>
        <v>3.5265080545216478</v>
      </c>
      <c r="AV102">
        <f t="shared" si="108"/>
        <v>12.081098114786982</v>
      </c>
      <c r="AW102">
        <f t="shared" si="108"/>
        <v>28.876724388126807</v>
      </c>
      <c r="AX102">
        <f t="shared" si="108"/>
        <v>19.44593659497345</v>
      </c>
      <c r="AY102">
        <f t="shared" ref="AY102:AY107" si="109">SUM(AU102:AX102)</f>
        <v>63.930267152408888</v>
      </c>
    </row>
    <row r="103" spans="1:51" ht="15" x14ac:dyDescent="0.25">
      <c r="A103" s="1"/>
      <c r="B103" s="2"/>
      <c r="C103" s="1" t="s">
        <v>9</v>
      </c>
      <c r="D103" s="285">
        <v>0</v>
      </c>
      <c r="E103" s="286">
        <v>0</v>
      </c>
      <c r="F103" s="286">
        <v>0</v>
      </c>
      <c r="G103" s="286">
        <v>0</v>
      </c>
      <c r="H103" s="287">
        <v>3.3619200000000002E-2</v>
      </c>
      <c r="J103">
        <v>0</v>
      </c>
      <c r="K103">
        <v>0</v>
      </c>
      <c r="L103">
        <v>-1.0335454985200001</v>
      </c>
      <c r="M103">
        <v>-1.1748921289900001</v>
      </c>
      <c r="N103">
        <v>-2.7248169904819997</v>
      </c>
      <c r="O103" s="20"/>
      <c r="P103" s="20"/>
      <c r="Q103" s="147">
        <v>4.064921225942425E-2</v>
      </c>
      <c r="R103" s="197">
        <v>0.14000000000000001</v>
      </c>
      <c r="S103" s="197">
        <v>2.0499999999999998</v>
      </c>
      <c r="T103" s="197">
        <v>0.62857142857142845</v>
      </c>
      <c r="U103" s="197">
        <v>0.90789473684210531</v>
      </c>
      <c r="V103" s="20">
        <f t="shared" si="100"/>
        <v>0</v>
      </c>
      <c r="W103" s="20">
        <f t="shared" si="100"/>
        <v>0</v>
      </c>
      <c r="X103" s="20">
        <f t="shared" si="100"/>
        <v>0</v>
      </c>
      <c r="Y103" s="20">
        <f t="shared" si="100"/>
        <v>1.9132315955088504E-3</v>
      </c>
      <c r="Z103" s="20">
        <f t="shared" si="101"/>
        <v>0</v>
      </c>
      <c r="AA103" s="20">
        <f t="shared" si="101"/>
        <v>0</v>
      </c>
      <c r="AB103" s="20">
        <f t="shared" si="101"/>
        <v>0</v>
      </c>
      <c r="AC103" s="20">
        <f t="shared" si="101"/>
        <v>1.3875414804149886E-3</v>
      </c>
      <c r="AD103" s="20">
        <f t="shared" si="102"/>
        <v>1.3875414804149886E-3</v>
      </c>
      <c r="AE103" s="20">
        <f t="shared" si="103"/>
        <v>0</v>
      </c>
      <c r="AF103" s="20">
        <f t="shared" si="103"/>
        <v>0</v>
      </c>
      <c r="AG103" s="20">
        <f t="shared" si="103"/>
        <v>0</v>
      </c>
      <c r="AH103" s="20">
        <f t="shared" si="103"/>
        <v>2.8015176934236729E-2</v>
      </c>
      <c r="AI103" s="20">
        <f t="shared" si="104"/>
        <v>0</v>
      </c>
      <c r="AJ103" s="20">
        <f t="shared" si="104"/>
        <v>0</v>
      </c>
      <c r="AK103" s="20">
        <f t="shared" si="104"/>
        <v>0</v>
      </c>
      <c r="AL103" s="20">
        <f t="shared" si="104"/>
        <v>2.0317571677505183E-2</v>
      </c>
      <c r="AM103" s="20">
        <f t="shared" si="105"/>
        <v>2.0317571677505183E-2</v>
      </c>
      <c r="AO103">
        <f t="shared" si="106"/>
        <v>0</v>
      </c>
      <c r="AP103">
        <f t="shared" si="106"/>
        <v>0</v>
      </c>
      <c r="AQ103">
        <f t="shared" si="106"/>
        <v>0</v>
      </c>
      <c r="AR103">
        <f t="shared" si="106"/>
        <v>1.4062732904005909E-3</v>
      </c>
      <c r="AS103">
        <f t="shared" si="107"/>
        <v>1.4062732904005909E-3</v>
      </c>
      <c r="AU103">
        <f t="shared" si="108"/>
        <v>0</v>
      </c>
      <c r="AV103">
        <f t="shared" si="108"/>
        <v>0</v>
      </c>
      <c r="AW103">
        <f t="shared" si="108"/>
        <v>0</v>
      </c>
      <c r="AX103">
        <f t="shared" si="108"/>
        <v>2.0591858895151506E-2</v>
      </c>
      <c r="AY103">
        <f t="shared" si="109"/>
        <v>2.0591858895151506E-2</v>
      </c>
    </row>
    <row r="104" spans="1:51" ht="15" x14ac:dyDescent="0.25">
      <c r="A104" s="1"/>
      <c r="B104" s="2"/>
      <c r="C104" s="1" t="s">
        <v>10</v>
      </c>
      <c r="D104" s="285">
        <v>0</v>
      </c>
      <c r="E104" s="286">
        <v>1.44915974</v>
      </c>
      <c r="F104" s="286">
        <v>0</v>
      </c>
      <c r="G104" s="286">
        <v>5.3939721399999998</v>
      </c>
      <c r="H104" s="287">
        <v>3.2603515299999999</v>
      </c>
      <c r="J104">
        <v>0</v>
      </c>
      <c r="K104">
        <v>1.44915974</v>
      </c>
      <c r="L104">
        <v>0</v>
      </c>
      <c r="M104">
        <v>-2.5238044438285199</v>
      </c>
      <c r="N104">
        <v>-5.7941604503700024</v>
      </c>
      <c r="O104" s="20"/>
      <c r="P104" s="20"/>
      <c r="Q104" s="147">
        <v>5.6473818389136378E-2</v>
      </c>
      <c r="R104" s="197">
        <v>0.14000000000000001</v>
      </c>
      <c r="S104" s="197">
        <v>2.0499999999999998</v>
      </c>
      <c r="T104" s="197">
        <v>0.62857142857142845</v>
      </c>
      <c r="U104" s="197">
        <v>0.90789473684210531</v>
      </c>
      <c r="V104" s="20">
        <f t="shared" si="100"/>
        <v>4.2135344138501986E-2</v>
      </c>
      <c r="W104" s="20">
        <f t="shared" si="100"/>
        <v>0</v>
      </c>
      <c r="X104" s="20">
        <f t="shared" si="100"/>
        <v>0.4264654842425899</v>
      </c>
      <c r="Y104" s="20">
        <f t="shared" si="100"/>
        <v>0.25777430026594816</v>
      </c>
      <c r="Z104" s="20">
        <f t="shared" si="101"/>
        <v>3.1243794266074959E-2</v>
      </c>
      <c r="AA104" s="20">
        <f t="shared" si="101"/>
        <v>0</v>
      </c>
      <c r="AB104" s="20">
        <f t="shared" si="101"/>
        <v>0.32056450333870934</v>
      </c>
      <c r="AC104" s="20">
        <f t="shared" si="101"/>
        <v>0.18694680510376138</v>
      </c>
      <c r="AD104" s="20">
        <f t="shared" si="102"/>
        <v>0.53875510270854565</v>
      </c>
      <c r="AE104" s="20">
        <f t="shared" si="103"/>
        <v>0.97161337693466454</v>
      </c>
      <c r="AF104" s="20">
        <f t="shared" si="103"/>
        <v>0</v>
      </c>
      <c r="AG104" s="20">
        <f t="shared" si="103"/>
        <v>6.244673162123636</v>
      </c>
      <c r="AH104" s="20">
        <f t="shared" si="103"/>
        <v>3.7745522538942398</v>
      </c>
      <c r="AI104" s="20">
        <f t="shared" si="104"/>
        <v>0.72046138641534929</v>
      </c>
      <c r="AJ104" s="20">
        <f t="shared" si="104"/>
        <v>0</v>
      </c>
      <c r="AK104" s="20">
        <f t="shared" si="104"/>
        <v>4.6939802274596714</v>
      </c>
      <c r="AL104" s="20">
        <f t="shared" si="104"/>
        <v>2.7374353604479338</v>
      </c>
      <c r="AM104" s="20">
        <f t="shared" si="105"/>
        <v>8.1518769743229544</v>
      </c>
      <c r="AO104">
        <f t="shared" si="106"/>
        <v>3.1665585488666971E-2</v>
      </c>
      <c r="AP104">
        <f t="shared" si="106"/>
        <v>0</v>
      </c>
      <c r="AQ104">
        <f t="shared" si="106"/>
        <v>0.32489212413378193</v>
      </c>
      <c r="AR104">
        <f t="shared" si="106"/>
        <v>0.18947058697266217</v>
      </c>
      <c r="AS104">
        <f t="shared" si="107"/>
        <v>0.5460282965951111</v>
      </c>
      <c r="AU104">
        <f t="shared" si="108"/>
        <v>0.73018761513195651</v>
      </c>
      <c r="AV104">
        <f t="shared" si="108"/>
        <v>0</v>
      </c>
      <c r="AW104">
        <f t="shared" si="108"/>
        <v>4.7573489605303774</v>
      </c>
      <c r="AX104">
        <f t="shared" si="108"/>
        <v>2.7743907378139809</v>
      </c>
      <c r="AY104">
        <f t="shared" si="109"/>
        <v>8.2619273134763151</v>
      </c>
    </row>
    <row r="105" spans="1:51" ht="15" x14ac:dyDescent="0.25">
      <c r="A105" s="1"/>
      <c r="B105" s="2"/>
      <c r="C105" s="1" t="s">
        <v>11</v>
      </c>
      <c r="D105" s="285">
        <v>0</v>
      </c>
      <c r="E105" s="286">
        <v>0</v>
      </c>
      <c r="F105" s="286">
        <v>0</v>
      </c>
      <c r="G105" s="286">
        <v>1.7548434500000001</v>
      </c>
      <c r="H105" s="287">
        <v>0</v>
      </c>
      <c r="J105">
        <v>0</v>
      </c>
      <c r="K105">
        <v>-0.73104295607799996</v>
      </c>
      <c r="L105">
        <v>0</v>
      </c>
      <c r="M105">
        <v>-0.88823641849249979</v>
      </c>
      <c r="N105">
        <v>-0.520974599426</v>
      </c>
      <c r="O105" s="20"/>
      <c r="P105" s="20"/>
      <c r="Q105" s="147">
        <v>7.2298424518848506E-2</v>
      </c>
      <c r="R105" s="197">
        <v>0.14000000000000001</v>
      </c>
      <c r="S105" s="197">
        <v>2.0499999999999998</v>
      </c>
      <c r="T105" s="197">
        <v>0.62857142857142845</v>
      </c>
      <c r="U105" s="197">
        <v>0.90789473684210531</v>
      </c>
      <c r="V105" s="20">
        <f t="shared" si="100"/>
        <v>0</v>
      </c>
      <c r="W105" s="20">
        <f t="shared" si="100"/>
        <v>0</v>
      </c>
      <c r="X105" s="20">
        <f t="shared" si="100"/>
        <v>0.17762138339710903</v>
      </c>
      <c r="Y105" s="20">
        <f t="shared" si="100"/>
        <v>0</v>
      </c>
      <c r="Z105" s="20">
        <f t="shared" si="101"/>
        <v>0</v>
      </c>
      <c r="AA105" s="20">
        <f t="shared" si="101"/>
        <v>0</v>
      </c>
      <c r="AB105" s="20">
        <f t="shared" si="101"/>
        <v>0.13351399504734499</v>
      </c>
      <c r="AC105" s="20">
        <f t="shared" si="101"/>
        <v>0</v>
      </c>
      <c r="AD105" s="20">
        <f t="shared" si="102"/>
        <v>0.13351399504734499</v>
      </c>
      <c r="AE105" s="20">
        <f t="shared" si="103"/>
        <v>0</v>
      </c>
      <c r="AF105" s="20">
        <f t="shared" si="103"/>
        <v>0</v>
      </c>
      <c r="AG105" s="20">
        <f t="shared" si="103"/>
        <v>2.6008845426005243</v>
      </c>
      <c r="AH105" s="20">
        <f t="shared" si="103"/>
        <v>0</v>
      </c>
      <c r="AI105" s="20">
        <f t="shared" si="104"/>
        <v>0</v>
      </c>
      <c r="AJ105" s="20">
        <f t="shared" si="104"/>
        <v>0</v>
      </c>
      <c r="AK105" s="20">
        <f t="shared" si="104"/>
        <v>1.9550263560504082</v>
      </c>
      <c r="AL105" s="20">
        <f t="shared" si="104"/>
        <v>0</v>
      </c>
      <c r="AM105" s="20">
        <f t="shared" si="105"/>
        <v>1.9550263560504082</v>
      </c>
      <c r="AO105">
        <f t="shared" si="106"/>
        <v>0</v>
      </c>
      <c r="AP105">
        <f t="shared" si="106"/>
        <v>0</v>
      </c>
      <c r="AQ105">
        <f t="shared" si="106"/>
        <v>0.13531643398048415</v>
      </c>
      <c r="AR105">
        <f t="shared" si="106"/>
        <v>0</v>
      </c>
      <c r="AS105">
        <f t="shared" si="107"/>
        <v>0.13531643398048415</v>
      </c>
      <c r="AU105">
        <f t="shared" si="108"/>
        <v>0</v>
      </c>
      <c r="AV105">
        <f t="shared" si="108"/>
        <v>0</v>
      </c>
      <c r="AW105">
        <f t="shared" si="108"/>
        <v>1.9814192118570888</v>
      </c>
      <c r="AX105">
        <f t="shared" si="108"/>
        <v>0</v>
      </c>
      <c r="AY105">
        <f t="shared" si="109"/>
        <v>1.9814192118570888</v>
      </c>
    </row>
    <row r="106" spans="1:51" ht="15" x14ac:dyDescent="0.25">
      <c r="A106" s="1"/>
      <c r="B106" s="2"/>
      <c r="C106" s="1" t="s">
        <v>12</v>
      </c>
      <c r="D106" s="285">
        <v>0</v>
      </c>
      <c r="E106" s="286">
        <v>0</v>
      </c>
      <c r="F106" s="286">
        <v>8.2555900000000002E-3</v>
      </c>
      <c r="G106" s="286">
        <v>0</v>
      </c>
      <c r="H106" s="287">
        <v>0</v>
      </c>
      <c r="J106">
        <v>0</v>
      </c>
      <c r="K106">
        <v>0</v>
      </c>
      <c r="L106">
        <v>-0.153616287957</v>
      </c>
      <c r="M106">
        <v>0</v>
      </c>
      <c r="N106">
        <v>0</v>
      </c>
      <c r="O106" s="20"/>
      <c r="P106" s="20"/>
      <c r="Q106" s="147">
        <v>7.2298424518848506E-2</v>
      </c>
      <c r="R106" s="197">
        <v>0.14000000000000001</v>
      </c>
      <c r="S106" s="197">
        <v>2.0499999999999998</v>
      </c>
      <c r="T106" s="197">
        <v>0.62857142857142845</v>
      </c>
      <c r="U106" s="197">
        <v>0.90789473684210531</v>
      </c>
      <c r="V106" s="20">
        <f t="shared" si="100"/>
        <v>0</v>
      </c>
      <c r="W106" s="20">
        <f t="shared" si="100"/>
        <v>8.3561261066298481E-4</v>
      </c>
      <c r="X106" s="20">
        <f t="shared" si="100"/>
        <v>0</v>
      </c>
      <c r="Y106" s="20">
        <f t="shared" si="100"/>
        <v>0</v>
      </c>
      <c r="Z106" s="20">
        <f t="shared" si="101"/>
        <v>0</v>
      </c>
      <c r="AA106" s="20">
        <f t="shared" si="101"/>
        <v>6.2582387562555141E-4</v>
      </c>
      <c r="AB106" s="20">
        <f t="shared" si="101"/>
        <v>0</v>
      </c>
      <c r="AC106" s="20">
        <f t="shared" si="101"/>
        <v>0</v>
      </c>
      <c r="AD106" s="20">
        <f t="shared" si="102"/>
        <v>6.2582387562555141E-4</v>
      </c>
      <c r="AE106" s="20">
        <f t="shared" si="103"/>
        <v>0</v>
      </c>
      <c r="AF106" s="20">
        <f t="shared" si="103"/>
        <v>1.2235756084707989E-2</v>
      </c>
      <c r="AG106" s="20">
        <f t="shared" si="103"/>
        <v>0</v>
      </c>
      <c r="AH106" s="20">
        <f t="shared" si="103"/>
        <v>0</v>
      </c>
      <c r="AI106" s="20">
        <f t="shared" si="104"/>
        <v>0</v>
      </c>
      <c r="AJ106" s="20">
        <f t="shared" si="104"/>
        <v>9.163849607374144E-3</v>
      </c>
      <c r="AK106" s="20">
        <f t="shared" si="104"/>
        <v>0</v>
      </c>
      <c r="AL106" s="20">
        <f t="shared" si="104"/>
        <v>0</v>
      </c>
      <c r="AM106" s="20">
        <f t="shared" si="105"/>
        <v>9.163849607374144E-3</v>
      </c>
      <c r="AO106">
        <f t="shared" si="106"/>
        <v>0</v>
      </c>
      <c r="AP106">
        <f t="shared" si="106"/>
        <v>6.3427249794649639E-4</v>
      </c>
      <c r="AQ106">
        <f t="shared" si="106"/>
        <v>0</v>
      </c>
      <c r="AR106">
        <f t="shared" si="106"/>
        <v>0</v>
      </c>
      <c r="AS106">
        <f t="shared" si="107"/>
        <v>6.3427249794649639E-4</v>
      </c>
      <c r="AU106">
        <f t="shared" si="108"/>
        <v>0</v>
      </c>
      <c r="AV106">
        <f t="shared" si="108"/>
        <v>9.2875615770736959E-3</v>
      </c>
      <c r="AW106">
        <f t="shared" si="108"/>
        <v>0</v>
      </c>
      <c r="AX106">
        <f t="shared" si="108"/>
        <v>0</v>
      </c>
      <c r="AY106">
        <f t="shared" si="109"/>
        <v>9.2875615770736959E-3</v>
      </c>
    </row>
    <row r="107" spans="1:51" ht="15" x14ac:dyDescent="0.25">
      <c r="A107" s="1"/>
      <c r="B107" s="2"/>
      <c r="C107" s="1" t="s">
        <v>13</v>
      </c>
      <c r="D107" s="285">
        <v>0</v>
      </c>
      <c r="E107" s="286">
        <v>0</v>
      </c>
      <c r="F107" s="286">
        <v>0</v>
      </c>
      <c r="G107" s="286">
        <v>0</v>
      </c>
      <c r="H107" s="28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0"/>
      <c r="P107" s="20"/>
      <c r="Q107" s="147"/>
      <c r="R107" s="197">
        <v>0.14000000000000001</v>
      </c>
      <c r="S107" s="197">
        <v>2.0499999999999998</v>
      </c>
      <c r="T107" s="197">
        <v>0.62857142857142845</v>
      </c>
      <c r="U107" s="197">
        <v>0.90789473684210531</v>
      </c>
      <c r="V107" s="20">
        <f t="shared" si="100"/>
        <v>0</v>
      </c>
      <c r="W107" s="20">
        <f t="shared" si="100"/>
        <v>0</v>
      </c>
      <c r="X107" s="20">
        <f t="shared" si="100"/>
        <v>0</v>
      </c>
      <c r="Y107" s="20">
        <f t="shared" si="100"/>
        <v>0</v>
      </c>
      <c r="Z107" s="20">
        <f t="shared" si="101"/>
        <v>0</v>
      </c>
      <c r="AA107" s="20">
        <f t="shared" si="101"/>
        <v>0</v>
      </c>
      <c r="AB107" s="20">
        <f t="shared" si="101"/>
        <v>0</v>
      </c>
      <c r="AC107" s="20">
        <f t="shared" si="101"/>
        <v>0</v>
      </c>
      <c r="AD107" s="20">
        <f t="shared" si="102"/>
        <v>0</v>
      </c>
      <c r="AE107" s="20">
        <f t="shared" si="103"/>
        <v>0</v>
      </c>
      <c r="AF107" s="20">
        <f t="shared" si="103"/>
        <v>0</v>
      </c>
      <c r="AG107" s="20">
        <f t="shared" si="103"/>
        <v>0</v>
      </c>
      <c r="AH107" s="20">
        <f t="shared" si="103"/>
        <v>0</v>
      </c>
      <c r="AI107" s="20">
        <f t="shared" si="104"/>
        <v>0</v>
      </c>
      <c r="AJ107" s="20">
        <f t="shared" si="104"/>
        <v>0</v>
      </c>
      <c r="AK107" s="20">
        <f t="shared" si="104"/>
        <v>0</v>
      </c>
      <c r="AL107" s="20">
        <f t="shared" si="104"/>
        <v>0</v>
      </c>
      <c r="AM107" s="20">
        <f t="shared" si="105"/>
        <v>0</v>
      </c>
      <c r="AO107">
        <f t="shared" si="106"/>
        <v>0</v>
      </c>
      <c r="AP107">
        <f t="shared" si="106"/>
        <v>0</v>
      </c>
      <c r="AQ107">
        <f t="shared" si="106"/>
        <v>0</v>
      </c>
      <c r="AR107">
        <f t="shared" si="106"/>
        <v>0</v>
      </c>
      <c r="AS107">
        <f t="shared" si="107"/>
        <v>0</v>
      </c>
      <c r="AU107">
        <f t="shared" si="108"/>
        <v>0</v>
      </c>
      <c r="AV107">
        <f t="shared" si="108"/>
        <v>0</v>
      </c>
      <c r="AW107">
        <f t="shared" si="108"/>
        <v>0</v>
      </c>
      <c r="AX107">
        <f t="shared" si="108"/>
        <v>0</v>
      </c>
      <c r="AY107">
        <f t="shared" si="109"/>
        <v>0</v>
      </c>
    </row>
    <row r="108" spans="1:51" ht="15" x14ac:dyDescent="0.25">
      <c r="A108" s="7"/>
      <c r="B108" s="8" t="s">
        <v>14</v>
      </c>
      <c r="C108" s="7"/>
      <c r="D108" s="288">
        <f>SUM(D102:D107)</f>
        <v>0</v>
      </c>
      <c r="E108" s="289">
        <f>SUM(E102:E107)</f>
        <v>10.66994006</v>
      </c>
      <c r="F108" s="289">
        <f>SUM(F102:F107)</f>
        <v>31.28339746</v>
      </c>
      <c r="G108" s="289">
        <f>SUM(G102:G107)</f>
        <v>81.631685829999995</v>
      </c>
      <c r="H108" s="290">
        <f>SUM(H102:H107)</f>
        <v>55.280455679999996</v>
      </c>
      <c r="J108">
        <v>0</v>
      </c>
      <c r="K108">
        <v>-40.452372311718008</v>
      </c>
      <c r="L108">
        <v>-35.730916517076999</v>
      </c>
      <c r="M108">
        <v>-55.825231039080009</v>
      </c>
      <c r="N108">
        <v>-80.738899197370017</v>
      </c>
      <c r="O108" s="20"/>
      <c r="P108" s="20"/>
      <c r="Q108" s="147"/>
      <c r="R108" s="197"/>
      <c r="S108" s="197"/>
      <c r="T108" s="197"/>
      <c r="U108" s="197"/>
    </row>
    <row r="109" spans="1:51" ht="15" x14ac:dyDescent="0.25">
      <c r="A109" s="10"/>
      <c r="B109" s="9" t="s">
        <v>15</v>
      </c>
      <c r="C109" s="5"/>
      <c r="D109" s="291"/>
      <c r="E109" s="292"/>
      <c r="F109" s="292"/>
      <c r="G109" s="292"/>
      <c r="H109" s="293">
        <f>SUM(D108:H108)</f>
        <v>178.86547902999999</v>
      </c>
      <c r="N109">
        <v>-212.74741906524503</v>
      </c>
      <c r="O109" s="20"/>
      <c r="P109" s="20"/>
      <c r="Q109" s="147"/>
      <c r="R109" s="197"/>
      <c r="S109" s="197"/>
      <c r="T109" s="197"/>
      <c r="U109" s="197"/>
    </row>
    <row r="110" spans="1:51" ht="15.75" thickBot="1" x14ac:dyDescent="0.3">
      <c r="A110" s="1"/>
      <c r="B110" s="2"/>
      <c r="C110" s="1"/>
      <c r="D110" s="294"/>
      <c r="E110" s="295"/>
      <c r="F110" s="295"/>
      <c r="G110" s="295"/>
      <c r="H110" s="296"/>
      <c r="O110" s="20"/>
      <c r="P110" s="20"/>
      <c r="Q110" s="147"/>
      <c r="R110" s="197"/>
      <c r="S110" s="197"/>
      <c r="T110" s="197"/>
      <c r="U110" s="197"/>
    </row>
    <row r="111" spans="1:51" ht="15" x14ac:dyDescent="0.25">
      <c r="A111" s="1">
        <v>12</v>
      </c>
      <c r="B111" s="2" t="s">
        <v>26</v>
      </c>
      <c r="C111" s="1" t="s">
        <v>8</v>
      </c>
      <c r="D111" s="285">
        <v>0</v>
      </c>
      <c r="E111" s="286">
        <v>0</v>
      </c>
      <c r="F111" s="286">
        <v>0</v>
      </c>
      <c r="G111" s="286">
        <v>0</v>
      </c>
      <c r="H111" s="287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 s="20"/>
      <c r="P111" s="20"/>
      <c r="Q111" s="147"/>
      <c r="R111" s="197">
        <v>6.531704360902256</v>
      </c>
      <c r="S111" s="197">
        <v>78.227142857142866</v>
      </c>
      <c r="T111" s="197">
        <v>0.5825685654008439</v>
      </c>
      <c r="U111" s="197">
        <v>0.90789473684210531</v>
      </c>
      <c r="V111" s="20">
        <f t="shared" ref="V111:Y116" si="110">IF(K111&gt;0,((E111-K111)*$Q111*$R111*10)+(K111*$O$12*$Q111*$R111*10),(E111*$Q111*$R111*10))</f>
        <v>0</v>
      </c>
      <c r="W111" s="20">
        <f t="shared" si="110"/>
        <v>0</v>
      </c>
      <c r="X111" s="20">
        <f t="shared" si="110"/>
        <v>0</v>
      </c>
      <c r="Y111" s="20">
        <f t="shared" si="110"/>
        <v>0</v>
      </c>
      <c r="Z111" s="20">
        <f t="shared" ref="Z111:AC116" si="111">V111*(EXP(1.01-0.34*LN(Z$8))*(1-$T111)+(1*$T111))</f>
        <v>0</v>
      </c>
      <c r="AA111" s="20">
        <f t="shared" si="111"/>
        <v>0</v>
      </c>
      <c r="AB111" s="20">
        <f t="shared" si="111"/>
        <v>0</v>
      </c>
      <c r="AC111" s="20">
        <f t="shared" si="111"/>
        <v>0</v>
      </c>
      <c r="AD111" s="20">
        <f t="shared" ref="AD111:AD116" si="112">SUM(Z111:AC111)</f>
        <v>0</v>
      </c>
      <c r="AE111" s="20">
        <f t="shared" ref="AE111:AH116" si="113">IF(K111&gt;0,((E111-K111)*$Q111*$S111*10)+(K111*$P$12*$Q111*$S111)*10,(E111*$Q111*$S111*10))</f>
        <v>0</v>
      </c>
      <c r="AF111" s="20">
        <f t="shared" si="113"/>
        <v>0</v>
      </c>
      <c r="AG111" s="20">
        <f t="shared" si="113"/>
        <v>0</v>
      </c>
      <c r="AH111" s="20">
        <f t="shared" si="113"/>
        <v>0</v>
      </c>
      <c r="AI111" s="20">
        <f t="shared" ref="AI111:AL116" si="114">AE111*(EXP(1.01-0.34*LN(AI$8))*(1-$T111)+(1*$T111))</f>
        <v>0</v>
      </c>
      <c r="AJ111" s="20">
        <f t="shared" si="114"/>
        <v>0</v>
      </c>
      <c r="AK111" s="20">
        <f t="shared" si="114"/>
        <v>0</v>
      </c>
      <c r="AL111" s="20">
        <f t="shared" si="114"/>
        <v>0</v>
      </c>
      <c r="AM111" s="20">
        <f t="shared" ref="AM111:AM116" si="115">SUM(AI111:AL111)</f>
        <v>0</v>
      </c>
      <c r="AO111">
        <f t="shared" ref="AO111:AR116" si="116">Z111*AO$10</f>
        <v>0</v>
      </c>
      <c r="AP111">
        <f t="shared" si="116"/>
        <v>0</v>
      </c>
      <c r="AQ111">
        <f t="shared" si="116"/>
        <v>0</v>
      </c>
      <c r="AR111">
        <f t="shared" si="116"/>
        <v>0</v>
      </c>
      <c r="AS111">
        <f t="shared" ref="AS111:AS116" si="117">SUM(AO111:AR111)</f>
        <v>0</v>
      </c>
      <c r="AU111">
        <f t="shared" ref="AU111:AX116" si="118">AI111*AU$10</f>
        <v>0</v>
      </c>
      <c r="AV111">
        <f t="shared" si="118"/>
        <v>0</v>
      </c>
      <c r="AW111">
        <f t="shared" si="118"/>
        <v>0</v>
      </c>
      <c r="AX111">
        <f t="shared" si="118"/>
        <v>0</v>
      </c>
      <c r="AY111">
        <f t="shared" ref="AY111:AY116" si="119">SUM(AU111:AX111)</f>
        <v>0</v>
      </c>
    </row>
    <row r="112" spans="1:51" ht="15" x14ac:dyDescent="0.25">
      <c r="A112" s="1"/>
      <c r="B112" s="2"/>
      <c r="C112" s="1" t="s">
        <v>9</v>
      </c>
      <c r="D112" s="285">
        <v>0</v>
      </c>
      <c r="E112" s="286">
        <v>0</v>
      </c>
      <c r="F112" s="286">
        <v>0</v>
      </c>
      <c r="G112" s="286">
        <v>0</v>
      </c>
      <c r="H112" s="287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 s="20"/>
      <c r="P112" s="20"/>
      <c r="Q112" s="147"/>
      <c r="R112" s="197">
        <v>6.531704360902256</v>
      </c>
      <c r="S112" s="197">
        <v>78.227142857142866</v>
      </c>
      <c r="T112" s="197">
        <v>0.5825685654008439</v>
      </c>
      <c r="U112" s="197">
        <v>0.90789473684210531</v>
      </c>
      <c r="V112" s="20">
        <f t="shared" si="110"/>
        <v>0</v>
      </c>
      <c r="W112" s="20">
        <f t="shared" si="110"/>
        <v>0</v>
      </c>
      <c r="X112" s="20">
        <f t="shared" si="110"/>
        <v>0</v>
      </c>
      <c r="Y112" s="20">
        <f t="shared" si="110"/>
        <v>0</v>
      </c>
      <c r="Z112" s="20">
        <f t="shared" si="111"/>
        <v>0</v>
      </c>
      <c r="AA112" s="20">
        <f t="shared" si="111"/>
        <v>0</v>
      </c>
      <c r="AB112" s="20">
        <f t="shared" si="111"/>
        <v>0</v>
      </c>
      <c r="AC112" s="20">
        <f t="shared" si="111"/>
        <v>0</v>
      </c>
      <c r="AD112" s="20">
        <f t="shared" si="112"/>
        <v>0</v>
      </c>
      <c r="AE112" s="20">
        <f t="shared" si="113"/>
        <v>0</v>
      </c>
      <c r="AF112" s="20">
        <f t="shared" si="113"/>
        <v>0</v>
      </c>
      <c r="AG112" s="20">
        <f t="shared" si="113"/>
        <v>0</v>
      </c>
      <c r="AH112" s="20">
        <f t="shared" si="113"/>
        <v>0</v>
      </c>
      <c r="AI112" s="20">
        <f t="shared" si="114"/>
        <v>0</v>
      </c>
      <c r="AJ112" s="20">
        <f t="shared" si="114"/>
        <v>0</v>
      </c>
      <c r="AK112" s="20">
        <f t="shared" si="114"/>
        <v>0</v>
      </c>
      <c r="AL112" s="20">
        <f t="shared" si="114"/>
        <v>0</v>
      </c>
      <c r="AM112" s="20">
        <f t="shared" si="115"/>
        <v>0</v>
      </c>
      <c r="AO112">
        <f t="shared" si="116"/>
        <v>0</v>
      </c>
      <c r="AP112">
        <f t="shared" si="116"/>
        <v>0</v>
      </c>
      <c r="AQ112">
        <f t="shared" si="116"/>
        <v>0</v>
      </c>
      <c r="AR112">
        <f t="shared" si="116"/>
        <v>0</v>
      </c>
      <c r="AS112">
        <f t="shared" si="117"/>
        <v>0</v>
      </c>
      <c r="AU112">
        <f t="shared" si="118"/>
        <v>0</v>
      </c>
      <c r="AV112">
        <f t="shared" si="118"/>
        <v>0</v>
      </c>
      <c r="AW112">
        <f t="shared" si="118"/>
        <v>0</v>
      </c>
      <c r="AX112">
        <f t="shared" si="118"/>
        <v>0</v>
      </c>
      <c r="AY112">
        <f t="shared" si="119"/>
        <v>0</v>
      </c>
    </row>
    <row r="113" spans="1:51" ht="15" x14ac:dyDescent="0.25">
      <c r="A113" s="1"/>
      <c r="B113" s="2"/>
      <c r="C113" s="1" t="s">
        <v>10</v>
      </c>
      <c r="D113" s="285">
        <v>0</v>
      </c>
      <c r="E113" s="286">
        <v>0</v>
      </c>
      <c r="F113" s="286">
        <v>0</v>
      </c>
      <c r="G113" s="286">
        <v>0</v>
      </c>
      <c r="H113" s="287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 s="20"/>
      <c r="P113" s="20"/>
      <c r="Q113" s="147"/>
      <c r="R113" s="197">
        <v>6.531704360902256</v>
      </c>
      <c r="S113" s="197">
        <v>78.227142857142866</v>
      </c>
      <c r="T113" s="197">
        <v>0.5825685654008439</v>
      </c>
      <c r="U113" s="197">
        <v>0.90789473684210531</v>
      </c>
      <c r="V113" s="20">
        <f t="shared" si="110"/>
        <v>0</v>
      </c>
      <c r="W113" s="20">
        <f t="shared" si="110"/>
        <v>0</v>
      </c>
      <c r="X113" s="20">
        <f t="shared" si="110"/>
        <v>0</v>
      </c>
      <c r="Y113" s="20">
        <f t="shared" si="110"/>
        <v>0</v>
      </c>
      <c r="Z113" s="20">
        <f t="shared" si="111"/>
        <v>0</v>
      </c>
      <c r="AA113" s="20">
        <f t="shared" si="111"/>
        <v>0</v>
      </c>
      <c r="AB113" s="20">
        <f t="shared" si="111"/>
        <v>0</v>
      </c>
      <c r="AC113" s="20">
        <f t="shared" si="111"/>
        <v>0</v>
      </c>
      <c r="AD113" s="20">
        <f t="shared" si="112"/>
        <v>0</v>
      </c>
      <c r="AE113" s="20">
        <f t="shared" si="113"/>
        <v>0</v>
      </c>
      <c r="AF113" s="20">
        <f t="shared" si="113"/>
        <v>0</v>
      </c>
      <c r="AG113" s="20">
        <f t="shared" si="113"/>
        <v>0</v>
      </c>
      <c r="AH113" s="20">
        <f t="shared" si="113"/>
        <v>0</v>
      </c>
      <c r="AI113" s="20">
        <f t="shared" si="114"/>
        <v>0</v>
      </c>
      <c r="AJ113" s="20">
        <f t="shared" si="114"/>
        <v>0</v>
      </c>
      <c r="AK113" s="20">
        <f t="shared" si="114"/>
        <v>0</v>
      </c>
      <c r="AL113" s="20">
        <f t="shared" si="114"/>
        <v>0</v>
      </c>
      <c r="AM113" s="20">
        <f t="shared" si="115"/>
        <v>0</v>
      </c>
      <c r="AO113">
        <f t="shared" si="116"/>
        <v>0</v>
      </c>
      <c r="AP113">
        <f t="shared" si="116"/>
        <v>0</v>
      </c>
      <c r="AQ113">
        <f t="shared" si="116"/>
        <v>0</v>
      </c>
      <c r="AR113">
        <f t="shared" si="116"/>
        <v>0</v>
      </c>
      <c r="AS113">
        <f t="shared" si="117"/>
        <v>0</v>
      </c>
      <c r="AU113">
        <f t="shared" si="118"/>
        <v>0</v>
      </c>
      <c r="AV113">
        <f t="shared" si="118"/>
        <v>0</v>
      </c>
      <c r="AW113">
        <f t="shared" si="118"/>
        <v>0</v>
      </c>
      <c r="AX113">
        <f t="shared" si="118"/>
        <v>0</v>
      </c>
      <c r="AY113">
        <f t="shared" si="119"/>
        <v>0</v>
      </c>
    </row>
    <row r="114" spans="1:51" ht="15" x14ac:dyDescent="0.25">
      <c r="A114" s="1"/>
      <c r="B114" s="2"/>
      <c r="C114" s="1" t="s">
        <v>11</v>
      </c>
      <c r="D114" s="285">
        <v>0</v>
      </c>
      <c r="E114" s="286">
        <v>0</v>
      </c>
      <c r="F114" s="286">
        <v>0</v>
      </c>
      <c r="G114" s="286">
        <v>0</v>
      </c>
      <c r="H114" s="287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 s="20"/>
      <c r="P114" s="20"/>
      <c r="Q114" s="147"/>
      <c r="R114" s="197">
        <v>6.531704360902256</v>
      </c>
      <c r="S114" s="197">
        <v>78.227142857142866</v>
      </c>
      <c r="T114" s="197">
        <v>0.5825685654008439</v>
      </c>
      <c r="U114" s="197">
        <v>0.90789473684210531</v>
      </c>
      <c r="V114" s="20">
        <f t="shared" si="110"/>
        <v>0</v>
      </c>
      <c r="W114" s="20">
        <f t="shared" si="110"/>
        <v>0</v>
      </c>
      <c r="X114" s="20">
        <f t="shared" si="110"/>
        <v>0</v>
      </c>
      <c r="Y114" s="20">
        <f t="shared" si="110"/>
        <v>0</v>
      </c>
      <c r="Z114" s="20">
        <f t="shared" si="111"/>
        <v>0</v>
      </c>
      <c r="AA114" s="20">
        <f t="shared" si="111"/>
        <v>0</v>
      </c>
      <c r="AB114" s="20">
        <f t="shared" si="111"/>
        <v>0</v>
      </c>
      <c r="AC114" s="20">
        <f t="shared" si="111"/>
        <v>0</v>
      </c>
      <c r="AD114" s="20">
        <f t="shared" si="112"/>
        <v>0</v>
      </c>
      <c r="AE114" s="20">
        <f t="shared" si="113"/>
        <v>0</v>
      </c>
      <c r="AF114" s="20">
        <f t="shared" si="113"/>
        <v>0</v>
      </c>
      <c r="AG114" s="20">
        <f t="shared" si="113"/>
        <v>0</v>
      </c>
      <c r="AH114" s="20">
        <f t="shared" si="113"/>
        <v>0</v>
      </c>
      <c r="AI114" s="20">
        <f t="shared" si="114"/>
        <v>0</v>
      </c>
      <c r="AJ114" s="20">
        <f t="shared" si="114"/>
        <v>0</v>
      </c>
      <c r="AK114" s="20">
        <f t="shared" si="114"/>
        <v>0</v>
      </c>
      <c r="AL114" s="20">
        <f t="shared" si="114"/>
        <v>0</v>
      </c>
      <c r="AM114" s="20">
        <f t="shared" si="115"/>
        <v>0</v>
      </c>
      <c r="AO114">
        <f t="shared" si="116"/>
        <v>0</v>
      </c>
      <c r="AP114">
        <f t="shared" si="116"/>
        <v>0</v>
      </c>
      <c r="AQ114">
        <f t="shared" si="116"/>
        <v>0</v>
      </c>
      <c r="AR114">
        <f t="shared" si="116"/>
        <v>0</v>
      </c>
      <c r="AS114">
        <f t="shared" si="117"/>
        <v>0</v>
      </c>
      <c r="AU114">
        <f t="shared" si="118"/>
        <v>0</v>
      </c>
      <c r="AV114">
        <f t="shared" si="118"/>
        <v>0</v>
      </c>
      <c r="AW114">
        <f t="shared" si="118"/>
        <v>0</v>
      </c>
      <c r="AX114">
        <f t="shared" si="118"/>
        <v>0</v>
      </c>
      <c r="AY114">
        <f t="shared" si="119"/>
        <v>0</v>
      </c>
    </row>
    <row r="115" spans="1:51" ht="15" x14ac:dyDescent="0.25">
      <c r="A115" s="1"/>
      <c r="B115" s="2"/>
      <c r="C115" s="1" t="s">
        <v>12</v>
      </c>
      <c r="D115" s="285">
        <v>0</v>
      </c>
      <c r="E115" s="286">
        <v>0</v>
      </c>
      <c r="F115" s="286">
        <v>0</v>
      </c>
      <c r="G115" s="286">
        <v>0</v>
      </c>
      <c r="H115" s="287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 s="20"/>
      <c r="P115" s="20"/>
      <c r="Q115" s="147"/>
      <c r="R115" s="197">
        <v>6.531704360902256</v>
      </c>
      <c r="S115" s="197">
        <v>78.227142857142866</v>
      </c>
      <c r="T115" s="197">
        <v>0.5825685654008439</v>
      </c>
      <c r="U115" s="197">
        <v>0.90789473684210531</v>
      </c>
      <c r="V115" s="20">
        <f t="shared" si="110"/>
        <v>0</v>
      </c>
      <c r="W115" s="20">
        <f t="shared" si="110"/>
        <v>0</v>
      </c>
      <c r="X115" s="20">
        <f t="shared" si="110"/>
        <v>0</v>
      </c>
      <c r="Y115" s="20">
        <f t="shared" si="110"/>
        <v>0</v>
      </c>
      <c r="Z115" s="20">
        <f t="shared" si="111"/>
        <v>0</v>
      </c>
      <c r="AA115" s="20">
        <f t="shared" si="111"/>
        <v>0</v>
      </c>
      <c r="AB115" s="20">
        <f t="shared" si="111"/>
        <v>0</v>
      </c>
      <c r="AC115" s="20">
        <f t="shared" si="111"/>
        <v>0</v>
      </c>
      <c r="AD115" s="20">
        <f t="shared" si="112"/>
        <v>0</v>
      </c>
      <c r="AE115" s="20">
        <f t="shared" si="113"/>
        <v>0</v>
      </c>
      <c r="AF115" s="20">
        <f t="shared" si="113"/>
        <v>0</v>
      </c>
      <c r="AG115" s="20">
        <f t="shared" si="113"/>
        <v>0</v>
      </c>
      <c r="AH115" s="20">
        <f t="shared" si="113"/>
        <v>0</v>
      </c>
      <c r="AI115" s="20">
        <f t="shared" si="114"/>
        <v>0</v>
      </c>
      <c r="AJ115" s="20">
        <f t="shared" si="114"/>
        <v>0</v>
      </c>
      <c r="AK115" s="20">
        <f t="shared" si="114"/>
        <v>0</v>
      </c>
      <c r="AL115" s="20">
        <f t="shared" si="114"/>
        <v>0</v>
      </c>
      <c r="AM115" s="20">
        <f t="shared" si="115"/>
        <v>0</v>
      </c>
      <c r="AO115">
        <f t="shared" si="116"/>
        <v>0</v>
      </c>
      <c r="AP115">
        <f t="shared" si="116"/>
        <v>0</v>
      </c>
      <c r="AQ115">
        <f t="shared" si="116"/>
        <v>0</v>
      </c>
      <c r="AR115">
        <f t="shared" si="116"/>
        <v>0</v>
      </c>
      <c r="AS115">
        <f t="shared" si="117"/>
        <v>0</v>
      </c>
      <c r="AU115">
        <f t="shared" si="118"/>
        <v>0</v>
      </c>
      <c r="AV115">
        <f t="shared" si="118"/>
        <v>0</v>
      </c>
      <c r="AW115">
        <f t="shared" si="118"/>
        <v>0</v>
      </c>
      <c r="AX115">
        <f t="shared" si="118"/>
        <v>0</v>
      </c>
      <c r="AY115">
        <f t="shared" si="119"/>
        <v>0</v>
      </c>
    </row>
    <row r="116" spans="1:51" ht="15" x14ac:dyDescent="0.25">
      <c r="A116" s="1"/>
      <c r="B116" s="2"/>
      <c r="C116" s="1" t="s">
        <v>13</v>
      </c>
      <c r="D116" s="285">
        <v>0</v>
      </c>
      <c r="E116" s="286">
        <v>0</v>
      </c>
      <c r="F116" s="286">
        <v>0</v>
      </c>
      <c r="G116" s="286">
        <v>0</v>
      </c>
      <c r="H116" s="287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 s="20"/>
      <c r="P116" s="20"/>
      <c r="Q116" s="147"/>
      <c r="R116" s="197">
        <v>6.531704360902256</v>
      </c>
      <c r="S116" s="197">
        <v>78.227142857142866</v>
      </c>
      <c r="T116" s="197">
        <v>0.5825685654008439</v>
      </c>
      <c r="U116" s="197">
        <v>0.90789473684210531</v>
      </c>
      <c r="V116" s="20">
        <f t="shared" si="110"/>
        <v>0</v>
      </c>
      <c r="W116" s="20">
        <f t="shared" si="110"/>
        <v>0</v>
      </c>
      <c r="X116" s="20">
        <f t="shared" si="110"/>
        <v>0</v>
      </c>
      <c r="Y116" s="20">
        <f t="shared" si="110"/>
        <v>0</v>
      </c>
      <c r="Z116" s="20">
        <f t="shared" si="111"/>
        <v>0</v>
      </c>
      <c r="AA116" s="20">
        <f t="shared" si="111"/>
        <v>0</v>
      </c>
      <c r="AB116" s="20">
        <f t="shared" si="111"/>
        <v>0</v>
      </c>
      <c r="AC116" s="20">
        <f t="shared" si="111"/>
        <v>0</v>
      </c>
      <c r="AD116" s="20">
        <f t="shared" si="112"/>
        <v>0</v>
      </c>
      <c r="AE116" s="20">
        <f t="shared" si="113"/>
        <v>0</v>
      </c>
      <c r="AF116" s="20">
        <f t="shared" si="113"/>
        <v>0</v>
      </c>
      <c r="AG116" s="20">
        <f t="shared" si="113"/>
        <v>0</v>
      </c>
      <c r="AH116" s="20">
        <f t="shared" si="113"/>
        <v>0</v>
      </c>
      <c r="AI116" s="20">
        <f t="shared" si="114"/>
        <v>0</v>
      </c>
      <c r="AJ116" s="20">
        <f t="shared" si="114"/>
        <v>0</v>
      </c>
      <c r="AK116" s="20">
        <f t="shared" si="114"/>
        <v>0</v>
      </c>
      <c r="AL116" s="20">
        <f t="shared" si="114"/>
        <v>0</v>
      </c>
      <c r="AM116" s="20">
        <f t="shared" si="115"/>
        <v>0</v>
      </c>
      <c r="AO116">
        <f t="shared" si="116"/>
        <v>0</v>
      </c>
      <c r="AP116">
        <f t="shared" si="116"/>
        <v>0</v>
      </c>
      <c r="AQ116">
        <f t="shared" si="116"/>
        <v>0</v>
      </c>
      <c r="AR116">
        <f t="shared" si="116"/>
        <v>0</v>
      </c>
      <c r="AS116">
        <f t="shared" si="117"/>
        <v>0</v>
      </c>
      <c r="AU116">
        <f t="shared" si="118"/>
        <v>0</v>
      </c>
      <c r="AV116">
        <f t="shared" si="118"/>
        <v>0</v>
      </c>
      <c r="AW116">
        <f t="shared" si="118"/>
        <v>0</v>
      </c>
      <c r="AX116">
        <f t="shared" si="118"/>
        <v>0</v>
      </c>
      <c r="AY116">
        <f t="shared" si="119"/>
        <v>0</v>
      </c>
    </row>
    <row r="117" spans="1:51" ht="15" x14ac:dyDescent="0.25">
      <c r="A117" s="7"/>
      <c r="B117" s="8" t="s">
        <v>14</v>
      </c>
      <c r="C117" s="7"/>
      <c r="D117" s="288">
        <f>SUM(D111:D116)</f>
        <v>0</v>
      </c>
      <c r="E117" s="289">
        <f>SUM(E111:E116)</f>
        <v>0</v>
      </c>
      <c r="F117" s="289">
        <f>SUM(F111:F116)</f>
        <v>0</v>
      </c>
      <c r="G117" s="289">
        <f>SUM(G111:G116)</f>
        <v>0</v>
      </c>
      <c r="H117" s="290">
        <f>SUM(H111:H116)</f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 s="20"/>
      <c r="P117" s="20"/>
      <c r="Q117" s="147"/>
      <c r="R117" s="197"/>
      <c r="S117" s="197"/>
      <c r="T117" s="197"/>
      <c r="U117" s="197"/>
    </row>
    <row r="118" spans="1:51" ht="15" x14ac:dyDescent="0.25">
      <c r="A118" s="10"/>
      <c r="B118" s="9" t="s">
        <v>15</v>
      </c>
      <c r="C118" s="5"/>
      <c r="D118" s="291"/>
      <c r="E118" s="292"/>
      <c r="F118" s="292"/>
      <c r="G118" s="292"/>
      <c r="H118" s="293">
        <f>SUM(D117:H117)</f>
        <v>0</v>
      </c>
      <c r="N118">
        <v>0</v>
      </c>
      <c r="O118" s="20"/>
      <c r="P118" s="20"/>
      <c r="Q118" s="147"/>
      <c r="R118" s="197"/>
      <c r="S118" s="197"/>
      <c r="T118" s="197"/>
      <c r="U118" s="197"/>
    </row>
    <row r="119" spans="1:51" ht="15.75" thickBot="1" x14ac:dyDescent="0.3">
      <c r="A119" s="1"/>
      <c r="B119" s="2"/>
      <c r="C119" s="1"/>
      <c r="D119" s="297"/>
      <c r="E119" s="298"/>
      <c r="F119" s="298"/>
      <c r="G119" s="298"/>
      <c r="H119" s="299"/>
      <c r="O119" s="20"/>
      <c r="P119" s="20"/>
      <c r="Q119" s="147"/>
      <c r="R119" s="197"/>
      <c r="S119" s="197"/>
      <c r="T119" s="197"/>
      <c r="U119" s="197"/>
    </row>
    <row r="120" spans="1:51" ht="15" x14ac:dyDescent="0.25">
      <c r="A120" s="1">
        <v>13</v>
      </c>
      <c r="B120" s="2" t="s">
        <v>27</v>
      </c>
      <c r="C120" s="1" t="s">
        <v>8</v>
      </c>
      <c r="D120" s="282">
        <v>0</v>
      </c>
      <c r="E120" s="283">
        <v>0</v>
      </c>
      <c r="F120" s="283">
        <v>0</v>
      </c>
      <c r="G120" s="283">
        <v>0.85633649999999994</v>
      </c>
      <c r="H120" s="284">
        <v>3.2119332100000002</v>
      </c>
      <c r="J120">
        <v>0</v>
      </c>
      <c r="K120">
        <v>0</v>
      </c>
      <c r="L120">
        <v>0</v>
      </c>
      <c r="M120">
        <v>0.85633649999999994</v>
      </c>
      <c r="N120">
        <v>1.8145753216600002</v>
      </c>
      <c r="O120" s="20"/>
      <c r="P120" s="20"/>
      <c r="Q120" s="147">
        <v>2.4824606129712126E-2</v>
      </c>
      <c r="R120" s="197">
        <v>0.49226666666666663</v>
      </c>
      <c r="S120" s="197">
        <v>2.8337500000000002</v>
      </c>
      <c r="T120" s="197">
        <v>0.68718466195761863</v>
      </c>
      <c r="U120" s="197">
        <v>0.90789473684210531</v>
      </c>
      <c r="V120" s="20">
        <f t="shared" ref="V120:Y125" si="120">IF(K120&gt;0,((E120-K120)*$Q120*$R120*10)+(K120*$O$12*$Q120*$R120*10),(E120*$Q120*$R120*10))</f>
        <v>0</v>
      </c>
      <c r="W120" s="20">
        <f t="shared" si="120"/>
        <v>0</v>
      </c>
      <c r="X120" s="20">
        <f t="shared" si="120"/>
        <v>3.8484189795385947E-2</v>
      </c>
      <c r="Y120" s="20">
        <f t="shared" si="120"/>
        <v>0.25230961168601862</v>
      </c>
      <c r="Z120" s="20">
        <f t="shared" ref="Z120:AC125" si="121">V120*(EXP(1.01-0.34*LN(Z$8))*(1-$T120)+(1*$T120))</f>
        <v>0</v>
      </c>
      <c r="AA120" s="20">
        <f t="shared" si="121"/>
        <v>0</v>
      </c>
      <c r="AB120" s="20">
        <f t="shared" si="121"/>
        <v>3.0435759735142041E-2</v>
      </c>
      <c r="AC120" s="20">
        <f t="shared" si="121"/>
        <v>0.19392360225881922</v>
      </c>
      <c r="AD120" s="20">
        <f t="shared" ref="AD120:AD125" si="122">SUM(Z120:AC120)</f>
        <v>0.22435936199396125</v>
      </c>
      <c r="AE120" s="20">
        <f t="shared" ref="AE120:AH125" si="123">IF(K120&gt;0,((E120-K120)*$Q120*$S120*10)+(K120*$P$12*$Q120*$S120)*10,(E120*$Q120*$S120*10))</f>
        <v>0</v>
      </c>
      <c r="AF120" s="20">
        <f t="shared" si="123"/>
        <v>0</v>
      </c>
      <c r="AG120" s="20">
        <f t="shared" si="123"/>
        <v>0.34887075628023573</v>
      </c>
      <c r="AH120" s="20">
        <f t="shared" si="123"/>
        <v>1.7222519786698052</v>
      </c>
      <c r="AI120" s="20">
        <f t="shared" ref="AI120:AL125" si="124">AE120*(EXP(1.01-0.34*LN(AI$8))*(1-$T120)+(1*$T120))</f>
        <v>0</v>
      </c>
      <c r="AJ120" s="20">
        <f t="shared" si="124"/>
        <v>0</v>
      </c>
      <c r="AK120" s="20">
        <f t="shared" si="124"/>
        <v>0.27590931687057657</v>
      </c>
      <c r="AL120" s="20">
        <f t="shared" si="124"/>
        <v>1.3237121862668026</v>
      </c>
      <c r="AM120" s="20">
        <f t="shared" ref="AM120:AM125" si="125">SUM(AI120:AL120)</f>
        <v>1.5996215031373793</v>
      </c>
      <c r="AO120">
        <f t="shared" ref="AO120:AR125" si="126">Z120*AO$10</f>
        <v>0</v>
      </c>
      <c r="AP120">
        <f t="shared" si="126"/>
        <v>0</v>
      </c>
      <c r="AQ120">
        <f t="shared" si="126"/>
        <v>3.0846642491566462E-2</v>
      </c>
      <c r="AR120">
        <f t="shared" si="126"/>
        <v>0.19654157088931329</v>
      </c>
      <c r="AS120">
        <f t="shared" ref="AS120:AS125" si="127">SUM(AO120:AR120)</f>
        <v>0.22738821338087975</v>
      </c>
      <c r="AU120">
        <f t="shared" ref="AU120:AX125" si="128">AI120*AU$10</f>
        <v>0</v>
      </c>
      <c r="AV120">
        <f t="shared" si="128"/>
        <v>0</v>
      </c>
      <c r="AW120">
        <f t="shared" si="128"/>
        <v>0.27963409264832939</v>
      </c>
      <c r="AX120">
        <f t="shared" si="128"/>
        <v>1.3415823007814045</v>
      </c>
      <c r="AY120">
        <f t="shared" ref="AY120:AY125" si="129">SUM(AU120:AX120)</f>
        <v>1.6212163934297339</v>
      </c>
    </row>
    <row r="121" spans="1:51" ht="15" x14ac:dyDescent="0.25">
      <c r="A121" s="1"/>
      <c r="B121" s="2"/>
      <c r="C121" s="1" t="s">
        <v>9</v>
      </c>
      <c r="D121" s="285">
        <v>0</v>
      </c>
      <c r="E121" s="286">
        <v>0</v>
      </c>
      <c r="F121" s="286">
        <v>0</v>
      </c>
      <c r="G121" s="286">
        <v>0</v>
      </c>
      <c r="H121" s="287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20"/>
      <c r="P121" s="20"/>
      <c r="Q121" s="147"/>
      <c r="R121" s="197">
        <v>0.49226666666666663</v>
      </c>
      <c r="S121" s="197">
        <v>2.8337500000000002</v>
      </c>
      <c r="T121" s="197">
        <v>0.68718466195761863</v>
      </c>
      <c r="U121" s="197">
        <v>0.90789473684210531</v>
      </c>
      <c r="V121" s="20">
        <f t="shared" si="120"/>
        <v>0</v>
      </c>
      <c r="W121" s="20">
        <f t="shared" si="120"/>
        <v>0</v>
      </c>
      <c r="X121" s="20">
        <f t="shared" si="120"/>
        <v>0</v>
      </c>
      <c r="Y121" s="20">
        <f t="shared" si="120"/>
        <v>0</v>
      </c>
      <c r="Z121" s="20">
        <f t="shared" si="121"/>
        <v>0</v>
      </c>
      <c r="AA121" s="20">
        <f t="shared" si="121"/>
        <v>0</v>
      </c>
      <c r="AB121" s="20">
        <f t="shared" si="121"/>
        <v>0</v>
      </c>
      <c r="AC121" s="20">
        <f t="shared" si="121"/>
        <v>0</v>
      </c>
      <c r="AD121" s="20">
        <f t="shared" si="122"/>
        <v>0</v>
      </c>
      <c r="AE121" s="20">
        <f t="shared" si="123"/>
        <v>0</v>
      </c>
      <c r="AF121" s="20">
        <f t="shared" si="123"/>
        <v>0</v>
      </c>
      <c r="AG121" s="20">
        <f t="shared" si="123"/>
        <v>0</v>
      </c>
      <c r="AH121" s="20">
        <f t="shared" si="123"/>
        <v>0</v>
      </c>
      <c r="AI121" s="20">
        <f t="shared" si="124"/>
        <v>0</v>
      </c>
      <c r="AJ121" s="20">
        <f t="shared" si="124"/>
        <v>0</v>
      </c>
      <c r="AK121" s="20">
        <f t="shared" si="124"/>
        <v>0</v>
      </c>
      <c r="AL121" s="20">
        <f t="shared" si="124"/>
        <v>0</v>
      </c>
      <c r="AM121" s="20">
        <f t="shared" si="125"/>
        <v>0</v>
      </c>
      <c r="AO121">
        <f t="shared" si="126"/>
        <v>0</v>
      </c>
      <c r="AP121">
        <f t="shared" si="126"/>
        <v>0</v>
      </c>
      <c r="AQ121">
        <f t="shared" si="126"/>
        <v>0</v>
      </c>
      <c r="AR121">
        <f t="shared" si="126"/>
        <v>0</v>
      </c>
      <c r="AS121">
        <f t="shared" si="127"/>
        <v>0</v>
      </c>
      <c r="AU121">
        <f t="shared" si="128"/>
        <v>0</v>
      </c>
      <c r="AV121">
        <f t="shared" si="128"/>
        <v>0</v>
      </c>
      <c r="AW121">
        <f t="shared" si="128"/>
        <v>0</v>
      </c>
      <c r="AX121">
        <f t="shared" si="128"/>
        <v>0</v>
      </c>
      <c r="AY121">
        <f t="shared" si="129"/>
        <v>0</v>
      </c>
    </row>
    <row r="122" spans="1:51" ht="15" x14ac:dyDescent="0.25">
      <c r="A122" s="1"/>
      <c r="B122" s="2"/>
      <c r="C122" s="1" t="s">
        <v>10</v>
      </c>
      <c r="D122" s="285">
        <v>0</v>
      </c>
      <c r="E122" s="286">
        <v>0</v>
      </c>
      <c r="F122" s="286">
        <v>0</v>
      </c>
      <c r="G122" s="286">
        <v>0</v>
      </c>
      <c r="H122" s="287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s="20"/>
      <c r="P122" s="20"/>
      <c r="Q122" s="147"/>
      <c r="R122" s="197">
        <v>0.49226666666666663</v>
      </c>
      <c r="S122" s="197">
        <v>2.8337500000000002</v>
      </c>
      <c r="T122" s="197">
        <v>0.68718466195761863</v>
      </c>
      <c r="U122" s="197">
        <v>0.90789473684210531</v>
      </c>
      <c r="V122" s="20">
        <f t="shared" si="120"/>
        <v>0</v>
      </c>
      <c r="W122" s="20">
        <f t="shared" si="120"/>
        <v>0</v>
      </c>
      <c r="X122" s="20">
        <f t="shared" si="120"/>
        <v>0</v>
      </c>
      <c r="Y122" s="20">
        <f t="shared" si="120"/>
        <v>0</v>
      </c>
      <c r="Z122" s="20">
        <f t="shared" si="121"/>
        <v>0</v>
      </c>
      <c r="AA122" s="20">
        <f t="shared" si="121"/>
        <v>0</v>
      </c>
      <c r="AB122" s="20">
        <f t="shared" si="121"/>
        <v>0</v>
      </c>
      <c r="AC122" s="20">
        <f t="shared" si="121"/>
        <v>0</v>
      </c>
      <c r="AD122" s="20">
        <f t="shared" si="122"/>
        <v>0</v>
      </c>
      <c r="AE122" s="20">
        <f t="shared" si="123"/>
        <v>0</v>
      </c>
      <c r="AF122" s="20">
        <f t="shared" si="123"/>
        <v>0</v>
      </c>
      <c r="AG122" s="20">
        <f t="shared" si="123"/>
        <v>0</v>
      </c>
      <c r="AH122" s="20">
        <f t="shared" si="123"/>
        <v>0</v>
      </c>
      <c r="AI122" s="20">
        <f t="shared" si="124"/>
        <v>0</v>
      </c>
      <c r="AJ122" s="20">
        <f t="shared" si="124"/>
        <v>0</v>
      </c>
      <c r="AK122" s="20">
        <f t="shared" si="124"/>
        <v>0</v>
      </c>
      <c r="AL122" s="20">
        <f t="shared" si="124"/>
        <v>0</v>
      </c>
      <c r="AM122" s="20">
        <f t="shared" si="125"/>
        <v>0</v>
      </c>
      <c r="AO122">
        <f t="shared" si="126"/>
        <v>0</v>
      </c>
      <c r="AP122">
        <f t="shared" si="126"/>
        <v>0</v>
      </c>
      <c r="AQ122">
        <f t="shared" si="126"/>
        <v>0</v>
      </c>
      <c r="AR122">
        <f t="shared" si="126"/>
        <v>0</v>
      </c>
      <c r="AS122">
        <f t="shared" si="127"/>
        <v>0</v>
      </c>
      <c r="AU122">
        <f t="shared" si="128"/>
        <v>0</v>
      </c>
      <c r="AV122">
        <f t="shared" si="128"/>
        <v>0</v>
      </c>
      <c r="AW122">
        <f t="shared" si="128"/>
        <v>0</v>
      </c>
      <c r="AX122">
        <f t="shared" si="128"/>
        <v>0</v>
      </c>
      <c r="AY122">
        <f t="shared" si="129"/>
        <v>0</v>
      </c>
    </row>
    <row r="123" spans="1:51" ht="15" x14ac:dyDescent="0.25">
      <c r="A123" s="1"/>
      <c r="B123" s="2"/>
      <c r="C123" s="1" t="s">
        <v>11</v>
      </c>
      <c r="D123" s="285">
        <v>0</v>
      </c>
      <c r="E123" s="286">
        <v>0</v>
      </c>
      <c r="F123" s="286">
        <v>0</v>
      </c>
      <c r="G123" s="286">
        <v>0</v>
      </c>
      <c r="H123" s="287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 s="20"/>
      <c r="P123" s="20"/>
      <c r="Q123" s="147"/>
      <c r="R123" s="197">
        <v>0.49226666666666663</v>
      </c>
      <c r="S123" s="197">
        <v>2.8337500000000002</v>
      </c>
      <c r="T123" s="197">
        <v>0.68718466195761863</v>
      </c>
      <c r="U123" s="197">
        <v>0.90789473684210531</v>
      </c>
      <c r="V123" s="20">
        <f t="shared" si="120"/>
        <v>0</v>
      </c>
      <c r="W123" s="20">
        <f t="shared" si="120"/>
        <v>0</v>
      </c>
      <c r="X123" s="20">
        <f t="shared" si="120"/>
        <v>0</v>
      </c>
      <c r="Y123" s="20">
        <f t="shared" si="120"/>
        <v>0</v>
      </c>
      <c r="Z123" s="20">
        <f t="shared" si="121"/>
        <v>0</v>
      </c>
      <c r="AA123" s="20">
        <f t="shared" si="121"/>
        <v>0</v>
      </c>
      <c r="AB123" s="20">
        <f t="shared" si="121"/>
        <v>0</v>
      </c>
      <c r="AC123" s="20">
        <f t="shared" si="121"/>
        <v>0</v>
      </c>
      <c r="AD123" s="20">
        <f t="shared" si="122"/>
        <v>0</v>
      </c>
      <c r="AE123" s="20">
        <f t="shared" si="123"/>
        <v>0</v>
      </c>
      <c r="AF123" s="20">
        <f t="shared" si="123"/>
        <v>0</v>
      </c>
      <c r="AG123" s="20">
        <f t="shared" si="123"/>
        <v>0</v>
      </c>
      <c r="AH123" s="20">
        <f t="shared" si="123"/>
        <v>0</v>
      </c>
      <c r="AI123" s="20">
        <f t="shared" si="124"/>
        <v>0</v>
      </c>
      <c r="AJ123" s="20">
        <f t="shared" si="124"/>
        <v>0</v>
      </c>
      <c r="AK123" s="20">
        <f t="shared" si="124"/>
        <v>0</v>
      </c>
      <c r="AL123" s="20">
        <f t="shared" si="124"/>
        <v>0</v>
      </c>
      <c r="AM123" s="20">
        <f t="shared" si="125"/>
        <v>0</v>
      </c>
      <c r="AO123">
        <f t="shared" si="126"/>
        <v>0</v>
      </c>
      <c r="AP123">
        <f t="shared" si="126"/>
        <v>0</v>
      </c>
      <c r="AQ123">
        <f t="shared" si="126"/>
        <v>0</v>
      </c>
      <c r="AR123">
        <f t="shared" si="126"/>
        <v>0</v>
      </c>
      <c r="AS123">
        <f t="shared" si="127"/>
        <v>0</v>
      </c>
      <c r="AU123">
        <f t="shared" si="128"/>
        <v>0</v>
      </c>
      <c r="AV123">
        <f t="shared" si="128"/>
        <v>0</v>
      </c>
      <c r="AW123">
        <f t="shared" si="128"/>
        <v>0</v>
      </c>
      <c r="AX123">
        <f t="shared" si="128"/>
        <v>0</v>
      </c>
      <c r="AY123">
        <f t="shared" si="129"/>
        <v>0</v>
      </c>
    </row>
    <row r="124" spans="1:51" ht="15" x14ac:dyDescent="0.25">
      <c r="A124" s="1"/>
      <c r="B124" s="2"/>
      <c r="C124" s="1" t="s">
        <v>12</v>
      </c>
      <c r="D124" s="285">
        <v>0</v>
      </c>
      <c r="E124" s="286">
        <v>0</v>
      </c>
      <c r="F124" s="286">
        <v>0</v>
      </c>
      <c r="G124" s="286">
        <v>0</v>
      </c>
      <c r="H124" s="287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 s="20"/>
      <c r="P124" s="20"/>
      <c r="Q124" s="147"/>
      <c r="R124" s="197">
        <v>0.49226666666666663</v>
      </c>
      <c r="S124" s="197">
        <v>2.8337500000000002</v>
      </c>
      <c r="T124" s="197">
        <v>0.68718466195761863</v>
      </c>
      <c r="U124" s="197">
        <v>0.90789473684210531</v>
      </c>
      <c r="V124" s="20">
        <f t="shared" si="120"/>
        <v>0</v>
      </c>
      <c r="W124" s="20">
        <f t="shared" si="120"/>
        <v>0</v>
      </c>
      <c r="X124" s="20">
        <f t="shared" si="120"/>
        <v>0</v>
      </c>
      <c r="Y124" s="20">
        <f t="shared" si="120"/>
        <v>0</v>
      </c>
      <c r="Z124" s="20">
        <f t="shared" si="121"/>
        <v>0</v>
      </c>
      <c r="AA124" s="20">
        <f t="shared" si="121"/>
        <v>0</v>
      </c>
      <c r="AB124" s="20">
        <f t="shared" si="121"/>
        <v>0</v>
      </c>
      <c r="AC124" s="20">
        <f t="shared" si="121"/>
        <v>0</v>
      </c>
      <c r="AD124" s="20">
        <f t="shared" si="122"/>
        <v>0</v>
      </c>
      <c r="AE124" s="20">
        <f t="shared" si="123"/>
        <v>0</v>
      </c>
      <c r="AF124" s="20">
        <f t="shared" si="123"/>
        <v>0</v>
      </c>
      <c r="AG124" s="20">
        <f t="shared" si="123"/>
        <v>0</v>
      </c>
      <c r="AH124" s="20">
        <f t="shared" si="123"/>
        <v>0</v>
      </c>
      <c r="AI124" s="20">
        <f t="shared" si="124"/>
        <v>0</v>
      </c>
      <c r="AJ124" s="20">
        <f t="shared" si="124"/>
        <v>0</v>
      </c>
      <c r="AK124" s="20">
        <f t="shared" si="124"/>
        <v>0</v>
      </c>
      <c r="AL124" s="20">
        <f t="shared" si="124"/>
        <v>0</v>
      </c>
      <c r="AM124" s="20">
        <f t="shared" si="125"/>
        <v>0</v>
      </c>
      <c r="AO124">
        <f t="shared" si="126"/>
        <v>0</v>
      </c>
      <c r="AP124">
        <f t="shared" si="126"/>
        <v>0</v>
      </c>
      <c r="AQ124">
        <f t="shared" si="126"/>
        <v>0</v>
      </c>
      <c r="AR124">
        <f t="shared" si="126"/>
        <v>0</v>
      </c>
      <c r="AS124">
        <f t="shared" si="127"/>
        <v>0</v>
      </c>
      <c r="AU124">
        <f t="shared" si="128"/>
        <v>0</v>
      </c>
      <c r="AV124">
        <f t="shared" si="128"/>
        <v>0</v>
      </c>
      <c r="AW124">
        <f t="shared" si="128"/>
        <v>0</v>
      </c>
      <c r="AX124">
        <f t="shared" si="128"/>
        <v>0</v>
      </c>
      <c r="AY124">
        <f t="shared" si="129"/>
        <v>0</v>
      </c>
    </row>
    <row r="125" spans="1:51" ht="15" x14ac:dyDescent="0.25">
      <c r="A125" s="1"/>
      <c r="B125" s="2"/>
      <c r="C125" s="1" t="s">
        <v>13</v>
      </c>
      <c r="D125" s="285">
        <v>0</v>
      </c>
      <c r="E125" s="286">
        <v>0</v>
      </c>
      <c r="F125" s="286">
        <v>0</v>
      </c>
      <c r="G125" s="286">
        <v>0</v>
      </c>
      <c r="H125" s="287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20"/>
      <c r="P125" s="20"/>
      <c r="Q125" s="147"/>
      <c r="R125" s="197">
        <v>0.49226666666666663</v>
      </c>
      <c r="S125" s="197">
        <v>2.8337500000000002</v>
      </c>
      <c r="T125" s="197">
        <v>0.68718466195761863</v>
      </c>
      <c r="U125" s="197">
        <v>0.90789473684210531</v>
      </c>
      <c r="V125" s="20">
        <f t="shared" si="120"/>
        <v>0</v>
      </c>
      <c r="W125" s="20">
        <f t="shared" si="120"/>
        <v>0</v>
      </c>
      <c r="X125" s="20">
        <f t="shared" si="120"/>
        <v>0</v>
      </c>
      <c r="Y125" s="20">
        <f t="shared" si="120"/>
        <v>0</v>
      </c>
      <c r="Z125" s="20">
        <f t="shared" si="121"/>
        <v>0</v>
      </c>
      <c r="AA125" s="20">
        <f t="shared" si="121"/>
        <v>0</v>
      </c>
      <c r="AB125" s="20">
        <f t="shared" si="121"/>
        <v>0</v>
      </c>
      <c r="AC125" s="20">
        <f t="shared" si="121"/>
        <v>0</v>
      </c>
      <c r="AD125" s="20">
        <f t="shared" si="122"/>
        <v>0</v>
      </c>
      <c r="AE125" s="20">
        <f t="shared" si="123"/>
        <v>0</v>
      </c>
      <c r="AF125" s="20">
        <f t="shared" si="123"/>
        <v>0</v>
      </c>
      <c r="AG125" s="20">
        <f t="shared" si="123"/>
        <v>0</v>
      </c>
      <c r="AH125" s="20">
        <f t="shared" si="123"/>
        <v>0</v>
      </c>
      <c r="AI125" s="20">
        <f t="shared" si="124"/>
        <v>0</v>
      </c>
      <c r="AJ125" s="20">
        <f t="shared" si="124"/>
        <v>0</v>
      </c>
      <c r="AK125" s="20">
        <f t="shared" si="124"/>
        <v>0</v>
      </c>
      <c r="AL125" s="20">
        <f t="shared" si="124"/>
        <v>0</v>
      </c>
      <c r="AM125" s="20">
        <f t="shared" si="125"/>
        <v>0</v>
      </c>
      <c r="AO125">
        <f t="shared" si="126"/>
        <v>0</v>
      </c>
      <c r="AP125">
        <f t="shared" si="126"/>
        <v>0</v>
      </c>
      <c r="AQ125">
        <f t="shared" si="126"/>
        <v>0</v>
      </c>
      <c r="AR125">
        <f t="shared" si="126"/>
        <v>0</v>
      </c>
      <c r="AS125">
        <f t="shared" si="127"/>
        <v>0</v>
      </c>
      <c r="AU125">
        <f t="shared" si="128"/>
        <v>0</v>
      </c>
      <c r="AV125">
        <f t="shared" si="128"/>
        <v>0</v>
      </c>
      <c r="AW125">
        <f t="shared" si="128"/>
        <v>0</v>
      </c>
      <c r="AX125">
        <f t="shared" si="128"/>
        <v>0</v>
      </c>
      <c r="AY125">
        <f t="shared" si="129"/>
        <v>0</v>
      </c>
    </row>
    <row r="126" spans="1:51" ht="15" x14ac:dyDescent="0.25">
      <c r="A126" s="7"/>
      <c r="B126" s="8" t="s">
        <v>14</v>
      </c>
      <c r="C126" s="7"/>
      <c r="D126" s="288">
        <f>SUM(D120:D125)</f>
        <v>0</v>
      </c>
      <c r="E126" s="289">
        <f>SUM(E120:E125)</f>
        <v>0</v>
      </c>
      <c r="F126" s="289">
        <f>SUM(F120:F125)</f>
        <v>0</v>
      </c>
      <c r="G126" s="289">
        <f>SUM(G120:G125)</f>
        <v>0.85633649999999994</v>
      </c>
      <c r="H126" s="290">
        <f>SUM(H120:H125)</f>
        <v>3.2119332100000002</v>
      </c>
      <c r="J126">
        <v>0</v>
      </c>
      <c r="K126">
        <v>0</v>
      </c>
      <c r="L126">
        <v>0</v>
      </c>
      <c r="M126">
        <v>0.85633649999999994</v>
      </c>
      <c r="N126">
        <v>1.8145753216600002</v>
      </c>
      <c r="O126" s="20"/>
      <c r="P126" s="20"/>
      <c r="Q126" s="147"/>
      <c r="R126" s="197"/>
      <c r="S126" s="197"/>
      <c r="T126" s="197"/>
      <c r="U126" s="197"/>
    </row>
    <row r="127" spans="1:51" ht="15" x14ac:dyDescent="0.25">
      <c r="A127" s="10"/>
      <c r="B127" s="9" t="s">
        <v>15</v>
      </c>
      <c r="C127" s="5"/>
      <c r="D127" s="291"/>
      <c r="E127" s="292"/>
      <c r="F127" s="292"/>
      <c r="G127" s="292"/>
      <c r="H127" s="293">
        <f>SUM(D126:H126)</f>
        <v>4.06826971</v>
      </c>
      <c r="N127">
        <v>2.6709118216600003</v>
      </c>
      <c r="O127" s="20"/>
      <c r="P127" s="20"/>
      <c r="Q127" s="147"/>
      <c r="R127" s="197"/>
      <c r="S127" s="197"/>
      <c r="T127" s="197"/>
      <c r="U127" s="197"/>
    </row>
    <row r="128" spans="1:51" ht="15.75" thickBot="1" x14ac:dyDescent="0.3">
      <c r="A128" s="1"/>
      <c r="B128" s="2"/>
      <c r="C128" s="1"/>
      <c r="D128" s="294"/>
      <c r="E128" s="295"/>
      <c r="F128" s="295"/>
      <c r="G128" s="295"/>
      <c r="H128" s="296"/>
      <c r="O128" s="20"/>
      <c r="P128" s="20"/>
      <c r="Q128" s="147"/>
      <c r="R128" s="197"/>
      <c r="S128" s="197"/>
      <c r="T128" s="197"/>
      <c r="U128" s="197"/>
    </row>
    <row r="129" spans="1:51" ht="15" x14ac:dyDescent="0.25">
      <c r="A129" s="1">
        <v>14</v>
      </c>
      <c r="B129" s="2" t="s">
        <v>28</v>
      </c>
      <c r="C129" s="1" t="s">
        <v>8</v>
      </c>
      <c r="D129" s="285">
        <v>0</v>
      </c>
      <c r="E129" s="286">
        <v>205.75650567</v>
      </c>
      <c r="F129" s="286">
        <v>125.23605369000001</v>
      </c>
      <c r="G129" s="286">
        <v>88.385856290000007</v>
      </c>
      <c r="H129" s="287">
        <v>151.35131722</v>
      </c>
      <c r="J129">
        <v>0</v>
      </c>
      <c r="K129">
        <v>203.79153314417979</v>
      </c>
      <c r="L129">
        <v>65.246735951449409</v>
      </c>
      <c r="M129">
        <v>-27.193078708682066</v>
      </c>
      <c r="N129">
        <v>-33.440094379870033</v>
      </c>
      <c r="O129" s="20"/>
      <c r="P129" s="20"/>
      <c r="Q129" s="147">
        <v>2.4824606129712129E-2</v>
      </c>
      <c r="R129" s="197">
        <v>5.6499999999999995E-2</v>
      </c>
      <c r="S129" s="197">
        <v>1.25</v>
      </c>
      <c r="T129" s="197">
        <v>0.50078889239507718</v>
      </c>
      <c r="U129" s="197">
        <v>0.75268470790377973</v>
      </c>
      <c r="V129" s="20">
        <f t="shared" ref="V129:Y134" si="130">E129*$Q129*$R129*10</f>
        <v>2.8859206797142511</v>
      </c>
      <c r="W129" s="20">
        <f t="shared" si="130"/>
        <v>1.7565486739429581</v>
      </c>
      <c r="X129" s="20">
        <f t="shared" si="130"/>
        <v>1.2396913994576728</v>
      </c>
      <c r="Y129" s="20">
        <f t="shared" si="130"/>
        <v>2.1228388130177835</v>
      </c>
      <c r="Z129" s="20">
        <f t="shared" ref="Z129:AC134" si="131">V129*(EXP(1.01-0.34*LN(Z$8))*(1-$T129)+(1*$T129))</f>
        <v>1.8833004539689049</v>
      </c>
      <c r="AA129" s="20">
        <f t="shared" si="131"/>
        <v>1.1638331536893642</v>
      </c>
      <c r="AB129" s="20">
        <f t="shared" si="131"/>
        <v>0.82594081955827825</v>
      </c>
      <c r="AC129" s="20">
        <f t="shared" si="131"/>
        <v>1.3388890774458551</v>
      </c>
      <c r="AD129" s="20">
        <f t="shared" ref="AD129:AD134" si="132">SUM(Z129:AC129)</f>
        <v>5.2119635046624024</v>
      </c>
      <c r="AE129" s="20">
        <f t="shared" ref="AE129:AE134" si="133">E129*$Q129*$S129*10</f>
        <v>63.847802648545382</v>
      </c>
      <c r="AF129" s="20">
        <f t="shared" ref="AF129:AH134" si="134">F129*$Q129*$S129*10</f>
        <v>38.861696326171639</v>
      </c>
      <c r="AG129" s="20">
        <f t="shared" si="134"/>
        <v>27.426800872957369</v>
      </c>
      <c r="AH129" s="20">
        <f t="shared" si="134"/>
        <v>46.965460464995211</v>
      </c>
      <c r="AI129" s="20">
        <f t="shared" ref="AI129:AL134" si="135">AE129*(EXP(1.01-0.34*LN(AI$8))*(1-$T129)+(1*$T129))</f>
        <v>41.665939247099665</v>
      </c>
      <c r="AJ129" s="20">
        <f t="shared" si="135"/>
        <v>25.748521099322218</v>
      </c>
      <c r="AK129" s="20">
        <f t="shared" si="135"/>
        <v>18.273026981377843</v>
      </c>
      <c r="AL129" s="20">
        <f t="shared" si="135"/>
        <v>29.621439766501215</v>
      </c>
      <c r="AM129" s="20">
        <f t="shared" ref="AM129:AM134" si="136">SUM(AI129:AL129)</f>
        <v>115.30892709430094</v>
      </c>
      <c r="AO129">
        <f t="shared" ref="AO129:AR134" si="137">Z129*AO$10</f>
        <v>1.9087250100974853</v>
      </c>
      <c r="AP129">
        <f t="shared" si="137"/>
        <v>1.1795449012641708</v>
      </c>
      <c r="AQ129">
        <f t="shared" si="137"/>
        <v>0.83709102062231511</v>
      </c>
      <c r="AR129">
        <f t="shared" si="137"/>
        <v>1.3569640799913743</v>
      </c>
      <c r="AS129">
        <f t="shared" ref="AS129:AS134" si="138">SUM(AO129:AR129)</f>
        <v>5.2823250119753453</v>
      </c>
      <c r="AU129">
        <f t="shared" ref="AU129:AX134" si="139">AI129*AU$10</f>
        <v>42.228429426935513</v>
      </c>
      <c r="AV129">
        <f t="shared" si="139"/>
        <v>26.096126134163068</v>
      </c>
      <c r="AW129">
        <f t="shared" si="139"/>
        <v>18.519712845626444</v>
      </c>
      <c r="AX129">
        <f t="shared" si="139"/>
        <v>30.021329203348984</v>
      </c>
      <c r="AY129">
        <f t="shared" ref="AY129:AY134" si="140">SUM(AU129:AX129)</f>
        <v>116.865597610074</v>
      </c>
    </row>
    <row r="130" spans="1:51" ht="15" x14ac:dyDescent="0.25">
      <c r="A130" s="1"/>
      <c r="B130" s="2"/>
      <c r="C130" s="1" t="s">
        <v>9</v>
      </c>
      <c r="D130" s="285">
        <v>0</v>
      </c>
      <c r="E130" s="286">
        <v>12.3301552</v>
      </c>
      <c r="F130" s="286">
        <v>3.0073229399999999</v>
      </c>
      <c r="G130" s="286">
        <v>5.9471532500000004</v>
      </c>
      <c r="H130" s="287">
        <v>16.722947560000001</v>
      </c>
      <c r="J130">
        <v>0</v>
      </c>
      <c r="K130">
        <v>9.17773939892</v>
      </c>
      <c r="L130">
        <v>-1.2248109612200002</v>
      </c>
      <c r="M130">
        <v>-1.7604358408086993</v>
      </c>
      <c r="N130">
        <v>11.570974827964051</v>
      </c>
      <c r="O130" s="20"/>
      <c r="P130" s="20"/>
      <c r="Q130" s="147">
        <v>4.064921225942425E-2</v>
      </c>
      <c r="R130" s="197">
        <v>5.6499999999999995E-2</v>
      </c>
      <c r="S130" s="197">
        <v>1.25</v>
      </c>
      <c r="T130" s="197">
        <v>0.50078889239507718</v>
      </c>
      <c r="U130" s="197">
        <v>0.75268470790377973</v>
      </c>
      <c r="V130" s="20">
        <f t="shared" si="130"/>
        <v>0.28318426919279061</v>
      </c>
      <c r="W130" s="20">
        <f t="shared" si="130"/>
        <v>6.906859931419311E-2</v>
      </c>
      <c r="X130" s="20">
        <f t="shared" si="130"/>
        <v>0.13658710856119474</v>
      </c>
      <c r="Y130" s="20">
        <f t="shared" si="130"/>
        <v>0.38407267440785831</v>
      </c>
      <c r="Z130" s="20">
        <f t="shared" si="131"/>
        <v>0.18480101219567885</v>
      </c>
      <c r="AA130" s="20">
        <f t="shared" si="131"/>
        <v>4.5762652042145927E-2</v>
      </c>
      <c r="AB130" s="20">
        <f t="shared" si="131"/>
        <v>9.1000767155020118E-2</v>
      </c>
      <c r="AC130" s="20">
        <f t="shared" si="131"/>
        <v>0.24223728412949072</v>
      </c>
      <c r="AD130" s="20">
        <f t="shared" si="132"/>
        <v>0.5638017155223356</v>
      </c>
      <c r="AE130" s="20">
        <f t="shared" si="133"/>
        <v>6.2651386989555462</v>
      </c>
      <c r="AF130" s="20">
        <f t="shared" si="134"/>
        <v>1.5280663565086972</v>
      </c>
      <c r="AG130" s="20">
        <f t="shared" si="134"/>
        <v>3.021838684982185</v>
      </c>
      <c r="AH130" s="20">
        <f t="shared" si="134"/>
        <v>8.4971830621207616</v>
      </c>
      <c r="AI130" s="20">
        <f t="shared" si="135"/>
        <v>4.0885179689309492</v>
      </c>
      <c r="AJ130" s="20">
        <f t="shared" si="135"/>
        <v>1.0124480540297771</v>
      </c>
      <c r="AK130" s="20">
        <f t="shared" si="135"/>
        <v>2.0132913087393836</v>
      </c>
      <c r="AL130" s="20">
        <f t="shared" si="135"/>
        <v>5.3592319497674952</v>
      </c>
      <c r="AM130" s="20">
        <f t="shared" si="136"/>
        <v>12.473489281467604</v>
      </c>
      <c r="AO130">
        <f t="shared" si="137"/>
        <v>0.18729582586032054</v>
      </c>
      <c r="AP130">
        <f t="shared" si="137"/>
        <v>4.63804478447149E-2</v>
      </c>
      <c r="AQ130">
        <f t="shared" si="137"/>
        <v>9.2229277511612889E-2</v>
      </c>
      <c r="AR130">
        <f t="shared" si="137"/>
        <v>0.24550748746523887</v>
      </c>
      <c r="AS130">
        <f t="shared" si="138"/>
        <v>0.5714130386818872</v>
      </c>
      <c r="AU130">
        <f t="shared" si="139"/>
        <v>4.1437129615115174</v>
      </c>
      <c r="AV130">
        <f t="shared" si="139"/>
        <v>1.0261161027591792</v>
      </c>
      <c r="AW130">
        <f t="shared" si="139"/>
        <v>2.0404707414073653</v>
      </c>
      <c r="AX130">
        <f t="shared" si="139"/>
        <v>5.4315815810893566</v>
      </c>
      <c r="AY130">
        <f t="shared" si="140"/>
        <v>12.64188138676742</v>
      </c>
    </row>
    <row r="131" spans="1:51" ht="15" x14ac:dyDescent="0.25">
      <c r="A131" s="1"/>
      <c r="B131" s="2"/>
      <c r="C131" s="1" t="s">
        <v>10</v>
      </c>
      <c r="D131" s="285">
        <v>0</v>
      </c>
      <c r="E131" s="286">
        <v>13.047018769999999</v>
      </c>
      <c r="F131" s="286">
        <v>0</v>
      </c>
      <c r="G131" s="286">
        <v>9.8751932300000007</v>
      </c>
      <c r="H131" s="287">
        <v>20.371878110000001</v>
      </c>
      <c r="J131">
        <v>0</v>
      </c>
      <c r="K131">
        <v>10.92853275565</v>
      </c>
      <c r="L131">
        <v>0</v>
      </c>
      <c r="M131">
        <v>-6.000383137154703</v>
      </c>
      <c r="N131">
        <v>4.4073456085640021</v>
      </c>
      <c r="O131" s="20"/>
      <c r="P131" s="20"/>
      <c r="Q131" s="147">
        <v>5.6473818389136371E-2</v>
      </c>
      <c r="R131" s="197">
        <v>5.6499999999999995E-2</v>
      </c>
      <c r="S131" s="197">
        <v>1.25</v>
      </c>
      <c r="T131" s="197">
        <v>0.50078889239507718</v>
      </c>
      <c r="U131" s="197">
        <v>0.75268470790377973</v>
      </c>
      <c r="V131" s="20">
        <f t="shared" si="130"/>
        <v>0.41630045722319775</v>
      </c>
      <c r="W131" s="20">
        <f t="shared" si="130"/>
        <v>0</v>
      </c>
      <c r="X131" s="20">
        <f t="shared" si="130"/>
        <v>0.31509477600118663</v>
      </c>
      <c r="Y131" s="20">
        <f t="shared" si="130"/>
        <v>0.65001992571581579</v>
      </c>
      <c r="Z131" s="20">
        <f t="shared" si="131"/>
        <v>0.27167026647230669</v>
      </c>
      <c r="AA131" s="20">
        <f t="shared" si="131"/>
        <v>0</v>
      </c>
      <c r="AB131" s="20">
        <f t="shared" si="131"/>
        <v>0.20993098576210456</v>
      </c>
      <c r="AC131" s="20">
        <f t="shared" si="131"/>
        <v>0.40997204937376519</v>
      </c>
      <c r="AD131" s="20">
        <f t="shared" si="132"/>
        <v>0.89157330160817638</v>
      </c>
      <c r="AE131" s="20">
        <f t="shared" si="133"/>
        <v>9.2101871067079166</v>
      </c>
      <c r="AF131" s="20">
        <f t="shared" si="134"/>
        <v>0</v>
      </c>
      <c r="AG131" s="20">
        <f t="shared" si="134"/>
        <v>6.9711233628581128</v>
      </c>
      <c r="AH131" s="20">
        <f t="shared" si="134"/>
        <v>14.380971807872033</v>
      </c>
      <c r="AI131" s="20">
        <f t="shared" si="135"/>
        <v>6.0104041254935119</v>
      </c>
      <c r="AJ131" s="20">
        <f t="shared" si="135"/>
        <v>0</v>
      </c>
      <c r="AK131" s="20">
        <f t="shared" si="135"/>
        <v>4.6444908354447927</v>
      </c>
      <c r="AL131" s="20">
        <f t="shared" si="135"/>
        <v>9.0701780834903811</v>
      </c>
      <c r="AM131" s="20">
        <f t="shared" si="136"/>
        <v>19.725073044428683</v>
      </c>
      <c r="AO131">
        <f t="shared" si="137"/>
        <v>0.27533781506968286</v>
      </c>
      <c r="AP131">
        <f t="shared" si="137"/>
        <v>0</v>
      </c>
      <c r="AQ131">
        <f t="shared" si="137"/>
        <v>0.21276505406989299</v>
      </c>
      <c r="AR131">
        <f t="shared" si="137"/>
        <v>0.41550667204031105</v>
      </c>
      <c r="AS131">
        <f t="shared" si="138"/>
        <v>0.9036095411798869</v>
      </c>
      <c r="AU131">
        <f t="shared" si="139"/>
        <v>6.0915445811876747</v>
      </c>
      <c r="AV131">
        <f t="shared" si="139"/>
        <v>0</v>
      </c>
      <c r="AW131">
        <f t="shared" si="139"/>
        <v>4.7071914617232977</v>
      </c>
      <c r="AX131">
        <f t="shared" si="139"/>
        <v>9.1926254876175015</v>
      </c>
      <c r="AY131">
        <f t="shared" si="140"/>
        <v>19.991361530528472</v>
      </c>
    </row>
    <row r="132" spans="1:51" ht="15" x14ac:dyDescent="0.25">
      <c r="A132" s="1"/>
      <c r="B132" s="2"/>
      <c r="C132" s="1" t="s">
        <v>11</v>
      </c>
      <c r="D132" s="285">
        <v>0</v>
      </c>
      <c r="E132" s="286">
        <v>3.6542285300000001</v>
      </c>
      <c r="F132" s="286">
        <v>0</v>
      </c>
      <c r="G132" s="286">
        <v>0.52885936</v>
      </c>
      <c r="H132" s="287">
        <v>1.53279024</v>
      </c>
      <c r="J132">
        <v>0</v>
      </c>
      <c r="K132">
        <v>3.6106651612824003</v>
      </c>
      <c r="L132">
        <v>0</v>
      </c>
      <c r="M132">
        <v>-0.93481941024640114</v>
      </c>
      <c r="N132">
        <v>0.52758528633285007</v>
      </c>
      <c r="O132" s="20"/>
      <c r="P132" s="20"/>
      <c r="Q132" s="147">
        <v>7.2298424518848506E-2</v>
      </c>
      <c r="R132" s="197">
        <v>5.6499999999999995E-2</v>
      </c>
      <c r="S132" s="197">
        <v>1.25</v>
      </c>
      <c r="T132" s="197">
        <v>0.50078889239507718</v>
      </c>
      <c r="U132" s="197">
        <v>0.75268470790377973</v>
      </c>
      <c r="V132" s="20">
        <f t="shared" si="130"/>
        <v>0.14927015553621764</v>
      </c>
      <c r="W132" s="20">
        <f t="shared" si="130"/>
        <v>0</v>
      </c>
      <c r="X132" s="20">
        <f t="shared" si="130"/>
        <v>2.1603169663826288E-2</v>
      </c>
      <c r="Y132" s="20">
        <f t="shared" si="130"/>
        <v>6.2612350500475242E-2</v>
      </c>
      <c r="Z132" s="20">
        <f t="shared" si="131"/>
        <v>9.7411045861871298E-2</v>
      </c>
      <c r="AA132" s="20">
        <f t="shared" si="131"/>
        <v>0</v>
      </c>
      <c r="AB132" s="20">
        <f t="shared" si="131"/>
        <v>1.4393049483930406E-2</v>
      </c>
      <c r="AC132" s="20">
        <f t="shared" si="131"/>
        <v>3.9490041205307254E-2</v>
      </c>
      <c r="AD132" s="20">
        <f t="shared" si="132"/>
        <v>0.15129413655110896</v>
      </c>
      <c r="AE132" s="20">
        <f t="shared" si="133"/>
        <v>3.3024370693853466</v>
      </c>
      <c r="AF132" s="20">
        <f t="shared" si="134"/>
        <v>0</v>
      </c>
      <c r="AG132" s="20">
        <f t="shared" si="134"/>
        <v>0.47794623150058169</v>
      </c>
      <c r="AH132" s="20">
        <f t="shared" si="134"/>
        <v>1.3852289933733462</v>
      </c>
      <c r="AI132" s="20">
        <f t="shared" si="135"/>
        <v>2.1551116341121972</v>
      </c>
      <c r="AJ132" s="20">
        <f t="shared" si="135"/>
        <v>0</v>
      </c>
      <c r="AK132" s="20">
        <f t="shared" si="135"/>
        <v>0.31843029831704445</v>
      </c>
      <c r="AL132" s="20">
        <f t="shared" si="135"/>
        <v>0.87367347799352335</v>
      </c>
      <c r="AM132" s="20">
        <f t="shared" si="136"/>
        <v>3.3472154104227654</v>
      </c>
      <c r="AO132">
        <f t="shared" si="137"/>
        <v>9.8726094981006568E-2</v>
      </c>
      <c r="AP132">
        <f t="shared" si="137"/>
        <v>0</v>
      </c>
      <c r="AQ132">
        <f t="shared" si="137"/>
        <v>1.4587355651963467E-2</v>
      </c>
      <c r="AR132">
        <f t="shared" si="137"/>
        <v>4.0023156761578901E-2</v>
      </c>
      <c r="AS132">
        <f t="shared" si="138"/>
        <v>0.15333660739454893</v>
      </c>
      <c r="AU132">
        <f t="shared" si="139"/>
        <v>2.1842056411727122</v>
      </c>
      <c r="AV132">
        <f t="shared" si="139"/>
        <v>0</v>
      </c>
      <c r="AW132">
        <f t="shared" si="139"/>
        <v>0.32272910734432458</v>
      </c>
      <c r="AX132">
        <f t="shared" si="139"/>
        <v>0.88546806994643601</v>
      </c>
      <c r="AY132">
        <f t="shared" si="140"/>
        <v>3.3924028184634731</v>
      </c>
    </row>
    <row r="133" spans="1:51" ht="15" x14ac:dyDescent="0.25">
      <c r="A133" s="1"/>
      <c r="B133" s="2"/>
      <c r="C133" s="1" t="s">
        <v>12</v>
      </c>
      <c r="D133" s="285">
        <v>0</v>
      </c>
      <c r="E133" s="286">
        <v>0</v>
      </c>
      <c r="F133" s="286">
        <v>6.1662000000000002E-4</v>
      </c>
      <c r="G133" s="286">
        <v>3.8841319999999999E-2</v>
      </c>
      <c r="H133" s="287">
        <v>0.95121202999999999</v>
      </c>
      <c r="J133">
        <v>0</v>
      </c>
      <c r="K133">
        <v>-6.23391774727E-2</v>
      </c>
      <c r="L133">
        <v>1.5121812209100002E-4</v>
      </c>
      <c r="M133">
        <v>3.7657015823829999E-2</v>
      </c>
      <c r="N133">
        <v>0.93438461692219998</v>
      </c>
      <c r="O133" s="20"/>
      <c r="P133" s="20"/>
      <c r="Q133" s="147">
        <v>7.2298424518848492E-2</v>
      </c>
      <c r="R133" s="197">
        <v>5.6499999999999995E-2</v>
      </c>
      <c r="S133" s="197">
        <v>1.25</v>
      </c>
      <c r="T133" s="197">
        <v>0.50078889239507718</v>
      </c>
      <c r="U133" s="197">
        <v>0.75268470790377973</v>
      </c>
      <c r="V133" s="20">
        <f t="shared" si="130"/>
        <v>0</v>
      </c>
      <c r="W133" s="20">
        <f t="shared" si="130"/>
        <v>2.518806980764898E-5</v>
      </c>
      <c r="X133" s="20">
        <f t="shared" si="130"/>
        <v>1.5866139268613287E-3</v>
      </c>
      <c r="Y133" s="20">
        <f t="shared" si="130"/>
        <v>3.8855689101092238E-2</v>
      </c>
      <c r="Z133" s="20">
        <f t="shared" si="131"/>
        <v>0</v>
      </c>
      <c r="AA133" s="20">
        <f t="shared" si="131"/>
        <v>1.6688812074749219E-5</v>
      </c>
      <c r="AB133" s="20">
        <f t="shared" si="131"/>
        <v>1.0570769528994923E-3</v>
      </c>
      <c r="AC133" s="20">
        <f t="shared" si="131"/>
        <v>2.4506551046204438E-2</v>
      </c>
      <c r="AD133" s="20">
        <f t="shared" si="132"/>
        <v>2.5580316811178679E-2</v>
      </c>
      <c r="AE133" s="20">
        <f t="shared" si="133"/>
        <v>0</v>
      </c>
      <c r="AF133" s="20">
        <f t="shared" si="134"/>
        <v>5.572581815851545E-4</v>
      </c>
      <c r="AG133" s="20">
        <f t="shared" si="134"/>
        <v>3.5102078027905499E-2</v>
      </c>
      <c r="AH133" s="20">
        <f t="shared" si="134"/>
        <v>0.85963913940469561</v>
      </c>
      <c r="AI133" s="20">
        <f t="shared" si="135"/>
        <v>0</v>
      </c>
      <c r="AJ133" s="20">
        <f t="shared" si="135"/>
        <v>3.692215060785226E-4</v>
      </c>
      <c r="AK133" s="20">
        <f t="shared" si="135"/>
        <v>2.3386658249988763E-2</v>
      </c>
      <c r="AL133" s="20">
        <f t="shared" si="135"/>
        <v>0.54218033288062917</v>
      </c>
      <c r="AM133" s="20">
        <f t="shared" si="136"/>
        <v>0.56593621263669647</v>
      </c>
      <c r="AO133">
        <f t="shared" si="137"/>
        <v>0</v>
      </c>
      <c r="AP133">
        <f t="shared" si="137"/>
        <v>1.6914111037758335E-5</v>
      </c>
      <c r="AQ133">
        <f t="shared" si="137"/>
        <v>1.0713474917636355E-3</v>
      </c>
      <c r="AR133">
        <f t="shared" si="137"/>
        <v>2.4837389485328199E-2</v>
      </c>
      <c r="AS133">
        <f t="shared" si="138"/>
        <v>2.5925651088129591E-2</v>
      </c>
      <c r="AU133">
        <f t="shared" si="139"/>
        <v>0</v>
      </c>
      <c r="AV133">
        <f t="shared" si="139"/>
        <v>3.7420599641058269E-4</v>
      </c>
      <c r="AW133">
        <f t="shared" si="139"/>
        <v>2.3702378136363614E-2</v>
      </c>
      <c r="AX133">
        <f t="shared" si="139"/>
        <v>0.54949976737451767</v>
      </c>
      <c r="AY133">
        <f t="shared" si="140"/>
        <v>0.57357635150729191</v>
      </c>
    </row>
    <row r="134" spans="1:51" ht="15" x14ac:dyDescent="0.25">
      <c r="A134" s="1"/>
      <c r="B134" s="2"/>
      <c r="C134" s="1" t="s">
        <v>13</v>
      </c>
      <c r="D134" s="285">
        <v>0</v>
      </c>
      <c r="E134" s="286">
        <v>0</v>
      </c>
      <c r="F134" s="286">
        <v>0</v>
      </c>
      <c r="G134" s="286">
        <v>0</v>
      </c>
      <c r="H134" s="287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20"/>
      <c r="P134" s="20"/>
      <c r="Q134" s="147"/>
      <c r="R134" s="197">
        <v>5.6499999999999995E-2</v>
      </c>
      <c r="S134" s="197">
        <v>1.25</v>
      </c>
      <c r="T134" s="197">
        <v>0.50078889239507718</v>
      </c>
      <c r="U134" s="197">
        <v>0.75268470790377973</v>
      </c>
      <c r="V134" s="20">
        <f t="shared" si="130"/>
        <v>0</v>
      </c>
      <c r="W134" s="20">
        <f t="shared" si="130"/>
        <v>0</v>
      </c>
      <c r="X134" s="20">
        <f t="shared" si="130"/>
        <v>0</v>
      </c>
      <c r="Y134" s="20">
        <f t="shared" si="130"/>
        <v>0</v>
      </c>
      <c r="Z134" s="20">
        <f t="shared" si="131"/>
        <v>0</v>
      </c>
      <c r="AA134" s="20">
        <f t="shared" si="131"/>
        <v>0</v>
      </c>
      <c r="AB134" s="20">
        <f t="shared" si="131"/>
        <v>0</v>
      </c>
      <c r="AC134" s="20">
        <f t="shared" si="131"/>
        <v>0</v>
      </c>
      <c r="AD134" s="20">
        <f t="shared" si="132"/>
        <v>0</v>
      </c>
      <c r="AE134" s="20">
        <f t="shared" si="133"/>
        <v>0</v>
      </c>
      <c r="AF134" s="20">
        <f t="shared" si="134"/>
        <v>0</v>
      </c>
      <c r="AG134" s="20">
        <f t="shared" si="134"/>
        <v>0</v>
      </c>
      <c r="AH134" s="20">
        <f t="shared" si="134"/>
        <v>0</v>
      </c>
      <c r="AI134" s="20">
        <f t="shared" si="135"/>
        <v>0</v>
      </c>
      <c r="AJ134" s="20">
        <f t="shared" si="135"/>
        <v>0</v>
      </c>
      <c r="AK134" s="20">
        <f t="shared" si="135"/>
        <v>0</v>
      </c>
      <c r="AL134" s="20">
        <f t="shared" si="135"/>
        <v>0</v>
      </c>
      <c r="AM134" s="20">
        <f t="shared" si="136"/>
        <v>0</v>
      </c>
      <c r="AO134">
        <f t="shared" si="137"/>
        <v>0</v>
      </c>
      <c r="AP134">
        <f t="shared" si="137"/>
        <v>0</v>
      </c>
      <c r="AQ134">
        <f t="shared" si="137"/>
        <v>0</v>
      </c>
      <c r="AR134">
        <f t="shared" si="137"/>
        <v>0</v>
      </c>
      <c r="AS134">
        <f t="shared" si="138"/>
        <v>0</v>
      </c>
      <c r="AU134">
        <f t="shared" si="139"/>
        <v>0</v>
      </c>
      <c r="AV134">
        <f t="shared" si="139"/>
        <v>0</v>
      </c>
      <c r="AW134">
        <f t="shared" si="139"/>
        <v>0</v>
      </c>
      <c r="AX134">
        <f t="shared" si="139"/>
        <v>0</v>
      </c>
      <c r="AY134">
        <f t="shared" si="140"/>
        <v>0</v>
      </c>
    </row>
    <row r="135" spans="1:51" ht="15" x14ac:dyDescent="0.25">
      <c r="A135" s="7"/>
      <c r="B135" s="8" t="s">
        <v>14</v>
      </c>
      <c r="C135" s="7"/>
      <c r="D135" s="288">
        <f>SUM(D129:D134)</f>
        <v>0</v>
      </c>
      <c r="E135" s="289">
        <f>SUM(E129:E134)</f>
        <v>234.78790817000001</v>
      </c>
      <c r="F135" s="289">
        <f>SUM(F129:F134)</f>
        <v>128.24399324999999</v>
      </c>
      <c r="G135" s="289">
        <f>SUM(G129:G134)</f>
        <v>104.77590345000002</v>
      </c>
      <c r="H135" s="290">
        <f>SUM(H129:H134)</f>
        <v>190.93014516</v>
      </c>
      <c r="J135">
        <v>0</v>
      </c>
      <c r="K135">
        <v>227.44613128255952</v>
      </c>
      <c r="L135">
        <v>64.022076208351493</v>
      </c>
      <c r="M135">
        <v>-35.851060081068034</v>
      </c>
      <c r="N135">
        <v>-15.99980404008693</v>
      </c>
      <c r="O135" s="20"/>
      <c r="P135" s="20"/>
      <c r="Q135" s="147"/>
      <c r="R135" s="197"/>
      <c r="S135" s="197"/>
      <c r="T135" s="197"/>
      <c r="U135" s="197"/>
    </row>
    <row r="136" spans="1:51" ht="15" x14ac:dyDescent="0.25">
      <c r="A136" s="10"/>
      <c r="B136" s="9" t="s">
        <v>15</v>
      </c>
      <c r="C136" s="5"/>
      <c r="D136" s="291"/>
      <c r="E136" s="292"/>
      <c r="F136" s="292"/>
      <c r="G136" s="292"/>
      <c r="H136" s="293">
        <f>SUM(D135:H135)</f>
        <v>658.73795003000009</v>
      </c>
      <c r="N136">
        <v>239.61734336975607</v>
      </c>
      <c r="O136" s="20"/>
      <c r="P136" s="20"/>
      <c r="Q136" s="147"/>
      <c r="R136" s="197"/>
      <c r="S136" s="197"/>
      <c r="T136" s="197"/>
      <c r="U136" s="197"/>
    </row>
    <row r="137" spans="1:51" ht="15.75" thickBot="1" x14ac:dyDescent="0.3">
      <c r="A137" s="1"/>
      <c r="B137" s="2"/>
      <c r="C137" s="1"/>
      <c r="D137" s="297"/>
      <c r="E137" s="298"/>
      <c r="F137" s="298"/>
      <c r="G137" s="298"/>
      <c r="H137" s="299"/>
      <c r="O137" s="20"/>
      <c r="P137" s="20"/>
      <c r="Q137" s="147"/>
      <c r="R137" s="197"/>
      <c r="S137" s="197"/>
      <c r="T137" s="197"/>
      <c r="U137" s="197"/>
    </row>
    <row r="138" spans="1:51" ht="15" x14ac:dyDescent="0.25">
      <c r="A138" s="1">
        <v>15</v>
      </c>
      <c r="B138" s="2" t="s">
        <v>29</v>
      </c>
      <c r="C138" s="1" t="s">
        <v>8</v>
      </c>
      <c r="D138" s="282">
        <v>2.8999999999999998E-7</v>
      </c>
      <c r="E138" s="283">
        <v>0.74276288000000001</v>
      </c>
      <c r="F138" s="283">
        <v>2.1326700700000001</v>
      </c>
      <c r="G138" s="283">
        <v>2.1078223500000002</v>
      </c>
      <c r="H138" s="284">
        <v>2.7190599600000001</v>
      </c>
      <c r="J138">
        <v>2.8999999999999998E-7</v>
      </c>
      <c r="K138">
        <v>-1.3670043037932302</v>
      </c>
      <c r="L138">
        <v>0.11639199987680016</v>
      </c>
      <c r="M138">
        <v>1.7483973642800001</v>
      </c>
      <c r="N138">
        <v>-1.1583838125034203</v>
      </c>
      <c r="O138" s="20"/>
      <c r="P138" s="20"/>
      <c r="Q138" s="147">
        <v>0.76739766759541095</v>
      </c>
      <c r="R138" s="197">
        <v>1.2861473139312608E-2</v>
      </c>
      <c r="S138" s="197">
        <v>0.49282807343291918</v>
      </c>
      <c r="T138" s="197">
        <v>0.11808671869809276</v>
      </c>
      <c r="U138" s="197">
        <v>0.41263016220713056</v>
      </c>
      <c r="V138" s="20">
        <f t="shared" ref="V138:Y143" si="141">E138*$Q138*$R138*10</f>
        <v>7.3309689730218758E-2</v>
      </c>
      <c r="W138" s="20">
        <f t="shared" si="141"/>
        <v>0.21049164590538494</v>
      </c>
      <c r="X138" s="20">
        <f t="shared" si="141"/>
        <v>0.20803920961279138</v>
      </c>
      <c r="Y138" s="20">
        <f t="shared" si="141"/>
        <v>0.26836753342528513</v>
      </c>
      <c r="Z138" s="20">
        <f t="shared" ref="Z138:AC143" si="142">V138*(EXP(1.01-0.34*LN(Z$8))*(1-$T138)+(1*$T138))</f>
        <v>2.8315638802069106E-2</v>
      </c>
      <c r="AA138" s="20">
        <f t="shared" si="142"/>
        <v>8.5015081853125826E-2</v>
      </c>
      <c r="AB138" s="20">
        <f t="shared" si="142"/>
        <v>8.5376694496913361E-2</v>
      </c>
      <c r="AC138" s="20">
        <f t="shared" si="142"/>
        <v>9.3285002461240218E-2</v>
      </c>
      <c r="AD138" s="20">
        <f t="shared" ref="AD138:AD143" si="143">SUM(Z138:AC138)</f>
        <v>0.29199241761334849</v>
      </c>
      <c r="AE138" s="20">
        <f t="shared" ref="AE138:AE143" si="144">E138*$Q138*$S138*10</f>
        <v>2.8090929213447566</v>
      </c>
      <c r="AF138" s="20">
        <f t="shared" ref="AF138:AH143" si="145">F138*$Q138*$S138*10</f>
        <v>8.0656540041430542</v>
      </c>
      <c r="AG138" s="20">
        <f t="shared" si="145"/>
        <v>7.9716811411432822</v>
      </c>
      <c r="AH138" s="20">
        <f t="shared" si="145"/>
        <v>10.283351917570192</v>
      </c>
      <c r="AI138" s="20">
        <f t="shared" ref="AI138:AL143" si="146">AE138*(EXP(1.01-0.34*LN(AI$8))*(1-$T138)+(1*$T138))</f>
        <v>1.0850033715182918</v>
      </c>
      <c r="AJ138" s="20">
        <f t="shared" si="146"/>
        <v>3.2576220895219468</v>
      </c>
      <c r="AK138" s="20">
        <f t="shared" si="146"/>
        <v>3.2714784231344671</v>
      </c>
      <c r="AL138" s="20">
        <f t="shared" si="146"/>
        <v>3.5745102870552845</v>
      </c>
      <c r="AM138" s="20">
        <f t="shared" ref="AM138:AM143" si="147">SUM(AI138:AL138)</f>
        <v>11.18861417122999</v>
      </c>
      <c r="AO138">
        <f t="shared" ref="AO138:AR143" si="148">Z138*AO$10</f>
        <v>2.8697899925897042E-2</v>
      </c>
      <c r="AP138">
        <f t="shared" si="148"/>
        <v>8.6162785458143029E-2</v>
      </c>
      <c r="AQ138">
        <f t="shared" si="148"/>
        <v>8.6529279872621698E-2</v>
      </c>
      <c r="AR138">
        <f t="shared" si="148"/>
        <v>9.4544349994466967E-2</v>
      </c>
      <c r="AS138">
        <f t="shared" ref="AS138:AS143" si="149">SUM(AO138:AR138)</f>
        <v>0.29593431525112873</v>
      </c>
      <c r="AU138">
        <f t="shared" ref="AU138:AX143" si="150">AI138*AU$10</f>
        <v>1.0996509170337889</v>
      </c>
      <c r="AV138">
        <f t="shared" si="150"/>
        <v>3.3015999877304933</v>
      </c>
      <c r="AW138">
        <f t="shared" si="150"/>
        <v>3.3156433818467828</v>
      </c>
      <c r="AX138">
        <f t="shared" si="150"/>
        <v>3.622766175930531</v>
      </c>
      <c r="AY138">
        <f t="shared" ref="AY138:AY143" si="151">SUM(AU138:AX138)</f>
        <v>11.339660462541596</v>
      </c>
    </row>
    <row r="139" spans="1:51" ht="15" x14ac:dyDescent="0.25">
      <c r="A139" s="1"/>
      <c r="B139" s="2"/>
      <c r="C139" s="1" t="s">
        <v>9</v>
      </c>
      <c r="D139" s="285">
        <v>0</v>
      </c>
      <c r="E139" s="286">
        <v>0.99528508000000004</v>
      </c>
      <c r="F139" s="286">
        <v>8.0709839999999993</v>
      </c>
      <c r="G139" s="286">
        <v>0</v>
      </c>
      <c r="H139" s="287">
        <v>4.0279706199999996</v>
      </c>
      <c r="J139">
        <v>0</v>
      </c>
      <c r="K139">
        <v>0.67071804207000008</v>
      </c>
      <c r="L139">
        <v>5.5814322178129991</v>
      </c>
      <c r="M139">
        <v>0</v>
      </c>
      <c r="N139">
        <v>0.24564055415049957</v>
      </c>
      <c r="O139" s="20"/>
      <c r="P139" s="20"/>
      <c r="Q139" s="147">
        <v>0.76979533519082188</v>
      </c>
      <c r="R139" s="197">
        <v>1.2861473139312608E-2</v>
      </c>
      <c r="S139" s="197">
        <v>0.49282807343291918</v>
      </c>
      <c r="T139" s="197">
        <v>0.11808671869809276</v>
      </c>
      <c r="U139" s="197">
        <v>0.41263016220713056</v>
      </c>
      <c r="V139" s="20">
        <f t="shared" si="141"/>
        <v>9.8540210083269422E-2</v>
      </c>
      <c r="W139" s="20">
        <f t="shared" si="141"/>
        <v>0.79908407643235857</v>
      </c>
      <c r="X139" s="20">
        <f t="shared" si="141"/>
        <v>0</v>
      </c>
      <c r="Y139" s="20">
        <f t="shared" si="141"/>
        <v>0.39879736879411165</v>
      </c>
      <c r="Z139" s="20">
        <f t="shared" si="142"/>
        <v>3.8060848524471572E-2</v>
      </c>
      <c r="AA139" s="20">
        <f t="shared" si="142"/>
        <v>0.32274059083543172</v>
      </c>
      <c r="AB139" s="20">
        <f t="shared" si="142"/>
        <v>0</v>
      </c>
      <c r="AC139" s="20">
        <f t="shared" si="142"/>
        <v>0.13862263089231694</v>
      </c>
      <c r="AD139" s="20">
        <f t="shared" si="143"/>
        <v>0.49942407025222024</v>
      </c>
      <c r="AE139" s="20">
        <f t="shared" si="144"/>
        <v>3.7758802094429669</v>
      </c>
      <c r="AF139" s="20">
        <f t="shared" si="145"/>
        <v>30.619436952004577</v>
      </c>
      <c r="AG139" s="20">
        <f t="shared" si="145"/>
        <v>0</v>
      </c>
      <c r="AH139" s="20">
        <f t="shared" si="145"/>
        <v>15.281184108854236</v>
      </c>
      <c r="AI139" s="20">
        <f t="shared" si="146"/>
        <v>1.4584219434555374</v>
      </c>
      <c r="AJ139" s="20">
        <f t="shared" si="146"/>
        <v>12.366827802474322</v>
      </c>
      <c r="AK139" s="20">
        <f t="shared" si="146"/>
        <v>0</v>
      </c>
      <c r="AL139" s="20">
        <f t="shared" si="146"/>
        <v>5.3117650969579744</v>
      </c>
      <c r="AM139" s="20">
        <f t="shared" si="147"/>
        <v>19.137014842887833</v>
      </c>
      <c r="AO139">
        <f t="shared" si="148"/>
        <v>3.8574669979551938E-2</v>
      </c>
      <c r="AP139">
        <f t="shared" si="148"/>
        <v>0.32709758881171008</v>
      </c>
      <c r="AQ139">
        <f t="shared" si="148"/>
        <v>0</v>
      </c>
      <c r="AR139">
        <f t="shared" si="148"/>
        <v>0.14049403640936323</v>
      </c>
      <c r="AS139">
        <f t="shared" si="149"/>
        <v>0.50616629520062528</v>
      </c>
      <c r="AU139">
        <f t="shared" si="150"/>
        <v>1.4781106396921873</v>
      </c>
      <c r="AV139">
        <f t="shared" si="150"/>
        <v>12.533779977807727</v>
      </c>
      <c r="AW139">
        <f t="shared" si="150"/>
        <v>0</v>
      </c>
      <c r="AX139">
        <f t="shared" si="150"/>
        <v>5.3834739257669071</v>
      </c>
      <c r="AY139">
        <f t="shared" si="151"/>
        <v>19.395364543266822</v>
      </c>
    </row>
    <row r="140" spans="1:51" ht="15" x14ac:dyDescent="0.25">
      <c r="A140" s="1"/>
      <c r="B140" s="2"/>
      <c r="C140" s="1" t="s">
        <v>10</v>
      </c>
      <c r="D140" s="285">
        <v>0</v>
      </c>
      <c r="E140" s="286">
        <v>0.88419579000000004</v>
      </c>
      <c r="F140" s="286">
        <v>0.2260906</v>
      </c>
      <c r="G140" s="286">
        <v>2.8523884399999999</v>
      </c>
      <c r="H140" s="287">
        <v>1.2091729099999999</v>
      </c>
      <c r="J140">
        <v>0</v>
      </c>
      <c r="K140">
        <v>-3.3081961745840993E-2</v>
      </c>
      <c r="L140">
        <v>-9.0744787999999993E-2</v>
      </c>
      <c r="M140">
        <v>2.8523884399999999</v>
      </c>
      <c r="N140">
        <v>-0.60437976020900019</v>
      </c>
      <c r="O140" s="20"/>
      <c r="P140" s="20"/>
      <c r="Q140" s="147">
        <v>0.77219300278623271</v>
      </c>
      <c r="R140" s="197">
        <v>1.2861473139312608E-2</v>
      </c>
      <c r="S140" s="197">
        <v>0.49282807343291918</v>
      </c>
      <c r="T140" s="197">
        <v>0.11808671869809276</v>
      </c>
      <c r="U140" s="197">
        <v>0.41263016220713056</v>
      </c>
      <c r="V140" s="20">
        <f t="shared" si="141"/>
        <v>8.7814254704422223E-2</v>
      </c>
      <c r="W140" s="20">
        <f t="shared" si="141"/>
        <v>2.2454277388807342E-2</v>
      </c>
      <c r="X140" s="20">
        <f t="shared" si="141"/>
        <v>0.28328608642901315</v>
      </c>
      <c r="Y140" s="20">
        <f t="shared" si="141"/>
        <v>0.12008948595019595</v>
      </c>
      <c r="Z140" s="20">
        <f t="shared" si="142"/>
        <v>3.3917981743392354E-2</v>
      </c>
      <c r="AA140" s="20">
        <f t="shared" si="142"/>
        <v>9.0690165966031463E-3</v>
      </c>
      <c r="AB140" s="20">
        <f t="shared" si="142"/>
        <v>0.11625707337233106</v>
      </c>
      <c r="AC140" s="20">
        <f t="shared" si="142"/>
        <v>4.174330571753735E-2</v>
      </c>
      <c r="AD140" s="20">
        <f t="shared" si="143"/>
        <v>0.20098737742986392</v>
      </c>
      <c r="AE140" s="20">
        <f t="shared" si="144"/>
        <v>3.3648812618241846</v>
      </c>
      <c r="AF140" s="20">
        <f t="shared" si="145"/>
        <v>0.86040674703346753</v>
      </c>
      <c r="AG140" s="20">
        <f t="shared" si="145"/>
        <v>10.855003520430602</v>
      </c>
      <c r="AH140" s="20">
        <f t="shared" si="145"/>
        <v>4.6016089571795185</v>
      </c>
      <c r="AI140" s="20">
        <f t="shared" si="146"/>
        <v>1.2996748829833007</v>
      </c>
      <c r="AJ140" s="20">
        <f t="shared" si="146"/>
        <v>0.34750809093350654</v>
      </c>
      <c r="AK140" s="20">
        <f t="shared" si="146"/>
        <v>4.4547579326591515</v>
      </c>
      <c r="AL140" s="20">
        <f t="shared" si="146"/>
        <v>1.599526952524102</v>
      </c>
      <c r="AM140" s="20">
        <f t="shared" si="147"/>
        <v>7.7014678591000605</v>
      </c>
      <c r="AO140">
        <f t="shared" si="148"/>
        <v>3.4375874496928152E-2</v>
      </c>
      <c r="AP140">
        <f t="shared" si="148"/>
        <v>9.1914483206572885E-3</v>
      </c>
      <c r="AQ140">
        <f t="shared" si="148"/>
        <v>0.11782654386285754</v>
      </c>
      <c r="AR140">
        <f t="shared" si="148"/>
        <v>4.2306840344724109E-2</v>
      </c>
      <c r="AS140">
        <f t="shared" si="149"/>
        <v>0.20370070702516707</v>
      </c>
      <c r="AU140">
        <f t="shared" si="150"/>
        <v>1.3172204939035754</v>
      </c>
      <c r="AV140">
        <f t="shared" si="150"/>
        <v>0.35219945016110893</v>
      </c>
      <c r="AW140">
        <f t="shared" si="150"/>
        <v>4.5148971647500504</v>
      </c>
      <c r="AX140">
        <f t="shared" si="150"/>
        <v>1.6211205663831776</v>
      </c>
      <c r="AY140">
        <f t="shared" si="151"/>
        <v>7.8054376751979131</v>
      </c>
    </row>
    <row r="141" spans="1:51" ht="15" x14ac:dyDescent="0.25">
      <c r="A141" s="1"/>
      <c r="B141" s="2"/>
      <c r="C141" s="1" t="s">
        <v>11</v>
      </c>
      <c r="D141" s="285">
        <v>0</v>
      </c>
      <c r="E141" s="286">
        <v>0.43953955</v>
      </c>
      <c r="F141" s="286">
        <v>0</v>
      </c>
      <c r="G141" s="286">
        <v>1.73005024</v>
      </c>
      <c r="H141" s="287">
        <v>0.12323297</v>
      </c>
      <c r="J141">
        <v>0</v>
      </c>
      <c r="K141">
        <v>0.17753138272800001</v>
      </c>
      <c r="L141">
        <v>0</v>
      </c>
      <c r="M141">
        <v>0.59518854873799998</v>
      </c>
      <c r="N141">
        <v>-2.8028399382600017E-2</v>
      </c>
      <c r="O141" s="20"/>
      <c r="P141" s="20"/>
      <c r="Q141" s="147">
        <v>0.77459067038164375</v>
      </c>
      <c r="R141" s="197">
        <v>1.2861473139312608E-2</v>
      </c>
      <c r="S141" s="197">
        <v>0.49282807343291918</v>
      </c>
      <c r="T141" s="197">
        <v>0.11808671869809276</v>
      </c>
      <c r="U141" s="197">
        <v>0.41263016220713056</v>
      </c>
      <c r="V141" s="20">
        <f t="shared" si="141"/>
        <v>4.3788587479370991E-2</v>
      </c>
      <c r="W141" s="20">
        <f t="shared" si="141"/>
        <v>0</v>
      </c>
      <c r="X141" s="20">
        <f t="shared" si="141"/>
        <v>0.17235412894686444</v>
      </c>
      <c r="Y141" s="20">
        <f t="shared" si="141"/>
        <v>1.2276933184255434E-2</v>
      </c>
      <c r="Z141" s="20">
        <f t="shared" si="142"/>
        <v>1.6913205215866284E-2</v>
      </c>
      <c r="AA141" s="20">
        <f t="shared" si="142"/>
        <v>0</v>
      </c>
      <c r="AB141" s="20">
        <f t="shared" si="142"/>
        <v>7.0731982878449159E-2</v>
      </c>
      <c r="AC141" s="20">
        <f t="shared" si="142"/>
        <v>4.2674824621756801E-3</v>
      </c>
      <c r="AD141" s="20">
        <f t="shared" si="143"/>
        <v>9.1912670556491119E-2</v>
      </c>
      <c r="AE141" s="20">
        <f t="shared" si="144"/>
        <v>1.6778984002885866</v>
      </c>
      <c r="AF141" s="20">
        <f t="shared" si="145"/>
        <v>0</v>
      </c>
      <c r="AG141" s="20">
        <f t="shared" si="145"/>
        <v>6.6042942668410287</v>
      </c>
      <c r="AH141" s="20">
        <f t="shared" si="145"/>
        <v>0.47042957391618428</v>
      </c>
      <c r="AI141" s="20">
        <f t="shared" si="146"/>
        <v>0.64808301909313526</v>
      </c>
      <c r="AJ141" s="20">
        <f t="shared" si="146"/>
        <v>0</v>
      </c>
      <c r="AK141" s="20">
        <f t="shared" si="146"/>
        <v>2.7103199201595802</v>
      </c>
      <c r="AL141" s="20">
        <f t="shared" si="146"/>
        <v>0.16352210493013666</v>
      </c>
      <c r="AM141" s="20">
        <f t="shared" si="147"/>
        <v>3.521925044182852</v>
      </c>
      <c r="AO141">
        <f t="shared" si="148"/>
        <v>1.7141533486280478E-2</v>
      </c>
      <c r="AP141">
        <f t="shared" si="148"/>
        <v>0</v>
      </c>
      <c r="AQ141">
        <f t="shared" si="148"/>
        <v>7.1686864647308224E-2</v>
      </c>
      <c r="AR141">
        <f t="shared" si="148"/>
        <v>4.3250934754150523E-3</v>
      </c>
      <c r="AS141">
        <f t="shared" si="149"/>
        <v>9.3153491609003755E-2</v>
      </c>
      <c r="AU141">
        <f t="shared" si="150"/>
        <v>0.65683213985089262</v>
      </c>
      <c r="AV141">
        <f t="shared" si="150"/>
        <v>0</v>
      </c>
      <c r="AW141">
        <f t="shared" si="150"/>
        <v>2.7469092390817349</v>
      </c>
      <c r="AX141">
        <f t="shared" si="150"/>
        <v>0.16572965334669351</v>
      </c>
      <c r="AY141">
        <f t="shared" si="151"/>
        <v>3.5694710322793211</v>
      </c>
    </row>
    <row r="142" spans="1:51" ht="15" x14ac:dyDescent="0.25">
      <c r="A142" s="1"/>
      <c r="B142" s="2"/>
      <c r="C142" s="1" t="s">
        <v>12</v>
      </c>
      <c r="D142" s="285">
        <v>0</v>
      </c>
      <c r="E142" s="286">
        <v>6.0469334300000002</v>
      </c>
      <c r="F142" s="286">
        <v>123.17674611</v>
      </c>
      <c r="G142" s="286">
        <v>3.4736843799999999</v>
      </c>
      <c r="H142" s="287">
        <v>18.900544279999998</v>
      </c>
      <c r="J142">
        <v>-1.5613202036099999E-5</v>
      </c>
      <c r="K142">
        <v>2.4036797743580003</v>
      </c>
      <c r="L142">
        <v>5.9536632966499923</v>
      </c>
      <c r="M142">
        <v>3.333351149836</v>
      </c>
      <c r="N142">
        <v>0.22494520368259785</v>
      </c>
      <c r="O142" s="20"/>
      <c r="P142" s="20"/>
      <c r="Q142" s="147">
        <v>0.77459067038164364</v>
      </c>
      <c r="R142" s="197">
        <v>1.2861473139312608E-2</v>
      </c>
      <c r="S142" s="197">
        <v>0.49282807343291918</v>
      </c>
      <c r="T142" s="197">
        <v>0.11808671869809276</v>
      </c>
      <c r="U142" s="197">
        <v>0.41263016220713056</v>
      </c>
      <c r="V142" s="20">
        <f t="shared" si="141"/>
        <v>0.60241831134760881</v>
      </c>
      <c r="W142" s="20">
        <f t="shared" si="141"/>
        <v>12.271331948312739</v>
      </c>
      <c r="X142" s="20">
        <f t="shared" si="141"/>
        <v>0.34606153723676192</v>
      </c>
      <c r="Y142" s="20">
        <f t="shared" si="141"/>
        <v>1.8829434953293844</v>
      </c>
      <c r="Z142" s="20">
        <f t="shared" si="142"/>
        <v>0.23268219214464816</v>
      </c>
      <c r="AA142" s="20">
        <f t="shared" si="142"/>
        <v>4.956245581839485</v>
      </c>
      <c r="AB142" s="20">
        <f t="shared" si="142"/>
        <v>0.14201933470515649</v>
      </c>
      <c r="AC142" s="20">
        <f t="shared" si="142"/>
        <v>0.65451430116854958</v>
      </c>
      <c r="AD142" s="20">
        <f t="shared" si="143"/>
        <v>5.9854614098578391</v>
      </c>
      <c r="AE142" s="20">
        <f t="shared" si="144"/>
        <v>23.083565355719582</v>
      </c>
      <c r="AF142" s="20">
        <f t="shared" si="145"/>
        <v>470.21494482287733</v>
      </c>
      <c r="AG142" s="20">
        <f t="shared" si="145"/>
        <v>13.260443717316107</v>
      </c>
      <c r="AH142" s="20">
        <f t="shared" si="145"/>
        <v>72.150942985666674</v>
      </c>
      <c r="AI142" s="20">
        <f t="shared" si="146"/>
        <v>8.915955056989997</v>
      </c>
      <c r="AJ142" s="20">
        <f t="shared" si="146"/>
        <v>189.91424505582853</v>
      </c>
      <c r="AK142" s="20">
        <f t="shared" si="146"/>
        <v>5.4419205603307663</v>
      </c>
      <c r="AL142" s="20">
        <f t="shared" si="146"/>
        <v>25.079788184857133</v>
      </c>
      <c r="AM142" s="20">
        <f t="shared" si="147"/>
        <v>229.35190885800642</v>
      </c>
      <c r="AO142">
        <f t="shared" si="148"/>
        <v>0.23582340173860092</v>
      </c>
      <c r="AP142">
        <f t="shared" si="148"/>
        <v>5.0231548971943187</v>
      </c>
      <c r="AQ142">
        <f t="shared" si="148"/>
        <v>0.14393659572367612</v>
      </c>
      <c r="AR142">
        <f t="shared" si="148"/>
        <v>0.66335024423432509</v>
      </c>
      <c r="AS142">
        <f t="shared" si="149"/>
        <v>6.0662651388909197</v>
      </c>
      <c r="AU142">
        <f t="shared" si="150"/>
        <v>9.0363204502593621</v>
      </c>
      <c r="AV142">
        <f t="shared" si="150"/>
        <v>192.47808736408223</v>
      </c>
      <c r="AW142">
        <f t="shared" si="150"/>
        <v>5.5153864878952321</v>
      </c>
      <c r="AX142">
        <f t="shared" si="150"/>
        <v>25.418365325352706</v>
      </c>
      <c r="AY142">
        <f t="shared" si="151"/>
        <v>232.44815962758952</v>
      </c>
    </row>
    <row r="143" spans="1:51" ht="15" x14ac:dyDescent="0.25">
      <c r="A143" s="1"/>
      <c r="B143" s="2"/>
      <c r="C143" s="1" t="s">
        <v>13</v>
      </c>
      <c r="D143" s="285">
        <v>0</v>
      </c>
      <c r="E143" s="286">
        <v>0</v>
      </c>
      <c r="F143" s="286">
        <v>0</v>
      </c>
      <c r="G143" s="286">
        <v>0</v>
      </c>
      <c r="H143" s="287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20"/>
      <c r="P143" s="20"/>
      <c r="Q143" s="147"/>
      <c r="R143" s="197">
        <v>1.2861473139312608E-2</v>
      </c>
      <c r="S143" s="197">
        <v>0.49282807343291918</v>
      </c>
      <c r="T143" s="197">
        <v>0.11808671869809276</v>
      </c>
      <c r="U143" s="197">
        <v>0.41263016220713056</v>
      </c>
      <c r="V143" s="20">
        <f t="shared" si="141"/>
        <v>0</v>
      </c>
      <c r="W143" s="20">
        <f t="shared" si="141"/>
        <v>0</v>
      </c>
      <c r="X143" s="20">
        <f t="shared" si="141"/>
        <v>0</v>
      </c>
      <c r="Y143" s="20">
        <f t="shared" si="141"/>
        <v>0</v>
      </c>
      <c r="Z143" s="20">
        <f t="shared" si="142"/>
        <v>0</v>
      </c>
      <c r="AA143" s="20">
        <f t="shared" si="142"/>
        <v>0</v>
      </c>
      <c r="AB143" s="20">
        <f t="shared" si="142"/>
        <v>0</v>
      </c>
      <c r="AC143" s="20">
        <f t="shared" si="142"/>
        <v>0</v>
      </c>
      <c r="AD143" s="20">
        <f t="shared" si="143"/>
        <v>0</v>
      </c>
      <c r="AE143" s="20">
        <f t="shared" si="144"/>
        <v>0</v>
      </c>
      <c r="AF143" s="20">
        <f t="shared" si="145"/>
        <v>0</v>
      </c>
      <c r="AG143" s="20">
        <f t="shared" si="145"/>
        <v>0</v>
      </c>
      <c r="AH143" s="20">
        <f t="shared" si="145"/>
        <v>0</v>
      </c>
      <c r="AI143" s="20">
        <f t="shared" si="146"/>
        <v>0</v>
      </c>
      <c r="AJ143" s="20">
        <f t="shared" si="146"/>
        <v>0</v>
      </c>
      <c r="AK143" s="20">
        <f t="shared" si="146"/>
        <v>0</v>
      </c>
      <c r="AL143" s="20">
        <f t="shared" si="146"/>
        <v>0</v>
      </c>
      <c r="AM143" s="20">
        <f t="shared" si="147"/>
        <v>0</v>
      </c>
      <c r="AO143">
        <f t="shared" si="148"/>
        <v>0</v>
      </c>
      <c r="AP143">
        <f t="shared" si="148"/>
        <v>0</v>
      </c>
      <c r="AQ143">
        <f t="shared" si="148"/>
        <v>0</v>
      </c>
      <c r="AR143">
        <f t="shared" si="148"/>
        <v>0</v>
      </c>
      <c r="AS143">
        <f t="shared" si="149"/>
        <v>0</v>
      </c>
      <c r="AU143">
        <f t="shared" si="150"/>
        <v>0</v>
      </c>
      <c r="AV143">
        <f t="shared" si="150"/>
        <v>0</v>
      </c>
      <c r="AW143">
        <f t="shared" si="150"/>
        <v>0</v>
      </c>
      <c r="AX143">
        <f t="shared" si="150"/>
        <v>0</v>
      </c>
      <c r="AY143">
        <f t="shared" si="151"/>
        <v>0</v>
      </c>
    </row>
    <row r="144" spans="1:51" ht="15" x14ac:dyDescent="0.25">
      <c r="A144" s="7"/>
      <c r="B144" s="8" t="s">
        <v>14</v>
      </c>
      <c r="C144" s="7"/>
      <c r="D144" s="288">
        <f>SUM(D138:D143)</f>
        <v>2.8999999999999998E-7</v>
      </c>
      <c r="E144" s="289">
        <f>SUM(E138:E143)</f>
        <v>9.1087167300000011</v>
      </c>
      <c r="F144" s="289">
        <f>SUM(F138:F143)</f>
        <v>133.60649078</v>
      </c>
      <c r="G144" s="289">
        <f>SUM(G138:G143)</f>
        <v>10.16394541</v>
      </c>
      <c r="H144" s="290">
        <f>SUM(H138:H143)</f>
        <v>26.979980739999998</v>
      </c>
      <c r="J144">
        <v>-1.53232020361E-5</v>
      </c>
      <c r="K144">
        <v>1.8518429336169291</v>
      </c>
      <c r="L144">
        <v>11.560742726339791</v>
      </c>
      <c r="M144">
        <v>8.5293255028540003</v>
      </c>
      <c r="N144">
        <v>-1.3202062142619231</v>
      </c>
      <c r="O144" s="20"/>
      <c r="P144" s="20"/>
      <c r="Q144" s="147"/>
      <c r="R144" s="197"/>
      <c r="S144" s="197"/>
      <c r="T144" s="197"/>
      <c r="U144" s="197"/>
    </row>
    <row r="145" spans="1:51" ht="15" x14ac:dyDescent="0.25">
      <c r="A145" s="10"/>
      <c r="B145" s="9" t="s">
        <v>15</v>
      </c>
      <c r="C145" s="5"/>
      <c r="D145" s="291"/>
      <c r="E145" s="292"/>
      <c r="F145" s="292"/>
      <c r="G145" s="292"/>
      <c r="H145" s="293">
        <f>SUM(D144:H144)</f>
        <v>179.85913395</v>
      </c>
      <c r="N145">
        <v>20.621689625346761</v>
      </c>
      <c r="O145" s="20"/>
      <c r="P145" s="20"/>
      <c r="Q145" s="147"/>
      <c r="R145" s="197"/>
      <c r="S145" s="197"/>
      <c r="T145" s="197"/>
      <c r="U145" s="197"/>
    </row>
    <row r="146" spans="1:51" ht="15.75" thickBot="1" x14ac:dyDescent="0.3">
      <c r="A146" s="1"/>
      <c r="B146" s="2"/>
      <c r="C146" s="1"/>
      <c r="D146" s="294"/>
      <c r="E146" s="295"/>
      <c r="F146" s="295"/>
      <c r="G146" s="295"/>
      <c r="H146" s="296"/>
      <c r="O146" s="20"/>
      <c r="P146" s="20"/>
      <c r="Q146" s="147"/>
      <c r="R146" s="197"/>
      <c r="S146" s="197"/>
      <c r="T146" s="197"/>
      <c r="U146" s="197"/>
    </row>
    <row r="147" spans="1:51" ht="15" x14ac:dyDescent="0.25">
      <c r="A147" s="1">
        <v>16</v>
      </c>
      <c r="B147" s="2" t="s">
        <v>30</v>
      </c>
      <c r="C147" s="1" t="s">
        <v>8</v>
      </c>
      <c r="D147" s="285">
        <v>2.2000000000000001E-7</v>
      </c>
      <c r="E147" s="286">
        <v>5.45373777</v>
      </c>
      <c r="F147" s="286">
        <v>4.9587283800000002</v>
      </c>
      <c r="G147" s="286">
        <v>7.9732721599999996</v>
      </c>
      <c r="H147" s="287">
        <v>6.0085408899999999</v>
      </c>
      <c r="J147">
        <v>2.2000000000000001E-7</v>
      </c>
      <c r="K147">
        <v>2.6633107807999998</v>
      </c>
      <c r="L147">
        <v>-1.0630718480597299</v>
      </c>
      <c r="M147">
        <v>1.4502093472370987</v>
      </c>
      <c r="N147">
        <v>-3.6833894152023179</v>
      </c>
      <c r="O147" s="20"/>
      <c r="P147" s="20"/>
      <c r="Q147" s="147">
        <v>0.67899611265901816</v>
      </c>
      <c r="R147" s="197">
        <v>5.6499999999999995E-2</v>
      </c>
      <c r="S147" s="197">
        <v>1.25</v>
      </c>
      <c r="T147" s="197">
        <v>0.50650413159351704</v>
      </c>
      <c r="U147" s="197">
        <v>0.77519673403474398</v>
      </c>
      <c r="V147" s="20">
        <f t="shared" ref="V147:Y152" si="152">E147*$Q147*$R147*10</f>
        <v>2.0922327110897889</v>
      </c>
      <c r="W147" s="20">
        <f t="shared" si="152"/>
        <v>1.9023308709698519</v>
      </c>
      <c r="X147" s="20">
        <f t="shared" si="152"/>
        <v>3.0588087530239898</v>
      </c>
      <c r="Y147" s="20">
        <f t="shared" si="152"/>
        <v>2.3050733874904576</v>
      </c>
      <c r="Z147" s="20">
        <f t="shared" ref="Z147:AC152" si="153">V147*(EXP(1.01-0.34*LN(Z$8))*(1-$T147)+(1*$T147))</f>
        <v>1.3736755200094166</v>
      </c>
      <c r="AA147" s="20">
        <f t="shared" si="153"/>
        <v>1.2677726899993154</v>
      </c>
      <c r="AB147" s="20">
        <f t="shared" si="153"/>
        <v>2.0496101687061214</v>
      </c>
      <c r="AC147" s="20">
        <f t="shared" si="153"/>
        <v>1.4635712250692188</v>
      </c>
      <c r="AD147" s="20">
        <f t="shared" ref="AD147:AD152" si="154">SUM(Z147:AC147)</f>
        <v>6.1546296037840715</v>
      </c>
      <c r="AE147" s="20">
        <f t="shared" ref="AE147:AE152" si="155">E147*$Q147*$S147*10</f>
        <v>46.288334316145779</v>
      </c>
      <c r="AF147" s="20">
        <f t="shared" ref="AF147:AH152" si="156">F147*$Q147*$S147*10</f>
        <v>42.086966171899377</v>
      </c>
      <c r="AG147" s="20">
        <f t="shared" si="156"/>
        <v>67.672760022654643</v>
      </c>
      <c r="AH147" s="20">
        <f t="shared" si="156"/>
        <v>50.997198838284461</v>
      </c>
      <c r="AI147" s="20">
        <f t="shared" ref="AI147:AL152" si="157">AE147*(EXP(1.01-0.34*LN(AI$8))*(1-$T147)+(1*$T147))</f>
        <v>30.391051327641968</v>
      </c>
      <c r="AJ147" s="20">
        <f t="shared" si="157"/>
        <v>28.048068362816711</v>
      </c>
      <c r="AK147" s="20">
        <f t="shared" si="157"/>
        <v>45.345357714737197</v>
      </c>
      <c r="AL147" s="20">
        <f t="shared" si="157"/>
        <v>32.379894359938469</v>
      </c>
      <c r="AM147" s="20">
        <f t="shared" ref="AM147:AM152" si="158">SUM(AI147:AL147)</f>
        <v>136.16437176513435</v>
      </c>
      <c r="AO147">
        <f t="shared" ref="AO147:AR152" si="159">Z147*AO$10</f>
        <v>1.3922201395295439</v>
      </c>
      <c r="AP147">
        <f t="shared" si="159"/>
        <v>1.2848876213143061</v>
      </c>
      <c r="AQ147">
        <f t="shared" si="159"/>
        <v>2.0772799059836542</v>
      </c>
      <c r="AR147">
        <f t="shared" si="159"/>
        <v>1.4833294366076533</v>
      </c>
      <c r="AS147">
        <f t="shared" ref="AS147:AS152" si="160">SUM(AO147:AR147)</f>
        <v>6.2377171034351582</v>
      </c>
      <c r="AU147">
        <f t="shared" ref="AU147:AX152" si="161">AI147*AU$10</f>
        <v>30.801330520565138</v>
      </c>
      <c r="AV147">
        <f t="shared" si="161"/>
        <v>28.426717285714737</v>
      </c>
      <c r="AW147">
        <f t="shared" si="161"/>
        <v>45.957520043886156</v>
      </c>
      <c r="AX147">
        <f t="shared" si="161"/>
        <v>32.817022933797638</v>
      </c>
      <c r="AY147">
        <f t="shared" ref="AY147:AY152" si="162">SUM(AU147:AX147)</f>
        <v>138.00259078396365</v>
      </c>
    </row>
    <row r="148" spans="1:51" ht="15" x14ac:dyDescent="0.25">
      <c r="A148" s="1"/>
      <c r="B148" s="2"/>
      <c r="C148" s="1" t="s">
        <v>9</v>
      </c>
      <c r="D148" s="285">
        <v>0</v>
      </c>
      <c r="E148" s="286">
        <v>41.935854540000001</v>
      </c>
      <c r="F148" s="286">
        <v>14.96406541</v>
      </c>
      <c r="G148" s="286">
        <v>2.8986047899999998</v>
      </c>
      <c r="H148" s="287">
        <v>126.15924793000001</v>
      </c>
      <c r="J148">
        <v>0</v>
      </c>
      <c r="K148">
        <v>4.5738231290820011</v>
      </c>
      <c r="L148">
        <v>-6.2654238883294013</v>
      </c>
      <c r="M148">
        <v>0.97063325629679964</v>
      </c>
      <c r="N148">
        <v>-5.1351474589921651</v>
      </c>
      <c r="O148" s="20"/>
      <c r="P148" s="20"/>
      <c r="Q148" s="147">
        <v>0.68299222531803649</v>
      </c>
      <c r="R148" s="197">
        <v>5.6499999999999995E-2</v>
      </c>
      <c r="S148" s="197">
        <v>1.25</v>
      </c>
      <c r="T148" s="197">
        <v>0.50650413159351704</v>
      </c>
      <c r="U148" s="197">
        <v>0.77519673403474398</v>
      </c>
      <c r="V148" s="20">
        <f t="shared" si="152"/>
        <v>16.182652376281766</v>
      </c>
      <c r="W148" s="20">
        <f t="shared" si="152"/>
        <v>5.7744922888120129</v>
      </c>
      <c r="X148" s="20">
        <f t="shared" si="152"/>
        <v>1.118544362749385</v>
      </c>
      <c r="Y148" s="20">
        <f t="shared" si="152"/>
        <v>48.683668800810729</v>
      </c>
      <c r="Z148" s="20">
        <f t="shared" si="153"/>
        <v>10.62487614321908</v>
      </c>
      <c r="AA148" s="20">
        <f t="shared" si="153"/>
        <v>3.8483019616010465</v>
      </c>
      <c r="AB148" s="20">
        <f t="shared" si="153"/>
        <v>0.74950089565866607</v>
      </c>
      <c r="AC148" s="20">
        <f t="shared" si="153"/>
        <v>30.910953713816031</v>
      </c>
      <c r="AD148" s="20">
        <f t="shared" si="154"/>
        <v>46.133632714294826</v>
      </c>
      <c r="AE148" s="20">
        <f t="shared" si="155"/>
        <v>358.02328266110101</v>
      </c>
      <c r="AF148" s="20">
        <f t="shared" si="156"/>
        <v>127.75425417725694</v>
      </c>
      <c r="AG148" s="20">
        <f t="shared" si="156"/>
        <v>24.746556697995246</v>
      </c>
      <c r="AH148" s="20">
        <f t="shared" si="156"/>
        <v>1077.0723186020075</v>
      </c>
      <c r="AI148" s="20">
        <f t="shared" si="157"/>
        <v>235.0636314871478</v>
      </c>
      <c r="AJ148" s="20">
        <f t="shared" si="157"/>
        <v>85.139423929226709</v>
      </c>
      <c r="AK148" s="20">
        <f t="shared" si="157"/>
        <v>16.581878222536862</v>
      </c>
      <c r="AL148" s="20">
        <f t="shared" si="157"/>
        <v>683.87065738531055</v>
      </c>
      <c r="AM148" s="20">
        <f t="shared" si="158"/>
        <v>1020.655591024222</v>
      </c>
      <c r="AO148">
        <f t="shared" si="159"/>
        <v>10.768311971152539</v>
      </c>
      <c r="AP148">
        <f t="shared" si="159"/>
        <v>3.9002540380826609</v>
      </c>
      <c r="AQ148">
        <f t="shared" si="159"/>
        <v>0.75961915775005806</v>
      </c>
      <c r="AR148">
        <f t="shared" si="159"/>
        <v>31.328251588952551</v>
      </c>
      <c r="AS148">
        <f t="shared" si="160"/>
        <v>46.756436755937806</v>
      </c>
      <c r="AU148">
        <f t="shared" si="161"/>
        <v>238.23699051222431</v>
      </c>
      <c r="AV148">
        <f t="shared" si="161"/>
        <v>86.288806152271277</v>
      </c>
      <c r="AW148">
        <f t="shared" si="161"/>
        <v>16.805733578541112</v>
      </c>
      <c r="AX148">
        <f t="shared" si="161"/>
        <v>693.10291126001232</v>
      </c>
      <c r="AY148">
        <f t="shared" si="162"/>
        <v>1034.4344415030491</v>
      </c>
    </row>
    <row r="149" spans="1:51" ht="15" x14ac:dyDescent="0.25">
      <c r="A149" s="1"/>
      <c r="B149" s="2"/>
      <c r="C149" s="1" t="s">
        <v>10</v>
      </c>
      <c r="D149" s="285">
        <v>0</v>
      </c>
      <c r="E149" s="286">
        <v>5.2743174799999997</v>
      </c>
      <c r="F149" s="286">
        <v>1.365359E-2</v>
      </c>
      <c r="G149" s="286">
        <v>4.8973834099999998</v>
      </c>
      <c r="H149" s="287">
        <v>5.7491299800000002</v>
      </c>
      <c r="J149">
        <v>0</v>
      </c>
      <c r="K149">
        <v>-0.8971836360248</v>
      </c>
      <c r="L149">
        <v>-1.1367706362200001E-2</v>
      </c>
      <c r="M149">
        <v>0.49997130005349977</v>
      </c>
      <c r="N149">
        <v>-1.6893558908485096</v>
      </c>
      <c r="O149" s="20"/>
      <c r="P149" s="20"/>
      <c r="Q149" s="147">
        <v>0.68698833797705472</v>
      </c>
      <c r="R149" s="197">
        <v>5.6499999999999995E-2</v>
      </c>
      <c r="S149" s="197">
        <v>1.25</v>
      </c>
      <c r="T149" s="197">
        <v>0.50650413159351704</v>
      </c>
      <c r="U149" s="197">
        <v>0.77519673403474398</v>
      </c>
      <c r="V149" s="20">
        <f t="shared" si="152"/>
        <v>2.047217948744918</v>
      </c>
      <c r="W149" s="20">
        <f t="shared" si="152"/>
        <v>5.2996192623588761E-3</v>
      </c>
      <c r="X149" s="20">
        <f t="shared" si="152"/>
        <v>1.9009115884388497</v>
      </c>
      <c r="Y149" s="20">
        <f t="shared" si="152"/>
        <v>2.2315156661224558</v>
      </c>
      <c r="Z149" s="20">
        <f t="shared" si="153"/>
        <v>1.3441206446150911</v>
      </c>
      <c r="AA149" s="20">
        <f t="shared" si="153"/>
        <v>3.5318317495355296E-3</v>
      </c>
      <c r="AB149" s="20">
        <f t="shared" si="153"/>
        <v>1.273740215900649</v>
      </c>
      <c r="AC149" s="20">
        <f t="shared" si="153"/>
        <v>1.4168668706828826</v>
      </c>
      <c r="AD149" s="20">
        <f t="shared" si="154"/>
        <v>4.0382595629481584</v>
      </c>
      <c r="AE149" s="20">
        <f t="shared" si="155"/>
        <v>45.292432494356589</v>
      </c>
      <c r="AF149" s="20">
        <f t="shared" si="156"/>
        <v>0.11724821376900167</v>
      </c>
      <c r="AG149" s="20">
        <f t="shared" si="156"/>
        <v>42.055566115903758</v>
      </c>
      <c r="AH149" s="20">
        <f t="shared" si="156"/>
        <v>49.36981562217823</v>
      </c>
      <c r="AI149" s="20">
        <f t="shared" si="157"/>
        <v>29.737182402988736</v>
      </c>
      <c r="AJ149" s="20">
        <f t="shared" si="157"/>
        <v>7.8137870564945339E-2</v>
      </c>
      <c r="AK149" s="20">
        <f t="shared" si="157"/>
        <v>28.180093272138258</v>
      </c>
      <c r="AL149" s="20">
        <f t="shared" si="157"/>
        <v>31.346612183249619</v>
      </c>
      <c r="AM149" s="20">
        <f t="shared" si="158"/>
        <v>89.342025728941564</v>
      </c>
      <c r="AO149">
        <f t="shared" si="159"/>
        <v>1.3622662733173949</v>
      </c>
      <c r="AP149">
        <f t="shared" si="159"/>
        <v>3.5795114781542593E-3</v>
      </c>
      <c r="AQ149">
        <f t="shared" si="159"/>
        <v>1.2909357088153079</v>
      </c>
      <c r="AR149">
        <f t="shared" si="159"/>
        <v>1.4359945734371016</v>
      </c>
      <c r="AS149">
        <f t="shared" si="160"/>
        <v>4.0927760670479589</v>
      </c>
      <c r="AU149">
        <f t="shared" si="161"/>
        <v>30.138634365429088</v>
      </c>
      <c r="AV149">
        <f t="shared" si="161"/>
        <v>7.919273181757211E-2</v>
      </c>
      <c r="AW149">
        <f t="shared" si="161"/>
        <v>28.560524531312126</v>
      </c>
      <c r="AX149">
        <f t="shared" si="161"/>
        <v>31.769791447723492</v>
      </c>
      <c r="AY149">
        <f t="shared" si="162"/>
        <v>90.548143076282273</v>
      </c>
    </row>
    <row r="150" spans="1:51" ht="15" x14ac:dyDescent="0.25">
      <c r="A150" s="1"/>
      <c r="B150" s="2"/>
      <c r="C150" s="1" t="s">
        <v>11</v>
      </c>
      <c r="D150" s="285">
        <v>0</v>
      </c>
      <c r="E150" s="286">
        <v>66.577786029999999</v>
      </c>
      <c r="F150" s="286">
        <v>0</v>
      </c>
      <c r="G150" s="286">
        <v>6.3816839099999996</v>
      </c>
      <c r="H150" s="287">
        <v>12.503161629999999</v>
      </c>
      <c r="J150">
        <v>0</v>
      </c>
      <c r="K150">
        <v>5.5479843179559936</v>
      </c>
      <c r="L150">
        <v>0</v>
      </c>
      <c r="M150">
        <v>-1.6756596079230004</v>
      </c>
      <c r="N150">
        <v>-1.0813139623608574</v>
      </c>
      <c r="O150" s="20"/>
      <c r="P150" s="20"/>
      <c r="Q150" s="147">
        <v>0.69098445063607283</v>
      </c>
      <c r="R150" s="197">
        <v>5.6499999999999995E-2</v>
      </c>
      <c r="S150" s="197">
        <v>1.25</v>
      </c>
      <c r="T150" s="197">
        <v>0.50650413159351704</v>
      </c>
      <c r="U150" s="197">
        <v>0.77519673403474398</v>
      </c>
      <c r="V150" s="20">
        <f t="shared" si="152"/>
        <v>25.992381421045636</v>
      </c>
      <c r="W150" s="20">
        <f t="shared" si="152"/>
        <v>0</v>
      </c>
      <c r="X150" s="20">
        <f t="shared" si="152"/>
        <v>2.4914490581366939</v>
      </c>
      <c r="Y150" s="20">
        <f t="shared" si="152"/>
        <v>4.8813120026175589</v>
      </c>
      <c r="Z150" s="20">
        <f t="shared" si="153"/>
        <v>17.065548146525305</v>
      </c>
      <c r="AA150" s="20">
        <f t="shared" si="153"/>
        <v>0</v>
      </c>
      <c r="AB150" s="20">
        <f t="shared" si="153"/>
        <v>1.6694405360655142</v>
      </c>
      <c r="AC150" s="20">
        <f t="shared" si="153"/>
        <v>3.0993146796917923</v>
      </c>
      <c r="AD150" s="20">
        <f t="shared" si="154"/>
        <v>21.834303362282611</v>
      </c>
      <c r="AE150" s="20">
        <f t="shared" si="155"/>
        <v>575.0526863063194</v>
      </c>
      <c r="AF150" s="20">
        <f t="shared" si="156"/>
        <v>0</v>
      </c>
      <c r="AG150" s="20">
        <f t="shared" si="156"/>
        <v>55.120554383555188</v>
      </c>
      <c r="AH150" s="20">
        <f t="shared" si="156"/>
        <v>107.99362837649468</v>
      </c>
      <c r="AI150" s="20">
        <f t="shared" si="157"/>
        <v>377.55637492312627</v>
      </c>
      <c r="AJ150" s="20">
        <f t="shared" si="157"/>
        <v>0</v>
      </c>
      <c r="AK150" s="20">
        <f t="shared" si="157"/>
        <v>36.934525134192796</v>
      </c>
      <c r="AL150" s="20">
        <f t="shared" si="157"/>
        <v>68.568908842738779</v>
      </c>
      <c r="AM150" s="20">
        <f t="shared" si="158"/>
        <v>483.05980890005787</v>
      </c>
      <c r="AO150">
        <f t="shared" si="159"/>
        <v>17.295933046503396</v>
      </c>
      <c r="AP150">
        <f t="shared" si="159"/>
        <v>0</v>
      </c>
      <c r="AQ150">
        <f t="shared" si="159"/>
        <v>1.6919779833023987</v>
      </c>
      <c r="AR150">
        <f t="shared" si="159"/>
        <v>3.1411554278676319</v>
      </c>
      <c r="AS150">
        <f t="shared" si="160"/>
        <v>22.129066457673424</v>
      </c>
      <c r="AU150">
        <f t="shared" si="161"/>
        <v>382.65338598458851</v>
      </c>
      <c r="AV150">
        <f t="shared" si="161"/>
        <v>0</v>
      </c>
      <c r="AW150">
        <f t="shared" si="161"/>
        <v>37.4331412235044</v>
      </c>
      <c r="AX150">
        <f t="shared" si="161"/>
        <v>69.494589112115762</v>
      </c>
      <c r="AY150">
        <f t="shared" si="162"/>
        <v>489.58111632020865</v>
      </c>
    </row>
    <row r="151" spans="1:51" ht="15" x14ac:dyDescent="0.25">
      <c r="A151" s="1"/>
      <c r="B151" s="2"/>
      <c r="C151" s="1" t="s">
        <v>12</v>
      </c>
      <c r="D151" s="285">
        <v>0</v>
      </c>
      <c r="E151" s="286">
        <v>4.1764414299999997</v>
      </c>
      <c r="F151" s="286">
        <v>4.6641048300000003</v>
      </c>
      <c r="G151" s="286">
        <v>1.17776418</v>
      </c>
      <c r="H151" s="287">
        <v>14.44994544</v>
      </c>
      <c r="J151">
        <v>0</v>
      </c>
      <c r="K151">
        <v>3.3621401326199996</v>
      </c>
      <c r="L151">
        <v>-5.8425427582538996</v>
      </c>
      <c r="M151">
        <v>-0.17859052863429992</v>
      </c>
      <c r="N151">
        <v>-0.16637524561381589</v>
      </c>
      <c r="O151" s="20"/>
      <c r="P151" s="20"/>
      <c r="Q151" s="147">
        <v>0.69098445063607283</v>
      </c>
      <c r="R151" s="197">
        <v>5.6499999999999995E-2</v>
      </c>
      <c r="S151" s="197">
        <v>1.25</v>
      </c>
      <c r="T151" s="197">
        <v>0.50650413159351704</v>
      </c>
      <c r="U151" s="197">
        <v>0.77519673403474398</v>
      </c>
      <c r="V151" s="20">
        <f t="shared" si="152"/>
        <v>1.6305086892240903</v>
      </c>
      <c r="W151" s="20">
        <f t="shared" si="152"/>
        <v>1.8208955112216314</v>
      </c>
      <c r="X151" s="20">
        <f t="shared" si="152"/>
        <v>0.45980645521632174</v>
      </c>
      <c r="Y151" s="20">
        <f t="shared" si="152"/>
        <v>5.6413485005424882</v>
      </c>
      <c r="Z151" s="20">
        <f t="shared" si="153"/>
        <v>1.0705261702858699</v>
      </c>
      <c r="AA151" s="20">
        <f t="shared" si="153"/>
        <v>1.2135016235594227</v>
      </c>
      <c r="AB151" s="20">
        <f t="shared" si="153"/>
        <v>0.30810163770990673</v>
      </c>
      <c r="AC151" s="20">
        <f t="shared" si="153"/>
        <v>3.5818882734012516</v>
      </c>
      <c r="AD151" s="20">
        <f t="shared" si="154"/>
        <v>6.1740177049564515</v>
      </c>
      <c r="AE151" s="20">
        <f t="shared" si="155"/>
        <v>36.073201089028551</v>
      </c>
      <c r="AF151" s="20">
        <f t="shared" si="156"/>
        <v>40.285298920832552</v>
      </c>
      <c r="AG151" s="20">
        <f t="shared" si="156"/>
        <v>10.172709186201809</v>
      </c>
      <c r="AH151" s="20">
        <f t="shared" si="156"/>
        <v>124.80859514474531</v>
      </c>
      <c r="AI151" s="20">
        <f t="shared" si="157"/>
        <v>23.684207307209515</v>
      </c>
      <c r="AJ151" s="20">
        <f t="shared" si="157"/>
        <v>26.847381052199619</v>
      </c>
      <c r="AK151" s="20">
        <f t="shared" si="157"/>
        <v>6.8164079139359899</v>
      </c>
      <c r="AL151" s="20">
        <f t="shared" si="157"/>
        <v>79.245315783213528</v>
      </c>
      <c r="AM151" s="20">
        <f t="shared" si="158"/>
        <v>136.59331205655866</v>
      </c>
      <c r="AO151">
        <f t="shared" si="159"/>
        <v>1.0849782735847293</v>
      </c>
      <c r="AP151">
        <f t="shared" si="159"/>
        <v>1.2298838954774749</v>
      </c>
      <c r="AQ151">
        <f t="shared" si="159"/>
        <v>0.31226100981899046</v>
      </c>
      <c r="AR151">
        <f t="shared" si="159"/>
        <v>3.6302437650921688</v>
      </c>
      <c r="AS151">
        <f t="shared" si="160"/>
        <v>6.2573669439733628</v>
      </c>
      <c r="AU151">
        <f t="shared" si="161"/>
        <v>24.003944105856846</v>
      </c>
      <c r="AV151">
        <f t="shared" si="161"/>
        <v>27.209820696404314</v>
      </c>
      <c r="AW151">
        <f t="shared" si="161"/>
        <v>6.9084294207741266</v>
      </c>
      <c r="AX151">
        <f t="shared" si="161"/>
        <v>80.315127546286917</v>
      </c>
      <c r="AY151">
        <f t="shared" si="162"/>
        <v>138.43732176932221</v>
      </c>
    </row>
    <row r="152" spans="1:51" ht="15" x14ac:dyDescent="0.25">
      <c r="A152" s="1"/>
      <c r="B152" s="2"/>
      <c r="C152" s="1" t="s">
        <v>13</v>
      </c>
      <c r="D152" s="285">
        <v>0</v>
      </c>
      <c r="E152" s="286">
        <v>0</v>
      </c>
      <c r="F152" s="286">
        <v>0</v>
      </c>
      <c r="G152" s="286">
        <v>0</v>
      </c>
      <c r="H152" s="287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20"/>
      <c r="P152" s="20"/>
      <c r="Q152" s="147"/>
      <c r="R152" s="197">
        <v>5.6499999999999995E-2</v>
      </c>
      <c r="S152" s="197">
        <v>1.25</v>
      </c>
      <c r="T152" s="197">
        <v>0.50650413159351704</v>
      </c>
      <c r="U152" s="197">
        <v>0.77519673403474398</v>
      </c>
      <c r="V152" s="20">
        <f t="shared" si="152"/>
        <v>0</v>
      </c>
      <c r="W152" s="20">
        <f t="shared" si="152"/>
        <v>0</v>
      </c>
      <c r="X152" s="20">
        <f t="shared" si="152"/>
        <v>0</v>
      </c>
      <c r="Y152" s="20">
        <f t="shared" si="152"/>
        <v>0</v>
      </c>
      <c r="Z152" s="20">
        <f t="shared" si="153"/>
        <v>0</v>
      </c>
      <c r="AA152" s="20">
        <f t="shared" si="153"/>
        <v>0</v>
      </c>
      <c r="AB152" s="20">
        <f t="shared" si="153"/>
        <v>0</v>
      </c>
      <c r="AC152" s="20">
        <f t="shared" si="153"/>
        <v>0</v>
      </c>
      <c r="AD152" s="20">
        <f t="shared" si="154"/>
        <v>0</v>
      </c>
      <c r="AE152" s="20">
        <f t="shared" si="155"/>
        <v>0</v>
      </c>
      <c r="AF152" s="20">
        <f t="shared" si="156"/>
        <v>0</v>
      </c>
      <c r="AG152" s="20">
        <f t="shared" si="156"/>
        <v>0</v>
      </c>
      <c r="AH152" s="20">
        <f t="shared" si="156"/>
        <v>0</v>
      </c>
      <c r="AI152" s="20">
        <f t="shared" si="157"/>
        <v>0</v>
      </c>
      <c r="AJ152" s="20">
        <f t="shared" si="157"/>
        <v>0</v>
      </c>
      <c r="AK152" s="20">
        <f t="shared" si="157"/>
        <v>0</v>
      </c>
      <c r="AL152" s="20">
        <f t="shared" si="157"/>
        <v>0</v>
      </c>
      <c r="AM152" s="20">
        <f t="shared" si="158"/>
        <v>0</v>
      </c>
      <c r="AO152">
        <f t="shared" si="159"/>
        <v>0</v>
      </c>
      <c r="AP152">
        <f t="shared" si="159"/>
        <v>0</v>
      </c>
      <c r="AQ152">
        <f t="shared" si="159"/>
        <v>0</v>
      </c>
      <c r="AR152">
        <f t="shared" si="159"/>
        <v>0</v>
      </c>
      <c r="AS152">
        <f t="shared" si="160"/>
        <v>0</v>
      </c>
      <c r="AU152">
        <f t="shared" si="161"/>
        <v>0</v>
      </c>
      <c r="AV152">
        <f t="shared" si="161"/>
        <v>0</v>
      </c>
      <c r="AW152">
        <f t="shared" si="161"/>
        <v>0</v>
      </c>
      <c r="AX152">
        <f t="shared" si="161"/>
        <v>0</v>
      </c>
      <c r="AY152">
        <f t="shared" si="162"/>
        <v>0</v>
      </c>
    </row>
    <row r="153" spans="1:51" ht="15" x14ac:dyDescent="0.25">
      <c r="A153" s="7"/>
      <c r="B153" s="8" t="s">
        <v>14</v>
      </c>
      <c r="C153" s="7"/>
      <c r="D153" s="288">
        <f>SUM(D147:D152)</f>
        <v>2.2000000000000001E-7</v>
      </c>
      <c r="E153" s="289">
        <f>SUM(E147:E152)</f>
        <v>123.41813724999999</v>
      </c>
      <c r="F153" s="289">
        <f>SUM(F147:F152)</f>
        <v>24.60055221</v>
      </c>
      <c r="G153" s="289">
        <f>SUM(G147:G152)</f>
        <v>23.328708449999997</v>
      </c>
      <c r="H153" s="290">
        <f>SUM(H147:H152)</f>
        <v>164.87002586999998</v>
      </c>
      <c r="J153">
        <v>2.2000000000000001E-7</v>
      </c>
      <c r="K153">
        <v>15.250074724433194</v>
      </c>
      <c r="L153">
        <v>-13.182406201005231</v>
      </c>
      <c r="M153">
        <v>1.0665637670300978</v>
      </c>
      <c r="N153">
        <v>-11.755581973017666</v>
      </c>
      <c r="O153" s="20"/>
      <c r="P153" s="20"/>
      <c r="Q153" s="147"/>
      <c r="R153" s="197"/>
      <c r="S153" s="197"/>
      <c r="T153" s="197"/>
      <c r="U153" s="197"/>
    </row>
    <row r="154" spans="1:51" ht="15" x14ac:dyDescent="0.25">
      <c r="A154" s="10"/>
      <c r="B154" s="9" t="s">
        <v>15</v>
      </c>
      <c r="C154" s="5"/>
      <c r="D154" s="291"/>
      <c r="E154" s="292"/>
      <c r="F154" s="292"/>
      <c r="G154" s="292"/>
      <c r="H154" s="293">
        <f>SUM(D153:H153)</f>
        <v>336.21742399999994</v>
      </c>
      <c r="N154">
        <v>-8.6213494625596034</v>
      </c>
      <c r="O154" s="20"/>
      <c r="P154" s="20"/>
      <c r="Q154" s="147"/>
      <c r="R154" s="197"/>
      <c r="S154" s="197"/>
      <c r="T154" s="197"/>
      <c r="U154" s="197"/>
    </row>
    <row r="155" spans="1:51" ht="15.75" thickBot="1" x14ac:dyDescent="0.3">
      <c r="A155" s="1"/>
      <c r="B155" s="2"/>
      <c r="C155" s="1"/>
      <c r="D155" s="297"/>
      <c r="E155" s="298"/>
      <c r="F155" s="298"/>
      <c r="G155" s="298"/>
      <c r="H155" s="299"/>
      <c r="O155" s="20"/>
      <c r="P155" s="20"/>
      <c r="Q155" s="147"/>
      <c r="R155" s="197"/>
      <c r="S155" s="197"/>
      <c r="T155" s="197"/>
      <c r="U155" s="197"/>
    </row>
    <row r="156" spans="1:51" ht="15" x14ac:dyDescent="0.25">
      <c r="A156" s="1">
        <v>17</v>
      </c>
      <c r="B156" s="2" t="s">
        <v>31</v>
      </c>
      <c r="C156" s="1" t="s">
        <v>8</v>
      </c>
      <c r="D156" s="282">
        <v>0</v>
      </c>
      <c r="E156" s="283">
        <v>0</v>
      </c>
      <c r="F156" s="283">
        <v>0</v>
      </c>
      <c r="G156" s="283">
        <v>0</v>
      </c>
      <c r="H156" s="284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 s="20"/>
      <c r="P156" s="20"/>
      <c r="Q156" s="147"/>
      <c r="R156" s="197"/>
      <c r="S156" s="197"/>
      <c r="T156" s="197"/>
      <c r="U156" s="197"/>
      <c r="V156" s="20">
        <f t="shared" ref="V156:Y161" si="163">IF(K156&gt;0,((E156-K156)*$Q156*$R156*10)+(K156*$O$12*$Q156*$R156*10),(E156*$Q156*$R156*10))</f>
        <v>0</v>
      </c>
      <c r="W156" s="20">
        <f t="shared" si="163"/>
        <v>0</v>
      </c>
      <c r="X156" s="20">
        <f t="shared" si="163"/>
        <v>0</v>
      </c>
      <c r="Y156" s="20">
        <f t="shared" si="163"/>
        <v>0</v>
      </c>
      <c r="Z156" s="20">
        <f t="shared" ref="Z156:AC161" si="164">V156*(EXP(1.01-0.34*LN(Z$8))*(1-$T156)+(1*$T156))</f>
        <v>0</v>
      </c>
      <c r="AA156" s="20">
        <f t="shared" si="164"/>
        <v>0</v>
      </c>
      <c r="AB156" s="20">
        <f t="shared" si="164"/>
        <v>0</v>
      </c>
      <c r="AC156" s="20">
        <f t="shared" si="164"/>
        <v>0</v>
      </c>
      <c r="AD156" s="20">
        <f t="shared" ref="AD156:AD161" si="165">SUM(Z156:AC156)</f>
        <v>0</v>
      </c>
      <c r="AE156" s="20">
        <f t="shared" ref="AE156:AH161" si="166">IF(K156&gt;0,((E156-K156)*$Q156*$S156*10)+(K156*$P$12*$Q156*$S156)*10,(E156*$Q156*$S156*10))</f>
        <v>0</v>
      </c>
      <c r="AF156" s="20">
        <f t="shared" si="166"/>
        <v>0</v>
      </c>
      <c r="AG156" s="20">
        <f t="shared" si="166"/>
        <v>0</v>
      </c>
      <c r="AH156" s="20">
        <f t="shared" si="166"/>
        <v>0</v>
      </c>
      <c r="AI156" s="20">
        <f t="shared" ref="AI156:AL161" si="167">AE156*(EXP(1.01-0.34*LN(AI$8))*(1-$T156)+(1*$T156))</f>
        <v>0</v>
      </c>
      <c r="AJ156" s="20">
        <f t="shared" si="167"/>
        <v>0</v>
      </c>
      <c r="AK156" s="20">
        <f t="shared" si="167"/>
        <v>0</v>
      </c>
      <c r="AL156" s="20">
        <f t="shared" si="167"/>
        <v>0</v>
      </c>
      <c r="AM156" s="20">
        <f t="shared" ref="AM156:AM161" si="168">SUM(AI156:AL156)</f>
        <v>0</v>
      </c>
      <c r="AO156">
        <f t="shared" ref="AO156:AR161" si="169">Z156*AO$10</f>
        <v>0</v>
      </c>
      <c r="AP156">
        <f t="shared" si="169"/>
        <v>0</v>
      </c>
      <c r="AQ156">
        <f t="shared" si="169"/>
        <v>0</v>
      </c>
      <c r="AR156">
        <f t="shared" si="169"/>
        <v>0</v>
      </c>
      <c r="AS156">
        <f t="shared" ref="AS156:AS161" si="170">SUM(AO156:AR156)</f>
        <v>0</v>
      </c>
      <c r="AU156">
        <f t="shared" ref="AU156:AX161" si="171">AI156*AU$10</f>
        <v>0</v>
      </c>
      <c r="AV156">
        <f t="shared" si="171"/>
        <v>0</v>
      </c>
      <c r="AW156">
        <f t="shared" si="171"/>
        <v>0</v>
      </c>
      <c r="AX156">
        <f t="shared" si="171"/>
        <v>0</v>
      </c>
      <c r="AY156">
        <f t="shared" ref="AY156:AY161" si="172">SUM(AU156:AX156)</f>
        <v>0</v>
      </c>
    </row>
    <row r="157" spans="1:51" ht="15" x14ac:dyDescent="0.25">
      <c r="A157" s="1"/>
      <c r="B157" s="2"/>
      <c r="C157" s="1" t="s">
        <v>9</v>
      </c>
      <c r="D157" s="285">
        <v>0</v>
      </c>
      <c r="E157" s="286">
        <v>0</v>
      </c>
      <c r="F157" s="286">
        <v>0</v>
      </c>
      <c r="G157" s="286">
        <v>0</v>
      </c>
      <c r="H157" s="28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 s="20"/>
      <c r="P157" s="20"/>
      <c r="Q157" s="147"/>
      <c r="R157" s="197"/>
      <c r="S157" s="197"/>
      <c r="T157" s="197"/>
      <c r="U157" s="197"/>
      <c r="V157" s="20">
        <f t="shared" si="163"/>
        <v>0</v>
      </c>
      <c r="W157" s="20">
        <f t="shared" si="163"/>
        <v>0</v>
      </c>
      <c r="X157" s="20">
        <f t="shared" si="163"/>
        <v>0</v>
      </c>
      <c r="Y157" s="20">
        <f t="shared" si="163"/>
        <v>0</v>
      </c>
      <c r="Z157" s="20">
        <f t="shared" si="164"/>
        <v>0</v>
      </c>
      <c r="AA157" s="20">
        <f t="shared" si="164"/>
        <v>0</v>
      </c>
      <c r="AB157" s="20">
        <f t="shared" si="164"/>
        <v>0</v>
      </c>
      <c r="AC157" s="20">
        <f t="shared" si="164"/>
        <v>0</v>
      </c>
      <c r="AD157" s="20">
        <f t="shared" si="165"/>
        <v>0</v>
      </c>
      <c r="AE157" s="20">
        <f t="shared" si="166"/>
        <v>0</v>
      </c>
      <c r="AF157" s="20">
        <f t="shared" si="166"/>
        <v>0</v>
      </c>
      <c r="AG157" s="20">
        <f t="shared" si="166"/>
        <v>0</v>
      </c>
      <c r="AH157" s="20">
        <f t="shared" si="166"/>
        <v>0</v>
      </c>
      <c r="AI157" s="20">
        <f t="shared" si="167"/>
        <v>0</v>
      </c>
      <c r="AJ157" s="20">
        <f t="shared" si="167"/>
        <v>0</v>
      </c>
      <c r="AK157" s="20">
        <f t="shared" si="167"/>
        <v>0</v>
      </c>
      <c r="AL157" s="20">
        <f t="shared" si="167"/>
        <v>0</v>
      </c>
      <c r="AM157" s="20">
        <f t="shared" si="168"/>
        <v>0</v>
      </c>
      <c r="AO157">
        <f t="shared" si="169"/>
        <v>0</v>
      </c>
      <c r="AP157">
        <f t="shared" si="169"/>
        <v>0</v>
      </c>
      <c r="AQ157">
        <f t="shared" si="169"/>
        <v>0</v>
      </c>
      <c r="AR157">
        <f t="shared" si="169"/>
        <v>0</v>
      </c>
      <c r="AS157">
        <f t="shared" si="170"/>
        <v>0</v>
      </c>
      <c r="AU157">
        <f t="shared" si="171"/>
        <v>0</v>
      </c>
      <c r="AV157">
        <f t="shared" si="171"/>
        <v>0</v>
      </c>
      <c r="AW157">
        <f t="shared" si="171"/>
        <v>0</v>
      </c>
      <c r="AX157">
        <f t="shared" si="171"/>
        <v>0</v>
      </c>
      <c r="AY157">
        <f t="shared" si="172"/>
        <v>0</v>
      </c>
    </row>
    <row r="158" spans="1:51" ht="15" x14ac:dyDescent="0.25">
      <c r="A158" s="1"/>
      <c r="B158" s="2"/>
      <c r="C158" s="1" t="s">
        <v>10</v>
      </c>
      <c r="D158" s="285">
        <v>0</v>
      </c>
      <c r="E158" s="286">
        <v>0</v>
      </c>
      <c r="F158" s="286">
        <v>0</v>
      </c>
      <c r="G158" s="286">
        <v>0</v>
      </c>
      <c r="H158" s="287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 s="20"/>
      <c r="P158" s="20"/>
      <c r="Q158" s="147"/>
      <c r="R158" s="197"/>
      <c r="S158" s="197"/>
      <c r="T158" s="197"/>
      <c r="U158" s="197"/>
      <c r="V158" s="20">
        <f t="shared" si="163"/>
        <v>0</v>
      </c>
      <c r="W158" s="20">
        <f t="shared" si="163"/>
        <v>0</v>
      </c>
      <c r="X158" s="20">
        <f t="shared" si="163"/>
        <v>0</v>
      </c>
      <c r="Y158" s="20">
        <f t="shared" si="163"/>
        <v>0</v>
      </c>
      <c r="Z158" s="20">
        <f t="shared" si="164"/>
        <v>0</v>
      </c>
      <c r="AA158" s="20">
        <f t="shared" si="164"/>
        <v>0</v>
      </c>
      <c r="AB158" s="20">
        <f t="shared" si="164"/>
        <v>0</v>
      </c>
      <c r="AC158" s="20">
        <f t="shared" si="164"/>
        <v>0</v>
      </c>
      <c r="AD158" s="20">
        <f t="shared" si="165"/>
        <v>0</v>
      </c>
      <c r="AE158" s="20">
        <f t="shared" si="166"/>
        <v>0</v>
      </c>
      <c r="AF158" s="20">
        <f t="shared" si="166"/>
        <v>0</v>
      </c>
      <c r="AG158" s="20">
        <f t="shared" si="166"/>
        <v>0</v>
      </c>
      <c r="AH158" s="20">
        <f t="shared" si="166"/>
        <v>0</v>
      </c>
      <c r="AI158" s="20">
        <f t="shared" si="167"/>
        <v>0</v>
      </c>
      <c r="AJ158" s="20">
        <f t="shared" si="167"/>
        <v>0</v>
      </c>
      <c r="AK158" s="20">
        <f t="shared" si="167"/>
        <v>0</v>
      </c>
      <c r="AL158" s="20">
        <f t="shared" si="167"/>
        <v>0</v>
      </c>
      <c r="AM158" s="20">
        <f t="shared" si="168"/>
        <v>0</v>
      </c>
      <c r="AO158">
        <f t="shared" si="169"/>
        <v>0</v>
      </c>
      <c r="AP158">
        <f t="shared" si="169"/>
        <v>0</v>
      </c>
      <c r="AQ158">
        <f t="shared" si="169"/>
        <v>0</v>
      </c>
      <c r="AR158">
        <f t="shared" si="169"/>
        <v>0</v>
      </c>
      <c r="AS158">
        <f t="shared" si="170"/>
        <v>0</v>
      </c>
      <c r="AU158">
        <f t="shared" si="171"/>
        <v>0</v>
      </c>
      <c r="AV158">
        <f t="shared" si="171"/>
        <v>0</v>
      </c>
      <c r="AW158">
        <f t="shared" si="171"/>
        <v>0</v>
      </c>
      <c r="AX158">
        <f t="shared" si="171"/>
        <v>0</v>
      </c>
      <c r="AY158">
        <f t="shared" si="172"/>
        <v>0</v>
      </c>
    </row>
    <row r="159" spans="1:51" ht="15" x14ac:dyDescent="0.25">
      <c r="A159" s="1"/>
      <c r="B159" s="2"/>
      <c r="C159" s="1" t="s">
        <v>11</v>
      </c>
      <c r="D159" s="285">
        <v>0</v>
      </c>
      <c r="E159" s="286">
        <v>0</v>
      </c>
      <c r="F159" s="286">
        <v>0</v>
      </c>
      <c r="G159" s="286">
        <v>0</v>
      </c>
      <c r="H159" s="287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 s="20"/>
      <c r="P159" s="20"/>
      <c r="Q159" s="147"/>
      <c r="R159" s="197"/>
      <c r="S159" s="197"/>
      <c r="T159" s="197"/>
      <c r="U159" s="197"/>
      <c r="V159" s="20">
        <f t="shared" si="163"/>
        <v>0</v>
      </c>
      <c r="W159" s="20">
        <f t="shared" si="163"/>
        <v>0</v>
      </c>
      <c r="X159" s="20">
        <f t="shared" si="163"/>
        <v>0</v>
      </c>
      <c r="Y159" s="20">
        <f t="shared" si="163"/>
        <v>0</v>
      </c>
      <c r="Z159" s="20">
        <f t="shared" si="164"/>
        <v>0</v>
      </c>
      <c r="AA159" s="20">
        <f t="shared" si="164"/>
        <v>0</v>
      </c>
      <c r="AB159" s="20">
        <f t="shared" si="164"/>
        <v>0</v>
      </c>
      <c r="AC159" s="20">
        <f t="shared" si="164"/>
        <v>0</v>
      </c>
      <c r="AD159" s="20">
        <f t="shared" si="165"/>
        <v>0</v>
      </c>
      <c r="AE159" s="20">
        <f t="shared" si="166"/>
        <v>0</v>
      </c>
      <c r="AF159" s="20">
        <f t="shared" si="166"/>
        <v>0</v>
      </c>
      <c r="AG159" s="20">
        <f t="shared" si="166"/>
        <v>0</v>
      </c>
      <c r="AH159" s="20">
        <f t="shared" si="166"/>
        <v>0</v>
      </c>
      <c r="AI159" s="20">
        <f t="shared" si="167"/>
        <v>0</v>
      </c>
      <c r="AJ159" s="20">
        <f t="shared" si="167"/>
        <v>0</v>
      </c>
      <c r="AK159" s="20">
        <f t="shared" si="167"/>
        <v>0</v>
      </c>
      <c r="AL159" s="20">
        <f t="shared" si="167"/>
        <v>0</v>
      </c>
      <c r="AM159" s="20">
        <f t="shared" si="168"/>
        <v>0</v>
      </c>
      <c r="AO159">
        <f t="shared" si="169"/>
        <v>0</v>
      </c>
      <c r="AP159">
        <f t="shared" si="169"/>
        <v>0</v>
      </c>
      <c r="AQ159">
        <f t="shared" si="169"/>
        <v>0</v>
      </c>
      <c r="AR159">
        <f t="shared" si="169"/>
        <v>0</v>
      </c>
      <c r="AS159">
        <f t="shared" si="170"/>
        <v>0</v>
      </c>
      <c r="AU159">
        <f t="shared" si="171"/>
        <v>0</v>
      </c>
      <c r="AV159">
        <f t="shared" si="171"/>
        <v>0</v>
      </c>
      <c r="AW159">
        <f t="shared" si="171"/>
        <v>0</v>
      </c>
      <c r="AX159">
        <f t="shared" si="171"/>
        <v>0</v>
      </c>
      <c r="AY159">
        <f t="shared" si="172"/>
        <v>0</v>
      </c>
    </row>
    <row r="160" spans="1:51" ht="15" x14ac:dyDescent="0.25">
      <c r="A160" s="1"/>
      <c r="B160" s="2"/>
      <c r="C160" s="1" t="s">
        <v>12</v>
      </c>
      <c r="D160" s="285">
        <v>0</v>
      </c>
      <c r="E160" s="286">
        <v>0</v>
      </c>
      <c r="F160" s="286">
        <v>0</v>
      </c>
      <c r="G160" s="286">
        <v>0</v>
      </c>
      <c r="H160" s="287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 s="20"/>
      <c r="P160" s="20"/>
      <c r="Q160" s="147"/>
      <c r="R160" s="197"/>
      <c r="S160" s="197"/>
      <c r="T160" s="197"/>
      <c r="U160" s="197"/>
      <c r="V160" s="20">
        <f t="shared" si="163"/>
        <v>0</v>
      </c>
      <c r="W160" s="20">
        <f t="shared" si="163"/>
        <v>0</v>
      </c>
      <c r="X160" s="20">
        <f t="shared" si="163"/>
        <v>0</v>
      </c>
      <c r="Y160" s="20">
        <f t="shared" si="163"/>
        <v>0</v>
      </c>
      <c r="Z160" s="20">
        <f t="shared" si="164"/>
        <v>0</v>
      </c>
      <c r="AA160" s="20">
        <f t="shared" si="164"/>
        <v>0</v>
      </c>
      <c r="AB160" s="20">
        <f t="shared" si="164"/>
        <v>0</v>
      </c>
      <c r="AC160" s="20">
        <f t="shared" si="164"/>
        <v>0</v>
      </c>
      <c r="AD160" s="20">
        <f t="shared" si="165"/>
        <v>0</v>
      </c>
      <c r="AE160" s="20">
        <f t="shared" si="166"/>
        <v>0</v>
      </c>
      <c r="AF160" s="20">
        <f t="shared" si="166"/>
        <v>0</v>
      </c>
      <c r="AG160" s="20">
        <f t="shared" si="166"/>
        <v>0</v>
      </c>
      <c r="AH160" s="20">
        <f t="shared" si="166"/>
        <v>0</v>
      </c>
      <c r="AI160" s="20">
        <f t="shared" si="167"/>
        <v>0</v>
      </c>
      <c r="AJ160" s="20">
        <f t="shared" si="167"/>
        <v>0</v>
      </c>
      <c r="AK160" s="20">
        <f t="shared" si="167"/>
        <v>0</v>
      </c>
      <c r="AL160" s="20">
        <f t="shared" si="167"/>
        <v>0</v>
      </c>
      <c r="AM160" s="20">
        <f t="shared" si="168"/>
        <v>0</v>
      </c>
      <c r="AO160">
        <f t="shared" si="169"/>
        <v>0</v>
      </c>
      <c r="AP160">
        <f t="shared" si="169"/>
        <v>0</v>
      </c>
      <c r="AQ160">
        <f t="shared" si="169"/>
        <v>0</v>
      </c>
      <c r="AR160">
        <f t="shared" si="169"/>
        <v>0</v>
      </c>
      <c r="AS160">
        <f t="shared" si="170"/>
        <v>0</v>
      </c>
      <c r="AU160">
        <f t="shared" si="171"/>
        <v>0</v>
      </c>
      <c r="AV160">
        <f t="shared" si="171"/>
        <v>0</v>
      </c>
      <c r="AW160">
        <f t="shared" si="171"/>
        <v>0</v>
      </c>
      <c r="AX160">
        <f t="shared" si="171"/>
        <v>0</v>
      </c>
      <c r="AY160">
        <f t="shared" si="172"/>
        <v>0</v>
      </c>
    </row>
    <row r="161" spans="1:51" ht="15" x14ac:dyDescent="0.25">
      <c r="A161" s="1"/>
      <c r="B161" s="2"/>
      <c r="C161" s="1" t="s">
        <v>13</v>
      </c>
      <c r="D161" s="285">
        <v>0</v>
      </c>
      <c r="E161" s="285">
        <v>0</v>
      </c>
      <c r="F161" s="285">
        <v>0</v>
      </c>
      <c r="G161" s="285">
        <v>0</v>
      </c>
      <c r="H161" s="285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 s="20"/>
      <c r="P161" s="20"/>
      <c r="Q161" s="147"/>
      <c r="R161" s="197"/>
      <c r="S161" s="197"/>
      <c r="T161" s="197"/>
      <c r="U161" s="197"/>
      <c r="V161" s="20">
        <f t="shared" si="163"/>
        <v>0</v>
      </c>
      <c r="W161" s="20">
        <f t="shared" si="163"/>
        <v>0</v>
      </c>
      <c r="X161" s="20">
        <f t="shared" si="163"/>
        <v>0</v>
      </c>
      <c r="Y161" s="20">
        <f t="shared" si="163"/>
        <v>0</v>
      </c>
      <c r="Z161" s="20">
        <f t="shared" si="164"/>
        <v>0</v>
      </c>
      <c r="AA161" s="20">
        <f t="shared" si="164"/>
        <v>0</v>
      </c>
      <c r="AB161" s="20">
        <f t="shared" si="164"/>
        <v>0</v>
      </c>
      <c r="AC161" s="20">
        <f t="shared" si="164"/>
        <v>0</v>
      </c>
      <c r="AD161" s="20">
        <f t="shared" si="165"/>
        <v>0</v>
      </c>
      <c r="AE161" s="20">
        <f t="shared" si="166"/>
        <v>0</v>
      </c>
      <c r="AF161" s="20">
        <f t="shared" si="166"/>
        <v>0</v>
      </c>
      <c r="AG161" s="20">
        <f t="shared" si="166"/>
        <v>0</v>
      </c>
      <c r="AH161" s="20">
        <f t="shared" si="166"/>
        <v>0</v>
      </c>
      <c r="AI161" s="20">
        <f t="shared" si="167"/>
        <v>0</v>
      </c>
      <c r="AJ161" s="20">
        <f t="shared" si="167"/>
        <v>0</v>
      </c>
      <c r="AK161" s="20">
        <f t="shared" si="167"/>
        <v>0</v>
      </c>
      <c r="AL161" s="20">
        <f t="shared" si="167"/>
        <v>0</v>
      </c>
      <c r="AM161" s="20">
        <f t="shared" si="168"/>
        <v>0</v>
      </c>
      <c r="AO161">
        <f t="shared" si="169"/>
        <v>0</v>
      </c>
      <c r="AP161">
        <f t="shared" si="169"/>
        <v>0</v>
      </c>
      <c r="AQ161">
        <f t="shared" si="169"/>
        <v>0</v>
      </c>
      <c r="AR161">
        <f t="shared" si="169"/>
        <v>0</v>
      </c>
      <c r="AS161">
        <f t="shared" si="170"/>
        <v>0</v>
      </c>
      <c r="AU161">
        <f t="shared" si="171"/>
        <v>0</v>
      </c>
      <c r="AV161">
        <f t="shared" si="171"/>
        <v>0</v>
      </c>
      <c r="AW161">
        <f t="shared" si="171"/>
        <v>0</v>
      </c>
      <c r="AX161">
        <f t="shared" si="171"/>
        <v>0</v>
      </c>
      <c r="AY161">
        <f t="shared" si="172"/>
        <v>0</v>
      </c>
    </row>
    <row r="162" spans="1:51" ht="15" x14ac:dyDescent="0.25">
      <c r="A162" s="7"/>
      <c r="B162" s="8" t="s">
        <v>14</v>
      </c>
      <c r="C162" s="7"/>
      <c r="D162" s="288">
        <f>SUM(D156:D161)</f>
        <v>0</v>
      </c>
      <c r="E162" s="289">
        <f>SUM(E156:E160)</f>
        <v>0</v>
      </c>
      <c r="F162" s="289">
        <f>SUM(F156:F160)</f>
        <v>0</v>
      </c>
      <c r="G162" s="289">
        <f>SUM(G156:G160)</f>
        <v>0</v>
      </c>
      <c r="H162" s="290">
        <f>SUM(H156:H160)</f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 s="20"/>
      <c r="P162" s="20"/>
      <c r="Q162" s="147"/>
      <c r="R162" s="197"/>
      <c r="S162" s="197"/>
      <c r="T162" s="197"/>
      <c r="U162" s="197"/>
    </row>
    <row r="163" spans="1:51" ht="15" x14ac:dyDescent="0.25">
      <c r="A163" s="10"/>
      <c r="B163" s="9" t="s">
        <v>15</v>
      </c>
      <c r="C163" s="5"/>
      <c r="D163" s="291"/>
      <c r="E163" s="292"/>
      <c r="F163" s="292"/>
      <c r="G163" s="292"/>
      <c r="H163" s="293">
        <f>SUM(D162:H162)</f>
        <v>0</v>
      </c>
      <c r="N163">
        <v>0</v>
      </c>
      <c r="O163" s="20"/>
      <c r="P163" s="20"/>
      <c r="Q163" s="147"/>
      <c r="R163" s="197"/>
      <c r="S163" s="197"/>
      <c r="T163" s="197"/>
      <c r="U163" s="197"/>
    </row>
    <row r="164" spans="1:51" ht="15.75" thickBot="1" x14ac:dyDescent="0.3">
      <c r="A164" s="1"/>
      <c r="B164" s="2"/>
      <c r="C164" s="1"/>
      <c r="D164" s="294"/>
      <c r="E164" s="295"/>
      <c r="F164" s="295"/>
      <c r="G164" s="295"/>
      <c r="H164" s="296"/>
      <c r="O164" s="20"/>
      <c r="P164" s="20"/>
      <c r="Q164" s="147"/>
      <c r="R164" s="197"/>
      <c r="S164" s="197"/>
      <c r="T164" s="197"/>
      <c r="U164" s="197"/>
    </row>
    <row r="165" spans="1:51" ht="15" x14ac:dyDescent="0.25">
      <c r="A165" s="1">
        <v>18</v>
      </c>
      <c r="B165" s="2" t="s">
        <v>709</v>
      </c>
      <c r="C165" s="1" t="s">
        <v>8</v>
      </c>
      <c r="D165" s="285">
        <v>0</v>
      </c>
      <c r="E165" s="286">
        <v>0</v>
      </c>
      <c r="F165" s="286">
        <v>0</v>
      </c>
      <c r="G165" s="286">
        <v>0</v>
      </c>
      <c r="H165" s="287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 s="20"/>
      <c r="P165" s="20"/>
      <c r="Q165" s="147"/>
      <c r="R165" s="197">
        <v>0.66599999999999993</v>
      </c>
      <c r="S165" s="197">
        <v>4.5549999999999997</v>
      </c>
      <c r="T165" s="197">
        <v>0.60039794540960334</v>
      </c>
      <c r="U165" s="197">
        <v>0.90789473684210531</v>
      </c>
      <c r="V165" s="20">
        <f t="shared" ref="V165:Y170" si="173">IF(K165&gt;0,((E165-K165)*$Q165*$R165*10)+(K165*$O$12*$Q165*$R165*10),(E165*$Q165*$R165*10))</f>
        <v>0</v>
      </c>
      <c r="W165" s="20">
        <f t="shared" si="173"/>
        <v>0</v>
      </c>
      <c r="X165" s="20">
        <f t="shared" si="173"/>
        <v>0</v>
      </c>
      <c r="Y165" s="20">
        <f t="shared" si="173"/>
        <v>0</v>
      </c>
      <c r="Z165" s="20">
        <f t="shared" ref="Z165:AC170" si="174">V165*(EXP(1.01-0.34*LN(Z$8))*(1-$T165)+(1*$T165))</f>
        <v>0</v>
      </c>
      <c r="AA165" s="20">
        <f t="shared" si="174"/>
        <v>0</v>
      </c>
      <c r="AB165" s="20">
        <f t="shared" si="174"/>
        <v>0</v>
      </c>
      <c r="AC165" s="20">
        <f t="shared" si="174"/>
        <v>0</v>
      </c>
      <c r="AD165" s="20">
        <f t="shared" ref="AD165:AD170" si="175">SUM(Z165:AC165)</f>
        <v>0</v>
      </c>
      <c r="AE165" s="20">
        <f t="shared" ref="AE165:AH170" si="176">IF(K165&gt;0,((E165-K165)*$Q165*$S165*10)+(K165*$P$12*$Q165*$S165)*10,(E165*$Q165*$S165*10))</f>
        <v>0</v>
      </c>
      <c r="AF165" s="20">
        <f t="shared" si="176"/>
        <v>0</v>
      </c>
      <c r="AG165" s="20">
        <f t="shared" si="176"/>
        <v>0</v>
      </c>
      <c r="AH165" s="20">
        <f t="shared" si="176"/>
        <v>0</v>
      </c>
      <c r="AI165" s="20">
        <f t="shared" ref="AI165:AL170" si="177">AE165*(EXP(1.01-0.34*LN(AI$8))*(1-$T165)+(1*$T165))</f>
        <v>0</v>
      </c>
      <c r="AJ165" s="20">
        <f t="shared" si="177"/>
        <v>0</v>
      </c>
      <c r="AK165" s="20">
        <f t="shared" si="177"/>
        <v>0</v>
      </c>
      <c r="AL165" s="20">
        <f t="shared" si="177"/>
        <v>0</v>
      </c>
      <c r="AM165" s="20">
        <f t="shared" ref="AM165:AM170" si="178">SUM(AI165:AL165)</f>
        <v>0</v>
      </c>
      <c r="AO165">
        <f t="shared" ref="AO165:AR170" si="179">Z165*AO$10</f>
        <v>0</v>
      </c>
      <c r="AP165">
        <f t="shared" si="179"/>
        <v>0</v>
      </c>
      <c r="AQ165">
        <f t="shared" si="179"/>
        <v>0</v>
      </c>
      <c r="AR165">
        <f t="shared" si="179"/>
        <v>0</v>
      </c>
      <c r="AS165">
        <f t="shared" ref="AS165:AS170" si="180">SUM(AO165:AR165)</f>
        <v>0</v>
      </c>
      <c r="AU165">
        <f t="shared" ref="AU165:AX170" si="181">AI165*AU$10</f>
        <v>0</v>
      </c>
      <c r="AV165">
        <f t="shared" si="181"/>
        <v>0</v>
      </c>
      <c r="AW165">
        <f t="shared" si="181"/>
        <v>0</v>
      </c>
      <c r="AX165">
        <f t="shared" si="181"/>
        <v>0</v>
      </c>
      <c r="AY165">
        <f t="shared" ref="AY165:AY170" si="182">SUM(AU165:AX165)</f>
        <v>0</v>
      </c>
    </row>
    <row r="166" spans="1:51" ht="15" x14ac:dyDescent="0.25">
      <c r="A166" s="1"/>
      <c r="B166" s="2"/>
      <c r="C166" s="1" t="s">
        <v>9</v>
      </c>
      <c r="D166" s="285">
        <v>0</v>
      </c>
      <c r="E166" s="286">
        <v>0</v>
      </c>
      <c r="F166" s="286">
        <v>0</v>
      </c>
      <c r="G166" s="286">
        <v>0</v>
      </c>
      <c r="H166" s="287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 s="20"/>
      <c r="P166" s="20"/>
      <c r="Q166" s="147"/>
      <c r="R166" s="197">
        <v>0.66599999999999993</v>
      </c>
      <c r="S166" s="197">
        <v>4.5549999999999997</v>
      </c>
      <c r="T166" s="197">
        <v>0.60039794540960334</v>
      </c>
      <c r="U166" s="197">
        <v>0.90789473684210531</v>
      </c>
      <c r="V166" s="20">
        <f t="shared" si="173"/>
        <v>0</v>
      </c>
      <c r="W166" s="20">
        <f t="shared" si="173"/>
        <v>0</v>
      </c>
      <c r="X166" s="20">
        <f t="shared" si="173"/>
        <v>0</v>
      </c>
      <c r="Y166" s="20">
        <f t="shared" si="173"/>
        <v>0</v>
      </c>
      <c r="Z166" s="20">
        <f t="shared" si="174"/>
        <v>0</v>
      </c>
      <c r="AA166" s="20">
        <f t="shared" si="174"/>
        <v>0</v>
      </c>
      <c r="AB166" s="20">
        <f t="shared" si="174"/>
        <v>0</v>
      </c>
      <c r="AC166" s="20">
        <f t="shared" si="174"/>
        <v>0</v>
      </c>
      <c r="AD166" s="20">
        <f t="shared" si="175"/>
        <v>0</v>
      </c>
      <c r="AE166" s="20">
        <f t="shared" si="176"/>
        <v>0</v>
      </c>
      <c r="AF166" s="20">
        <f t="shared" si="176"/>
        <v>0</v>
      </c>
      <c r="AG166" s="20">
        <f t="shared" si="176"/>
        <v>0</v>
      </c>
      <c r="AH166" s="20">
        <f t="shared" si="176"/>
        <v>0</v>
      </c>
      <c r="AI166" s="20">
        <f t="shared" si="177"/>
        <v>0</v>
      </c>
      <c r="AJ166" s="20">
        <f t="shared" si="177"/>
        <v>0</v>
      </c>
      <c r="AK166" s="20">
        <f t="shared" si="177"/>
        <v>0</v>
      </c>
      <c r="AL166" s="20">
        <f t="shared" si="177"/>
        <v>0</v>
      </c>
      <c r="AM166" s="20">
        <f t="shared" si="178"/>
        <v>0</v>
      </c>
      <c r="AO166">
        <f t="shared" si="179"/>
        <v>0</v>
      </c>
      <c r="AP166">
        <f t="shared" si="179"/>
        <v>0</v>
      </c>
      <c r="AQ166">
        <f t="shared" si="179"/>
        <v>0</v>
      </c>
      <c r="AR166">
        <f t="shared" si="179"/>
        <v>0</v>
      </c>
      <c r="AS166">
        <f t="shared" si="180"/>
        <v>0</v>
      </c>
      <c r="AU166">
        <f t="shared" si="181"/>
        <v>0</v>
      </c>
      <c r="AV166">
        <f t="shared" si="181"/>
        <v>0</v>
      </c>
      <c r="AW166">
        <f t="shared" si="181"/>
        <v>0</v>
      </c>
      <c r="AX166">
        <f t="shared" si="181"/>
        <v>0</v>
      </c>
      <c r="AY166">
        <f t="shared" si="182"/>
        <v>0</v>
      </c>
    </row>
    <row r="167" spans="1:51" ht="15" x14ac:dyDescent="0.25">
      <c r="A167" s="1"/>
      <c r="B167" s="2"/>
      <c r="C167" s="1" t="s">
        <v>10</v>
      </c>
      <c r="D167" s="285">
        <v>0</v>
      </c>
      <c r="E167" s="286">
        <v>0</v>
      </c>
      <c r="F167" s="286">
        <v>0</v>
      </c>
      <c r="G167" s="286">
        <v>0</v>
      </c>
      <c r="H167" s="28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 s="20"/>
      <c r="P167" s="20"/>
      <c r="Q167" s="147"/>
      <c r="R167" s="197">
        <v>0.66599999999999993</v>
      </c>
      <c r="S167" s="197">
        <v>4.5549999999999997</v>
      </c>
      <c r="T167" s="197">
        <v>0.60039794540960334</v>
      </c>
      <c r="U167" s="197">
        <v>0.90789473684210531</v>
      </c>
      <c r="V167" s="20">
        <f t="shared" si="173"/>
        <v>0</v>
      </c>
      <c r="W167" s="20">
        <f t="shared" si="173"/>
        <v>0</v>
      </c>
      <c r="X167" s="20">
        <f t="shared" si="173"/>
        <v>0</v>
      </c>
      <c r="Y167" s="20">
        <f t="shared" si="173"/>
        <v>0</v>
      </c>
      <c r="Z167" s="20">
        <f t="shared" si="174"/>
        <v>0</v>
      </c>
      <c r="AA167" s="20">
        <f t="shared" si="174"/>
        <v>0</v>
      </c>
      <c r="AB167" s="20">
        <f t="shared" si="174"/>
        <v>0</v>
      </c>
      <c r="AC167" s="20">
        <f t="shared" si="174"/>
        <v>0</v>
      </c>
      <c r="AD167" s="20">
        <f t="shared" si="175"/>
        <v>0</v>
      </c>
      <c r="AE167" s="20">
        <f t="shared" si="176"/>
        <v>0</v>
      </c>
      <c r="AF167" s="20">
        <f t="shared" si="176"/>
        <v>0</v>
      </c>
      <c r="AG167" s="20">
        <f t="shared" si="176"/>
        <v>0</v>
      </c>
      <c r="AH167" s="20">
        <f t="shared" si="176"/>
        <v>0</v>
      </c>
      <c r="AI167" s="20">
        <f t="shared" si="177"/>
        <v>0</v>
      </c>
      <c r="AJ167" s="20">
        <f t="shared" si="177"/>
        <v>0</v>
      </c>
      <c r="AK167" s="20">
        <f t="shared" si="177"/>
        <v>0</v>
      </c>
      <c r="AL167" s="20">
        <f t="shared" si="177"/>
        <v>0</v>
      </c>
      <c r="AM167" s="20">
        <f t="shared" si="178"/>
        <v>0</v>
      </c>
      <c r="AO167">
        <f t="shared" si="179"/>
        <v>0</v>
      </c>
      <c r="AP167">
        <f t="shared" si="179"/>
        <v>0</v>
      </c>
      <c r="AQ167">
        <f t="shared" si="179"/>
        <v>0</v>
      </c>
      <c r="AR167">
        <f t="shared" si="179"/>
        <v>0</v>
      </c>
      <c r="AS167">
        <f t="shared" si="180"/>
        <v>0</v>
      </c>
      <c r="AU167">
        <f t="shared" si="181"/>
        <v>0</v>
      </c>
      <c r="AV167">
        <f t="shared" si="181"/>
        <v>0</v>
      </c>
      <c r="AW167">
        <f t="shared" si="181"/>
        <v>0</v>
      </c>
      <c r="AX167">
        <f t="shared" si="181"/>
        <v>0</v>
      </c>
      <c r="AY167">
        <f t="shared" si="182"/>
        <v>0</v>
      </c>
    </row>
    <row r="168" spans="1:51" ht="15" x14ac:dyDescent="0.25">
      <c r="A168" s="1"/>
      <c r="B168" s="2"/>
      <c r="C168" s="1" t="s">
        <v>11</v>
      </c>
      <c r="D168" s="285">
        <v>0</v>
      </c>
      <c r="E168" s="286">
        <v>0</v>
      </c>
      <c r="F168" s="286">
        <v>0</v>
      </c>
      <c r="G168" s="286">
        <v>0</v>
      </c>
      <c r="H168" s="287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 s="20"/>
      <c r="P168" s="20"/>
      <c r="Q168" s="147"/>
      <c r="R168" s="197">
        <v>0.66599999999999993</v>
      </c>
      <c r="S168" s="197">
        <v>4.5549999999999997</v>
      </c>
      <c r="T168" s="197">
        <v>0.60039794540960334</v>
      </c>
      <c r="U168" s="197">
        <v>0.90789473684210531</v>
      </c>
      <c r="V168" s="20">
        <f t="shared" si="173"/>
        <v>0</v>
      </c>
      <c r="W168" s="20">
        <f t="shared" si="173"/>
        <v>0</v>
      </c>
      <c r="X168" s="20">
        <f t="shared" si="173"/>
        <v>0</v>
      </c>
      <c r="Y168" s="20">
        <f t="shared" si="173"/>
        <v>0</v>
      </c>
      <c r="Z168" s="20">
        <f t="shared" si="174"/>
        <v>0</v>
      </c>
      <c r="AA168" s="20">
        <f t="shared" si="174"/>
        <v>0</v>
      </c>
      <c r="AB168" s="20">
        <f t="shared" si="174"/>
        <v>0</v>
      </c>
      <c r="AC168" s="20">
        <f t="shared" si="174"/>
        <v>0</v>
      </c>
      <c r="AD168" s="20">
        <f t="shared" si="175"/>
        <v>0</v>
      </c>
      <c r="AE168" s="20">
        <f t="shared" si="176"/>
        <v>0</v>
      </c>
      <c r="AF168" s="20">
        <f t="shared" si="176"/>
        <v>0</v>
      </c>
      <c r="AG168" s="20">
        <f t="shared" si="176"/>
        <v>0</v>
      </c>
      <c r="AH168" s="20">
        <f t="shared" si="176"/>
        <v>0</v>
      </c>
      <c r="AI168" s="20">
        <f t="shared" si="177"/>
        <v>0</v>
      </c>
      <c r="AJ168" s="20">
        <f t="shared" si="177"/>
        <v>0</v>
      </c>
      <c r="AK168" s="20">
        <f t="shared" si="177"/>
        <v>0</v>
      </c>
      <c r="AL168" s="20">
        <f t="shared" si="177"/>
        <v>0</v>
      </c>
      <c r="AM168" s="20">
        <f t="shared" si="178"/>
        <v>0</v>
      </c>
      <c r="AO168">
        <f t="shared" si="179"/>
        <v>0</v>
      </c>
      <c r="AP168">
        <f t="shared" si="179"/>
        <v>0</v>
      </c>
      <c r="AQ168">
        <f t="shared" si="179"/>
        <v>0</v>
      </c>
      <c r="AR168">
        <f t="shared" si="179"/>
        <v>0</v>
      </c>
      <c r="AS168">
        <f t="shared" si="180"/>
        <v>0</v>
      </c>
      <c r="AU168">
        <f t="shared" si="181"/>
        <v>0</v>
      </c>
      <c r="AV168">
        <f t="shared" si="181"/>
        <v>0</v>
      </c>
      <c r="AW168">
        <f t="shared" si="181"/>
        <v>0</v>
      </c>
      <c r="AX168">
        <f t="shared" si="181"/>
        <v>0</v>
      </c>
      <c r="AY168">
        <f t="shared" si="182"/>
        <v>0</v>
      </c>
    </row>
    <row r="169" spans="1:51" ht="15" x14ac:dyDescent="0.25">
      <c r="A169" s="1"/>
      <c r="B169" s="2"/>
      <c r="C169" s="1" t="s">
        <v>12</v>
      </c>
      <c r="D169" s="285">
        <v>0</v>
      </c>
      <c r="E169" s="286">
        <v>0</v>
      </c>
      <c r="F169" s="286">
        <v>0</v>
      </c>
      <c r="G169" s="286">
        <v>0</v>
      </c>
      <c r="H169" s="287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 s="20"/>
      <c r="P169" s="20"/>
      <c r="Q169" s="147"/>
      <c r="R169" s="197">
        <v>0.66599999999999993</v>
      </c>
      <c r="S169" s="197">
        <v>4.5549999999999997</v>
      </c>
      <c r="T169" s="197">
        <v>0.60039794540960334</v>
      </c>
      <c r="U169" s="197">
        <v>0.90789473684210531</v>
      </c>
      <c r="V169" s="20">
        <f t="shared" si="173"/>
        <v>0</v>
      </c>
      <c r="W169" s="20">
        <f t="shared" si="173"/>
        <v>0</v>
      </c>
      <c r="X169" s="20">
        <f t="shared" si="173"/>
        <v>0</v>
      </c>
      <c r="Y169" s="20">
        <f t="shared" si="173"/>
        <v>0</v>
      </c>
      <c r="Z169" s="20">
        <f t="shared" si="174"/>
        <v>0</v>
      </c>
      <c r="AA169" s="20">
        <f t="shared" si="174"/>
        <v>0</v>
      </c>
      <c r="AB169" s="20">
        <f t="shared" si="174"/>
        <v>0</v>
      </c>
      <c r="AC169" s="20">
        <f t="shared" si="174"/>
        <v>0</v>
      </c>
      <c r="AD169" s="20">
        <f t="shared" si="175"/>
        <v>0</v>
      </c>
      <c r="AE169" s="20">
        <f t="shared" si="176"/>
        <v>0</v>
      </c>
      <c r="AF169" s="20">
        <f t="shared" si="176"/>
        <v>0</v>
      </c>
      <c r="AG169" s="20">
        <f t="shared" si="176"/>
        <v>0</v>
      </c>
      <c r="AH169" s="20">
        <f t="shared" si="176"/>
        <v>0</v>
      </c>
      <c r="AI169" s="20">
        <f t="shared" si="177"/>
        <v>0</v>
      </c>
      <c r="AJ169" s="20">
        <f t="shared" si="177"/>
        <v>0</v>
      </c>
      <c r="AK169" s="20">
        <f t="shared" si="177"/>
        <v>0</v>
      </c>
      <c r="AL169" s="20">
        <f t="shared" si="177"/>
        <v>0</v>
      </c>
      <c r="AM169" s="20">
        <f t="shared" si="178"/>
        <v>0</v>
      </c>
      <c r="AO169">
        <f t="shared" si="179"/>
        <v>0</v>
      </c>
      <c r="AP169">
        <f t="shared" si="179"/>
        <v>0</v>
      </c>
      <c r="AQ169">
        <f t="shared" si="179"/>
        <v>0</v>
      </c>
      <c r="AR169">
        <f t="shared" si="179"/>
        <v>0</v>
      </c>
      <c r="AS169">
        <f t="shared" si="180"/>
        <v>0</v>
      </c>
      <c r="AU169">
        <f t="shared" si="181"/>
        <v>0</v>
      </c>
      <c r="AV169">
        <f t="shared" si="181"/>
        <v>0</v>
      </c>
      <c r="AW169">
        <f t="shared" si="181"/>
        <v>0</v>
      </c>
      <c r="AX169">
        <f t="shared" si="181"/>
        <v>0</v>
      </c>
      <c r="AY169">
        <f t="shared" si="182"/>
        <v>0</v>
      </c>
    </row>
    <row r="170" spans="1:51" ht="15" x14ac:dyDescent="0.25">
      <c r="A170" s="1"/>
      <c r="B170" s="2"/>
      <c r="C170" s="1" t="s">
        <v>13</v>
      </c>
      <c r="D170" s="285">
        <v>0</v>
      </c>
      <c r="E170" s="286">
        <v>0</v>
      </c>
      <c r="F170" s="286">
        <v>0</v>
      </c>
      <c r="G170" s="286">
        <v>0</v>
      </c>
      <c r="H170" s="287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 s="20"/>
      <c r="P170" s="20"/>
      <c r="Q170" s="147"/>
      <c r="R170" s="197">
        <v>0.66599999999999993</v>
      </c>
      <c r="S170" s="197">
        <v>4.5549999999999997</v>
      </c>
      <c r="T170" s="197">
        <v>0.60039794540960334</v>
      </c>
      <c r="U170" s="197">
        <v>0.90789473684210531</v>
      </c>
      <c r="V170" s="20">
        <f t="shared" si="173"/>
        <v>0</v>
      </c>
      <c r="W170" s="20">
        <f t="shared" si="173"/>
        <v>0</v>
      </c>
      <c r="X170" s="20">
        <f t="shared" si="173"/>
        <v>0</v>
      </c>
      <c r="Y170" s="20">
        <f t="shared" si="173"/>
        <v>0</v>
      </c>
      <c r="Z170" s="20">
        <f t="shared" si="174"/>
        <v>0</v>
      </c>
      <c r="AA170" s="20">
        <f t="shared" si="174"/>
        <v>0</v>
      </c>
      <c r="AB170" s="20">
        <f t="shared" si="174"/>
        <v>0</v>
      </c>
      <c r="AC170" s="20">
        <f t="shared" si="174"/>
        <v>0</v>
      </c>
      <c r="AD170" s="20">
        <f t="shared" si="175"/>
        <v>0</v>
      </c>
      <c r="AE170" s="20">
        <f t="shared" si="176"/>
        <v>0</v>
      </c>
      <c r="AF170" s="20">
        <f t="shared" si="176"/>
        <v>0</v>
      </c>
      <c r="AG170" s="20">
        <f t="shared" si="176"/>
        <v>0</v>
      </c>
      <c r="AH170" s="20">
        <f t="shared" si="176"/>
        <v>0</v>
      </c>
      <c r="AI170" s="20">
        <f t="shared" si="177"/>
        <v>0</v>
      </c>
      <c r="AJ170" s="20">
        <f t="shared" si="177"/>
        <v>0</v>
      </c>
      <c r="AK170" s="20">
        <f t="shared" si="177"/>
        <v>0</v>
      </c>
      <c r="AL170" s="20">
        <f t="shared" si="177"/>
        <v>0</v>
      </c>
      <c r="AM170" s="20">
        <f t="shared" si="178"/>
        <v>0</v>
      </c>
      <c r="AO170">
        <f t="shared" si="179"/>
        <v>0</v>
      </c>
      <c r="AP170">
        <f t="shared" si="179"/>
        <v>0</v>
      </c>
      <c r="AQ170">
        <f t="shared" si="179"/>
        <v>0</v>
      </c>
      <c r="AR170">
        <f t="shared" si="179"/>
        <v>0</v>
      </c>
      <c r="AS170">
        <f t="shared" si="180"/>
        <v>0</v>
      </c>
      <c r="AU170">
        <f t="shared" si="181"/>
        <v>0</v>
      </c>
      <c r="AV170">
        <f t="shared" si="181"/>
        <v>0</v>
      </c>
      <c r="AW170">
        <f t="shared" si="181"/>
        <v>0</v>
      </c>
      <c r="AX170">
        <f t="shared" si="181"/>
        <v>0</v>
      </c>
      <c r="AY170">
        <f t="shared" si="182"/>
        <v>0</v>
      </c>
    </row>
    <row r="171" spans="1:51" ht="15" x14ac:dyDescent="0.25">
      <c r="A171" s="7"/>
      <c r="B171" s="8" t="s">
        <v>14</v>
      </c>
      <c r="C171" s="7"/>
      <c r="D171" s="288">
        <f>SUM(D165:D170)</f>
        <v>0</v>
      </c>
      <c r="E171" s="289">
        <f>SUM(E165:E170)</f>
        <v>0</v>
      </c>
      <c r="F171" s="289">
        <f>SUM(F165:F170)</f>
        <v>0</v>
      </c>
      <c r="G171" s="289">
        <f>SUM(G165:G170)</f>
        <v>0</v>
      </c>
      <c r="H171" s="290">
        <f>SUM(H165:H170)</f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 s="20"/>
      <c r="P171" s="20"/>
      <c r="Q171" s="147"/>
      <c r="R171" s="20"/>
      <c r="S171" s="20"/>
      <c r="T171" s="20"/>
      <c r="U171" s="20"/>
    </row>
    <row r="172" spans="1:51" ht="15" x14ac:dyDescent="0.25">
      <c r="A172" s="1"/>
      <c r="B172" s="9" t="s">
        <v>15</v>
      </c>
      <c r="C172" s="5"/>
      <c r="D172" s="291"/>
      <c r="E172" s="292"/>
      <c r="F172" s="292"/>
      <c r="G172" s="292"/>
      <c r="H172" s="293">
        <f>SUM(D171:H171)</f>
        <v>0</v>
      </c>
      <c r="N172">
        <v>0</v>
      </c>
      <c r="O172" s="20"/>
      <c r="P172" s="20"/>
      <c r="Q172" s="147"/>
      <c r="R172" s="20"/>
      <c r="S172" s="20"/>
      <c r="T172" s="20"/>
      <c r="U172" s="20"/>
    </row>
    <row r="173" spans="1:51" ht="15.75" thickBot="1" x14ac:dyDescent="0.3">
      <c r="A173" s="1"/>
      <c r="B173" s="2"/>
      <c r="C173" s="1"/>
      <c r="D173" s="297"/>
      <c r="E173" s="298"/>
      <c r="F173" s="298"/>
      <c r="G173" s="298"/>
      <c r="H173" s="299"/>
      <c r="O173" s="20"/>
      <c r="P173" s="20"/>
      <c r="Q173" s="147"/>
      <c r="R173" s="20"/>
      <c r="S173" s="20"/>
      <c r="T173" s="20"/>
      <c r="U173" s="20"/>
    </row>
    <row r="174" spans="1:51" ht="15" x14ac:dyDescent="0.25">
      <c r="A174" s="1">
        <v>19</v>
      </c>
      <c r="B174" s="2" t="s">
        <v>526</v>
      </c>
      <c r="C174" s="1" t="s">
        <v>8</v>
      </c>
      <c r="D174" s="282">
        <v>10.362623149999999</v>
      </c>
      <c r="E174" s="283">
        <v>0</v>
      </c>
      <c r="F174" s="283">
        <v>0</v>
      </c>
      <c r="G174" s="283">
        <v>0</v>
      </c>
      <c r="H174" s="284">
        <v>0</v>
      </c>
      <c r="J174">
        <v>-1.1042644558756365E-6</v>
      </c>
      <c r="K174">
        <v>0</v>
      </c>
      <c r="L174">
        <v>0</v>
      </c>
      <c r="M174">
        <v>0</v>
      </c>
      <c r="N174">
        <v>-7.2965769813300004E-10</v>
      </c>
      <c r="O174" s="20"/>
      <c r="P174" s="20"/>
      <c r="Q174" s="146">
        <v>0.9</v>
      </c>
      <c r="R174" s="20"/>
      <c r="S174" s="20"/>
      <c r="T174" s="20"/>
      <c r="U174" s="20"/>
    </row>
    <row r="175" spans="1:51" ht="15" x14ac:dyDescent="0.25">
      <c r="A175" s="1"/>
      <c r="B175" s="2"/>
      <c r="C175" s="1" t="s">
        <v>9</v>
      </c>
      <c r="D175" s="285">
        <v>5.0702140199999999</v>
      </c>
      <c r="E175" s="286">
        <v>0</v>
      </c>
      <c r="F175" s="286">
        <v>0</v>
      </c>
      <c r="G175" s="286">
        <v>0</v>
      </c>
      <c r="H175" s="287">
        <v>0</v>
      </c>
      <c r="J175">
        <v>-5.9277974084892548E-7</v>
      </c>
      <c r="K175">
        <v>0</v>
      </c>
      <c r="L175">
        <v>0</v>
      </c>
      <c r="M175">
        <v>0</v>
      </c>
      <c r="N175">
        <v>0</v>
      </c>
      <c r="O175" s="20"/>
      <c r="P175" s="20"/>
      <c r="Q175" s="147">
        <v>0.9</v>
      </c>
      <c r="R175" s="20"/>
      <c r="S175" s="20"/>
      <c r="T175" s="20"/>
      <c r="U175" s="20"/>
    </row>
    <row r="176" spans="1:51" ht="15" x14ac:dyDescent="0.25">
      <c r="A176" s="1"/>
      <c r="B176" s="2"/>
      <c r="C176" s="1" t="s">
        <v>10</v>
      </c>
      <c r="D176" s="285">
        <v>6.0503388200000003</v>
      </c>
      <c r="E176" s="286">
        <v>0</v>
      </c>
      <c r="F176" s="286">
        <v>0</v>
      </c>
      <c r="G176" s="286">
        <v>0</v>
      </c>
      <c r="H176" s="287">
        <v>0</v>
      </c>
      <c r="J176">
        <v>-1.5226914760191335E-6</v>
      </c>
      <c r="K176">
        <v>0</v>
      </c>
      <c r="L176">
        <v>0</v>
      </c>
      <c r="M176">
        <v>0</v>
      </c>
      <c r="N176">
        <v>0</v>
      </c>
      <c r="O176" s="20"/>
      <c r="P176" s="20"/>
      <c r="Q176" s="146">
        <v>0.9</v>
      </c>
      <c r="R176" s="20"/>
      <c r="S176" s="20"/>
      <c r="T176" s="20"/>
      <c r="U176" s="20"/>
    </row>
    <row r="177" spans="1:21" ht="15" x14ac:dyDescent="0.25">
      <c r="A177" s="1"/>
      <c r="B177" s="2"/>
      <c r="C177" s="1" t="s">
        <v>11</v>
      </c>
      <c r="D177" s="285">
        <v>1.9530215</v>
      </c>
      <c r="E177" s="286">
        <v>0</v>
      </c>
      <c r="F177" s="286">
        <v>0</v>
      </c>
      <c r="G177" s="286">
        <v>0</v>
      </c>
      <c r="H177" s="287">
        <v>0</v>
      </c>
      <c r="J177">
        <v>3.9409888019648065E-7</v>
      </c>
      <c r="K177">
        <v>0</v>
      </c>
      <c r="L177">
        <v>0</v>
      </c>
      <c r="M177">
        <v>0</v>
      </c>
      <c r="N177">
        <v>0</v>
      </c>
      <c r="O177" s="20"/>
      <c r="P177" s="20"/>
      <c r="Q177" s="146">
        <v>0.9</v>
      </c>
      <c r="R177" s="20"/>
      <c r="S177" s="20"/>
      <c r="T177" s="20"/>
      <c r="U177" s="20"/>
    </row>
    <row r="178" spans="1:21" ht="15" x14ac:dyDescent="0.25">
      <c r="A178" s="1"/>
      <c r="B178" s="2"/>
      <c r="C178" s="1" t="s">
        <v>12</v>
      </c>
      <c r="D178" s="285">
        <v>2239.5971424999998</v>
      </c>
      <c r="E178" s="286">
        <v>0</v>
      </c>
      <c r="F178" s="286">
        <v>0</v>
      </c>
      <c r="G178" s="286">
        <v>0</v>
      </c>
      <c r="H178" s="287">
        <v>0</v>
      </c>
      <c r="J178">
        <v>2.0651242266467307E-5</v>
      </c>
      <c r="K178">
        <v>0</v>
      </c>
      <c r="L178">
        <v>0</v>
      </c>
      <c r="M178">
        <v>0</v>
      </c>
      <c r="N178">
        <v>-1.1895432099971E-6</v>
      </c>
      <c r="O178" s="20"/>
      <c r="P178" s="20"/>
      <c r="Q178" s="146">
        <v>0.9</v>
      </c>
      <c r="R178" s="20"/>
      <c r="S178" s="20"/>
      <c r="T178" s="20"/>
      <c r="U178" s="20"/>
    </row>
    <row r="179" spans="1:21" ht="15" x14ac:dyDescent="0.25">
      <c r="A179" s="1"/>
      <c r="B179" s="2"/>
      <c r="C179" s="1" t="s">
        <v>13</v>
      </c>
      <c r="D179" s="285">
        <v>0</v>
      </c>
      <c r="E179" s="286">
        <v>0</v>
      </c>
      <c r="F179" s="286">
        <v>0</v>
      </c>
      <c r="G179" s="286">
        <v>0</v>
      </c>
      <c r="H179" s="287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 s="20"/>
      <c r="P179" s="20"/>
      <c r="Q179" s="146"/>
      <c r="R179" s="20"/>
      <c r="S179" s="20"/>
      <c r="T179" s="20"/>
      <c r="U179" s="20"/>
    </row>
    <row r="180" spans="1:21" ht="15" x14ac:dyDescent="0.25">
      <c r="A180" s="7"/>
      <c r="B180" s="8" t="s">
        <v>14</v>
      </c>
      <c r="C180" s="7"/>
      <c r="D180" s="288">
        <f>SUM(D174:D179)</f>
        <v>2263.0333399899996</v>
      </c>
      <c r="E180" s="289">
        <f>SUM(E174:E179)</f>
        <v>0</v>
      </c>
      <c r="F180" s="289">
        <f>SUM(F174:F179)</f>
        <v>0</v>
      </c>
      <c r="G180" s="289">
        <f>SUM(G174:G179)</f>
        <v>0</v>
      </c>
      <c r="H180" s="290">
        <f>SUM(H174:H179)</f>
        <v>0</v>
      </c>
      <c r="J180">
        <v>1.7825605473920092E-5</v>
      </c>
      <c r="K180">
        <v>0</v>
      </c>
      <c r="L180">
        <v>0</v>
      </c>
      <c r="M180">
        <v>0</v>
      </c>
      <c r="N180">
        <v>-1.190272867695233E-6</v>
      </c>
    </row>
    <row r="181" spans="1:21" ht="15" x14ac:dyDescent="0.25">
      <c r="A181" s="5"/>
      <c r="B181" s="9" t="s">
        <v>15</v>
      </c>
      <c r="C181" s="5"/>
      <c r="D181" s="185"/>
      <c r="E181" s="185"/>
      <c r="F181" s="185"/>
      <c r="G181" s="185"/>
      <c r="H181" s="235">
        <f>SUM(D180:H180)</f>
        <v>2263.0333399899996</v>
      </c>
    </row>
    <row r="182" spans="1:21" s="79" customFormat="1" ht="15" x14ac:dyDescent="0.25">
      <c r="A182" s="199"/>
      <c r="B182" s="198" t="s">
        <v>661</v>
      </c>
      <c r="C182" s="199"/>
    </row>
  </sheetData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A183"/>
  <sheetViews>
    <sheetView defaultGridColor="0" colorId="11" zoomScale="80" zoomScaleNormal="80" workbookViewId="0">
      <pane xSplit="3" topLeftCell="D1" activePane="topRight" state="frozen"/>
      <selection pane="topRight" activeCell="BA12" sqref="BA12:BA180"/>
    </sheetView>
  </sheetViews>
  <sheetFormatPr defaultRowHeight="12.75" x14ac:dyDescent="0.2"/>
  <cols>
    <col min="2" max="2" width="26.42578125" bestFit="1" customWidth="1"/>
    <col min="4" max="8" width="13.7109375" customWidth="1"/>
    <col min="10" max="14" width="13.5703125" customWidth="1"/>
    <col min="15" max="15" width="12" bestFit="1" customWidth="1"/>
    <col min="17" max="17" width="15.7109375" style="108" bestFit="1" customWidth="1"/>
    <col min="18" max="19" width="12" bestFit="1" customWidth="1"/>
    <col min="20" max="21" width="12" customWidth="1"/>
    <col min="22" max="25" width="11.5703125" customWidth="1"/>
    <col min="26" max="29" width="10.7109375" customWidth="1"/>
    <col min="30" max="30" width="11.42578125" customWidth="1"/>
    <col min="31" max="34" width="13.42578125" customWidth="1"/>
    <col min="35" max="39" width="10.85546875" customWidth="1"/>
    <col min="45" max="45" width="28.140625" customWidth="1"/>
    <col min="51" max="51" width="28.42578125" customWidth="1"/>
  </cols>
  <sheetData>
    <row r="1" spans="1:53" ht="15" x14ac:dyDescent="0.25">
      <c r="A1" s="15"/>
      <c r="B1" s="16"/>
    </row>
    <row r="2" spans="1:53" ht="15" x14ac:dyDescent="0.25">
      <c r="A2" s="15"/>
      <c r="B2" s="16"/>
      <c r="V2" s="99"/>
      <c r="W2" s="99"/>
      <c r="X2" s="99"/>
      <c r="Y2" s="99"/>
      <c r="Z2" s="26"/>
      <c r="AA2" s="26"/>
      <c r="AB2" s="26"/>
      <c r="AC2" s="26"/>
      <c r="AD2" s="26"/>
      <c r="AE2" s="28"/>
      <c r="AF2" s="28"/>
      <c r="AG2" s="28"/>
      <c r="AH2" s="28"/>
      <c r="AI2" s="124"/>
      <c r="AJ2" s="124"/>
      <c r="AK2" s="124"/>
      <c r="AL2" s="124"/>
      <c r="AM2" s="124"/>
    </row>
    <row r="3" spans="1:53" ht="78.75" x14ac:dyDescent="0.25">
      <c r="B3" s="16"/>
      <c r="D3" s="179" t="s">
        <v>861</v>
      </c>
      <c r="E3" s="179"/>
      <c r="F3" s="179"/>
      <c r="G3" s="179"/>
      <c r="H3" s="179"/>
      <c r="J3" s="181" t="s">
        <v>868</v>
      </c>
      <c r="K3" s="181"/>
      <c r="L3" s="181"/>
      <c r="M3" s="181"/>
      <c r="N3" s="181"/>
      <c r="V3" s="99" t="s">
        <v>534</v>
      </c>
      <c r="W3" s="99"/>
      <c r="X3" s="99"/>
      <c r="Y3" s="99"/>
      <c r="Z3" s="26" t="s">
        <v>535</v>
      </c>
      <c r="AA3" s="26"/>
      <c r="AB3" s="26"/>
      <c r="AC3" s="26"/>
      <c r="AD3" s="125"/>
      <c r="AE3" s="28" t="s">
        <v>536</v>
      </c>
      <c r="AF3" s="28"/>
      <c r="AG3" s="28"/>
      <c r="AH3" s="28"/>
      <c r="AI3" s="124" t="s">
        <v>537</v>
      </c>
      <c r="AJ3" s="131"/>
      <c r="AK3" s="131"/>
      <c r="AL3" s="131"/>
      <c r="AM3" s="131"/>
    </row>
    <row r="4" spans="1:53" ht="15.75" x14ac:dyDescent="0.25">
      <c r="D4" s="180"/>
      <c r="E4" s="180"/>
      <c r="F4" s="180"/>
      <c r="G4" s="180"/>
      <c r="H4" s="180"/>
      <c r="J4" s="182"/>
      <c r="K4" s="182"/>
      <c r="L4" s="182"/>
      <c r="M4" s="182"/>
      <c r="N4" s="182"/>
      <c r="V4" s="101" t="s">
        <v>40</v>
      </c>
      <c r="W4" s="101"/>
      <c r="X4" s="101"/>
      <c r="Y4" s="101"/>
      <c r="Z4" s="27" t="s">
        <v>40</v>
      </c>
      <c r="AA4" s="27"/>
      <c r="AB4" s="27"/>
      <c r="AC4" s="27"/>
      <c r="AD4" s="126"/>
      <c r="AE4" s="30" t="s">
        <v>40</v>
      </c>
      <c r="AF4" s="30"/>
      <c r="AG4" s="30"/>
      <c r="AH4" s="30"/>
      <c r="AI4" s="132" t="s">
        <v>40</v>
      </c>
      <c r="AJ4" s="133"/>
      <c r="AK4" s="133"/>
      <c r="AL4" s="133"/>
      <c r="AM4" s="133"/>
    </row>
    <row r="5" spans="1:53" ht="94.5" x14ac:dyDescent="0.25">
      <c r="A5" s="1"/>
      <c r="B5" s="2"/>
      <c r="C5" s="3"/>
      <c r="D5" s="103"/>
      <c r="E5" s="229"/>
      <c r="F5" s="229"/>
      <c r="G5" s="229"/>
      <c r="H5" s="229"/>
      <c r="J5" s="115"/>
      <c r="K5" s="232"/>
      <c r="L5" s="232"/>
      <c r="M5" s="232"/>
      <c r="N5" s="232"/>
      <c r="V5" s="103"/>
      <c r="W5" s="103"/>
      <c r="X5" s="103"/>
      <c r="Y5" s="103"/>
      <c r="Z5" s="93"/>
      <c r="AA5" s="236"/>
      <c r="AB5" s="236"/>
      <c r="AC5" s="236"/>
      <c r="AD5" s="127"/>
      <c r="AE5" s="90"/>
      <c r="AF5" s="90"/>
      <c r="AG5" s="90"/>
      <c r="AH5" s="90"/>
      <c r="AI5" s="134"/>
      <c r="AJ5" s="135"/>
      <c r="AK5" s="135"/>
      <c r="AL5" s="135"/>
      <c r="AM5" s="135"/>
      <c r="AO5" s="240" t="s">
        <v>727</v>
      </c>
      <c r="AP5" s="241"/>
      <c r="AQ5" s="241"/>
      <c r="AR5" s="241"/>
      <c r="AS5" s="242" t="s">
        <v>727</v>
      </c>
      <c r="AU5" s="244" t="s">
        <v>728</v>
      </c>
      <c r="AV5" s="245"/>
      <c r="AW5" s="245"/>
      <c r="AX5" s="245"/>
      <c r="AY5" s="246" t="s">
        <v>728</v>
      </c>
    </row>
    <row r="6" spans="1:53" ht="39" x14ac:dyDescent="0.25">
      <c r="A6" s="1"/>
      <c r="B6" s="2" t="s">
        <v>0</v>
      </c>
      <c r="C6" s="3"/>
      <c r="D6" s="234"/>
      <c r="E6" s="234" t="s">
        <v>862</v>
      </c>
      <c r="F6" s="234"/>
      <c r="G6" s="234"/>
      <c r="H6" s="234"/>
      <c r="J6" s="117" t="s">
        <v>862</v>
      </c>
      <c r="K6" s="117"/>
      <c r="L6" s="117"/>
      <c r="M6" s="117"/>
      <c r="N6" s="117"/>
      <c r="O6" s="17" t="s">
        <v>35</v>
      </c>
      <c r="P6" s="18"/>
      <c r="Q6" s="146">
        <v>2006</v>
      </c>
      <c r="R6" s="22" t="s">
        <v>38</v>
      </c>
      <c r="S6" s="22" t="s">
        <v>39</v>
      </c>
      <c r="T6" s="196" t="s">
        <v>659</v>
      </c>
      <c r="U6" s="196" t="s">
        <v>660</v>
      </c>
      <c r="V6" s="105" t="s">
        <v>862</v>
      </c>
      <c r="W6" s="105"/>
      <c r="X6" s="105"/>
      <c r="Y6" s="105"/>
      <c r="Z6" s="78" t="s">
        <v>862</v>
      </c>
      <c r="AA6" s="78"/>
      <c r="AB6" s="78"/>
      <c r="AC6" s="78"/>
      <c r="AD6" s="128" t="s">
        <v>42</v>
      </c>
      <c r="AE6" s="72" t="s">
        <v>862</v>
      </c>
      <c r="AF6" s="72"/>
      <c r="AG6" s="72"/>
      <c r="AH6" s="72"/>
      <c r="AI6" s="137" t="s">
        <v>862</v>
      </c>
      <c r="AJ6" s="137"/>
      <c r="AK6" s="137"/>
      <c r="AL6" s="137"/>
      <c r="AM6" s="137" t="s">
        <v>42</v>
      </c>
      <c r="AO6" s="118" t="s">
        <v>862</v>
      </c>
      <c r="AP6" s="118"/>
      <c r="AQ6" s="118"/>
      <c r="AR6" s="118"/>
      <c r="AS6" s="129"/>
      <c r="AU6" s="118" t="s">
        <v>862</v>
      </c>
      <c r="AV6" s="118"/>
      <c r="AW6" s="118"/>
      <c r="AX6" s="118"/>
      <c r="AY6" s="247"/>
    </row>
    <row r="7" spans="1:53" ht="26.25" x14ac:dyDescent="0.25">
      <c r="A7" s="1"/>
      <c r="B7" s="2" t="s">
        <v>1</v>
      </c>
      <c r="C7" s="2"/>
      <c r="D7" s="107"/>
      <c r="E7" s="107"/>
      <c r="F7" s="107"/>
      <c r="G7" s="107"/>
      <c r="H7" s="107"/>
      <c r="J7" s="119"/>
      <c r="K7" s="233"/>
      <c r="L7" s="233"/>
      <c r="M7" s="233"/>
      <c r="N7" s="233"/>
      <c r="O7" s="21" t="s">
        <v>36</v>
      </c>
      <c r="P7" s="21" t="s">
        <v>37</v>
      </c>
      <c r="Q7" s="148" t="s">
        <v>538</v>
      </c>
      <c r="R7" s="22"/>
      <c r="S7" s="22"/>
      <c r="T7" s="22"/>
      <c r="U7" s="22"/>
      <c r="V7" s="107"/>
      <c r="W7" s="107"/>
      <c r="X7" s="107"/>
      <c r="Y7" s="107"/>
      <c r="Z7" s="237"/>
      <c r="AA7" s="237"/>
      <c r="AB7" s="237"/>
      <c r="AC7" s="237"/>
      <c r="AD7" s="129"/>
      <c r="AE7" s="91"/>
      <c r="AF7" s="91"/>
      <c r="AG7" s="91"/>
      <c r="AH7" s="91"/>
      <c r="AI7" s="139"/>
      <c r="AJ7" s="139"/>
      <c r="AK7" s="139"/>
      <c r="AL7" s="139"/>
      <c r="AM7" s="139"/>
      <c r="AS7" s="129"/>
      <c r="AY7" s="247"/>
      <c r="BA7" t="s">
        <v>864</v>
      </c>
    </row>
    <row r="8" spans="1:53" ht="15.75" x14ac:dyDescent="0.25">
      <c r="A8" s="1"/>
      <c r="B8" s="2" t="s">
        <v>4</v>
      </c>
      <c r="C8" s="2"/>
      <c r="D8" s="107"/>
      <c r="E8" s="230"/>
      <c r="F8" s="230"/>
      <c r="G8" s="230"/>
      <c r="H8" s="230"/>
      <c r="J8" s="183"/>
      <c r="K8" s="183"/>
      <c r="L8" s="183"/>
      <c r="M8" s="183"/>
      <c r="N8" s="183"/>
      <c r="O8" s="20"/>
      <c r="P8" s="20"/>
      <c r="Q8" s="145"/>
      <c r="R8" s="20"/>
      <c r="S8" s="20"/>
      <c r="T8" s="20"/>
      <c r="U8" s="20"/>
      <c r="V8" s="107"/>
      <c r="W8" s="107"/>
      <c r="X8" s="107"/>
      <c r="Y8" s="107"/>
      <c r="Z8" s="237">
        <v>2903</v>
      </c>
      <c r="AA8" s="237">
        <v>2903</v>
      </c>
      <c r="AB8" s="237">
        <v>2903</v>
      </c>
      <c r="AC8" s="237">
        <v>2903</v>
      </c>
      <c r="AD8" s="129"/>
      <c r="AE8" s="91"/>
      <c r="AF8" s="91"/>
      <c r="AG8" s="91"/>
      <c r="AH8" s="91"/>
      <c r="AI8" s="237">
        <v>2903</v>
      </c>
      <c r="AJ8" s="237">
        <v>2903</v>
      </c>
      <c r="AK8" s="237">
        <v>2903</v>
      </c>
      <c r="AL8" s="237">
        <v>2903</v>
      </c>
      <c r="AM8" s="139"/>
      <c r="AS8" s="129"/>
      <c r="AY8" s="247"/>
    </row>
    <row r="9" spans="1:53" ht="15.75" x14ac:dyDescent="0.25">
      <c r="A9" s="1"/>
      <c r="B9" s="15" t="s">
        <v>558</v>
      </c>
      <c r="C9" s="2"/>
      <c r="D9" s="109"/>
      <c r="E9" s="231"/>
      <c r="F9" s="231"/>
      <c r="G9" s="231"/>
      <c r="H9" s="231"/>
      <c r="J9" s="119"/>
      <c r="K9" s="233"/>
      <c r="L9" s="233"/>
      <c r="M9" s="233"/>
      <c r="N9" s="233"/>
      <c r="O9" s="21"/>
      <c r="P9" s="21"/>
      <c r="Q9" s="145"/>
      <c r="R9" s="20"/>
      <c r="S9" s="20"/>
      <c r="T9" s="20"/>
      <c r="U9" s="20"/>
      <c r="V9" s="109"/>
      <c r="W9" s="109"/>
      <c r="X9" s="109"/>
      <c r="Y9" s="109"/>
      <c r="Z9" s="238"/>
      <c r="AA9" s="238"/>
      <c r="AB9" s="238"/>
      <c r="AC9" s="238"/>
      <c r="AD9" s="129"/>
      <c r="AE9" s="92"/>
      <c r="AF9" s="92"/>
      <c r="AG9" s="92"/>
      <c r="AH9" s="92"/>
      <c r="AI9" s="139"/>
      <c r="AJ9" s="139"/>
      <c r="AK9" s="139"/>
      <c r="AL9" s="139"/>
      <c r="AM9" s="139"/>
      <c r="AO9" s="239">
        <v>2006</v>
      </c>
      <c r="AP9" s="239">
        <v>2006</v>
      </c>
      <c r="AQ9" s="239">
        <v>2006</v>
      </c>
      <c r="AR9" s="239">
        <v>2006</v>
      </c>
      <c r="AS9" s="243">
        <v>2006</v>
      </c>
      <c r="AU9" s="239">
        <v>2006</v>
      </c>
      <c r="AV9" s="239">
        <v>2006</v>
      </c>
      <c r="AW9" s="239">
        <v>2006</v>
      </c>
      <c r="AX9" s="239">
        <v>2006</v>
      </c>
      <c r="AY9" s="248">
        <v>2006</v>
      </c>
    </row>
    <row r="10" spans="1:53" ht="15" x14ac:dyDescent="0.2">
      <c r="B10" s="15" t="s">
        <v>726</v>
      </c>
      <c r="AO10" s="239">
        <v>0.83220000000000005</v>
      </c>
      <c r="AP10" s="239">
        <v>0.83220000000000005</v>
      </c>
      <c r="AQ10" s="239">
        <v>0.83220000000000005</v>
      </c>
      <c r="AR10" s="239">
        <v>0.83220000000000005</v>
      </c>
      <c r="AU10" s="239">
        <v>0.83220000000000005</v>
      </c>
      <c r="AV10" s="239">
        <v>0.83220000000000005</v>
      </c>
      <c r="AW10" s="239">
        <v>0.83220000000000005</v>
      </c>
      <c r="AX10" s="239">
        <v>0.83220000000000005</v>
      </c>
    </row>
    <row r="11" spans="1:53" ht="27" x14ac:dyDescent="0.25">
      <c r="A11" s="1"/>
      <c r="B11" s="2" t="s">
        <v>5</v>
      </c>
      <c r="C11" s="4" t="s">
        <v>6</v>
      </c>
      <c r="D11" s="107"/>
      <c r="E11" s="230"/>
      <c r="F11" s="230"/>
      <c r="G11" s="230"/>
      <c r="H11" s="230"/>
      <c r="J11" s="183"/>
      <c r="K11" s="183"/>
      <c r="L11" s="183"/>
      <c r="M11" s="183"/>
      <c r="N11" s="183"/>
      <c r="O11" s="20"/>
      <c r="P11" s="20"/>
      <c r="Q11" s="147"/>
      <c r="R11" s="20"/>
      <c r="S11" s="20"/>
      <c r="T11" s="20"/>
      <c r="U11" s="20"/>
      <c r="V11" s="230"/>
      <c r="W11" s="230"/>
      <c r="X11" s="230"/>
      <c r="Y11" s="230"/>
      <c r="Z11" s="130"/>
      <c r="AA11" s="130"/>
      <c r="AB11" s="130"/>
      <c r="AC11" s="130"/>
      <c r="AD11" s="129"/>
      <c r="AE11" s="91"/>
      <c r="AF11" s="91"/>
      <c r="AG11" s="91"/>
      <c r="AH11" s="91"/>
      <c r="AI11" s="139"/>
      <c r="AJ11" s="139"/>
      <c r="AK11" s="139"/>
      <c r="AL11" s="139"/>
      <c r="AM11" s="139"/>
    </row>
    <row r="12" spans="1:53" ht="15" x14ac:dyDescent="0.25">
      <c r="A12" s="1">
        <v>1</v>
      </c>
      <c r="B12" s="2" t="s">
        <v>7</v>
      </c>
      <c r="C12" s="3" t="s">
        <v>8</v>
      </c>
      <c r="D12">
        <v>0</v>
      </c>
      <c r="E12" s="360">
        <v>47.0105</v>
      </c>
      <c r="F12">
        <v>0</v>
      </c>
      <c r="G12">
        <v>0</v>
      </c>
      <c r="H12">
        <v>0</v>
      </c>
      <c r="J12">
        <v>0</v>
      </c>
      <c r="K12" s="14">
        <v>37.234618939624283</v>
      </c>
      <c r="L12">
        <v>0</v>
      </c>
      <c r="M12">
        <v>0</v>
      </c>
      <c r="N12">
        <v>0</v>
      </c>
      <c r="O12" s="20">
        <v>0.36775204520040022</v>
      </c>
      <c r="P12" s="20">
        <v>0.57913019816794442</v>
      </c>
      <c r="Q12" s="438">
        <v>5.9638254990238546E-2</v>
      </c>
      <c r="R12" s="197">
        <v>0.17699999999999999</v>
      </c>
      <c r="S12" s="197">
        <v>1.77</v>
      </c>
      <c r="T12" s="197">
        <v>0.50078889239507718</v>
      </c>
      <c r="U12" s="197">
        <v>0.75268470790377973</v>
      </c>
      <c r="V12" s="20">
        <f t="shared" ref="V12:Y17" si="0">IF(K12&gt;0,((E12-K12)*$Q12*$R12*10)+(K12*$O$12*$Q12*$R12*10),(E12*$Q12*$R12*10))</f>
        <v>2.4773796331409388</v>
      </c>
      <c r="W12" s="20">
        <f t="shared" si="0"/>
        <v>0</v>
      </c>
      <c r="X12" s="20">
        <f t="shared" si="0"/>
        <v>0</v>
      </c>
      <c r="Y12" s="20">
        <f t="shared" si="0"/>
        <v>0</v>
      </c>
      <c r="Z12" s="20">
        <f t="shared" ref="Z12:AC17" si="1">V12*(EXP(1.01-0.34*LN(Z$8))*(1-$T12)+(1*$T12))</f>
        <v>1.4663518308758794</v>
      </c>
      <c r="AA12" s="20">
        <f t="shared" si="1"/>
        <v>0</v>
      </c>
      <c r="AB12" s="20">
        <f t="shared" si="1"/>
        <v>0</v>
      </c>
      <c r="AC12" s="20">
        <f t="shared" si="1"/>
        <v>0</v>
      </c>
      <c r="AD12" s="20">
        <f t="shared" ref="AD12:AD17" si="2">SUM(Z12:AC12)</f>
        <v>1.4663518308758794</v>
      </c>
      <c r="AE12" s="20">
        <f t="shared" ref="AE12:AH17" si="3">IF(K12&gt;0,((E12-K12)*$Q12*$S12*10)+(K12*$P$12*$Q12*$S12)*10,(E12*$Q12*$S12*10))</f>
        <v>33.081963114285799</v>
      </c>
      <c r="AF12" s="20">
        <f t="shared" si="3"/>
        <v>0</v>
      </c>
      <c r="AG12" s="20">
        <f t="shared" si="3"/>
        <v>0</v>
      </c>
      <c r="AH12" s="20">
        <f t="shared" si="3"/>
        <v>0</v>
      </c>
      <c r="AI12" s="20">
        <f t="shared" ref="AI12:AL17" si="4">AE12*(EXP(1.01-0.34*LN(AI$8))*(1-$U12)+(1*$U12))</f>
        <v>26.393466072702171</v>
      </c>
      <c r="AJ12" s="20">
        <f t="shared" si="4"/>
        <v>0</v>
      </c>
      <c r="AK12" s="20">
        <f t="shared" si="4"/>
        <v>0</v>
      </c>
      <c r="AL12" s="20">
        <f t="shared" si="4"/>
        <v>0</v>
      </c>
      <c r="AM12" s="20">
        <f t="shared" ref="AM12:AM17" si="5">SUM(AI12:AL12)</f>
        <v>26.393466072702171</v>
      </c>
      <c r="AO12">
        <f t="shared" ref="AO12:AR17" si="6">Z12*AO$10</f>
        <v>1.220297993654907</v>
      </c>
      <c r="AP12">
        <f t="shared" si="6"/>
        <v>0</v>
      </c>
      <c r="AQ12">
        <f t="shared" si="6"/>
        <v>0</v>
      </c>
      <c r="AR12">
        <f t="shared" si="6"/>
        <v>0</v>
      </c>
      <c r="AS12">
        <f t="shared" ref="AS12:AS17" si="7">SUM(AO12:AR12)</f>
        <v>1.220297993654907</v>
      </c>
      <c r="AU12">
        <f t="shared" ref="AU12:AX17" si="8">AI12*AU$10</f>
        <v>21.964642465702749</v>
      </c>
      <c r="AV12">
        <f t="shared" si="8"/>
        <v>0</v>
      </c>
      <c r="AW12">
        <f t="shared" si="8"/>
        <v>0</v>
      </c>
      <c r="AX12">
        <f t="shared" si="8"/>
        <v>0</v>
      </c>
      <c r="AY12">
        <f t="shared" ref="AY12:AY17" si="9">SUM(AU12:AX12)</f>
        <v>21.964642465702749</v>
      </c>
    </row>
    <row r="13" spans="1:53" ht="15" x14ac:dyDescent="0.25">
      <c r="A13" s="1"/>
      <c r="B13" s="2"/>
      <c r="C13" s="1" t="s">
        <v>9</v>
      </c>
      <c r="D13">
        <v>0</v>
      </c>
      <c r="E13" s="360">
        <v>6.9507000000000003</v>
      </c>
      <c r="F13">
        <v>0</v>
      </c>
      <c r="G13">
        <v>0</v>
      </c>
      <c r="H13">
        <v>0</v>
      </c>
      <c r="J13">
        <v>0</v>
      </c>
      <c r="K13" s="14">
        <v>5.320047699801</v>
      </c>
      <c r="L13">
        <v>0</v>
      </c>
      <c r="M13">
        <v>0</v>
      </c>
      <c r="N13">
        <v>0</v>
      </c>
      <c r="O13" s="20"/>
      <c r="P13" s="20"/>
      <c r="Q13" s="438">
        <v>7.4276509980477093E-2</v>
      </c>
      <c r="R13" s="197">
        <v>0.17699999999999999</v>
      </c>
      <c r="S13" s="197">
        <v>1.77</v>
      </c>
      <c r="T13" s="197">
        <v>0.50078889239507718</v>
      </c>
      <c r="U13" s="197">
        <v>0.75268470790377973</v>
      </c>
      <c r="V13" s="20">
        <f t="shared" si="0"/>
        <v>0.47159537570628662</v>
      </c>
      <c r="W13" s="20">
        <f t="shared" si="0"/>
        <v>0</v>
      </c>
      <c r="X13" s="20">
        <f t="shared" si="0"/>
        <v>0</v>
      </c>
      <c r="Y13" s="20">
        <f t="shared" si="0"/>
        <v>0</v>
      </c>
      <c r="Z13" s="20">
        <f t="shared" si="1"/>
        <v>0.27913555651652949</v>
      </c>
      <c r="AA13" s="20">
        <f t="shared" si="1"/>
        <v>0</v>
      </c>
      <c r="AB13" s="20">
        <f t="shared" si="1"/>
        <v>0</v>
      </c>
      <c r="AC13" s="20">
        <f t="shared" si="1"/>
        <v>0</v>
      </c>
      <c r="AD13" s="20">
        <f t="shared" si="2"/>
        <v>0.27913555651652949</v>
      </c>
      <c r="AE13" s="20">
        <f t="shared" si="3"/>
        <v>6.1943824434125574</v>
      </c>
      <c r="AF13" s="20">
        <f t="shared" si="3"/>
        <v>0</v>
      </c>
      <c r="AG13" s="20">
        <f t="shared" si="3"/>
        <v>0</v>
      </c>
      <c r="AH13" s="20">
        <f t="shared" si="3"/>
        <v>0</v>
      </c>
      <c r="AI13" s="20">
        <f t="shared" si="4"/>
        <v>4.9420048712571969</v>
      </c>
      <c r="AJ13" s="20">
        <f t="shared" si="4"/>
        <v>0</v>
      </c>
      <c r="AK13" s="20">
        <f t="shared" si="4"/>
        <v>0</v>
      </c>
      <c r="AL13" s="20">
        <f t="shared" si="4"/>
        <v>0</v>
      </c>
      <c r="AM13" s="20">
        <f t="shared" si="5"/>
        <v>4.9420048712571969</v>
      </c>
      <c r="AO13">
        <f t="shared" si="6"/>
        <v>0.23229661013305586</v>
      </c>
      <c r="AP13">
        <f t="shared" si="6"/>
        <v>0</v>
      </c>
      <c r="AQ13">
        <f t="shared" si="6"/>
        <v>0</v>
      </c>
      <c r="AR13">
        <f t="shared" si="6"/>
        <v>0</v>
      </c>
      <c r="AS13">
        <f t="shared" si="7"/>
        <v>0.23229661013305586</v>
      </c>
      <c r="AU13">
        <f t="shared" si="8"/>
        <v>4.1127364538602391</v>
      </c>
      <c r="AV13">
        <f t="shared" si="8"/>
        <v>0</v>
      </c>
      <c r="AW13">
        <f t="shared" si="8"/>
        <v>0</v>
      </c>
      <c r="AX13">
        <f t="shared" si="8"/>
        <v>0</v>
      </c>
      <c r="AY13">
        <f t="shared" si="9"/>
        <v>4.1127364538602391</v>
      </c>
    </row>
    <row r="14" spans="1:53" ht="15" x14ac:dyDescent="0.25">
      <c r="A14" s="1"/>
      <c r="B14" s="2"/>
      <c r="C14" s="1" t="s">
        <v>10</v>
      </c>
      <c r="D14">
        <v>0</v>
      </c>
      <c r="E14" s="360">
        <v>0.9526</v>
      </c>
      <c r="F14">
        <v>0</v>
      </c>
      <c r="G14">
        <v>0</v>
      </c>
      <c r="H14">
        <v>0</v>
      </c>
      <c r="J14">
        <v>0</v>
      </c>
      <c r="K14" s="14">
        <v>-1.1364075421309998</v>
      </c>
      <c r="L14">
        <v>0</v>
      </c>
      <c r="M14">
        <v>0</v>
      </c>
      <c r="N14">
        <v>0</v>
      </c>
      <c r="O14" s="20"/>
      <c r="P14" s="20"/>
      <c r="Q14" s="438">
        <v>8.8914764970715626E-2</v>
      </c>
      <c r="R14" s="197">
        <v>0.17699999999999999</v>
      </c>
      <c r="S14" s="197">
        <v>1.77</v>
      </c>
      <c r="T14" s="197">
        <v>0.50078889239507718</v>
      </c>
      <c r="U14" s="197">
        <v>0.75268470790377973</v>
      </c>
      <c r="V14" s="20">
        <f t="shared" si="0"/>
        <v>0.14991936304665357</v>
      </c>
      <c r="W14" s="20">
        <f t="shared" si="0"/>
        <v>0</v>
      </c>
      <c r="X14" s="20">
        <f t="shared" si="0"/>
        <v>0</v>
      </c>
      <c r="Y14" s="20">
        <f t="shared" si="0"/>
        <v>0</v>
      </c>
      <c r="Z14" s="20">
        <f t="shared" si="1"/>
        <v>8.8736715821179785E-2</v>
      </c>
      <c r="AA14" s="20">
        <f t="shared" si="1"/>
        <v>0</v>
      </c>
      <c r="AB14" s="20">
        <f t="shared" si="1"/>
        <v>0</v>
      </c>
      <c r="AC14" s="20">
        <f t="shared" si="1"/>
        <v>0</v>
      </c>
      <c r="AD14" s="20">
        <f t="shared" si="2"/>
        <v>8.8736715821179785E-2</v>
      </c>
      <c r="AE14" s="20">
        <f t="shared" si="3"/>
        <v>1.4991936304665356</v>
      </c>
      <c r="AF14" s="20">
        <f t="shared" si="3"/>
        <v>0</v>
      </c>
      <c r="AG14" s="20">
        <f t="shared" si="3"/>
        <v>0</v>
      </c>
      <c r="AH14" s="20">
        <f t="shared" si="3"/>
        <v>0</v>
      </c>
      <c r="AI14" s="20">
        <f t="shared" si="4"/>
        <v>1.1960873085262176</v>
      </c>
      <c r="AJ14" s="20">
        <f t="shared" si="4"/>
        <v>0</v>
      </c>
      <c r="AK14" s="20">
        <f t="shared" si="4"/>
        <v>0</v>
      </c>
      <c r="AL14" s="20">
        <f t="shared" si="4"/>
        <v>0</v>
      </c>
      <c r="AM14" s="20">
        <f t="shared" si="5"/>
        <v>1.1960873085262176</v>
      </c>
      <c r="AO14">
        <f t="shared" si="6"/>
        <v>7.3846694906385818E-2</v>
      </c>
      <c r="AP14">
        <f t="shared" si="6"/>
        <v>0</v>
      </c>
      <c r="AQ14">
        <f t="shared" si="6"/>
        <v>0</v>
      </c>
      <c r="AR14">
        <f t="shared" si="6"/>
        <v>0</v>
      </c>
      <c r="AS14">
        <f t="shared" si="7"/>
        <v>7.3846694906385818E-2</v>
      </c>
      <c r="AU14">
        <f t="shared" si="8"/>
        <v>0.99538385815551833</v>
      </c>
      <c r="AV14">
        <f t="shared" si="8"/>
        <v>0</v>
      </c>
      <c r="AW14">
        <f t="shared" si="8"/>
        <v>0</v>
      </c>
      <c r="AX14">
        <f t="shared" si="8"/>
        <v>0</v>
      </c>
      <c r="AY14">
        <f t="shared" si="9"/>
        <v>0.99538385815551833</v>
      </c>
    </row>
    <row r="15" spans="1:53" ht="15" x14ac:dyDescent="0.25">
      <c r="A15" s="1"/>
      <c r="B15" s="2"/>
      <c r="C15" s="1" t="s">
        <v>11</v>
      </c>
      <c r="D15">
        <v>0</v>
      </c>
      <c r="E15" s="360">
        <v>17.2622</v>
      </c>
      <c r="F15">
        <v>0</v>
      </c>
      <c r="G15">
        <v>0</v>
      </c>
      <c r="H15">
        <v>0</v>
      </c>
      <c r="J15">
        <v>0</v>
      </c>
      <c r="K15" s="14">
        <v>5.5363741905186252</v>
      </c>
      <c r="L15">
        <v>0</v>
      </c>
      <c r="M15">
        <v>0</v>
      </c>
      <c r="N15">
        <v>0</v>
      </c>
      <c r="O15" s="20"/>
      <c r="P15" s="20"/>
      <c r="Q15" s="438">
        <v>0.10355301996095417</v>
      </c>
      <c r="R15" s="197">
        <v>0.17699999999999999</v>
      </c>
      <c r="S15" s="197">
        <v>1.77</v>
      </c>
      <c r="T15" s="197">
        <v>0.50078889239507718</v>
      </c>
      <c r="U15" s="197">
        <v>0.75268470790377973</v>
      </c>
      <c r="V15" s="20">
        <f t="shared" si="0"/>
        <v>2.5223915324749884</v>
      </c>
      <c r="W15" s="20">
        <f t="shared" si="0"/>
        <v>0</v>
      </c>
      <c r="X15" s="20">
        <f t="shared" si="0"/>
        <v>0</v>
      </c>
      <c r="Y15" s="20">
        <f t="shared" si="0"/>
        <v>0</v>
      </c>
      <c r="Z15" s="20">
        <f t="shared" si="1"/>
        <v>1.4929942074082168</v>
      </c>
      <c r="AA15" s="20">
        <f t="shared" si="1"/>
        <v>0</v>
      </c>
      <c r="AB15" s="20">
        <f t="shared" si="1"/>
        <v>0</v>
      </c>
      <c r="AC15" s="20">
        <f t="shared" si="1"/>
        <v>0</v>
      </c>
      <c r="AD15" s="20">
        <f t="shared" si="2"/>
        <v>1.4929942074082168</v>
      </c>
      <c r="AE15" s="20">
        <f t="shared" si="3"/>
        <v>27.368887038285038</v>
      </c>
      <c r="AF15" s="20">
        <f t="shared" si="3"/>
        <v>0</v>
      </c>
      <c r="AG15" s="20">
        <f t="shared" si="3"/>
        <v>0</v>
      </c>
      <c r="AH15" s="20">
        <f t="shared" si="3"/>
        <v>0</v>
      </c>
      <c r="AI15" s="20">
        <f t="shared" si="4"/>
        <v>21.835457254973406</v>
      </c>
      <c r="AJ15" s="20">
        <f t="shared" si="4"/>
        <v>0</v>
      </c>
      <c r="AK15" s="20">
        <f t="shared" si="4"/>
        <v>0</v>
      </c>
      <c r="AL15" s="20">
        <f t="shared" si="4"/>
        <v>0</v>
      </c>
      <c r="AM15" s="20">
        <f t="shared" si="5"/>
        <v>21.835457254973406</v>
      </c>
      <c r="AO15">
        <f t="shared" si="6"/>
        <v>1.242469779405118</v>
      </c>
      <c r="AP15">
        <f t="shared" si="6"/>
        <v>0</v>
      </c>
      <c r="AQ15">
        <f t="shared" si="6"/>
        <v>0</v>
      </c>
      <c r="AR15">
        <f t="shared" si="6"/>
        <v>0</v>
      </c>
      <c r="AS15">
        <f t="shared" si="7"/>
        <v>1.242469779405118</v>
      </c>
      <c r="AU15">
        <f t="shared" si="8"/>
        <v>18.17146752758887</v>
      </c>
      <c r="AV15">
        <f t="shared" si="8"/>
        <v>0</v>
      </c>
      <c r="AW15">
        <f t="shared" si="8"/>
        <v>0</v>
      </c>
      <c r="AX15">
        <f t="shared" si="8"/>
        <v>0</v>
      </c>
      <c r="AY15">
        <f t="shared" si="9"/>
        <v>18.17146752758887</v>
      </c>
    </row>
    <row r="16" spans="1:53" ht="15" x14ac:dyDescent="0.25">
      <c r="A16" s="5"/>
      <c r="B16" s="6"/>
      <c r="C16" s="5" t="s">
        <v>12</v>
      </c>
      <c r="D16">
        <v>0</v>
      </c>
      <c r="E16" s="360">
        <v>0</v>
      </c>
      <c r="F16">
        <v>0</v>
      </c>
      <c r="G16">
        <v>0</v>
      </c>
      <c r="H16">
        <v>0</v>
      </c>
      <c r="J16">
        <v>0</v>
      </c>
      <c r="K16" s="14">
        <v>0</v>
      </c>
      <c r="L16">
        <v>0</v>
      </c>
      <c r="M16">
        <v>0</v>
      </c>
      <c r="N16">
        <v>0</v>
      </c>
      <c r="O16" s="20"/>
      <c r="P16" s="20"/>
      <c r="Q16" s="438"/>
      <c r="R16" s="197">
        <v>0.17699999999999999</v>
      </c>
      <c r="S16" s="197">
        <v>1.77</v>
      </c>
      <c r="T16" s="197">
        <v>0.50078889239507718</v>
      </c>
      <c r="U16" s="197">
        <v>0.75268470790377973</v>
      </c>
      <c r="V16" s="20">
        <f t="shared" si="0"/>
        <v>0</v>
      </c>
      <c r="W16" s="20">
        <f t="shared" si="0"/>
        <v>0</v>
      </c>
      <c r="X16" s="20">
        <f t="shared" si="0"/>
        <v>0</v>
      </c>
      <c r="Y16" s="20">
        <f t="shared" si="0"/>
        <v>0</v>
      </c>
      <c r="Z16" s="20">
        <f t="shared" si="1"/>
        <v>0</v>
      </c>
      <c r="AA16" s="20">
        <f t="shared" si="1"/>
        <v>0</v>
      </c>
      <c r="AB16" s="20">
        <f t="shared" si="1"/>
        <v>0</v>
      </c>
      <c r="AC16" s="20">
        <f t="shared" si="1"/>
        <v>0</v>
      </c>
      <c r="AD16" s="20">
        <f t="shared" si="2"/>
        <v>0</v>
      </c>
      <c r="AE16" s="20">
        <f t="shared" si="3"/>
        <v>0</v>
      </c>
      <c r="AF16" s="20">
        <f t="shared" si="3"/>
        <v>0</v>
      </c>
      <c r="AG16" s="20">
        <f t="shared" si="3"/>
        <v>0</v>
      </c>
      <c r="AH16" s="20">
        <f t="shared" si="3"/>
        <v>0</v>
      </c>
      <c r="AI16" s="20">
        <f t="shared" si="4"/>
        <v>0</v>
      </c>
      <c r="AJ16" s="20">
        <f t="shared" si="4"/>
        <v>0</v>
      </c>
      <c r="AK16" s="20">
        <f t="shared" si="4"/>
        <v>0</v>
      </c>
      <c r="AL16" s="20">
        <f t="shared" si="4"/>
        <v>0</v>
      </c>
      <c r="AM16" s="20">
        <f t="shared" si="5"/>
        <v>0</v>
      </c>
      <c r="AO16">
        <f t="shared" si="6"/>
        <v>0</v>
      </c>
      <c r="AP16">
        <f t="shared" si="6"/>
        <v>0</v>
      </c>
      <c r="AQ16">
        <f t="shared" si="6"/>
        <v>0</v>
      </c>
      <c r="AR16">
        <f t="shared" si="6"/>
        <v>0</v>
      </c>
      <c r="AS16">
        <f t="shared" si="7"/>
        <v>0</v>
      </c>
      <c r="AU16">
        <f t="shared" si="8"/>
        <v>0</v>
      </c>
      <c r="AV16">
        <f t="shared" si="8"/>
        <v>0</v>
      </c>
      <c r="AW16">
        <f t="shared" si="8"/>
        <v>0</v>
      </c>
      <c r="AX16">
        <f t="shared" si="8"/>
        <v>0</v>
      </c>
      <c r="AY16">
        <f t="shared" si="9"/>
        <v>0</v>
      </c>
    </row>
    <row r="17" spans="1:53" ht="15" x14ac:dyDescent="0.25">
      <c r="A17" s="5"/>
      <c r="B17" s="6"/>
      <c r="C17" s="5" t="s">
        <v>13</v>
      </c>
      <c r="D17">
        <v>0</v>
      </c>
      <c r="E17" s="360">
        <v>0.1033</v>
      </c>
      <c r="F17">
        <v>0</v>
      </c>
      <c r="G17">
        <v>0</v>
      </c>
      <c r="H17">
        <v>0</v>
      </c>
      <c r="J17">
        <v>0</v>
      </c>
      <c r="K17" s="14">
        <v>0.1033</v>
      </c>
      <c r="L17">
        <v>0</v>
      </c>
      <c r="M17">
        <v>0</v>
      </c>
      <c r="N17">
        <v>0</v>
      </c>
      <c r="O17" s="20"/>
      <c r="P17" s="20"/>
      <c r="Q17" s="438">
        <v>0.10355301996095419</v>
      </c>
      <c r="R17" s="197">
        <v>0.17699999999999999</v>
      </c>
      <c r="S17" s="197">
        <v>1.77</v>
      </c>
      <c r="T17" s="197">
        <v>0.50078889239507718</v>
      </c>
      <c r="U17" s="197">
        <v>0.75268470790377973</v>
      </c>
      <c r="V17" s="20">
        <f t="shared" si="0"/>
        <v>6.9629207708038409E-3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1"/>
        <v>4.1213270198589089E-3</v>
      </c>
      <c r="AA17" s="20">
        <f t="shared" si="1"/>
        <v>0</v>
      </c>
      <c r="AB17" s="20">
        <f t="shared" si="1"/>
        <v>0</v>
      </c>
      <c r="AC17" s="20">
        <f t="shared" si="1"/>
        <v>0</v>
      </c>
      <c r="AD17" s="20">
        <f t="shared" si="2"/>
        <v>4.1213270198589089E-3</v>
      </c>
      <c r="AE17" s="20">
        <f t="shared" si="3"/>
        <v>0.10965099279396032</v>
      </c>
      <c r="AF17" s="20">
        <f t="shared" si="3"/>
        <v>0</v>
      </c>
      <c r="AG17" s="20">
        <f t="shared" si="3"/>
        <v>0</v>
      </c>
      <c r="AH17" s="20">
        <f t="shared" si="3"/>
        <v>0</v>
      </c>
      <c r="AI17" s="20">
        <f t="shared" si="4"/>
        <v>8.7481802338862852E-2</v>
      </c>
      <c r="AJ17" s="20">
        <f t="shared" si="4"/>
        <v>0</v>
      </c>
      <c r="AK17" s="20">
        <f t="shared" si="4"/>
        <v>0</v>
      </c>
      <c r="AL17" s="20">
        <f t="shared" si="4"/>
        <v>0</v>
      </c>
      <c r="AM17" s="20">
        <f t="shared" si="5"/>
        <v>8.7481802338862852E-2</v>
      </c>
      <c r="AO17">
        <f t="shared" si="6"/>
        <v>3.4297683459265844E-3</v>
      </c>
      <c r="AP17">
        <f t="shared" si="6"/>
        <v>0</v>
      </c>
      <c r="AQ17">
        <f t="shared" si="6"/>
        <v>0</v>
      </c>
      <c r="AR17">
        <f t="shared" si="6"/>
        <v>0</v>
      </c>
      <c r="AS17">
        <f t="shared" si="7"/>
        <v>3.4297683459265844E-3</v>
      </c>
      <c r="AU17">
        <f t="shared" si="8"/>
        <v>7.2802355906401675E-2</v>
      </c>
      <c r="AV17">
        <f t="shared" si="8"/>
        <v>0</v>
      </c>
      <c r="AW17">
        <f t="shared" si="8"/>
        <v>0</v>
      </c>
      <c r="AX17">
        <f t="shared" si="8"/>
        <v>0</v>
      </c>
      <c r="AY17">
        <f t="shared" si="9"/>
        <v>7.2802355906401675E-2</v>
      </c>
    </row>
    <row r="18" spans="1:53" ht="15" x14ac:dyDescent="0.25">
      <c r="A18" s="7"/>
      <c r="B18" s="8" t="s">
        <v>14</v>
      </c>
      <c r="C18" s="7"/>
      <c r="D18" s="357">
        <f t="shared" ref="D18:H18" si="10">SUM(D12:D17)</f>
        <v>0</v>
      </c>
      <c r="E18" s="363">
        <f>SUM(E12:E17)</f>
        <v>72.279299999999992</v>
      </c>
      <c r="F18" s="357">
        <f t="shared" si="10"/>
        <v>0</v>
      </c>
      <c r="G18" s="357">
        <f t="shared" si="10"/>
        <v>0</v>
      </c>
      <c r="H18" s="357">
        <f t="shared" si="10"/>
        <v>0</v>
      </c>
      <c r="J18">
        <v>0</v>
      </c>
      <c r="K18" s="14">
        <v>47.057933287812901</v>
      </c>
      <c r="L18">
        <v>0</v>
      </c>
      <c r="M18">
        <v>0</v>
      </c>
      <c r="N18">
        <v>0</v>
      </c>
      <c r="O18" s="20"/>
      <c r="P18" s="20"/>
      <c r="Q18" s="438">
        <v>7.1982546834058497E-2</v>
      </c>
      <c r="R18" s="197"/>
      <c r="S18" s="197"/>
      <c r="T18" s="197"/>
      <c r="U18" s="197"/>
      <c r="BA18" s="319">
        <f>(E18*10000*Q18*AU$10)</f>
        <v>43298.101866421021</v>
      </c>
    </row>
    <row r="19" spans="1:53" ht="15" x14ac:dyDescent="0.25">
      <c r="A19" s="5"/>
      <c r="B19" s="9" t="s">
        <v>15</v>
      </c>
      <c r="C19" s="5"/>
      <c r="E19" s="363">
        <f>SUM(E18)</f>
        <v>72.279299999999992</v>
      </c>
      <c r="H19" s="358">
        <f>SUM(D18:H18)</f>
        <v>72.279299999999992</v>
      </c>
      <c r="K19" s="14"/>
      <c r="N19">
        <v>0</v>
      </c>
      <c r="O19" s="20"/>
      <c r="P19" s="20"/>
      <c r="Q19" s="438"/>
      <c r="R19" s="197"/>
      <c r="S19" s="197"/>
      <c r="T19" s="197"/>
      <c r="U19" s="197"/>
    </row>
    <row r="20" spans="1:53" ht="15.75" x14ac:dyDescent="0.25">
      <c r="A20" s="1"/>
      <c r="B20" s="2"/>
      <c r="C20" s="1"/>
      <c r="E20" s="361"/>
      <c r="K20" s="14"/>
      <c r="O20" s="20"/>
      <c r="P20" s="20"/>
      <c r="Q20" s="439"/>
      <c r="R20" s="197"/>
      <c r="S20" s="197"/>
      <c r="T20" s="197"/>
      <c r="U20" s="197"/>
    </row>
    <row r="21" spans="1:53" s="319" customFormat="1" ht="15" x14ac:dyDescent="0.25">
      <c r="A21" s="384">
        <v>2</v>
      </c>
      <c r="B21" s="376" t="s">
        <v>16</v>
      </c>
      <c r="C21" s="384" t="s">
        <v>8</v>
      </c>
      <c r="D21" s="319">
        <v>0</v>
      </c>
      <c r="E21" s="385">
        <v>16.384799999999998</v>
      </c>
      <c r="F21" s="319">
        <v>0</v>
      </c>
      <c r="G21" s="319">
        <v>0</v>
      </c>
      <c r="H21" s="319">
        <v>0</v>
      </c>
      <c r="J21" s="319">
        <v>0</v>
      </c>
      <c r="K21" s="386">
        <v>-39.910024524594213</v>
      </c>
      <c r="L21" s="319">
        <v>0</v>
      </c>
      <c r="M21" s="319">
        <v>0</v>
      </c>
      <c r="N21" s="319">
        <v>0</v>
      </c>
      <c r="O21" s="372"/>
      <c r="P21" s="372"/>
      <c r="Q21" s="438">
        <v>0.14809738604389763</v>
      </c>
      <c r="R21" s="373">
        <v>0.3</v>
      </c>
      <c r="S21" s="373">
        <v>2.29</v>
      </c>
      <c r="T21" s="373">
        <v>0.50078889239507718</v>
      </c>
      <c r="U21" s="373">
        <v>0.75268470790377973</v>
      </c>
      <c r="V21" s="372">
        <f t="shared" ref="V21:Y26" si="11">IF(K21&gt;0,((E21-K21)*$Q21*$R21*10)+(K21*$O$12*$Q21*$R21*10),(E21*$Q21*$R21*10))</f>
        <v>7.2796381525561618</v>
      </c>
      <c r="W21" s="372">
        <f t="shared" si="11"/>
        <v>0</v>
      </c>
      <c r="X21" s="372">
        <f t="shared" si="11"/>
        <v>0</v>
      </c>
      <c r="Y21" s="372">
        <f t="shared" si="11"/>
        <v>0</v>
      </c>
      <c r="Z21" s="372">
        <f t="shared" ref="Z21:AC26" si="12">V21*(EXP(1.01-0.34*LN(Z$8))*(1-$T21)+(1*$T21))</f>
        <v>4.3087908652825178</v>
      </c>
      <c r="AA21" s="372">
        <f t="shared" si="12"/>
        <v>0</v>
      </c>
      <c r="AB21" s="372">
        <f t="shared" si="12"/>
        <v>0</v>
      </c>
      <c r="AC21" s="372">
        <f t="shared" si="12"/>
        <v>0</v>
      </c>
      <c r="AD21" s="372">
        <f t="shared" ref="AD21:AD26" si="13">SUM(Z21:AC21)</f>
        <v>4.3087908652825178</v>
      </c>
      <c r="AE21" s="372">
        <f t="shared" ref="AE21:AH26" si="14">IF(K21&gt;0,((E21-K21)*$Q21*$S21*10)+(K21*$P$12*$Q21*$S21)*10,(E21*$Q21*$S21*10))</f>
        <v>55.567904564512034</v>
      </c>
      <c r="AF21" s="372">
        <f t="shared" si="14"/>
        <v>0</v>
      </c>
      <c r="AG21" s="372">
        <f t="shared" si="14"/>
        <v>0</v>
      </c>
      <c r="AH21" s="372">
        <f t="shared" si="14"/>
        <v>0</v>
      </c>
      <c r="AI21" s="20">
        <f t="shared" ref="AI21:AL26" si="15">AE21*(EXP(1.01-0.34*LN(AI$8))*(1-$U21)+(1*$U21))</f>
        <v>44.333209573686553</v>
      </c>
      <c r="AJ21" s="20">
        <f t="shared" si="15"/>
        <v>0</v>
      </c>
      <c r="AK21" s="20">
        <f t="shared" si="15"/>
        <v>0</v>
      </c>
      <c r="AL21" s="20">
        <f t="shared" si="15"/>
        <v>0</v>
      </c>
      <c r="AM21" s="372">
        <f t="shared" ref="AM21:AM26" si="16">SUM(AI21:AL21)</f>
        <v>44.333209573686553</v>
      </c>
      <c r="AO21" s="319">
        <f t="shared" ref="AO21:AR26" si="17">Z21*AO$10</f>
        <v>3.5857757580881113</v>
      </c>
      <c r="AP21" s="319">
        <f t="shared" si="17"/>
        <v>0</v>
      </c>
      <c r="AQ21" s="319">
        <f t="shared" si="17"/>
        <v>0</v>
      </c>
      <c r="AR21" s="319">
        <f t="shared" si="17"/>
        <v>0</v>
      </c>
      <c r="AS21" s="319">
        <f t="shared" ref="AS21:AS26" si="18">SUM(AO21:AR21)</f>
        <v>3.5857757580881113</v>
      </c>
      <c r="AU21" s="319">
        <f t="shared" ref="AU21:AX26" si="19">AI21*AU$10</f>
        <v>36.894097007221951</v>
      </c>
      <c r="AV21" s="319">
        <f t="shared" si="19"/>
        <v>0</v>
      </c>
      <c r="AW21" s="319">
        <f t="shared" si="19"/>
        <v>0</v>
      </c>
      <c r="AX21" s="319">
        <f t="shared" si="19"/>
        <v>0</v>
      </c>
      <c r="AY21" s="319">
        <f t="shared" ref="AY21:AY26" si="20">SUM(AU21:AX21)</f>
        <v>36.894097007221951</v>
      </c>
    </row>
    <row r="22" spans="1:53" s="319" customFormat="1" ht="15" x14ac:dyDescent="0.25">
      <c r="A22" s="384"/>
      <c r="B22" s="376"/>
      <c r="C22" s="384" t="s">
        <v>9</v>
      </c>
      <c r="D22" s="319">
        <v>0</v>
      </c>
      <c r="E22" s="385">
        <v>2.0095999999999998</v>
      </c>
      <c r="F22" s="319">
        <v>0</v>
      </c>
      <c r="G22" s="319">
        <v>0</v>
      </c>
      <c r="H22" s="319">
        <v>0</v>
      </c>
      <c r="J22" s="319">
        <v>0</v>
      </c>
      <c r="K22" s="386">
        <v>-0.49104187160940027</v>
      </c>
      <c r="L22" s="319">
        <v>0</v>
      </c>
      <c r="M22" s="319">
        <v>0</v>
      </c>
      <c r="N22" s="319">
        <v>0</v>
      </c>
      <c r="O22" s="372"/>
      <c r="P22" s="372"/>
      <c r="Q22" s="438">
        <v>0.16119477208779531</v>
      </c>
      <c r="R22" s="373">
        <v>0.3</v>
      </c>
      <c r="S22" s="373">
        <v>2.29</v>
      </c>
      <c r="T22" s="373">
        <v>0.50078889239507718</v>
      </c>
      <c r="U22" s="373">
        <v>0.75268470790377973</v>
      </c>
      <c r="V22" s="372">
        <f t="shared" si="11"/>
        <v>0.97181104196290014</v>
      </c>
      <c r="W22" s="372">
        <f t="shared" si="11"/>
        <v>0</v>
      </c>
      <c r="X22" s="372">
        <f t="shared" si="11"/>
        <v>0</v>
      </c>
      <c r="Y22" s="372">
        <f t="shared" si="11"/>
        <v>0</v>
      </c>
      <c r="Z22" s="372">
        <f t="shared" si="12"/>
        <v>0.57521135702604897</v>
      </c>
      <c r="AA22" s="372">
        <f t="shared" si="12"/>
        <v>0</v>
      </c>
      <c r="AB22" s="372">
        <f t="shared" si="12"/>
        <v>0</v>
      </c>
      <c r="AC22" s="372">
        <f t="shared" si="12"/>
        <v>0</v>
      </c>
      <c r="AD22" s="372">
        <f t="shared" si="13"/>
        <v>0.57521135702604897</v>
      </c>
      <c r="AE22" s="372">
        <f t="shared" si="14"/>
        <v>7.4181576203168049</v>
      </c>
      <c r="AF22" s="372">
        <f t="shared" si="14"/>
        <v>0</v>
      </c>
      <c r="AG22" s="372">
        <f t="shared" si="14"/>
        <v>0</v>
      </c>
      <c r="AH22" s="372">
        <f t="shared" si="14"/>
        <v>0</v>
      </c>
      <c r="AI22" s="20">
        <f t="shared" si="15"/>
        <v>5.9183577104358784</v>
      </c>
      <c r="AJ22" s="20">
        <f t="shared" si="15"/>
        <v>0</v>
      </c>
      <c r="AK22" s="20">
        <f t="shared" si="15"/>
        <v>0</v>
      </c>
      <c r="AL22" s="20">
        <f t="shared" si="15"/>
        <v>0</v>
      </c>
      <c r="AM22" s="372">
        <f t="shared" si="16"/>
        <v>5.9183577104358784</v>
      </c>
      <c r="AO22" s="319">
        <f t="shared" si="17"/>
        <v>0.47869089131707798</v>
      </c>
      <c r="AP22" s="319">
        <f t="shared" si="17"/>
        <v>0</v>
      </c>
      <c r="AQ22" s="319">
        <f t="shared" si="17"/>
        <v>0</v>
      </c>
      <c r="AR22" s="319">
        <f t="shared" si="17"/>
        <v>0</v>
      </c>
      <c r="AS22" s="319">
        <f t="shared" si="18"/>
        <v>0.47869089131707798</v>
      </c>
      <c r="AU22" s="319">
        <f t="shared" si="19"/>
        <v>4.9252572866247384</v>
      </c>
      <c r="AV22" s="319">
        <f t="shared" si="19"/>
        <v>0</v>
      </c>
      <c r="AW22" s="319">
        <f t="shared" si="19"/>
        <v>0</v>
      </c>
      <c r="AX22" s="319">
        <f t="shared" si="19"/>
        <v>0</v>
      </c>
      <c r="AY22" s="319">
        <f t="shared" si="20"/>
        <v>4.9252572866247384</v>
      </c>
    </row>
    <row r="23" spans="1:53" s="319" customFormat="1" ht="15" x14ac:dyDescent="0.25">
      <c r="A23" s="384"/>
      <c r="B23" s="376"/>
      <c r="C23" s="384" t="s">
        <v>10</v>
      </c>
      <c r="D23" s="319">
        <v>0</v>
      </c>
      <c r="E23" s="385">
        <v>0</v>
      </c>
      <c r="F23" s="319">
        <v>0</v>
      </c>
      <c r="G23" s="319">
        <v>0</v>
      </c>
      <c r="H23" s="319">
        <v>0</v>
      </c>
      <c r="J23" s="319">
        <v>0</v>
      </c>
      <c r="K23" s="386">
        <v>0</v>
      </c>
      <c r="L23" s="319">
        <v>0</v>
      </c>
      <c r="M23" s="319">
        <v>0</v>
      </c>
      <c r="N23" s="319">
        <v>0</v>
      </c>
      <c r="O23" s="372"/>
      <c r="P23" s="372"/>
      <c r="Q23" s="438"/>
      <c r="R23" s="373">
        <v>0.3</v>
      </c>
      <c r="S23" s="373">
        <v>2.29</v>
      </c>
      <c r="T23" s="373">
        <v>0.50078889239507718</v>
      </c>
      <c r="U23" s="373">
        <v>0.75268470790377973</v>
      </c>
      <c r="V23" s="372">
        <f t="shared" si="11"/>
        <v>0</v>
      </c>
      <c r="W23" s="372">
        <f t="shared" si="11"/>
        <v>0</v>
      </c>
      <c r="X23" s="372">
        <f t="shared" si="11"/>
        <v>0</v>
      </c>
      <c r="Y23" s="372">
        <f t="shared" si="11"/>
        <v>0</v>
      </c>
      <c r="Z23" s="372">
        <f t="shared" si="12"/>
        <v>0</v>
      </c>
      <c r="AA23" s="372">
        <f t="shared" si="12"/>
        <v>0</v>
      </c>
      <c r="AB23" s="372">
        <f t="shared" si="12"/>
        <v>0</v>
      </c>
      <c r="AC23" s="372">
        <f t="shared" si="12"/>
        <v>0</v>
      </c>
      <c r="AD23" s="372">
        <f t="shared" si="13"/>
        <v>0</v>
      </c>
      <c r="AE23" s="372">
        <f t="shared" si="14"/>
        <v>0</v>
      </c>
      <c r="AF23" s="372">
        <f t="shared" si="14"/>
        <v>0</v>
      </c>
      <c r="AG23" s="372">
        <f t="shared" si="14"/>
        <v>0</v>
      </c>
      <c r="AH23" s="372">
        <f t="shared" si="14"/>
        <v>0</v>
      </c>
      <c r="AI23" s="20">
        <f t="shared" si="15"/>
        <v>0</v>
      </c>
      <c r="AJ23" s="20">
        <f t="shared" si="15"/>
        <v>0</v>
      </c>
      <c r="AK23" s="20">
        <f t="shared" si="15"/>
        <v>0</v>
      </c>
      <c r="AL23" s="20">
        <f t="shared" si="15"/>
        <v>0</v>
      </c>
      <c r="AM23" s="372">
        <f t="shared" si="16"/>
        <v>0</v>
      </c>
      <c r="AO23" s="319">
        <f t="shared" si="17"/>
        <v>0</v>
      </c>
      <c r="AP23" s="319">
        <f t="shared" si="17"/>
        <v>0</v>
      </c>
      <c r="AQ23" s="319">
        <f t="shared" si="17"/>
        <v>0</v>
      </c>
      <c r="AR23" s="319">
        <f t="shared" si="17"/>
        <v>0</v>
      </c>
      <c r="AS23" s="319">
        <f t="shared" si="18"/>
        <v>0</v>
      </c>
      <c r="AU23" s="319">
        <f t="shared" si="19"/>
        <v>0</v>
      </c>
      <c r="AV23" s="319">
        <f t="shared" si="19"/>
        <v>0</v>
      </c>
      <c r="AW23" s="319">
        <f t="shared" si="19"/>
        <v>0</v>
      </c>
      <c r="AX23" s="319">
        <f t="shared" si="19"/>
        <v>0</v>
      </c>
      <c r="AY23" s="319">
        <f t="shared" si="20"/>
        <v>0</v>
      </c>
    </row>
    <row r="24" spans="1:53" s="319" customFormat="1" ht="15" x14ac:dyDescent="0.25">
      <c r="A24" s="384"/>
      <c r="B24" s="376"/>
      <c r="C24" s="384" t="s">
        <v>11</v>
      </c>
      <c r="D24" s="319">
        <v>0</v>
      </c>
      <c r="E24" s="385">
        <v>0.63349999999999995</v>
      </c>
      <c r="F24" s="319">
        <v>0</v>
      </c>
      <c r="G24" s="319">
        <v>0</v>
      </c>
      <c r="H24" s="319">
        <v>0</v>
      </c>
      <c r="J24" s="319">
        <v>0</v>
      </c>
      <c r="K24" s="386">
        <v>-9.2556332118376989</v>
      </c>
      <c r="L24" s="319">
        <v>0</v>
      </c>
      <c r="M24" s="319">
        <v>0</v>
      </c>
      <c r="N24" s="319">
        <v>0</v>
      </c>
      <c r="O24" s="372"/>
      <c r="P24" s="372"/>
      <c r="Q24" s="438">
        <v>0.18738954417559056</v>
      </c>
      <c r="R24" s="373">
        <v>0.3</v>
      </c>
      <c r="S24" s="373">
        <v>2.29</v>
      </c>
      <c r="T24" s="373">
        <v>0.50078889239507718</v>
      </c>
      <c r="U24" s="373">
        <v>0.75268470790377973</v>
      </c>
      <c r="V24" s="372">
        <f t="shared" si="11"/>
        <v>0.35613382870570981</v>
      </c>
      <c r="W24" s="372">
        <f t="shared" si="11"/>
        <v>0</v>
      </c>
      <c r="X24" s="372">
        <f t="shared" si="11"/>
        <v>0</v>
      </c>
      <c r="Y24" s="372">
        <f t="shared" si="11"/>
        <v>0</v>
      </c>
      <c r="Z24" s="372">
        <f t="shared" si="12"/>
        <v>0.21079429441234343</v>
      </c>
      <c r="AA24" s="372">
        <f t="shared" si="12"/>
        <v>0</v>
      </c>
      <c r="AB24" s="372">
        <f t="shared" si="12"/>
        <v>0</v>
      </c>
      <c r="AC24" s="372">
        <f t="shared" si="12"/>
        <v>0</v>
      </c>
      <c r="AD24" s="372">
        <f t="shared" si="13"/>
        <v>0.21079429441234343</v>
      </c>
      <c r="AE24" s="372">
        <f t="shared" si="14"/>
        <v>2.7184882257869187</v>
      </c>
      <c r="AF24" s="372">
        <f t="shared" si="14"/>
        <v>0</v>
      </c>
      <c r="AG24" s="372">
        <f t="shared" si="14"/>
        <v>0</v>
      </c>
      <c r="AH24" s="372">
        <f t="shared" si="14"/>
        <v>0</v>
      </c>
      <c r="AI24" s="20">
        <f t="shared" si="15"/>
        <v>2.168865448174186</v>
      </c>
      <c r="AJ24" s="20">
        <f t="shared" si="15"/>
        <v>0</v>
      </c>
      <c r="AK24" s="20">
        <f t="shared" si="15"/>
        <v>0</v>
      </c>
      <c r="AL24" s="20">
        <f t="shared" si="15"/>
        <v>0</v>
      </c>
      <c r="AM24" s="372">
        <f t="shared" si="16"/>
        <v>2.168865448174186</v>
      </c>
      <c r="AO24" s="319">
        <f t="shared" si="17"/>
        <v>0.17542301180995221</v>
      </c>
      <c r="AP24" s="319">
        <f t="shared" si="17"/>
        <v>0</v>
      </c>
      <c r="AQ24" s="319">
        <f t="shared" si="17"/>
        <v>0</v>
      </c>
      <c r="AR24" s="319">
        <f t="shared" si="17"/>
        <v>0</v>
      </c>
      <c r="AS24" s="319">
        <f t="shared" si="18"/>
        <v>0.17542301180995221</v>
      </c>
      <c r="AU24" s="319">
        <f t="shared" si="19"/>
        <v>1.8049298259705577</v>
      </c>
      <c r="AV24" s="319">
        <f t="shared" si="19"/>
        <v>0</v>
      </c>
      <c r="AW24" s="319">
        <f t="shared" si="19"/>
        <v>0</v>
      </c>
      <c r="AX24" s="319">
        <f t="shared" si="19"/>
        <v>0</v>
      </c>
      <c r="AY24" s="319">
        <f t="shared" si="20"/>
        <v>1.8049298259705577</v>
      </c>
    </row>
    <row r="25" spans="1:53" s="319" customFormat="1" ht="15" x14ac:dyDescent="0.25">
      <c r="A25" s="384"/>
      <c r="B25" s="376"/>
      <c r="C25" s="384" t="s">
        <v>12</v>
      </c>
      <c r="D25" s="319">
        <v>0</v>
      </c>
      <c r="E25" s="385">
        <v>0</v>
      </c>
      <c r="F25" s="319">
        <v>0</v>
      </c>
      <c r="G25" s="319">
        <v>0</v>
      </c>
      <c r="H25" s="319">
        <v>0</v>
      </c>
      <c r="J25" s="319">
        <v>0</v>
      </c>
      <c r="K25" s="386">
        <v>0</v>
      </c>
      <c r="L25" s="319">
        <v>0</v>
      </c>
      <c r="M25" s="319">
        <v>0</v>
      </c>
      <c r="N25" s="319">
        <v>0</v>
      </c>
      <c r="O25" s="372"/>
      <c r="P25" s="372"/>
      <c r="Q25" s="438"/>
      <c r="R25" s="373">
        <v>0.3</v>
      </c>
      <c r="S25" s="373">
        <v>2.29</v>
      </c>
      <c r="T25" s="373">
        <v>0.50078889239507718</v>
      </c>
      <c r="U25" s="373">
        <v>0.75268470790377973</v>
      </c>
      <c r="V25" s="372">
        <f t="shared" si="11"/>
        <v>0</v>
      </c>
      <c r="W25" s="372">
        <f t="shared" si="11"/>
        <v>0</v>
      </c>
      <c r="X25" s="372">
        <f t="shared" si="11"/>
        <v>0</v>
      </c>
      <c r="Y25" s="372">
        <f t="shared" si="11"/>
        <v>0</v>
      </c>
      <c r="Z25" s="372">
        <f t="shared" si="12"/>
        <v>0</v>
      </c>
      <c r="AA25" s="372">
        <f t="shared" si="12"/>
        <v>0</v>
      </c>
      <c r="AB25" s="372">
        <f t="shared" si="12"/>
        <v>0</v>
      </c>
      <c r="AC25" s="372">
        <f t="shared" si="12"/>
        <v>0</v>
      </c>
      <c r="AD25" s="372">
        <f t="shared" si="13"/>
        <v>0</v>
      </c>
      <c r="AE25" s="372">
        <f t="shared" si="14"/>
        <v>0</v>
      </c>
      <c r="AF25" s="372">
        <f t="shared" si="14"/>
        <v>0</v>
      </c>
      <c r="AG25" s="372">
        <f t="shared" si="14"/>
        <v>0</v>
      </c>
      <c r="AH25" s="372">
        <f t="shared" si="14"/>
        <v>0</v>
      </c>
      <c r="AI25" s="20">
        <f t="shared" si="15"/>
        <v>0</v>
      </c>
      <c r="AJ25" s="20">
        <f t="shared" si="15"/>
        <v>0</v>
      </c>
      <c r="AK25" s="20">
        <f t="shared" si="15"/>
        <v>0</v>
      </c>
      <c r="AL25" s="20">
        <f t="shared" si="15"/>
        <v>0</v>
      </c>
      <c r="AM25" s="372">
        <f t="shared" si="16"/>
        <v>0</v>
      </c>
      <c r="AO25" s="319">
        <f t="shared" si="17"/>
        <v>0</v>
      </c>
      <c r="AP25" s="319">
        <f t="shared" si="17"/>
        <v>0</v>
      </c>
      <c r="AQ25" s="319">
        <f t="shared" si="17"/>
        <v>0</v>
      </c>
      <c r="AR25" s="319">
        <f t="shared" si="17"/>
        <v>0</v>
      </c>
      <c r="AS25" s="319">
        <f t="shared" si="18"/>
        <v>0</v>
      </c>
      <c r="AU25" s="319">
        <f t="shared" si="19"/>
        <v>0</v>
      </c>
      <c r="AV25" s="319">
        <f t="shared" si="19"/>
        <v>0</v>
      </c>
      <c r="AW25" s="319">
        <f t="shared" si="19"/>
        <v>0</v>
      </c>
      <c r="AX25" s="319">
        <f t="shared" si="19"/>
        <v>0</v>
      </c>
      <c r="AY25" s="319">
        <f t="shared" si="20"/>
        <v>0</v>
      </c>
    </row>
    <row r="26" spans="1:53" s="319" customFormat="1" ht="15" x14ac:dyDescent="0.25">
      <c r="A26" s="384"/>
      <c r="B26" s="376"/>
      <c r="C26" s="384" t="s">
        <v>13</v>
      </c>
      <c r="D26" s="319">
        <v>0</v>
      </c>
      <c r="E26" s="385">
        <v>3.5499999999999997E-2</v>
      </c>
      <c r="F26" s="319">
        <v>0</v>
      </c>
      <c r="G26" s="319">
        <v>0</v>
      </c>
      <c r="H26" s="319">
        <v>0</v>
      </c>
      <c r="J26" s="319">
        <v>0</v>
      </c>
      <c r="K26" s="386">
        <v>-1.4578033836145998</v>
      </c>
      <c r="L26" s="319">
        <v>0</v>
      </c>
      <c r="M26" s="319">
        <v>0</v>
      </c>
      <c r="N26" s="319">
        <v>0</v>
      </c>
      <c r="O26" s="372"/>
      <c r="P26" s="372"/>
      <c r="Q26" s="438">
        <v>0.18738954417559056</v>
      </c>
      <c r="R26" s="373">
        <v>0.3</v>
      </c>
      <c r="S26" s="373">
        <v>2.29</v>
      </c>
      <c r="T26" s="373">
        <v>0.50078889239507718</v>
      </c>
      <c r="U26" s="373">
        <v>0.75268470790377973</v>
      </c>
      <c r="V26" s="372">
        <f t="shared" si="11"/>
        <v>1.9956986454700391E-2</v>
      </c>
      <c r="W26" s="372">
        <f t="shared" si="11"/>
        <v>0</v>
      </c>
      <c r="X26" s="372">
        <f t="shared" si="11"/>
        <v>0</v>
      </c>
      <c r="Y26" s="372">
        <f t="shared" si="11"/>
        <v>0</v>
      </c>
      <c r="Z26" s="372">
        <f t="shared" si="12"/>
        <v>1.1812466379855077E-2</v>
      </c>
      <c r="AA26" s="372">
        <f t="shared" si="12"/>
        <v>0</v>
      </c>
      <c r="AB26" s="372">
        <f t="shared" si="12"/>
        <v>0</v>
      </c>
      <c r="AC26" s="372">
        <f t="shared" si="12"/>
        <v>0</v>
      </c>
      <c r="AD26" s="372">
        <f t="shared" si="13"/>
        <v>1.1812466379855077E-2</v>
      </c>
      <c r="AE26" s="372">
        <f t="shared" si="14"/>
        <v>0.15233832993754634</v>
      </c>
      <c r="AF26" s="372">
        <f t="shared" si="14"/>
        <v>0</v>
      </c>
      <c r="AG26" s="372">
        <f t="shared" si="14"/>
        <v>0</v>
      </c>
      <c r="AH26" s="372">
        <f t="shared" si="14"/>
        <v>0</v>
      </c>
      <c r="AI26" s="20">
        <f t="shared" si="15"/>
        <v>0.12153863206027403</v>
      </c>
      <c r="AJ26" s="20">
        <f t="shared" si="15"/>
        <v>0</v>
      </c>
      <c r="AK26" s="20">
        <f t="shared" si="15"/>
        <v>0</v>
      </c>
      <c r="AL26" s="20">
        <f t="shared" si="15"/>
        <v>0</v>
      </c>
      <c r="AM26" s="372">
        <f t="shared" si="16"/>
        <v>0.12153863206027403</v>
      </c>
      <c r="AO26" s="319">
        <f t="shared" si="17"/>
        <v>9.830334521315395E-3</v>
      </c>
      <c r="AP26" s="319">
        <f t="shared" si="17"/>
        <v>0</v>
      </c>
      <c r="AQ26" s="319">
        <f t="shared" si="17"/>
        <v>0</v>
      </c>
      <c r="AR26" s="319">
        <f t="shared" si="17"/>
        <v>0</v>
      </c>
      <c r="AS26" s="319">
        <f t="shared" si="18"/>
        <v>9.830334521315395E-3</v>
      </c>
      <c r="AU26" s="319">
        <f t="shared" si="19"/>
        <v>0.10114444960056006</v>
      </c>
      <c r="AV26" s="319">
        <f t="shared" si="19"/>
        <v>0</v>
      </c>
      <c r="AW26" s="319">
        <f t="shared" si="19"/>
        <v>0</v>
      </c>
      <c r="AX26" s="319">
        <f t="shared" si="19"/>
        <v>0</v>
      </c>
      <c r="AY26" s="319">
        <f t="shared" si="20"/>
        <v>0.10114444960056006</v>
      </c>
    </row>
    <row r="27" spans="1:53" s="319" customFormat="1" ht="15" x14ac:dyDescent="0.25">
      <c r="A27" s="368"/>
      <c r="B27" s="369" t="s">
        <v>14</v>
      </c>
      <c r="C27" s="368"/>
      <c r="D27" s="370">
        <f t="shared" ref="D27:H27" si="21">SUM(D21:D26)</f>
        <v>0</v>
      </c>
      <c r="E27" s="371">
        <f>SUM(E21:E26)</f>
        <v>19.063399999999998</v>
      </c>
      <c r="F27" s="370">
        <f t="shared" si="21"/>
        <v>0</v>
      </c>
      <c r="G27" s="370">
        <f t="shared" si="21"/>
        <v>0</v>
      </c>
      <c r="H27" s="370">
        <f t="shared" si="21"/>
        <v>0</v>
      </c>
      <c r="J27" s="319">
        <v>0</v>
      </c>
      <c r="K27" s="386">
        <v>-51.114502991655911</v>
      </c>
      <c r="L27" s="319">
        <v>0</v>
      </c>
      <c r="M27" s="319">
        <v>0</v>
      </c>
      <c r="N27" s="319">
        <v>0</v>
      </c>
      <c r="O27" s="372"/>
      <c r="P27" s="372"/>
      <c r="Q27" s="438">
        <v>0.15085696517374433</v>
      </c>
      <c r="R27" s="373"/>
      <c r="S27" s="373"/>
      <c r="T27" s="373"/>
      <c r="U27" s="373"/>
      <c r="BA27" s="319">
        <f>(E27*10000*Q27*AU$10)</f>
        <v>23932.795986850859</v>
      </c>
    </row>
    <row r="28" spans="1:53" ht="15" x14ac:dyDescent="0.25">
      <c r="A28" s="5"/>
      <c r="B28" s="9" t="s">
        <v>15</v>
      </c>
      <c r="C28" s="5"/>
      <c r="E28" s="363">
        <f>SUM(E27)</f>
        <v>19.063399999999998</v>
      </c>
      <c r="H28" s="358">
        <f>SUM(D27:H27)</f>
        <v>19.063399999999998</v>
      </c>
      <c r="K28" s="14"/>
      <c r="N28">
        <v>0</v>
      </c>
      <c r="O28" s="20"/>
      <c r="P28" s="20"/>
      <c r="Q28" s="438"/>
      <c r="R28" s="197"/>
      <c r="S28" s="197"/>
      <c r="T28" s="197"/>
      <c r="U28" s="197"/>
    </row>
    <row r="29" spans="1:53" ht="15.75" x14ac:dyDescent="0.25">
      <c r="A29" s="1"/>
      <c r="B29" s="2"/>
      <c r="C29" s="1"/>
      <c r="E29" s="361"/>
      <c r="K29" s="14"/>
      <c r="O29" s="20"/>
      <c r="P29" s="20"/>
      <c r="Q29" s="439"/>
      <c r="R29" s="197"/>
      <c r="S29" s="197"/>
      <c r="T29" s="197"/>
      <c r="U29" s="197"/>
    </row>
    <row r="30" spans="1:53" ht="15" x14ac:dyDescent="0.25">
      <c r="A30" s="1">
        <v>3</v>
      </c>
      <c r="B30" s="2" t="s">
        <v>17</v>
      </c>
      <c r="C30" s="1" t="s">
        <v>8</v>
      </c>
      <c r="D30">
        <v>0</v>
      </c>
      <c r="E30" s="360">
        <v>23.8947</v>
      </c>
      <c r="F30">
        <v>0</v>
      </c>
      <c r="G30">
        <v>0</v>
      </c>
      <c r="H30">
        <v>0</v>
      </c>
      <c r="J30">
        <v>0</v>
      </c>
      <c r="K30" s="14">
        <v>4.2351467865730008</v>
      </c>
      <c r="L30">
        <v>0</v>
      </c>
      <c r="M30">
        <v>0</v>
      </c>
      <c r="N30">
        <v>0</v>
      </c>
      <c r="O30" s="20"/>
      <c r="P30" s="20"/>
      <c r="Q30" s="438">
        <v>0.23655651709755676</v>
      </c>
      <c r="R30" s="197">
        <v>0.49</v>
      </c>
      <c r="S30" s="197">
        <v>2.42</v>
      </c>
      <c r="T30" s="197">
        <v>0.50078889239507718</v>
      </c>
      <c r="U30" s="197">
        <v>0.75268470790377973</v>
      </c>
      <c r="V30" s="20">
        <f t="shared" ref="V30:Y35" si="22">IF(K30&gt;0,((E30-K30)*$Q30*$R30*10)+(K30*$O$12*$Q30*$R30*10),(E30*$Q30*$R30*10))</f>
        <v>24.593239164431726</v>
      </c>
      <c r="W30" s="20">
        <f t="shared" si="22"/>
        <v>0</v>
      </c>
      <c r="X30" s="20">
        <f t="shared" si="22"/>
        <v>0</v>
      </c>
      <c r="Y30" s="20">
        <f t="shared" si="22"/>
        <v>0</v>
      </c>
      <c r="Z30" s="20">
        <f t="shared" ref="Z30:AC35" si="23">V30*(EXP(1.01-0.34*LN(Z$8))*(1-$T30)+(1*$T30))</f>
        <v>14.556647190245648</v>
      </c>
      <c r="AA30" s="20">
        <f t="shared" si="23"/>
        <v>0</v>
      </c>
      <c r="AB30" s="20">
        <f t="shared" si="23"/>
        <v>0</v>
      </c>
      <c r="AC30" s="20">
        <f t="shared" si="23"/>
        <v>0</v>
      </c>
      <c r="AD30" s="20">
        <f t="shared" ref="AD30:AD35" si="24">SUM(Z30:AC30)</f>
        <v>14.556647190245648</v>
      </c>
      <c r="AE30" s="20">
        <f t="shared" ref="AE30:AH35" si="25">IF(K30&gt;0,((E30-K30)*$Q30*$S30*10)+(K30*$P$12*$Q30*$S30)*10,(E30*$Q30*$S30*10))</f>
        <v>126.5853100512273</v>
      </c>
      <c r="AF30" s="20">
        <f t="shared" si="25"/>
        <v>0</v>
      </c>
      <c r="AG30" s="20">
        <f t="shared" si="25"/>
        <v>0</v>
      </c>
      <c r="AH30" s="20">
        <f t="shared" si="25"/>
        <v>0</v>
      </c>
      <c r="AI30" s="20">
        <f t="shared" ref="AI30:AL35" si="26">AE30*(EXP(1.01-0.34*LN(AI$8))*(1-$U30)+(1*$U30))</f>
        <v>100.99234663304478</v>
      </c>
      <c r="AJ30" s="20">
        <f t="shared" si="26"/>
        <v>0</v>
      </c>
      <c r="AK30" s="20">
        <f t="shared" si="26"/>
        <v>0</v>
      </c>
      <c r="AL30" s="20">
        <f t="shared" si="26"/>
        <v>0</v>
      </c>
      <c r="AM30" s="20">
        <f t="shared" ref="AM30:AM35" si="27">SUM(AI30:AL30)</f>
        <v>100.99234663304478</v>
      </c>
      <c r="AO30">
        <f t="shared" ref="AO30:AR35" si="28">Z30*AO$10</f>
        <v>12.11404179172243</v>
      </c>
      <c r="AP30">
        <f t="shared" si="28"/>
        <v>0</v>
      </c>
      <c r="AQ30">
        <f t="shared" si="28"/>
        <v>0</v>
      </c>
      <c r="AR30">
        <f t="shared" si="28"/>
        <v>0</v>
      </c>
      <c r="AS30">
        <f t="shared" ref="AS30:AS35" si="29">SUM(AO30:AR30)</f>
        <v>12.11404179172243</v>
      </c>
      <c r="AU30">
        <f t="shared" ref="AU30:AX35" si="30">AI30*AU$10</f>
        <v>84.045830868019863</v>
      </c>
      <c r="AV30">
        <f t="shared" si="30"/>
        <v>0</v>
      </c>
      <c r="AW30">
        <f t="shared" si="30"/>
        <v>0</v>
      </c>
      <c r="AX30">
        <f t="shared" si="30"/>
        <v>0</v>
      </c>
      <c r="AY30">
        <f t="shared" ref="AY30:AY35" si="31">SUM(AU30:AX30)</f>
        <v>84.045830868019863</v>
      </c>
    </row>
    <row r="31" spans="1:53" ht="15" x14ac:dyDescent="0.25">
      <c r="A31" s="1"/>
      <c r="B31" s="2"/>
      <c r="C31" s="1" t="s">
        <v>9</v>
      </c>
      <c r="D31">
        <v>0</v>
      </c>
      <c r="E31" s="360">
        <v>3.4548999999999999</v>
      </c>
      <c r="F31">
        <v>0</v>
      </c>
      <c r="G31">
        <v>0</v>
      </c>
      <c r="H31">
        <v>0</v>
      </c>
      <c r="J31">
        <v>0</v>
      </c>
      <c r="K31" s="14">
        <v>3.4548999999999999</v>
      </c>
      <c r="L31">
        <v>0</v>
      </c>
      <c r="M31">
        <v>0</v>
      </c>
      <c r="N31">
        <v>0</v>
      </c>
      <c r="O31" s="20"/>
      <c r="P31" s="20"/>
      <c r="Q31" s="438">
        <v>0.24811303419511349</v>
      </c>
      <c r="R31" s="197">
        <v>0.49</v>
      </c>
      <c r="S31" s="197">
        <v>2.42</v>
      </c>
      <c r="T31" s="197">
        <v>0.50078889239507718</v>
      </c>
      <c r="U31" s="197">
        <v>0.75268470790377973</v>
      </c>
      <c r="V31" s="20">
        <f t="shared" si="22"/>
        <v>1.5446718710855691</v>
      </c>
      <c r="W31" s="20">
        <f t="shared" si="22"/>
        <v>0</v>
      </c>
      <c r="X31" s="20">
        <f t="shared" si="22"/>
        <v>0</v>
      </c>
      <c r="Y31" s="20">
        <f t="shared" si="22"/>
        <v>0</v>
      </c>
      <c r="Z31" s="20">
        <f t="shared" si="23"/>
        <v>0.91428556042380948</v>
      </c>
      <c r="AA31" s="20">
        <f t="shared" si="23"/>
        <v>0</v>
      </c>
      <c r="AB31" s="20">
        <f t="shared" si="23"/>
        <v>0</v>
      </c>
      <c r="AC31" s="20">
        <f t="shared" si="23"/>
        <v>0</v>
      </c>
      <c r="AD31" s="20">
        <f t="shared" si="24"/>
        <v>0.91428556042380948</v>
      </c>
      <c r="AE31" s="20">
        <f t="shared" si="25"/>
        <v>12.013696013359237</v>
      </c>
      <c r="AF31" s="20">
        <f t="shared" si="25"/>
        <v>0</v>
      </c>
      <c r="AG31" s="20">
        <f t="shared" si="25"/>
        <v>0</v>
      </c>
      <c r="AH31" s="20">
        <f t="shared" si="25"/>
        <v>0</v>
      </c>
      <c r="AI31" s="20">
        <f t="shared" si="26"/>
        <v>9.5847721322024029</v>
      </c>
      <c r="AJ31" s="20">
        <f t="shared" si="26"/>
        <v>0</v>
      </c>
      <c r="AK31" s="20">
        <f t="shared" si="26"/>
        <v>0</v>
      </c>
      <c r="AL31" s="20">
        <f t="shared" si="26"/>
        <v>0</v>
      </c>
      <c r="AM31" s="20">
        <f t="shared" si="27"/>
        <v>9.5847721322024029</v>
      </c>
      <c r="AO31">
        <f t="shared" si="28"/>
        <v>0.76086844338469428</v>
      </c>
      <c r="AP31">
        <f t="shared" si="28"/>
        <v>0</v>
      </c>
      <c r="AQ31">
        <f t="shared" si="28"/>
        <v>0</v>
      </c>
      <c r="AR31">
        <f t="shared" si="28"/>
        <v>0</v>
      </c>
      <c r="AS31">
        <f t="shared" si="29"/>
        <v>0.76086844338469428</v>
      </c>
      <c r="AU31">
        <f t="shared" si="30"/>
        <v>7.9764473684188397</v>
      </c>
      <c r="AV31">
        <f t="shared" si="30"/>
        <v>0</v>
      </c>
      <c r="AW31">
        <f t="shared" si="30"/>
        <v>0</v>
      </c>
      <c r="AX31">
        <f t="shared" si="30"/>
        <v>0</v>
      </c>
      <c r="AY31">
        <f t="shared" si="31"/>
        <v>7.9764473684188397</v>
      </c>
    </row>
    <row r="32" spans="1:53" ht="15" x14ac:dyDescent="0.25">
      <c r="A32" s="1"/>
      <c r="B32" s="2"/>
      <c r="C32" s="1" t="s">
        <v>10</v>
      </c>
      <c r="D32">
        <v>0</v>
      </c>
      <c r="E32" s="360">
        <v>1.1971000000000001</v>
      </c>
      <c r="F32">
        <v>0</v>
      </c>
      <c r="G32">
        <v>0</v>
      </c>
      <c r="H32">
        <v>0</v>
      </c>
      <c r="J32">
        <v>0</v>
      </c>
      <c r="K32" s="14">
        <v>2.8251047800000872E-3</v>
      </c>
      <c r="L32">
        <v>0</v>
      </c>
      <c r="M32">
        <v>0</v>
      </c>
      <c r="N32">
        <v>0</v>
      </c>
      <c r="O32" s="20"/>
      <c r="P32" s="20"/>
      <c r="Q32" s="438">
        <v>0.25966955129267022</v>
      </c>
      <c r="R32" s="197">
        <v>0.49</v>
      </c>
      <c r="S32" s="197">
        <v>2.42</v>
      </c>
      <c r="T32" s="197">
        <v>0.50078889239507718</v>
      </c>
      <c r="U32" s="197">
        <v>0.75268470790377973</v>
      </c>
      <c r="V32" s="20">
        <f t="shared" si="22"/>
        <v>1.5208943730354769</v>
      </c>
      <c r="W32" s="20">
        <f t="shared" si="22"/>
        <v>0</v>
      </c>
      <c r="X32" s="20">
        <f t="shared" si="22"/>
        <v>0</v>
      </c>
      <c r="Y32" s="20">
        <f t="shared" si="22"/>
        <v>0</v>
      </c>
      <c r="Z32" s="20">
        <f t="shared" si="23"/>
        <v>0.90021174737837184</v>
      </c>
      <c r="AA32" s="20">
        <f t="shared" si="23"/>
        <v>0</v>
      </c>
      <c r="AB32" s="20">
        <f t="shared" si="23"/>
        <v>0</v>
      </c>
      <c r="AC32" s="20">
        <f t="shared" si="23"/>
        <v>0</v>
      </c>
      <c r="AD32" s="20">
        <f t="shared" si="24"/>
        <v>0.90021174737837184</v>
      </c>
      <c r="AE32" s="20">
        <f t="shared" si="25"/>
        <v>7.5151084725949024</v>
      </c>
      <c r="AF32" s="20">
        <f t="shared" si="25"/>
        <v>0</v>
      </c>
      <c r="AG32" s="20">
        <f t="shared" si="25"/>
        <v>0</v>
      </c>
      <c r="AH32" s="20">
        <f t="shared" si="25"/>
        <v>0</v>
      </c>
      <c r="AI32" s="20">
        <f t="shared" si="26"/>
        <v>5.9957070811936406</v>
      </c>
      <c r="AJ32" s="20">
        <f t="shared" si="26"/>
        <v>0</v>
      </c>
      <c r="AK32" s="20">
        <f t="shared" si="26"/>
        <v>0</v>
      </c>
      <c r="AL32" s="20">
        <f t="shared" si="26"/>
        <v>0</v>
      </c>
      <c r="AM32" s="20">
        <f t="shared" si="27"/>
        <v>5.9957070811936406</v>
      </c>
      <c r="AO32">
        <f t="shared" si="28"/>
        <v>0.7491562161682811</v>
      </c>
      <c r="AP32">
        <f t="shared" si="28"/>
        <v>0</v>
      </c>
      <c r="AQ32">
        <f t="shared" si="28"/>
        <v>0</v>
      </c>
      <c r="AR32">
        <f t="shared" si="28"/>
        <v>0</v>
      </c>
      <c r="AS32">
        <f t="shared" si="29"/>
        <v>0.7491562161682811</v>
      </c>
      <c r="AU32">
        <f t="shared" si="30"/>
        <v>4.989627432969348</v>
      </c>
      <c r="AV32">
        <f t="shared" si="30"/>
        <v>0</v>
      </c>
      <c r="AW32">
        <f t="shared" si="30"/>
        <v>0</v>
      </c>
      <c r="AX32">
        <f t="shared" si="30"/>
        <v>0</v>
      </c>
      <c r="AY32">
        <f t="shared" si="31"/>
        <v>4.989627432969348</v>
      </c>
    </row>
    <row r="33" spans="1:53" ht="15" x14ac:dyDescent="0.25">
      <c r="A33" s="1"/>
      <c r="B33" s="2"/>
      <c r="C33" s="1" t="s">
        <v>11</v>
      </c>
      <c r="D33">
        <v>0</v>
      </c>
      <c r="E33" s="360">
        <v>9.5062999999999995</v>
      </c>
      <c r="F33">
        <v>0</v>
      </c>
      <c r="G33">
        <v>0</v>
      </c>
      <c r="H33">
        <v>0</v>
      </c>
      <c r="J33">
        <v>0</v>
      </c>
      <c r="K33" s="14">
        <v>9.3638368422762763</v>
      </c>
      <c r="L33">
        <v>0</v>
      </c>
      <c r="M33">
        <v>0</v>
      </c>
      <c r="N33">
        <v>0</v>
      </c>
      <c r="O33" s="20"/>
      <c r="P33" s="20"/>
      <c r="Q33" s="438">
        <v>0.271226068390227</v>
      </c>
      <c r="R33" s="197">
        <v>0.49</v>
      </c>
      <c r="S33" s="197">
        <v>2.42</v>
      </c>
      <c r="T33" s="197">
        <v>0.50078889239507718</v>
      </c>
      <c r="U33" s="197">
        <v>0.75268470790377973</v>
      </c>
      <c r="V33" s="20">
        <f t="shared" si="22"/>
        <v>4.7658660038958747</v>
      </c>
      <c r="W33" s="20">
        <f t="shared" si="22"/>
        <v>0</v>
      </c>
      <c r="X33" s="20">
        <f t="shared" si="22"/>
        <v>0</v>
      </c>
      <c r="Y33" s="20">
        <f t="shared" si="22"/>
        <v>0</v>
      </c>
      <c r="Z33" s="20">
        <f t="shared" si="23"/>
        <v>2.8208984392357976</v>
      </c>
      <c r="AA33" s="20">
        <f t="shared" si="23"/>
        <v>0</v>
      </c>
      <c r="AB33" s="20">
        <f t="shared" si="23"/>
        <v>0</v>
      </c>
      <c r="AC33" s="20">
        <f t="shared" si="23"/>
        <v>0</v>
      </c>
      <c r="AD33" s="20">
        <f t="shared" si="24"/>
        <v>2.8208984392357976</v>
      </c>
      <c r="AE33" s="20">
        <f t="shared" si="25"/>
        <v>36.529085185868645</v>
      </c>
      <c r="AF33" s="20">
        <f t="shared" si="25"/>
        <v>0</v>
      </c>
      <c r="AG33" s="20">
        <f t="shared" si="25"/>
        <v>0</v>
      </c>
      <c r="AH33" s="20">
        <f t="shared" si="25"/>
        <v>0</v>
      </c>
      <c r="AI33" s="20">
        <f t="shared" si="26"/>
        <v>29.143650489826321</v>
      </c>
      <c r="AJ33" s="20">
        <f t="shared" si="26"/>
        <v>0</v>
      </c>
      <c r="AK33" s="20">
        <f t="shared" si="26"/>
        <v>0</v>
      </c>
      <c r="AL33" s="20">
        <f t="shared" si="26"/>
        <v>0</v>
      </c>
      <c r="AM33" s="20">
        <f t="shared" si="27"/>
        <v>29.143650489826321</v>
      </c>
      <c r="AO33">
        <f t="shared" si="28"/>
        <v>2.3475516811320309</v>
      </c>
      <c r="AP33">
        <f t="shared" si="28"/>
        <v>0</v>
      </c>
      <c r="AQ33">
        <f t="shared" si="28"/>
        <v>0</v>
      </c>
      <c r="AR33">
        <f t="shared" si="28"/>
        <v>0</v>
      </c>
      <c r="AS33">
        <f t="shared" si="29"/>
        <v>2.3475516811320309</v>
      </c>
      <c r="AU33">
        <f t="shared" si="30"/>
        <v>24.253345937633465</v>
      </c>
      <c r="AV33">
        <f t="shared" si="30"/>
        <v>0</v>
      </c>
      <c r="AW33">
        <f t="shared" si="30"/>
        <v>0</v>
      </c>
      <c r="AX33">
        <f t="shared" si="30"/>
        <v>0</v>
      </c>
      <c r="AY33">
        <f t="shared" si="31"/>
        <v>24.253345937633465</v>
      </c>
    </row>
    <row r="34" spans="1:53" ht="15" x14ac:dyDescent="0.25">
      <c r="A34" s="1"/>
      <c r="B34" s="2"/>
      <c r="C34" s="1" t="s">
        <v>12</v>
      </c>
      <c r="D34">
        <v>0</v>
      </c>
      <c r="E34" s="360">
        <v>0</v>
      </c>
      <c r="F34">
        <v>0</v>
      </c>
      <c r="G34">
        <v>0</v>
      </c>
      <c r="H34">
        <v>0</v>
      </c>
      <c r="J34">
        <v>0</v>
      </c>
      <c r="K34" s="14">
        <v>0</v>
      </c>
      <c r="L34">
        <v>0</v>
      </c>
      <c r="M34">
        <v>0</v>
      </c>
      <c r="N34">
        <v>0</v>
      </c>
      <c r="O34" s="20"/>
      <c r="P34" s="20"/>
      <c r="Q34" s="438"/>
      <c r="R34" s="197">
        <v>0.49</v>
      </c>
      <c r="S34" s="197">
        <v>2.42</v>
      </c>
      <c r="T34" s="197">
        <v>0.50078889239507718</v>
      </c>
      <c r="U34" s="197">
        <v>0.75268470790377973</v>
      </c>
      <c r="V34" s="20">
        <f t="shared" si="22"/>
        <v>0</v>
      </c>
      <c r="W34" s="20">
        <f t="shared" si="22"/>
        <v>0</v>
      </c>
      <c r="X34" s="20">
        <f t="shared" si="22"/>
        <v>0</v>
      </c>
      <c r="Y34" s="20">
        <f t="shared" si="22"/>
        <v>0</v>
      </c>
      <c r="Z34" s="20">
        <f t="shared" si="23"/>
        <v>0</v>
      </c>
      <c r="AA34" s="20">
        <f t="shared" si="23"/>
        <v>0</v>
      </c>
      <c r="AB34" s="20">
        <f t="shared" si="23"/>
        <v>0</v>
      </c>
      <c r="AC34" s="20">
        <f t="shared" si="23"/>
        <v>0</v>
      </c>
      <c r="AD34" s="20">
        <f t="shared" si="24"/>
        <v>0</v>
      </c>
      <c r="AE34" s="20">
        <f t="shared" si="25"/>
        <v>0</v>
      </c>
      <c r="AF34" s="20">
        <f t="shared" si="25"/>
        <v>0</v>
      </c>
      <c r="AG34" s="20">
        <f t="shared" si="25"/>
        <v>0</v>
      </c>
      <c r="AH34" s="20">
        <f t="shared" si="25"/>
        <v>0</v>
      </c>
      <c r="AI34" s="20">
        <f t="shared" si="26"/>
        <v>0</v>
      </c>
      <c r="AJ34" s="20">
        <f t="shared" si="26"/>
        <v>0</v>
      </c>
      <c r="AK34" s="20">
        <f t="shared" si="26"/>
        <v>0</v>
      </c>
      <c r="AL34" s="20">
        <f t="shared" si="26"/>
        <v>0</v>
      </c>
      <c r="AM34" s="20">
        <f t="shared" si="27"/>
        <v>0</v>
      </c>
      <c r="AO34">
        <f t="shared" si="28"/>
        <v>0</v>
      </c>
      <c r="AP34">
        <f t="shared" si="28"/>
        <v>0</v>
      </c>
      <c r="AQ34">
        <f t="shared" si="28"/>
        <v>0</v>
      </c>
      <c r="AR34">
        <f t="shared" si="28"/>
        <v>0</v>
      </c>
      <c r="AS34">
        <f t="shared" si="29"/>
        <v>0</v>
      </c>
      <c r="AU34">
        <f t="shared" si="30"/>
        <v>0</v>
      </c>
      <c r="AV34">
        <f t="shared" si="30"/>
        <v>0</v>
      </c>
      <c r="AW34">
        <f t="shared" si="30"/>
        <v>0</v>
      </c>
      <c r="AX34">
        <f t="shared" si="30"/>
        <v>0</v>
      </c>
      <c r="AY34">
        <f t="shared" si="31"/>
        <v>0</v>
      </c>
    </row>
    <row r="35" spans="1:53" ht="15" x14ac:dyDescent="0.25">
      <c r="A35" s="1"/>
      <c r="B35" s="2"/>
      <c r="C35" s="1" t="s">
        <v>13</v>
      </c>
      <c r="D35">
        <v>0</v>
      </c>
      <c r="E35" s="360">
        <v>4.8399999999999999E-2</v>
      </c>
      <c r="F35">
        <v>0</v>
      </c>
      <c r="G35">
        <v>0</v>
      </c>
      <c r="H35">
        <v>0</v>
      </c>
      <c r="J35">
        <v>0</v>
      </c>
      <c r="K35" s="14">
        <v>-0.1467011429</v>
      </c>
      <c r="L35">
        <v>0</v>
      </c>
      <c r="M35">
        <v>0</v>
      </c>
      <c r="N35">
        <v>0</v>
      </c>
      <c r="O35" s="20"/>
      <c r="P35" s="20"/>
      <c r="Q35" s="438">
        <v>0.271226068390227</v>
      </c>
      <c r="R35" s="197">
        <v>0.49</v>
      </c>
      <c r="S35" s="197">
        <v>2.42</v>
      </c>
      <c r="T35" s="197">
        <v>0.50078889239507718</v>
      </c>
      <c r="U35" s="197">
        <v>0.75268470790377973</v>
      </c>
      <c r="V35" s="20">
        <f t="shared" si="22"/>
        <v>6.4323974379426233E-2</v>
      </c>
      <c r="W35" s="20">
        <f t="shared" si="22"/>
        <v>0</v>
      </c>
      <c r="X35" s="20">
        <f t="shared" si="22"/>
        <v>0</v>
      </c>
      <c r="Y35" s="20">
        <f t="shared" si="22"/>
        <v>0</v>
      </c>
      <c r="Z35" s="20">
        <f t="shared" si="23"/>
        <v>3.8073122237183919E-2</v>
      </c>
      <c r="AA35" s="20">
        <f t="shared" si="23"/>
        <v>0</v>
      </c>
      <c r="AB35" s="20">
        <f t="shared" si="23"/>
        <v>0</v>
      </c>
      <c r="AC35" s="20">
        <f t="shared" si="23"/>
        <v>0</v>
      </c>
      <c r="AD35" s="20">
        <f t="shared" si="24"/>
        <v>3.8073122237183919E-2</v>
      </c>
      <c r="AE35" s="20">
        <f t="shared" si="25"/>
        <v>0.31768166938410508</v>
      </c>
      <c r="AF35" s="20">
        <f t="shared" si="25"/>
        <v>0</v>
      </c>
      <c r="AG35" s="20">
        <f t="shared" si="25"/>
        <v>0</v>
      </c>
      <c r="AH35" s="20">
        <f t="shared" si="25"/>
        <v>0</v>
      </c>
      <c r="AI35" s="20">
        <f t="shared" si="26"/>
        <v>0.25345292641318462</v>
      </c>
      <c r="AJ35" s="20">
        <f t="shared" si="26"/>
        <v>0</v>
      </c>
      <c r="AK35" s="20">
        <f t="shared" si="26"/>
        <v>0</v>
      </c>
      <c r="AL35" s="20">
        <f t="shared" si="26"/>
        <v>0</v>
      </c>
      <c r="AM35" s="20">
        <f t="shared" si="27"/>
        <v>0.25345292641318462</v>
      </c>
      <c r="AO35">
        <f t="shared" si="28"/>
        <v>3.1684452325784457E-2</v>
      </c>
      <c r="AP35">
        <f t="shared" si="28"/>
        <v>0</v>
      </c>
      <c r="AQ35">
        <f t="shared" si="28"/>
        <v>0</v>
      </c>
      <c r="AR35">
        <f t="shared" si="28"/>
        <v>0</v>
      </c>
      <c r="AS35">
        <f t="shared" si="29"/>
        <v>3.1684452325784457E-2</v>
      </c>
      <c r="AU35">
        <f t="shared" si="30"/>
        <v>0.21092352536105224</v>
      </c>
      <c r="AV35">
        <f t="shared" si="30"/>
        <v>0</v>
      </c>
      <c r="AW35">
        <f t="shared" si="30"/>
        <v>0</v>
      </c>
      <c r="AX35">
        <f t="shared" si="30"/>
        <v>0</v>
      </c>
      <c r="AY35">
        <f t="shared" si="31"/>
        <v>0.21092352536105224</v>
      </c>
    </row>
    <row r="36" spans="1:53" ht="15" x14ac:dyDescent="0.25">
      <c r="A36" s="7"/>
      <c r="B36" s="8" t="s">
        <v>14</v>
      </c>
      <c r="C36" s="7"/>
      <c r="D36" s="357">
        <f t="shared" ref="D36:H36" si="32">SUM(D30:D35)</f>
        <v>0</v>
      </c>
      <c r="E36" s="363">
        <f>SUM(E30:E35)</f>
        <v>38.101399999999998</v>
      </c>
      <c r="F36" s="357">
        <f t="shared" si="32"/>
        <v>0</v>
      </c>
      <c r="G36" s="357">
        <f t="shared" si="32"/>
        <v>0</v>
      </c>
      <c r="H36" s="357">
        <f t="shared" si="32"/>
        <v>0</v>
      </c>
      <c r="J36">
        <v>0</v>
      </c>
      <c r="K36" s="14">
        <v>16.910007590729276</v>
      </c>
      <c r="L36">
        <v>0</v>
      </c>
      <c r="M36">
        <v>0</v>
      </c>
      <c r="N36">
        <v>0</v>
      </c>
      <c r="O36" s="20"/>
      <c r="P36" s="20"/>
      <c r="Q36" s="438">
        <v>0.24702469899878335</v>
      </c>
      <c r="R36" s="197"/>
      <c r="S36" s="197"/>
      <c r="T36" s="197"/>
      <c r="U36" s="197"/>
      <c r="BA36" s="319">
        <f>(E36*10000*Q36*AU$10)</f>
        <v>78326.554702449139</v>
      </c>
    </row>
    <row r="37" spans="1:53" ht="15" x14ac:dyDescent="0.25">
      <c r="A37" s="5"/>
      <c r="B37" s="9" t="s">
        <v>15</v>
      </c>
      <c r="C37" s="5"/>
      <c r="E37" s="363">
        <f>SUM(E36)</f>
        <v>38.101399999999998</v>
      </c>
      <c r="H37" s="358">
        <f>SUM(D36:H36)</f>
        <v>38.101399999999998</v>
      </c>
      <c r="K37" s="14"/>
      <c r="N37">
        <v>0</v>
      </c>
      <c r="O37" s="20"/>
      <c r="P37" s="20"/>
      <c r="Q37" s="438"/>
      <c r="R37" s="197"/>
      <c r="S37" s="197"/>
      <c r="T37" s="197"/>
      <c r="U37" s="197"/>
    </row>
    <row r="38" spans="1:53" ht="15.75" x14ac:dyDescent="0.25">
      <c r="A38" s="1"/>
      <c r="B38" s="2"/>
      <c r="C38" s="1"/>
      <c r="E38" s="362"/>
      <c r="K38" s="14"/>
      <c r="O38" s="20"/>
      <c r="P38" s="20"/>
      <c r="Q38" s="439"/>
      <c r="R38" s="197"/>
      <c r="S38" s="197"/>
      <c r="T38" s="197"/>
      <c r="U38" s="197"/>
    </row>
    <row r="39" spans="1:53" ht="15" x14ac:dyDescent="0.25">
      <c r="A39" s="1">
        <v>4</v>
      </c>
      <c r="B39" s="2" t="s">
        <v>18</v>
      </c>
      <c r="C39" s="1" t="s">
        <v>8</v>
      </c>
      <c r="D39">
        <v>0</v>
      </c>
      <c r="E39" s="360">
        <v>96.525899999999993</v>
      </c>
      <c r="F39">
        <v>0</v>
      </c>
      <c r="G39">
        <v>0</v>
      </c>
      <c r="H39">
        <v>0</v>
      </c>
      <c r="J39">
        <v>0</v>
      </c>
      <c r="K39" s="14">
        <v>93.906445392392087</v>
      </c>
      <c r="L39">
        <v>0</v>
      </c>
      <c r="M39">
        <v>0</v>
      </c>
      <c r="N39">
        <v>0</v>
      </c>
      <c r="O39" s="20"/>
      <c r="P39" s="20"/>
      <c r="Q39" s="438">
        <v>0.36924521367804547</v>
      </c>
      <c r="R39" s="197">
        <v>0.19500000000000001</v>
      </c>
      <c r="S39" s="197">
        <v>1.22</v>
      </c>
      <c r="T39" s="197">
        <v>0.4144562334217507</v>
      </c>
      <c r="U39" s="197">
        <v>0.6566321730950142</v>
      </c>
      <c r="V39" s="20">
        <f t="shared" ref="V39:Y44" si="33">IF(K39&gt;0,((E39-K39)*$Q39*$R39*10)+(K39*$O$12*$Q39*$R39*10),(E39*$Q39*$R39*10))</f>
        <v>26.751740707145373</v>
      </c>
      <c r="W39" s="20">
        <f t="shared" si="33"/>
        <v>0</v>
      </c>
      <c r="X39" s="20">
        <f t="shared" si="33"/>
        <v>0</v>
      </c>
      <c r="Y39" s="20">
        <f t="shared" si="33"/>
        <v>0</v>
      </c>
      <c r="Z39" s="20">
        <f t="shared" ref="Z39:AC44" si="34">V39*(EXP(1.01-0.34*LN(Z$8))*(1-$T39)+(1*$T39))</f>
        <v>13.946206400679559</v>
      </c>
      <c r="AA39" s="20">
        <f t="shared" si="34"/>
        <v>0</v>
      </c>
      <c r="AB39" s="20">
        <f t="shared" si="34"/>
        <v>0</v>
      </c>
      <c r="AC39" s="20">
        <f t="shared" si="34"/>
        <v>0</v>
      </c>
      <c r="AD39" s="20">
        <f t="shared" ref="AD39:AD44" si="35">SUM(Z39:AC39)</f>
        <v>13.946206400679559</v>
      </c>
      <c r="AE39" s="20">
        <f t="shared" ref="AE39:AH44" si="36">IF(K39&gt;0,((E39-K39)*$Q39*$S39*10)+(K39*$P$12*$Q39*$S39)*10,(E39*$Q39*$S39*10))</f>
        <v>256.78894664060601</v>
      </c>
      <c r="AF39" s="20">
        <f t="shared" si="36"/>
        <v>0</v>
      </c>
      <c r="AG39" s="20">
        <f t="shared" si="36"/>
        <v>0</v>
      </c>
      <c r="AH39" s="20">
        <f t="shared" si="36"/>
        <v>0</v>
      </c>
      <c r="AI39" s="20">
        <f t="shared" ref="AI39:AL44" si="37">AE39*(EXP(1.01-0.34*LN(AI$8))*(1-$U39)+(1*$U39))</f>
        <v>184.70771125795235</v>
      </c>
      <c r="AJ39" s="20">
        <f t="shared" si="37"/>
        <v>0</v>
      </c>
      <c r="AK39" s="20">
        <f t="shared" si="37"/>
        <v>0</v>
      </c>
      <c r="AL39" s="20">
        <f t="shared" si="37"/>
        <v>0</v>
      </c>
      <c r="AM39" s="20">
        <f t="shared" ref="AM39:AM44" si="38">SUM(AI39:AL39)</f>
        <v>184.70771125795235</v>
      </c>
      <c r="AO39">
        <f t="shared" ref="AO39:AR44" si="39">Z39*AO$10</f>
        <v>11.606032966645529</v>
      </c>
      <c r="AP39">
        <f t="shared" si="39"/>
        <v>0</v>
      </c>
      <c r="AQ39">
        <f t="shared" si="39"/>
        <v>0</v>
      </c>
      <c r="AR39">
        <f t="shared" si="39"/>
        <v>0</v>
      </c>
      <c r="AS39">
        <f t="shared" ref="AS39:AS44" si="40">SUM(AO39:AR39)</f>
        <v>11.606032966645529</v>
      </c>
      <c r="AU39">
        <f t="shared" ref="AU39:AX44" si="41">AI39*AU$10</f>
        <v>153.71375730886797</v>
      </c>
      <c r="AV39">
        <f t="shared" si="41"/>
        <v>0</v>
      </c>
      <c r="AW39">
        <f t="shared" si="41"/>
        <v>0</v>
      </c>
      <c r="AX39">
        <f t="shared" si="41"/>
        <v>0</v>
      </c>
      <c r="AY39">
        <f t="shared" ref="AY39:AY44" si="42">SUM(AU39:AX39)</f>
        <v>153.71375730886797</v>
      </c>
    </row>
    <row r="40" spans="1:53" ht="15" x14ac:dyDescent="0.25">
      <c r="A40" s="1"/>
      <c r="B40" s="2"/>
      <c r="C40" s="1" t="s">
        <v>9</v>
      </c>
      <c r="D40">
        <v>0</v>
      </c>
      <c r="E40" s="360">
        <v>29.336099999999998</v>
      </c>
      <c r="F40">
        <v>0</v>
      </c>
      <c r="G40">
        <v>0</v>
      </c>
      <c r="H40">
        <v>0</v>
      </c>
      <c r="J40">
        <v>0</v>
      </c>
      <c r="K40" s="14">
        <v>29.336099999999998</v>
      </c>
      <c r="L40">
        <v>0</v>
      </c>
      <c r="M40">
        <v>0</v>
      </c>
      <c r="N40">
        <v>0</v>
      </c>
      <c r="O40" s="20"/>
      <c r="P40" s="20"/>
      <c r="Q40" s="438">
        <v>0.37849042735609079</v>
      </c>
      <c r="R40" s="197">
        <v>0.19500000000000001</v>
      </c>
      <c r="S40" s="197">
        <v>1.22</v>
      </c>
      <c r="T40" s="197">
        <v>0.4144562334217507</v>
      </c>
      <c r="U40" s="197">
        <v>0.6566321730950142</v>
      </c>
      <c r="V40" s="20">
        <f t="shared" si="33"/>
        <v>7.9624548978835215</v>
      </c>
      <c r="W40" s="20">
        <f t="shared" si="33"/>
        <v>0</v>
      </c>
      <c r="X40" s="20">
        <f t="shared" si="33"/>
        <v>0</v>
      </c>
      <c r="Y40" s="20">
        <f t="shared" si="33"/>
        <v>0</v>
      </c>
      <c r="Z40" s="20">
        <f t="shared" si="34"/>
        <v>4.1509836940190263</v>
      </c>
      <c r="AA40" s="20">
        <f t="shared" si="34"/>
        <v>0</v>
      </c>
      <c r="AB40" s="20">
        <f t="shared" si="34"/>
        <v>0</v>
      </c>
      <c r="AC40" s="20">
        <f t="shared" si="34"/>
        <v>0</v>
      </c>
      <c r="AD40" s="20">
        <f t="shared" si="35"/>
        <v>4.1509836940190263</v>
      </c>
      <c r="AE40" s="20">
        <f t="shared" si="36"/>
        <v>78.450067097765469</v>
      </c>
      <c r="AF40" s="20">
        <f t="shared" si="36"/>
        <v>0</v>
      </c>
      <c r="AG40" s="20">
        <f t="shared" si="36"/>
        <v>0</v>
      </c>
      <c r="AH40" s="20">
        <f t="shared" si="36"/>
        <v>0</v>
      </c>
      <c r="AI40" s="20">
        <f t="shared" si="37"/>
        <v>56.428956663548611</v>
      </c>
      <c r="AJ40" s="20">
        <f t="shared" si="37"/>
        <v>0</v>
      </c>
      <c r="AK40" s="20">
        <f t="shared" si="37"/>
        <v>0</v>
      </c>
      <c r="AL40" s="20">
        <f t="shared" si="37"/>
        <v>0</v>
      </c>
      <c r="AM40" s="20">
        <f t="shared" si="38"/>
        <v>56.428956663548611</v>
      </c>
      <c r="AO40">
        <f t="shared" si="39"/>
        <v>3.4544486301626338</v>
      </c>
      <c r="AP40">
        <f t="shared" si="39"/>
        <v>0</v>
      </c>
      <c r="AQ40">
        <f t="shared" si="39"/>
        <v>0</v>
      </c>
      <c r="AR40">
        <f t="shared" si="39"/>
        <v>0</v>
      </c>
      <c r="AS40">
        <f t="shared" si="40"/>
        <v>3.4544486301626338</v>
      </c>
      <c r="AU40">
        <f t="shared" si="41"/>
        <v>46.960177735405153</v>
      </c>
      <c r="AV40">
        <f t="shared" si="41"/>
        <v>0</v>
      </c>
      <c r="AW40">
        <f t="shared" si="41"/>
        <v>0</v>
      </c>
      <c r="AX40">
        <f t="shared" si="41"/>
        <v>0</v>
      </c>
      <c r="AY40">
        <f t="shared" si="42"/>
        <v>46.960177735405153</v>
      </c>
    </row>
    <row r="41" spans="1:53" ht="15" x14ac:dyDescent="0.25">
      <c r="A41" s="1"/>
      <c r="B41" s="2"/>
      <c r="C41" s="1" t="s">
        <v>10</v>
      </c>
      <c r="D41">
        <v>0</v>
      </c>
      <c r="E41" s="360">
        <v>0</v>
      </c>
      <c r="F41">
        <v>0</v>
      </c>
      <c r="G41">
        <v>0</v>
      </c>
      <c r="H41">
        <v>0</v>
      </c>
      <c r="J41">
        <v>0</v>
      </c>
      <c r="K41" s="14">
        <v>0</v>
      </c>
      <c r="L41">
        <v>0</v>
      </c>
      <c r="M41">
        <v>0</v>
      </c>
      <c r="N41">
        <v>0</v>
      </c>
      <c r="O41" s="20"/>
      <c r="P41" s="20"/>
      <c r="Q41" s="438"/>
      <c r="R41" s="197">
        <v>0.19500000000000001</v>
      </c>
      <c r="S41" s="197">
        <v>1.22</v>
      </c>
      <c r="T41" s="197">
        <v>0.4144562334217507</v>
      </c>
      <c r="U41" s="197">
        <v>0.6566321730950142</v>
      </c>
      <c r="V41" s="20">
        <f t="shared" si="33"/>
        <v>0</v>
      </c>
      <c r="W41" s="20">
        <f t="shared" si="33"/>
        <v>0</v>
      </c>
      <c r="X41" s="20">
        <f t="shared" si="33"/>
        <v>0</v>
      </c>
      <c r="Y41" s="20">
        <f t="shared" si="33"/>
        <v>0</v>
      </c>
      <c r="Z41" s="20">
        <f t="shared" si="34"/>
        <v>0</v>
      </c>
      <c r="AA41" s="20">
        <f t="shared" si="34"/>
        <v>0</v>
      </c>
      <c r="AB41" s="20">
        <f t="shared" si="34"/>
        <v>0</v>
      </c>
      <c r="AC41" s="20">
        <f t="shared" si="34"/>
        <v>0</v>
      </c>
      <c r="AD41" s="20">
        <f t="shared" si="35"/>
        <v>0</v>
      </c>
      <c r="AE41" s="20">
        <f t="shared" si="36"/>
        <v>0</v>
      </c>
      <c r="AF41" s="20">
        <f t="shared" si="36"/>
        <v>0</v>
      </c>
      <c r="AG41" s="20">
        <f t="shared" si="36"/>
        <v>0</v>
      </c>
      <c r="AH41" s="20">
        <f t="shared" si="36"/>
        <v>0</v>
      </c>
      <c r="AI41" s="20">
        <f t="shared" si="37"/>
        <v>0</v>
      </c>
      <c r="AJ41" s="20">
        <f t="shared" si="37"/>
        <v>0</v>
      </c>
      <c r="AK41" s="20">
        <f t="shared" si="37"/>
        <v>0</v>
      </c>
      <c r="AL41" s="20">
        <f t="shared" si="37"/>
        <v>0</v>
      </c>
      <c r="AM41" s="20">
        <f t="shared" si="38"/>
        <v>0</v>
      </c>
      <c r="AO41">
        <f t="shared" si="39"/>
        <v>0</v>
      </c>
      <c r="AP41">
        <f t="shared" si="39"/>
        <v>0</v>
      </c>
      <c r="AQ41">
        <f t="shared" si="39"/>
        <v>0</v>
      </c>
      <c r="AR41">
        <f t="shared" si="39"/>
        <v>0</v>
      </c>
      <c r="AS41">
        <f t="shared" si="40"/>
        <v>0</v>
      </c>
      <c r="AU41">
        <f t="shared" si="41"/>
        <v>0</v>
      </c>
      <c r="AV41">
        <f t="shared" si="41"/>
        <v>0</v>
      </c>
      <c r="AW41">
        <f t="shared" si="41"/>
        <v>0</v>
      </c>
      <c r="AX41">
        <f t="shared" si="41"/>
        <v>0</v>
      </c>
      <c r="AY41">
        <f t="shared" si="42"/>
        <v>0</v>
      </c>
    </row>
    <row r="42" spans="1:53" ht="15" x14ac:dyDescent="0.25">
      <c r="A42" s="1"/>
      <c r="B42" s="2"/>
      <c r="C42" s="1" t="s">
        <v>11</v>
      </c>
      <c r="D42">
        <v>0</v>
      </c>
      <c r="E42" s="360">
        <v>10.3987</v>
      </c>
      <c r="F42">
        <v>0</v>
      </c>
      <c r="G42">
        <v>0</v>
      </c>
      <c r="H42">
        <v>0</v>
      </c>
      <c r="J42">
        <v>0</v>
      </c>
      <c r="K42" s="14">
        <v>10.3946102895907</v>
      </c>
      <c r="L42">
        <v>0</v>
      </c>
      <c r="M42">
        <v>0</v>
      </c>
      <c r="N42">
        <v>0</v>
      </c>
      <c r="O42" s="20"/>
      <c r="P42" s="20"/>
      <c r="Q42" s="438">
        <v>0.39698085471218159</v>
      </c>
      <c r="R42" s="197">
        <v>0.19500000000000001</v>
      </c>
      <c r="S42" s="197">
        <v>1.22</v>
      </c>
      <c r="T42" s="197">
        <v>0.4144562334217507</v>
      </c>
      <c r="U42" s="197">
        <v>0.6566321730950142</v>
      </c>
      <c r="V42" s="20">
        <f t="shared" si="33"/>
        <v>2.9623193161580841</v>
      </c>
      <c r="W42" s="20">
        <f t="shared" si="33"/>
        <v>0</v>
      </c>
      <c r="X42" s="20">
        <f t="shared" si="33"/>
        <v>0</v>
      </c>
      <c r="Y42" s="20">
        <f t="shared" si="33"/>
        <v>0</v>
      </c>
      <c r="Z42" s="20">
        <f t="shared" si="34"/>
        <v>1.5443150806566339</v>
      </c>
      <c r="AA42" s="20">
        <f t="shared" si="34"/>
        <v>0</v>
      </c>
      <c r="AB42" s="20">
        <f t="shared" si="34"/>
        <v>0</v>
      </c>
      <c r="AC42" s="20">
        <f t="shared" si="34"/>
        <v>0</v>
      </c>
      <c r="AD42" s="20">
        <f t="shared" si="35"/>
        <v>1.5443150806566339</v>
      </c>
      <c r="AE42" s="20">
        <f t="shared" si="36"/>
        <v>29.174858861687905</v>
      </c>
      <c r="AF42" s="20">
        <f t="shared" si="36"/>
        <v>0</v>
      </c>
      <c r="AG42" s="20">
        <f t="shared" si="36"/>
        <v>0</v>
      </c>
      <c r="AH42" s="20">
        <f t="shared" si="36"/>
        <v>0</v>
      </c>
      <c r="AI42" s="20">
        <f t="shared" si="37"/>
        <v>20.985410303342196</v>
      </c>
      <c r="AJ42" s="20">
        <f t="shared" si="37"/>
        <v>0</v>
      </c>
      <c r="AK42" s="20">
        <f t="shared" si="37"/>
        <v>0</v>
      </c>
      <c r="AL42" s="20">
        <f t="shared" si="37"/>
        <v>0</v>
      </c>
      <c r="AM42" s="20">
        <f t="shared" si="38"/>
        <v>20.985410303342196</v>
      </c>
      <c r="AO42">
        <f t="shared" si="39"/>
        <v>1.2851790101224507</v>
      </c>
      <c r="AP42">
        <f t="shared" si="39"/>
        <v>0</v>
      </c>
      <c r="AQ42">
        <f t="shared" si="39"/>
        <v>0</v>
      </c>
      <c r="AR42">
        <f t="shared" si="39"/>
        <v>0</v>
      </c>
      <c r="AS42">
        <f t="shared" si="40"/>
        <v>1.2851790101224507</v>
      </c>
      <c r="AU42">
        <f t="shared" si="41"/>
        <v>17.464058454441375</v>
      </c>
      <c r="AV42">
        <f t="shared" si="41"/>
        <v>0</v>
      </c>
      <c r="AW42">
        <f t="shared" si="41"/>
        <v>0</v>
      </c>
      <c r="AX42">
        <f t="shared" si="41"/>
        <v>0</v>
      </c>
      <c r="AY42">
        <f t="shared" si="42"/>
        <v>17.464058454441375</v>
      </c>
    </row>
    <row r="43" spans="1:53" ht="15" x14ac:dyDescent="0.25">
      <c r="A43" s="1"/>
      <c r="B43" s="2"/>
      <c r="C43" s="1" t="s">
        <v>12</v>
      </c>
      <c r="D43">
        <v>0</v>
      </c>
      <c r="E43" s="360">
        <v>0</v>
      </c>
      <c r="F43">
        <v>0</v>
      </c>
      <c r="G43">
        <v>0</v>
      </c>
      <c r="H43">
        <v>0</v>
      </c>
      <c r="J43">
        <v>0</v>
      </c>
      <c r="K43" s="14">
        <v>0</v>
      </c>
      <c r="L43">
        <v>0</v>
      </c>
      <c r="M43">
        <v>0</v>
      </c>
      <c r="N43">
        <v>0</v>
      </c>
      <c r="O43" s="20"/>
      <c r="P43" s="20"/>
      <c r="Q43" s="438"/>
      <c r="R43" s="197">
        <v>0.19500000000000001</v>
      </c>
      <c r="S43" s="197">
        <v>1.22</v>
      </c>
      <c r="T43" s="197">
        <v>0.4144562334217507</v>
      </c>
      <c r="U43" s="197">
        <v>0.6566321730950142</v>
      </c>
      <c r="V43" s="20">
        <f t="shared" si="33"/>
        <v>0</v>
      </c>
      <c r="W43" s="20">
        <f t="shared" si="33"/>
        <v>0</v>
      </c>
      <c r="X43" s="20">
        <f t="shared" si="33"/>
        <v>0</v>
      </c>
      <c r="Y43" s="20">
        <f t="shared" si="33"/>
        <v>0</v>
      </c>
      <c r="Z43" s="20">
        <f t="shared" si="34"/>
        <v>0</v>
      </c>
      <c r="AA43" s="20">
        <f t="shared" si="34"/>
        <v>0</v>
      </c>
      <c r="AB43" s="20">
        <f t="shared" si="34"/>
        <v>0</v>
      </c>
      <c r="AC43" s="20">
        <f t="shared" si="34"/>
        <v>0</v>
      </c>
      <c r="AD43" s="20">
        <f t="shared" si="35"/>
        <v>0</v>
      </c>
      <c r="AE43" s="20">
        <f t="shared" si="36"/>
        <v>0</v>
      </c>
      <c r="AF43" s="20">
        <f t="shared" si="36"/>
        <v>0</v>
      </c>
      <c r="AG43" s="20">
        <f t="shared" si="36"/>
        <v>0</v>
      </c>
      <c r="AH43" s="20">
        <f t="shared" si="36"/>
        <v>0</v>
      </c>
      <c r="AI43" s="20">
        <f t="shared" si="37"/>
        <v>0</v>
      </c>
      <c r="AJ43" s="20">
        <f t="shared" si="37"/>
        <v>0</v>
      </c>
      <c r="AK43" s="20">
        <f t="shared" si="37"/>
        <v>0</v>
      </c>
      <c r="AL43" s="20">
        <f t="shared" si="37"/>
        <v>0</v>
      </c>
      <c r="AM43" s="20">
        <f t="shared" si="38"/>
        <v>0</v>
      </c>
      <c r="AO43">
        <f t="shared" si="39"/>
        <v>0</v>
      </c>
      <c r="AP43">
        <f t="shared" si="39"/>
        <v>0</v>
      </c>
      <c r="AQ43">
        <f t="shared" si="39"/>
        <v>0</v>
      </c>
      <c r="AR43">
        <f t="shared" si="39"/>
        <v>0</v>
      </c>
      <c r="AS43">
        <f t="shared" si="40"/>
        <v>0</v>
      </c>
      <c r="AU43">
        <f t="shared" si="41"/>
        <v>0</v>
      </c>
      <c r="AV43">
        <f t="shared" si="41"/>
        <v>0</v>
      </c>
      <c r="AW43">
        <f t="shared" si="41"/>
        <v>0</v>
      </c>
      <c r="AX43">
        <f t="shared" si="41"/>
        <v>0</v>
      </c>
      <c r="AY43">
        <f t="shared" si="42"/>
        <v>0</v>
      </c>
    </row>
    <row r="44" spans="1:53" ht="15" x14ac:dyDescent="0.25">
      <c r="A44" s="1"/>
      <c r="B44" s="2"/>
      <c r="C44" s="1" t="s">
        <v>13</v>
      </c>
      <c r="D44">
        <v>0</v>
      </c>
      <c r="E44" s="360">
        <v>2.7449999999999999E-2</v>
      </c>
      <c r="F44">
        <v>0</v>
      </c>
      <c r="G44">
        <v>0</v>
      </c>
      <c r="H44">
        <v>0</v>
      </c>
      <c r="J44">
        <v>0</v>
      </c>
      <c r="K44" s="14">
        <v>2.7449999999999999E-2</v>
      </c>
      <c r="L44">
        <v>0</v>
      </c>
      <c r="M44">
        <v>0</v>
      </c>
      <c r="N44">
        <v>0</v>
      </c>
      <c r="O44" s="20"/>
      <c r="P44" s="20"/>
      <c r="Q44" s="438">
        <v>0.39698085471218159</v>
      </c>
      <c r="R44" s="197">
        <v>0.19500000000000001</v>
      </c>
      <c r="S44" s="197">
        <v>1.22</v>
      </c>
      <c r="T44" s="197">
        <v>0.4144562334217507</v>
      </c>
      <c r="U44" s="197">
        <v>0.6566321730950142</v>
      </c>
      <c r="V44" s="20">
        <f t="shared" si="33"/>
        <v>7.8145076249144241E-3</v>
      </c>
      <c r="W44" s="20">
        <f t="shared" si="33"/>
        <v>0</v>
      </c>
      <c r="X44" s="20">
        <f t="shared" si="33"/>
        <v>0</v>
      </c>
      <c r="Y44" s="20">
        <f t="shared" si="33"/>
        <v>0</v>
      </c>
      <c r="Z44" s="20">
        <f t="shared" si="34"/>
        <v>4.0738558828671487E-3</v>
      </c>
      <c r="AA44" s="20">
        <f t="shared" si="34"/>
        <v>0</v>
      </c>
      <c r="AB44" s="20">
        <f t="shared" si="34"/>
        <v>0</v>
      </c>
      <c r="AC44" s="20">
        <f t="shared" si="34"/>
        <v>0</v>
      </c>
      <c r="AD44" s="20">
        <f t="shared" si="35"/>
        <v>4.0738558828671487E-3</v>
      </c>
      <c r="AE44" s="20">
        <f t="shared" si="36"/>
        <v>7.6992416958429372E-2</v>
      </c>
      <c r="AF44" s="20">
        <f t="shared" si="36"/>
        <v>0</v>
      </c>
      <c r="AG44" s="20">
        <f t="shared" si="36"/>
        <v>0</v>
      </c>
      <c r="AH44" s="20">
        <f t="shared" si="36"/>
        <v>0</v>
      </c>
      <c r="AI44" s="20">
        <f t="shared" si="37"/>
        <v>5.5380472199657631E-2</v>
      </c>
      <c r="AJ44" s="20">
        <f t="shared" si="37"/>
        <v>0</v>
      </c>
      <c r="AK44" s="20">
        <f t="shared" si="37"/>
        <v>0</v>
      </c>
      <c r="AL44" s="20">
        <f t="shared" si="37"/>
        <v>0</v>
      </c>
      <c r="AM44" s="20">
        <f t="shared" si="38"/>
        <v>5.5380472199657631E-2</v>
      </c>
      <c r="AO44">
        <f t="shared" si="39"/>
        <v>3.3902628657220412E-3</v>
      </c>
      <c r="AP44">
        <f t="shared" si="39"/>
        <v>0</v>
      </c>
      <c r="AQ44">
        <f t="shared" si="39"/>
        <v>0</v>
      </c>
      <c r="AR44">
        <f t="shared" si="39"/>
        <v>0</v>
      </c>
      <c r="AS44">
        <f t="shared" si="40"/>
        <v>3.3902628657220412E-3</v>
      </c>
      <c r="AU44">
        <f t="shared" si="41"/>
        <v>4.608762896455508E-2</v>
      </c>
      <c r="AV44">
        <f t="shared" si="41"/>
        <v>0</v>
      </c>
      <c r="AW44">
        <f t="shared" si="41"/>
        <v>0</v>
      </c>
      <c r="AX44">
        <f t="shared" si="41"/>
        <v>0</v>
      </c>
      <c r="AY44">
        <f t="shared" si="42"/>
        <v>4.608762896455508E-2</v>
      </c>
    </row>
    <row r="45" spans="1:53" ht="15" x14ac:dyDescent="0.25">
      <c r="A45" s="7"/>
      <c r="B45" s="8" t="s">
        <v>14</v>
      </c>
      <c r="C45" s="7"/>
      <c r="D45" s="357">
        <f t="shared" ref="D45:H45" si="43">SUM(D39:D44)</f>
        <v>0</v>
      </c>
      <c r="E45" s="363">
        <f>SUM(E39:E44)</f>
        <v>136.28814999999997</v>
      </c>
      <c r="F45" s="357">
        <f t="shared" si="43"/>
        <v>0</v>
      </c>
      <c r="G45" s="357">
        <f t="shared" si="43"/>
        <v>0</v>
      </c>
      <c r="H45" s="357">
        <f t="shared" si="43"/>
        <v>0</v>
      </c>
      <c r="J45">
        <v>0</v>
      </c>
      <c r="K45" s="14">
        <v>133.66460568198278</v>
      </c>
      <c r="L45">
        <v>0</v>
      </c>
      <c r="M45">
        <v>0</v>
      </c>
      <c r="N45">
        <v>0</v>
      </c>
      <c r="O45" s="20"/>
      <c r="P45" s="20"/>
      <c r="Q45" s="438">
        <v>0.37335704927599417</v>
      </c>
      <c r="R45" s="197"/>
      <c r="S45" s="197"/>
      <c r="T45" s="197"/>
      <c r="U45" s="197"/>
      <c r="BA45" s="319">
        <f>(E45*10000*Q45*AU$10)</f>
        <v>423457.82585663407</v>
      </c>
    </row>
    <row r="46" spans="1:53" ht="15" x14ac:dyDescent="0.25">
      <c r="A46" s="10"/>
      <c r="B46" s="9" t="s">
        <v>15</v>
      </c>
      <c r="C46" s="5"/>
      <c r="E46" s="363">
        <f>SUM(E45)</f>
        <v>136.28814999999997</v>
      </c>
      <c r="H46" s="358">
        <f>SUM(D45:H45)</f>
        <v>136.28814999999997</v>
      </c>
      <c r="K46" s="14"/>
      <c r="N46">
        <v>0</v>
      </c>
      <c r="O46" s="20"/>
      <c r="P46" s="20"/>
      <c r="Q46" s="438"/>
      <c r="R46" s="197"/>
      <c r="S46" s="197"/>
      <c r="T46" s="197"/>
      <c r="U46" s="197"/>
    </row>
    <row r="47" spans="1:53" ht="15.75" x14ac:dyDescent="0.25">
      <c r="A47" s="1"/>
      <c r="B47" s="2"/>
      <c r="C47" s="1"/>
      <c r="E47" s="361"/>
      <c r="K47" s="14"/>
      <c r="O47" s="20"/>
      <c r="P47" s="20"/>
      <c r="Q47" s="439"/>
      <c r="R47" s="197"/>
      <c r="S47" s="197"/>
      <c r="T47" s="197"/>
      <c r="U47" s="197"/>
    </row>
    <row r="48" spans="1:53" ht="15" x14ac:dyDescent="0.25">
      <c r="A48" s="1">
        <v>5</v>
      </c>
      <c r="B48" s="2" t="s">
        <v>19</v>
      </c>
      <c r="C48" s="1" t="s">
        <v>8</v>
      </c>
      <c r="D48">
        <v>0</v>
      </c>
      <c r="E48" s="360">
        <v>29.9802</v>
      </c>
      <c r="F48">
        <v>0</v>
      </c>
      <c r="G48">
        <v>0</v>
      </c>
      <c r="H48">
        <v>0</v>
      </c>
      <c r="J48">
        <v>0</v>
      </c>
      <c r="K48" s="14">
        <v>18.336432758681401</v>
      </c>
      <c r="L48">
        <v>0</v>
      </c>
      <c r="M48">
        <v>0</v>
      </c>
      <c r="N48">
        <v>0</v>
      </c>
      <c r="O48" s="20"/>
      <c r="P48" s="20"/>
      <c r="Q48" s="438">
        <v>0.41347477920487496</v>
      </c>
      <c r="R48" s="197">
        <v>0.43</v>
      </c>
      <c r="S48" s="197">
        <v>2.83</v>
      </c>
      <c r="T48" s="197">
        <v>0.76744186046511631</v>
      </c>
      <c r="U48" s="197">
        <v>0.76744186046511631</v>
      </c>
      <c r="V48" s="20">
        <f t="shared" ref="V48:Y53" si="44">IF(K48&gt;0,((E48-K48)*$Q48*$R48*10)+(K48*$O$12*$Q48*$R48*10),(E48*$Q48*$R48*10))</f>
        <v>32.691060877327871</v>
      </c>
      <c r="W48" s="20">
        <f t="shared" si="44"/>
        <v>0</v>
      </c>
      <c r="X48" s="20">
        <f t="shared" si="44"/>
        <v>0</v>
      </c>
      <c r="Y48" s="20">
        <f t="shared" si="44"/>
        <v>0</v>
      </c>
      <c r="Z48" s="20">
        <f t="shared" ref="Z48:AC53" si="45">V48*(EXP(1.01-0.34*LN(Z$8))*(1-$T48)+(1*$T48))</f>
        <v>26.475979000673973</v>
      </c>
      <c r="AA48" s="20">
        <f t="shared" si="45"/>
        <v>0</v>
      </c>
      <c r="AB48" s="20">
        <f t="shared" si="45"/>
        <v>0</v>
      </c>
      <c r="AC48" s="20">
        <f t="shared" si="45"/>
        <v>0</v>
      </c>
      <c r="AD48" s="20">
        <f t="shared" ref="AD48:AD53" si="46">SUM(Z48:AC48)</f>
        <v>26.475979000673973</v>
      </c>
      <c r="AE48" s="20">
        <f t="shared" ref="AE48:AH53" si="47">IF(K48&gt;0,((E48-K48)*$Q48*$S48*10)+(K48*$P$12*$Q48*$S48)*10,(E48*$Q48*$S48*10))</f>
        <v>260.50625428818819</v>
      </c>
      <c r="AF48" s="20">
        <f t="shared" si="47"/>
        <v>0</v>
      </c>
      <c r="AG48" s="20">
        <f t="shared" si="47"/>
        <v>0</v>
      </c>
      <c r="AH48" s="20">
        <f t="shared" si="47"/>
        <v>0</v>
      </c>
      <c r="AI48" s="20">
        <f t="shared" ref="AI48:AL53" si="48">AE48*(EXP(1.01-0.34*LN(AI$8))*(1-$U48)+(1*$U48))</f>
        <v>210.97994170209597</v>
      </c>
      <c r="AJ48" s="20">
        <f t="shared" si="48"/>
        <v>0</v>
      </c>
      <c r="AK48" s="20">
        <f t="shared" si="48"/>
        <v>0</v>
      </c>
      <c r="AL48" s="20">
        <f t="shared" si="48"/>
        <v>0</v>
      </c>
      <c r="AM48" s="20">
        <f t="shared" ref="AM48:AM53" si="49">SUM(AI48:AL48)</f>
        <v>210.97994170209597</v>
      </c>
      <c r="AO48">
        <f t="shared" ref="AO48:AR53" si="50">Z48*AO$10</f>
        <v>22.033309724360883</v>
      </c>
      <c r="AP48">
        <f t="shared" si="50"/>
        <v>0</v>
      </c>
      <c r="AQ48">
        <f t="shared" si="50"/>
        <v>0</v>
      </c>
      <c r="AR48">
        <f t="shared" si="50"/>
        <v>0</v>
      </c>
      <c r="AS48">
        <f t="shared" ref="AS48:AS53" si="51">SUM(AO48:AR48)</f>
        <v>22.033309724360883</v>
      </c>
      <c r="AU48">
        <f t="shared" ref="AU48:AX53" si="52">AI48*AU$10</f>
        <v>175.57750748448427</v>
      </c>
      <c r="AV48">
        <f t="shared" si="52"/>
        <v>0</v>
      </c>
      <c r="AW48">
        <f t="shared" si="52"/>
        <v>0</v>
      </c>
      <c r="AX48">
        <f t="shared" si="52"/>
        <v>0</v>
      </c>
      <c r="AY48">
        <f t="shared" ref="AY48:AY53" si="53">SUM(AU48:AX48)</f>
        <v>175.57750748448427</v>
      </c>
    </row>
    <row r="49" spans="1:53" ht="15" x14ac:dyDescent="0.25">
      <c r="A49" s="1"/>
      <c r="B49" s="2"/>
      <c r="C49" s="1" t="s">
        <v>9</v>
      </c>
      <c r="D49">
        <v>0</v>
      </c>
      <c r="E49" s="360">
        <v>15.0631</v>
      </c>
      <c r="F49">
        <v>0</v>
      </c>
      <c r="G49">
        <v>0</v>
      </c>
      <c r="H49">
        <v>0</v>
      </c>
      <c r="J49">
        <v>0</v>
      </c>
      <c r="K49" s="14">
        <v>3.3047109557028964</v>
      </c>
      <c r="L49">
        <v>0</v>
      </c>
      <c r="M49">
        <v>0</v>
      </c>
      <c r="N49">
        <v>0</v>
      </c>
      <c r="O49" s="20"/>
      <c r="P49" s="20"/>
      <c r="Q49" s="438">
        <v>0.4219495584097499</v>
      </c>
      <c r="R49" s="197">
        <v>0.43</v>
      </c>
      <c r="S49" s="197">
        <v>2.83</v>
      </c>
      <c r="T49" s="197">
        <v>0.76744186046511631</v>
      </c>
      <c r="U49" s="197">
        <v>0.76744186046511631</v>
      </c>
      <c r="V49" s="20">
        <f t="shared" si="44"/>
        <v>23.539267949086408</v>
      </c>
      <c r="W49" s="20">
        <f t="shared" si="44"/>
        <v>0</v>
      </c>
      <c r="X49" s="20">
        <f t="shared" si="44"/>
        <v>0</v>
      </c>
      <c r="Y49" s="20">
        <f t="shared" si="44"/>
        <v>0</v>
      </c>
      <c r="Z49" s="20">
        <f t="shared" si="45"/>
        <v>19.064085018527894</v>
      </c>
      <c r="AA49" s="20">
        <f t="shared" si="45"/>
        <v>0</v>
      </c>
      <c r="AB49" s="20">
        <f t="shared" si="45"/>
        <v>0</v>
      </c>
      <c r="AC49" s="20">
        <f t="shared" si="45"/>
        <v>0</v>
      </c>
      <c r="AD49" s="20">
        <f t="shared" si="46"/>
        <v>19.064085018527894</v>
      </c>
      <c r="AE49" s="20">
        <f t="shared" si="47"/>
        <v>163.2626593927512</v>
      </c>
      <c r="AF49" s="20">
        <f t="shared" si="47"/>
        <v>0</v>
      </c>
      <c r="AG49" s="20">
        <f t="shared" si="47"/>
        <v>0</v>
      </c>
      <c r="AH49" s="20">
        <f t="shared" si="47"/>
        <v>0</v>
      </c>
      <c r="AI49" s="20">
        <f t="shared" si="48"/>
        <v>132.22387483529067</v>
      </c>
      <c r="AJ49" s="20">
        <f t="shared" si="48"/>
        <v>0</v>
      </c>
      <c r="AK49" s="20">
        <f t="shared" si="48"/>
        <v>0</v>
      </c>
      <c r="AL49" s="20">
        <f t="shared" si="48"/>
        <v>0</v>
      </c>
      <c r="AM49" s="20">
        <f t="shared" si="49"/>
        <v>132.22387483529067</v>
      </c>
      <c r="AO49">
        <f t="shared" si="50"/>
        <v>15.865131552418914</v>
      </c>
      <c r="AP49">
        <f t="shared" si="50"/>
        <v>0</v>
      </c>
      <c r="AQ49">
        <f t="shared" si="50"/>
        <v>0</v>
      </c>
      <c r="AR49">
        <f t="shared" si="50"/>
        <v>0</v>
      </c>
      <c r="AS49">
        <f t="shared" si="51"/>
        <v>15.865131552418914</v>
      </c>
      <c r="AU49">
        <f t="shared" si="52"/>
        <v>110.03670863792891</v>
      </c>
      <c r="AV49">
        <f t="shared" si="52"/>
        <v>0</v>
      </c>
      <c r="AW49">
        <f t="shared" si="52"/>
        <v>0</v>
      </c>
      <c r="AX49">
        <f t="shared" si="52"/>
        <v>0</v>
      </c>
      <c r="AY49">
        <f t="shared" si="53"/>
        <v>110.03670863792891</v>
      </c>
    </row>
    <row r="50" spans="1:53" ht="15" x14ac:dyDescent="0.25">
      <c r="A50" s="1"/>
      <c r="B50" s="2"/>
      <c r="C50" s="1" t="s">
        <v>10</v>
      </c>
      <c r="D50">
        <v>0</v>
      </c>
      <c r="E50" s="360">
        <v>2.8757000000000001</v>
      </c>
      <c r="F50">
        <v>0</v>
      </c>
      <c r="G50">
        <v>0</v>
      </c>
      <c r="H50">
        <v>0</v>
      </c>
      <c r="J50">
        <v>0</v>
      </c>
      <c r="K50" s="14">
        <v>1.7039795236300002</v>
      </c>
      <c r="L50">
        <v>0</v>
      </c>
      <c r="M50">
        <v>0</v>
      </c>
      <c r="N50">
        <v>0</v>
      </c>
      <c r="O50" s="20"/>
      <c r="P50" s="20"/>
      <c r="Q50" s="438">
        <v>0.43042433761462484</v>
      </c>
      <c r="R50" s="197">
        <v>0.43</v>
      </c>
      <c r="S50" s="197">
        <v>2.83</v>
      </c>
      <c r="T50" s="197">
        <v>0.76744186046511631</v>
      </c>
      <c r="U50" s="197">
        <v>0.76744186046511631</v>
      </c>
      <c r="V50" s="20">
        <f t="shared" si="44"/>
        <v>3.328453520367594</v>
      </c>
      <c r="W50" s="20">
        <f t="shared" si="44"/>
        <v>0</v>
      </c>
      <c r="X50" s="20">
        <f t="shared" si="44"/>
        <v>0</v>
      </c>
      <c r="Y50" s="20">
        <f t="shared" si="44"/>
        <v>0</v>
      </c>
      <c r="Z50" s="20">
        <f t="shared" si="45"/>
        <v>2.6956624577175528</v>
      </c>
      <c r="AA50" s="20">
        <f t="shared" si="45"/>
        <v>0</v>
      </c>
      <c r="AB50" s="20">
        <f t="shared" si="45"/>
        <v>0</v>
      </c>
      <c r="AC50" s="20">
        <f t="shared" si="45"/>
        <v>0</v>
      </c>
      <c r="AD50" s="20">
        <f t="shared" si="46"/>
        <v>2.6956624577175528</v>
      </c>
      <c r="AE50" s="20">
        <f t="shared" si="47"/>
        <v>26.293273515826531</v>
      </c>
      <c r="AF50" s="20">
        <f t="shared" si="47"/>
        <v>0</v>
      </c>
      <c r="AG50" s="20">
        <f t="shared" si="47"/>
        <v>0</v>
      </c>
      <c r="AH50" s="20">
        <f t="shared" si="47"/>
        <v>0</v>
      </c>
      <c r="AI50" s="20">
        <f t="shared" si="48"/>
        <v>21.294511061486912</v>
      </c>
      <c r="AJ50" s="20">
        <f t="shared" si="48"/>
        <v>0</v>
      </c>
      <c r="AK50" s="20">
        <f t="shared" si="48"/>
        <v>0</v>
      </c>
      <c r="AL50" s="20">
        <f t="shared" si="48"/>
        <v>0</v>
      </c>
      <c r="AM50" s="20">
        <f t="shared" si="49"/>
        <v>21.294511061486912</v>
      </c>
      <c r="AO50">
        <f t="shared" si="50"/>
        <v>2.2433302973125477</v>
      </c>
      <c r="AP50">
        <f t="shared" si="50"/>
        <v>0</v>
      </c>
      <c r="AQ50">
        <f t="shared" si="50"/>
        <v>0</v>
      </c>
      <c r="AR50">
        <f t="shared" si="50"/>
        <v>0</v>
      </c>
      <c r="AS50">
        <f t="shared" si="51"/>
        <v>2.2433302973125477</v>
      </c>
      <c r="AU50">
        <f t="shared" si="52"/>
        <v>17.721292105369407</v>
      </c>
      <c r="AV50">
        <f t="shared" si="52"/>
        <v>0</v>
      </c>
      <c r="AW50">
        <f t="shared" si="52"/>
        <v>0</v>
      </c>
      <c r="AX50">
        <f t="shared" si="52"/>
        <v>0</v>
      </c>
      <c r="AY50">
        <f t="shared" si="53"/>
        <v>17.721292105369407</v>
      </c>
    </row>
    <row r="51" spans="1:53" ht="15" x14ac:dyDescent="0.25">
      <c r="A51" s="1"/>
      <c r="B51" s="2"/>
      <c r="C51" s="1" t="s">
        <v>11</v>
      </c>
      <c r="D51">
        <v>0</v>
      </c>
      <c r="E51" s="360">
        <v>27.904800000000002</v>
      </c>
      <c r="F51">
        <v>0</v>
      </c>
      <c r="G51">
        <v>0</v>
      </c>
      <c r="H51">
        <v>0</v>
      </c>
      <c r="J51">
        <v>0</v>
      </c>
      <c r="K51" s="14">
        <v>20.401728580574702</v>
      </c>
      <c r="L51">
        <v>0</v>
      </c>
      <c r="M51">
        <v>0</v>
      </c>
      <c r="N51">
        <v>0</v>
      </c>
      <c r="O51" s="20"/>
      <c r="P51" s="20"/>
      <c r="Q51" s="438">
        <v>0.43889911681949978</v>
      </c>
      <c r="R51" s="197">
        <v>0.43</v>
      </c>
      <c r="S51" s="197">
        <v>2.83</v>
      </c>
      <c r="T51" s="197">
        <v>0.76744186046511631</v>
      </c>
      <c r="U51" s="197">
        <v>0.76744186046511631</v>
      </c>
      <c r="V51" s="20">
        <f t="shared" si="44"/>
        <v>28.320031335087499</v>
      </c>
      <c r="W51" s="20">
        <f t="shared" si="44"/>
        <v>0</v>
      </c>
      <c r="X51" s="20">
        <f t="shared" si="44"/>
        <v>0</v>
      </c>
      <c r="Y51" s="20">
        <f t="shared" si="44"/>
        <v>0</v>
      </c>
      <c r="Z51" s="20">
        <f t="shared" si="45"/>
        <v>22.93595052604158</v>
      </c>
      <c r="AA51" s="20">
        <f t="shared" si="45"/>
        <v>0</v>
      </c>
      <c r="AB51" s="20">
        <f t="shared" si="45"/>
        <v>0</v>
      </c>
      <c r="AC51" s="20">
        <f t="shared" si="45"/>
        <v>0</v>
      </c>
      <c r="AD51" s="20">
        <f t="shared" si="46"/>
        <v>22.93595052604158</v>
      </c>
      <c r="AE51" s="20">
        <f t="shared" si="47"/>
        <v>239.94996451132053</v>
      </c>
      <c r="AF51" s="20">
        <f t="shared" si="47"/>
        <v>0</v>
      </c>
      <c r="AG51" s="20">
        <f t="shared" si="47"/>
        <v>0</v>
      </c>
      <c r="AH51" s="20">
        <f t="shared" si="47"/>
        <v>0</v>
      </c>
      <c r="AI51" s="20">
        <f t="shared" si="48"/>
        <v>194.33172405916326</v>
      </c>
      <c r="AJ51" s="20">
        <f t="shared" si="48"/>
        <v>0</v>
      </c>
      <c r="AK51" s="20">
        <f t="shared" si="48"/>
        <v>0</v>
      </c>
      <c r="AL51" s="20">
        <f t="shared" si="48"/>
        <v>0</v>
      </c>
      <c r="AM51" s="20">
        <f t="shared" si="49"/>
        <v>194.33172405916326</v>
      </c>
      <c r="AO51">
        <f t="shared" si="50"/>
        <v>19.087298027771805</v>
      </c>
      <c r="AP51">
        <f t="shared" si="50"/>
        <v>0</v>
      </c>
      <c r="AQ51">
        <f t="shared" si="50"/>
        <v>0</v>
      </c>
      <c r="AR51">
        <f t="shared" si="50"/>
        <v>0</v>
      </c>
      <c r="AS51">
        <f t="shared" si="51"/>
        <v>19.087298027771805</v>
      </c>
      <c r="AU51">
        <f t="shared" si="52"/>
        <v>161.72286076203568</v>
      </c>
      <c r="AV51">
        <f t="shared" si="52"/>
        <v>0</v>
      </c>
      <c r="AW51">
        <f t="shared" si="52"/>
        <v>0</v>
      </c>
      <c r="AX51">
        <f t="shared" si="52"/>
        <v>0</v>
      </c>
      <c r="AY51">
        <f t="shared" si="53"/>
        <v>161.72286076203568</v>
      </c>
    </row>
    <row r="52" spans="1:53" ht="15" x14ac:dyDescent="0.25">
      <c r="A52" s="1"/>
      <c r="B52" s="2"/>
      <c r="C52" s="1" t="s">
        <v>12</v>
      </c>
      <c r="D52">
        <v>0</v>
      </c>
      <c r="E52" s="360">
        <v>0</v>
      </c>
      <c r="F52">
        <v>0</v>
      </c>
      <c r="G52">
        <v>0</v>
      </c>
      <c r="H52">
        <v>0</v>
      </c>
      <c r="J52">
        <v>0</v>
      </c>
      <c r="K52" s="14">
        <v>0</v>
      </c>
      <c r="L52">
        <v>0</v>
      </c>
      <c r="M52">
        <v>0</v>
      </c>
      <c r="N52">
        <v>0</v>
      </c>
      <c r="O52" s="20"/>
      <c r="P52" s="20"/>
      <c r="Q52" s="438"/>
      <c r="R52" s="197">
        <v>0.43</v>
      </c>
      <c r="S52" s="197">
        <v>2.83</v>
      </c>
      <c r="T52" s="197">
        <v>0.76744186046511631</v>
      </c>
      <c r="U52" s="197">
        <v>0.76744186046511631</v>
      </c>
      <c r="V52" s="20">
        <f t="shared" si="44"/>
        <v>0</v>
      </c>
      <c r="W52" s="20">
        <f t="shared" si="44"/>
        <v>0</v>
      </c>
      <c r="X52" s="20">
        <f t="shared" si="44"/>
        <v>0</v>
      </c>
      <c r="Y52" s="20">
        <f t="shared" si="44"/>
        <v>0</v>
      </c>
      <c r="Z52" s="20">
        <f t="shared" si="45"/>
        <v>0</v>
      </c>
      <c r="AA52" s="20">
        <f t="shared" si="45"/>
        <v>0</v>
      </c>
      <c r="AB52" s="20">
        <f t="shared" si="45"/>
        <v>0</v>
      </c>
      <c r="AC52" s="20">
        <f t="shared" si="45"/>
        <v>0</v>
      </c>
      <c r="AD52" s="20">
        <f t="shared" si="46"/>
        <v>0</v>
      </c>
      <c r="AE52" s="20">
        <f t="shared" si="47"/>
        <v>0</v>
      </c>
      <c r="AF52" s="20">
        <f t="shared" si="47"/>
        <v>0</v>
      </c>
      <c r="AG52" s="20">
        <f t="shared" si="47"/>
        <v>0</v>
      </c>
      <c r="AH52" s="20">
        <f t="shared" si="47"/>
        <v>0</v>
      </c>
      <c r="AI52" s="20">
        <f t="shared" si="48"/>
        <v>0</v>
      </c>
      <c r="AJ52" s="20">
        <f t="shared" si="48"/>
        <v>0</v>
      </c>
      <c r="AK52" s="20">
        <f t="shared" si="48"/>
        <v>0</v>
      </c>
      <c r="AL52" s="20">
        <f t="shared" si="48"/>
        <v>0</v>
      </c>
      <c r="AM52" s="20">
        <f t="shared" si="49"/>
        <v>0</v>
      </c>
      <c r="AO52">
        <f t="shared" si="50"/>
        <v>0</v>
      </c>
      <c r="AP52">
        <f t="shared" si="50"/>
        <v>0</v>
      </c>
      <c r="AQ52">
        <f t="shared" si="50"/>
        <v>0</v>
      </c>
      <c r="AR52">
        <f t="shared" si="50"/>
        <v>0</v>
      </c>
      <c r="AS52">
        <f t="shared" si="51"/>
        <v>0</v>
      </c>
      <c r="AU52">
        <f t="shared" si="52"/>
        <v>0</v>
      </c>
      <c r="AV52">
        <f t="shared" si="52"/>
        <v>0</v>
      </c>
      <c r="AW52">
        <f t="shared" si="52"/>
        <v>0</v>
      </c>
      <c r="AX52">
        <f t="shared" si="52"/>
        <v>0</v>
      </c>
      <c r="AY52">
        <f t="shared" si="53"/>
        <v>0</v>
      </c>
    </row>
    <row r="53" spans="1:53" ht="15" x14ac:dyDescent="0.25">
      <c r="A53" s="1"/>
      <c r="B53" s="2"/>
      <c r="C53" s="1" t="s">
        <v>13</v>
      </c>
      <c r="D53">
        <v>0</v>
      </c>
      <c r="E53" s="360">
        <v>7.3499999999999996E-2</v>
      </c>
      <c r="F53">
        <v>0</v>
      </c>
      <c r="G53">
        <v>0</v>
      </c>
      <c r="H53">
        <v>0</v>
      </c>
      <c r="J53">
        <v>0</v>
      </c>
      <c r="K53" s="14">
        <v>5.4110147222699995E-2</v>
      </c>
      <c r="L53">
        <v>0</v>
      </c>
      <c r="M53">
        <v>0</v>
      </c>
      <c r="N53">
        <v>0</v>
      </c>
      <c r="O53" s="20"/>
      <c r="P53" s="20"/>
      <c r="Q53" s="438">
        <v>0.43889911681949983</v>
      </c>
      <c r="R53" s="197">
        <v>0.43</v>
      </c>
      <c r="S53" s="197">
        <v>2.83</v>
      </c>
      <c r="T53" s="197">
        <v>0.76744186046511631</v>
      </c>
      <c r="U53" s="197">
        <v>0.76744186046511631</v>
      </c>
      <c r="V53" s="20">
        <f t="shared" si="44"/>
        <v>7.4148745364670199E-2</v>
      </c>
      <c r="W53" s="20">
        <f t="shared" si="44"/>
        <v>0</v>
      </c>
      <c r="X53" s="20">
        <f t="shared" si="44"/>
        <v>0</v>
      </c>
      <c r="Y53" s="20">
        <f t="shared" si="44"/>
        <v>0</v>
      </c>
      <c r="Z53" s="20">
        <f t="shared" si="45"/>
        <v>6.0051909375716667E-2</v>
      </c>
      <c r="AA53" s="20">
        <f t="shared" si="45"/>
        <v>0</v>
      </c>
      <c r="AB53" s="20">
        <f t="shared" si="45"/>
        <v>0</v>
      </c>
      <c r="AC53" s="20">
        <f t="shared" si="45"/>
        <v>0</v>
      </c>
      <c r="AD53" s="20">
        <f t="shared" si="46"/>
        <v>6.0051909375716667E-2</v>
      </c>
      <c r="AE53" s="20">
        <f t="shared" si="47"/>
        <v>0.63006814376376719</v>
      </c>
      <c r="AF53" s="20">
        <f t="shared" si="47"/>
        <v>0</v>
      </c>
      <c r="AG53" s="20">
        <f t="shared" si="47"/>
        <v>0</v>
      </c>
      <c r="AH53" s="20">
        <f t="shared" si="47"/>
        <v>0</v>
      </c>
      <c r="AI53" s="20">
        <f t="shared" si="48"/>
        <v>0.51028233699360659</v>
      </c>
      <c r="AJ53" s="20">
        <f t="shared" si="48"/>
        <v>0</v>
      </c>
      <c r="AK53" s="20">
        <f t="shared" si="48"/>
        <v>0</v>
      </c>
      <c r="AL53" s="20">
        <f t="shared" si="48"/>
        <v>0</v>
      </c>
      <c r="AM53" s="20">
        <f t="shared" si="49"/>
        <v>0.51028233699360659</v>
      </c>
      <c r="AO53">
        <f t="shared" si="50"/>
        <v>4.9975198982471415E-2</v>
      </c>
      <c r="AP53">
        <f t="shared" si="50"/>
        <v>0</v>
      </c>
      <c r="AQ53">
        <f t="shared" si="50"/>
        <v>0</v>
      </c>
      <c r="AR53">
        <f t="shared" si="50"/>
        <v>0</v>
      </c>
      <c r="AS53">
        <f t="shared" si="51"/>
        <v>4.9975198982471415E-2</v>
      </c>
      <c r="AU53">
        <f t="shared" si="52"/>
        <v>0.42465696084607946</v>
      </c>
      <c r="AV53">
        <f t="shared" si="52"/>
        <v>0</v>
      </c>
      <c r="AW53">
        <f t="shared" si="52"/>
        <v>0</v>
      </c>
      <c r="AX53">
        <f t="shared" si="52"/>
        <v>0</v>
      </c>
      <c r="AY53">
        <f t="shared" si="53"/>
        <v>0.42465696084607946</v>
      </c>
    </row>
    <row r="54" spans="1:53" ht="15" x14ac:dyDescent="0.25">
      <c r="A54" s="7"/>
      <c r="B54" s="8" t="s">
        <v>14</v>
      </c>
      <c r="C54" s="7"/>
      <c r="D54" s="357">
        <f t="shared" ref="D54:H54" si="54">SUM(D48:D53)</f>
        <v>0</v>
      </c>
      <c r="E54" s="363">
        <f>SUM(E48:E53)</f>
        <v>75.897300000000001</v>
      </c>
      <c r="F54" s="357">
        <f t="shared" si="54"/>
        <v>0</v>
      </c>
      <c r="G54" s="357">
        <f t="shared" si="54"/>
        <v>0</v>
      </c>
      <c r="H54" s="357">
        <f t="shared" si="54"/>
        <v>0</v>
      </c>
      <c r="J54">
        <v>0</v>
      </c>
      <c r="K54" s="14">
        <v>43.800961965811702</v>
      </c>
      <c r="L54">
        <v>0</v>
      </c>
      <c r="M54">
        <v>0</v>
      </c>
      <c r="N54">
        <v>0</v>
      </c>
      <c r="O54" s="20"/>
      <c r="P54" s="20"/>
      <c r="Q54" s="438">
        <v>0.42517121684947012</v>
      </c>
      <c r="R54" s="197"/>
      <c r="S54" s="197"/>
      <c r="T54" s="197"/>
      <c r="U54" s="197"/>
      <c r="BA54" s="319">
        <f>(E54*10000*Q54*AU$10)</f>
        <v>268545.50903441606</v>
      </c>
    </row>
    <row r="55" spans="1:53" ht="15" x14ac:dyDescent="0.25">
      <c r="A55" s="10"/>
      <c r="B55" s="9" t="s">
        <v>15</v>
      </c>
      <c r="C55" s="5"/>
      <c r="E55" s="363">
        <f>SUM(E54)</f>
        <v>75.897300000000001</v>
      </c>
      <c r="H55" s="358">
        <f>SUM(D54:H54)</f>
        <v>75.897300000000001</v>
      </c>
      <c r="K55" s="14"/>
      <c r="N55">
        <v>0</v>
      </c>
      <c r="O55" s="20"/>
      <c r="P55" s="20"/>
      <c r="Q55" s="438"/>
      <c r="R55" s="197"/>
      <c r="S55" s="197"/>
      <c r="T55" s="197"/>
      <c r="U55" s="197"/>
    </row>
    <row r="56" spans="1:53" ht="15.75" x14ac:dyDescent="0.25">
      <c r="A56" s="1"/>
      <c r="B56" s="2"/>
      <c r="C56" s="1"/>
      <c r="E56" s="361"/>
      <c r="K56" s="14"/>
      <c r="O56" s="20"/>
      <c r="P56" s="20"/>
      <c r="Q56" s="439"/>
      <c r="R56" s="197"/>
      <c r="S56" s="197"/>
      <c r="T56" s="197"/>
      <c r="U56" s="197"/>
    </row>
    <row r="57" spans="1:53" ht="15" x14ac:dyDescent="0.25">
      <c r="A57" s="1">
        <v>6</v>
      </c>
      <c r="B57" s="2" t="s">
        <v>20</v>
      </c>
      <c r="C57" s="1" t="s">
        <v>8</v>
      </c>
      <c r="D57">
        <v>0</v>
      </c>
      <c r="E57" s="360">
        <v>11.9978</v>
      </c>
      <c r="F57">
        <v>0</v>
      </c>
      <c r="G57">
        <v>0</v>
      </c>
      <c r="H57">
        <v>0</v>
      </c>
      <c r="J57">
        <v>0</v>
      </c>
      <c r="K57" s="14">
        <v>11.908647118760999</v>
      </c>
      <c r="L57">
        <v>0</v>
      </c>
      <c r="M57">
        <v>0</v>
      </c>
      <c r="N57">
        <v>0</v>
      </c>
      <c r="O57" s="20"/>
      <c r="P57" s="20"/>
      <c r="Q57" s="438">
        <v>0.45770434473170446</v>
      </c>
      <c r="R57" s="197">
        <v>0.33900000000000002</v>
      </c>
      <c r="S57" s="197">
        <v>1.9830000000000001</v>
      </c>
      <c r="T57" s="197">
        <v>0.76146788990825687</v>
      </c>
      <c r="U57" s="197">
        <v>0.76146788990825687</v>
      </c>
      <c r="V57" s="20">
        <f t="shared" ref="V57:Y62" si="55">IF(K57&gt;0,((E57-K57)*$Q57*$R57*10)+(K57*$O$12*$Q57*$R57*10),(E57*$Q57*$R57*10))</f>
        <v>6.9335313862675827</v>
      </c>
      <c r="W57" s="20">
        <f t="shared" si="55"/>
        <v>0</v>
      </c>
      <c r="X57" s="20">
        <f t="shared" si="55"/>
        <v>0</v>
      </c>
      <c r="Y57" s="20">
        <f t="shared" si="55"/>
        <v>0</v>
      </c>
      <c r="Z57" s="20">
        <f t="shared" ref="Z57:AC62" si="56">V57*(EXP(1.01-0.34*LN(Z$8))*(1-$T57)+(1*$T57))</f>
        <v>5.5814973291224748</v>
      </c>
      <c r="AA57" s="20">
        <f t="shared" si="56"/>
        <v>0</v>
      </c>
      <c r="AB57" s="20">
        <f t="shared" si="56"/>
        <v>0</v>
      </c>
      <c r="AC57" s="20">
        <f t="shared" si="56"/>
        <v>0</v>
      </c>
      <c r="AD57" s="20">
        <f t="shared" ref="AD57:AD62" si="57">SUM(Z57:AC57)</f>
        <v>5.5814973291224748</v>
      </c>
      <c r="AE57" s="20">
        <f t="shared" ref="AE57:AH62" si="58">IF(K57&gt;0,((E57-K57)*$Q57*$S57*10)+(K57*$P$12*$Q57*$S57)*10,(E57*$Q57*$S57*10))</f>
        <v>63.405148146304462</v>
      </c>
      <c r="AF57" s="20">
        <f t="shared" si="58"/>
        <v>0</v>
      </c>
      <c r="AG57" s="20">
        <f t="shared" si="58"/>
        <v>0</v>
      </c>
      <c r="AH57" s="20">
        <f t="shared" si="58"/>
        <v>0</v>
      </c>
      <c r="AI57" s="20">
        <f t="shared" ref="AI57:AL62" si="59">AE57*(EXP(1.01-0.34*LN(AI$8))*(1-$U57)+(1*$U57))</f>
        <v>51.041185986715519</v>
      </c>
      <c r="AJ57" s="20">
        <f t="shared" si="59"/>
        <v>0</v>
      </c>
      <c r="AK57" s="20">
        <f t="shared" si="59"/>
        <v>0</v>
      </c>
      <c r="AL57" s="20">
        <f t="shared" si="59"/>
        <v>0</v>
      </c>
      <c r="AM57" s="20">
        <f t="shared" ref="AM57:AM62" si="60">SUM(AI57:AL57)</f>
        <v>51.041185986715519</v>
      </c>
      <c r="AO57">
        <f t="shared" ref="AO57:AR62" si="61">Z57*AO$10</f>
        <v>4.6449220772957238</v>
      </c>
      <c r="AP57">
        <f t="shared" si="61"/>
        <v>0</v>
      </c>
      <c r="AQ57">
        <f t="shared" si="61"/>
        <v>0</v>
      </c>
      <c r="AR57">
        <f t="shared" si="61"/>
        <v>0</v>
      </c>
      <c r="AS57">
        <f t="shared" ref="AS57:AS62" si="62">SUM(AO57:AR57)</f>
        <v>4.6449220772957238</v>
      </c>
      <c r="AU57">
        <f t="shared" ref="AU57:AX62" si="63">AI57*AU$10</f>
        <v>42.476474978144658</v>
      </c>
      <c r="AV57">
        <f t="shared" si="63"/>
        <v>0</v>
      </c>
      <c r="AW57">
        <f t="shared" si="63"/>
        <v>0</v>
      </c>
      <c r="AX57">
        <f t="shared" si="63"/>
        <v>0</v>
      </c>
      <c r="AY57">
        <f t="shared" ref="AY57:AY62" si="64">SUM(AU57:AX57)</f>
        <v>42.476474978144658</v>
      </c>
    </row>
    <row r="58" spans="1:53" ht="15" x14ac:dyDescent="0.25">
      <c r="A58" s="1"/>
      <c r="B58" s="2"/>
      <c r="C58" s="1" t="s">
        <v>9</v>
      </c>
      <c r="D58">
        <v>0</v>
      </c>
      <c r="E58" s="360">
        <v>3.8092000000000001</v>
      </c>
      <c r="F58">
        <v>0</v>
      </c>
      <c r="G58">
        <v>0</v>
      </c>
      <c r="H58">
        <v>0</v>
      </c>
      <c r="J58">
        <v>0</v>
      </c>
      <c r="K58" s="14">
        <v>2.2897921524700005</v>
      </c>
      <c r="L58">
        <v>0</v>
      </c>
      <c r="M58">
        <v>0</v>
      </c>
      <c r="N58">
        <v>0</v>
      </c>
      <c r="O58" s="20"/>
      <c r="P58" s="20"/>
      <c r="Q58" s="438">
        <v>0.46540868946340902</v>
      </c>
      <c r="R58" s="197">
        <v>0.33900000000000002</v>
      </c>
      <c r="S58" s="197">
        <v>1.9830000000000001</v>
      </c>
      <c r="T58" s="197">
        <v>0.76146788990825687</v>
      </c>
      <c r="U58" s="197">
        <v>0.76146788990825687</v>
      </c>
      <c r="V58" s="20">
        <f t="shared" si="55"/>
        <v>3.7257963991212941</v>
      </c>
      <c r="W58" s="20">
        <f t="shared" si="55"/>
        <v>0</v>
      </c>
      <c r="X58" s="20">
        <f t="shared" si="55"/>
        <v>0</v>
      </c>
      <c r="Y58" s="20">
        <f t="shared" si="55"/>
        <v>0</v>
      </c>
      <c r="Z58" s="20">
        <f t="shared" si="56"/>
        <v>2.9992685533575059</v>
      </c>
      <c r="AA58" s="20">
        <f t="shared" si="56"/>
        <v>0</v>
      </c>
      <c r="AB58" s="20">
        <f t="shared" si="56"/>
        <v>0</v>
      </c>
      <c r="AC58" s="20">
        <f t="shared" si="56"/>
        <v>0</v>
      </c>
      <c r="AD58" s="20">
        <f t="shared" si="57"/>
        <v>2.9992685533575059</v>
      </c>
      <c r="AE58" s="20">
        <f t="shared" si="58"/>
        <v>26.261233719104624</v>
      </c>
      <c r="AF58" s="20">
        <f t="shared" si="58"/>
        <v>0</v>
      </c>
      <c r="AG58" s="20">
        <f t="shared" si="58"/>
        <v>0</v>
      </c>
      <c r="AH58" s="20">
        <f t="shared" si="58"/>
        <v>0</v>
      </c>
      <c r="AI58" s="20">
        <f t="shared" si="59"/>
        <v>21.140310427230645</v>
      </c>
      <c r="AJ58" s="20">
        <f t="shared" si="59"/>
        <v>0</v>
      </c>
      <c r="AK58" s="20">
        <f t="shared" si="59"/>
        <v>0</v>
      </c>
      <c r="AL58" s="20">
        <f t="shared" si="59"/>
        <v>0</v>
      </c>
      <c r="AM58" s="20">
        <f t="shared" si="60"/>
        <v>21.140310427230645</v>
      </c>
      <c r="AO58">
        <f t="shared" si="61"/>
        <v>2.4959912901041164</v>
      </c>
      <c r="AP58">
        <f t="shared" si="61"/>
        <v>0</v>
      </c>
      <c r="AQ58">
        <f t="shared" si="61"/>
        <v>0</v>
      </c>
      <c r="AR58">
        <f t="shared" si="61"/>
        <v>0</v>
      </c>
      <c r="AS58">
        <f t="shared" si="62"/>
        <v>2.4959912901041164</v>
      </c>
      <c r="AU58">
        <f t="shared" si="63"/>
        <v>17.592966337541345</v>
      </c>
      <c r="AV58">
        <f t="shared" si="63"/>
        <v>0</v>
      </c>
      <c r="AW58">
        <f t="shared" si="63"/>
        <v>0</v>
      </c>
      <c r="AX58">
        <f t="shared" si="63"/>
        <v>0</v>
      </c>
      <c r="AY58">
        <f t="shared" si="64"/>
        <v>17.592966337541345</v>
      </c>
    </row>
    <row r="59" spans="1:53" ht="15" x14ac:dyDescent="0.25">
      <c r="A59" s="1"/>
      <c r="B59" s="2"/>
      <c r="C59" s="1" t="s">
        <v>10</v>
      </c>
      <c r="D59">
        <v>0</v>
      </c>
      <c r="E59" s="360">
        <v>0.1384</v>
      </c>
      <c r="F59">
        <v>0</v>
      </c>
      <c r="G59">
        <v>0</v>
      </c>
      <c r="H59">
        <v>0</v>
      </c>
      <c r="J59">
        <v>0</v>
      </c>
      <c r="K59" s="14">
        <v>-8.809080921500001E-2</v>
      </c>
      <c r="L59">
        <v>0</v>
      </c>
      <c r="M59">
        <v>0</v>
      </c>
      <c r="N59">
        <v>0</v>
      </c>
      <c r="O59" s="20"/>
      <c r="P59" s="20"/>
      <c r="Q59" s="438">
        <v>0.47311303419511352</v>
      </c>
      <c r="R59" s="197">
        <v>0.33900000000000002</v>
      </c>
      <c r="S59" s="197">
        <v>1.9830000000000001</v>
      </c>
      <c r="T59" s="197">
        <v>0.76146788990825687</v>
      </c>
      <c r="U59" s="197">
        <v>0.76146788990825687</v>
      </c>
      <c r="V59" s="20">
        <f t="shared" si="55"/>
        <v>0.22197328093152657</v>
      </c>
      <c r="W59" s="20">
        <f t="shared" si="55"/>
        <v>0</v>
      </c>
      <c r="X59" s="20">
        <f t="shared" si="55"/>
        <v>0</v>
      </c>
      <c r="Y59" s="20">
        <f t="shared" si="55"/>
        <v>0</v>
      </c>
      <c r="Z59" s="20">
        <f t="shared" si="56"/>
        <v>0.17868863723754033</v>
      </c>
      <c r="AA59" s="20">
        <f t="shared" si="56"/>
        <v>0</v>
      </c>
      <c r="AB59" s="20">
        <f t="shared" si="56"/>
        <v>0</v>
      </c>
      <c r="AC59" s="20">
        <f t="shared" si="56"/>
        <v>0</v>
      </c>
      <c r="AD59" s="20">
        <f t="shared" si="57"/>
        <v>0.17868863723754033</v>
      </c>
      <c r="AE59" s="20">
        <f t="shared" si="58"/>
        <v>1.2984454751835317</v>
      </c>
      <c r="AF59" s="20">
        <f t="shared" si="58"/>
        <v>0</v>
      </c>
      <c r="AG59" s="20">
        <f t="shared" si="58"/>
        <v>0</v>
      </c>
      <c r="AH59" s="20">
        <f t="shared" si="58"/>
        <v>0</v>
      </c>
      <c r="AI59" s="20">
        <f t="shared" si="59"/>
        <v>1.0452494620709218</v>
      </c>
      <c r="AJ59" s="20">
        <f t="shared" si="59"/>
        <v>0</v>
      </c>
      <c r="AK59" s="20">
        <f t="shared" si="59"/>
        <v>0</v>
      </c>
      <c r="AL59" s="20">
        <f t="shared" si="59"/>
        <v>0</v>
      </c>
      <c r="AM59" s="20">
        <f t="shared" si="60"/>
        <v>1.0452494620709218</v>
      </c>
      <c r="AO59">
        <f t="shared" si="61"/>
        <v>0.14870468390908106</v>
      </c>
      <c r="AP59">
        <f t="shared" si="61"/>
        <v>0</v>
      </c>
      <c r="AQ59">
        <f t="shared" si="61"/>
        <v>0</v>
      </c>
      <c r="AR59">
        <f t="shared" si="61"/>
        <v>0</v>
      </c>
      <c r="AS59">
        <f t="shared" si="62"/>
        <v>0.14870468390908106</v>
      </c>
      <c r="AU59">
        <f t="shared" si="63"/>
        <v>0.86985660233542117</v>
      </c>
      <c r="AV59">
        <f t="shared" si="63"/>
        <v>0</v>
      </c>
      <c r="AW59">
        <f t="shared" si="63"/>
        <v>0</v>
      </c>
      <c r="AX59">
        <f t="shared" si="63"/>
        <v>0</v>
      </c>
      <c r="AY59">
        <f t="shared" si="64"/>
        <v>0.86985660233542117</v>
      </c>
    </row>
    <row r="60" spans="1:53" ht="15" x14ac:dyDescent="0.25">
      <c r="A60" s="1"/>
      <c r="B60" s="2"/>
      <c r="C60" s="1" t="s">
        <v>11</v>
      </c>
      <c r="D60">
        <v>0</v>
      </c>
      <c r="E60" s="360">
        <v>2.6183000000000001</v>
      </c>
      <c r="F60">
        <v>0</v>
      </c>
      <c r="G60">
        <v>0</v>
      </c>
      <c r="H60">
        <v>0</v>
      </c>
      <c r="J60">
        <v>0</v>
      </c>
      <c r="K60" s="14">
        <v>2.1201244640930001</v>
      </c>
      <c r="L60">
        <v>0</v>
      </c>
      <c r="M60">
        <v>0</v>
      </c>
      <c r="N60">
        <v>0</v>
      </c>
      <c r="O60" s="20"/>
      <c r="P60" s="20"/>
      <c r="Q60" s="438">
        <v>0.48081737892681803</v>
      </c>
      <c r="R60" s="197">
        <v>0.33900000000000002</v>
      </c>
      <c r="S60" s="197">
        <v>1.9830000000000001</v>
      </c>
      <c r="T60" s="197">
        <v>0.76146788990825687</v>
      </c>
      <c r="U60" s="197">
        <v>0.76146788990825687</v>
      </c>
      <c r="V60" s="20">
        <f t="shared" si="55"/>
        <v>2.0828675321690557</v>
      </c>
      <c r="W60" s="20">
        <f t="shared" si="55"/>
        <v>0</v>
      </c>
      <c r="X60" s="20">
        <f t="shared" si="55"/>
        <v>0</v>
      </c>
      <c r="Y60" s="20">
        <f t="shared" si="55"/>
        <v>0</v>
      </c>
      <c r="Z60" s="20">
        <f t="shared" si="56"/>
        <v>1.6767097341973214</v>
      </c>
      <c r="AA60" s="20">
        <f t="shared" si="56"/>
        <v>0</v>
      </c>
      <c r="AB60" s="20">
        <f t="shared" si="56"/>
        <v>0</v>
      </c>
      <c r="AC60" s="20">
        <f t="shared" si="56"/>
        <v>0</v>
      </c>
      <c r="AD60" s="20">
        <f t="shared" si="57"/>
        <v>1.6767097341973214</v>
      </c>
      <c r="AE60" s="20">
        <f t="shared" si="58"/>
        <v>16.456769162008385</v>
      </c>
      <c r="AF60" s="20">
        <f t="shared" si="58"/>
        <v>0</v>
      </c>
      <c r="AG60" s="20">
        <f t="shared" si="58"/>
        <v>0</v>
      </c>
      <c r="AH60" s="20">
        <f t="shared" si="58"/>
        <v>0</v>
      </c>
      <c r="AI60" s="20">
        <f t="shared" si="59"/>
        <v>13.247710006138862</v>
      </c>
      <c r="AJ60" s="20">
        <f t="shared" si="59"/>
        <v>0</v>
      </c>
      <c r="AK60" s="20">
        <f t="shared" si="59"/>
        <v>0</v>
      </c>
      <c r="AL60" s="20">
        <f t="shared" si="59"/>
        <v>0</v>
      </c>
      <c r="AM60" s="20">
        <f t="shared" si="60"/>
        <v>13.247710006138862</v>
      </c>
      <c r="AO60">
        <f t="shared" si="61"/>
        <v>1.395357840799011</v>
      </c>
      <c r="AP60">
        <f t="shared" si="61"/>
        <v>0</v>
      </c>
      <c r="AQ60">
        <f t="shared" si="61"/>
        <v>0</v>
      </c>
      <c r="AR60">
        <f t="shared" si="61"/>
        <v>0</v>
      </c>
      <c r="AS60">
        <f t="shared" si="62"/>
        <v>1.395357840799011</v>
      </c>
      <c r="AU60">
        <f t="shared" si="63"/>
        <v>11.024744267108762</v>
      </c>
      <c r="AV60">
        <f t="shared" si="63"/>
        <v>0</v>
      </c>
      <c r="AW60">
        <f t="shared" si="63"/>
        <v>0</v>
      </c>
      <c r="AX60">
        <f t="shared" si="63"/>
        <v>0</v>
      </c>
      <c r="AY60">
        <f t="shared" si="64"/>
        <v>11.024744267108762</v>
      </c>
    </row>
    <row r="61" spans="1:53" ht="15" x14ac:dyDescent="0.25">
      <c r="A61" s="1"/>
      <c r="B61" s="2"/>
      <c r="C61" s="1" t="s">
        <v>12</v>
      </c>
      <c r="D61">
        <v>0</v>
      </c>
      <c r="E61" s="360">
        <v>0</v>
      </c>
      <c r="F61">
        <v>0</v>
      </c>
      <c r="G61">
        <v>0</v>
      </c>
      <c r="H61">
        <v>0</v>
      </c>
      <c r="J61">
        <v>0</v>
      </c>
      <c r="K61" s="14">
        <v>0</v>
      </c>
      <c r="L61">
        <v>0</v>
      </c>
      <c r="M61">
        <v>0</v>
      </c>
      <c r="N61">
        <v>0</v>
      </c>
      <c r="O61" s="20"/>
      <c r="P61" s="20"/>
      <c r="Q61" s="438"/>
      <c r="R61" s="197">
        <v>0.33900000000000002</v>
      </c>
      <c r="S61" s="197">
        <v>1.9830000000000001</v>
      </c>
      <c r="T61" s="197">
        <v>0.76146788990825687</v>
      </c>
      <c r="U61" s="197">
        <v>0.76146788990825687</v>
      </c>
      <c r="V61" s="20">
        <f t="shared" si="55"/>
        <v>0</v>
      </c>
      <c r="W61" s="20">
        <f t="shared" si="55"/>
        <v>0</v>
      </c>
      <c r="X61" s="20">
        <f t="shared" si="55"/>
        <v>0</v>
      </c>
      <c r="Y61" s="20">
        <f t="shared" si="55"/>
        <v>0</v>
      </c>
      <c r="Z61" s="20">
        <f t="shared" si="56"/>
        <v>0</v>
      </c>
      <c r="AA61" s="20">
        <f t="shared" si="56"/>
        <v>0</v>
      </c>
      <c r="AB61" s="20">
        <f t="shared" si="56"/>
        <v>0</v>
      </c>
      <c r="AC61" s="20">
        <f t="shared" si="56"/>
        <v>0</v>
      </c>
      <c r="AD61" s="20">
        <f t="shared" si="57"/>
        <v>0</v>
      </c>
      <c r="AE61" s="20">
        <f t="shared" si="58"/>
        <v>0</v>
      </c>
      <c r="AF61" s="20">
        <f t="shared" si="58"/>
        <v>0</v>
      </c>
      <c r="AG61" s="20">
        <f t="shared" si="58"/>
        <v>0</v>
      </c>
      <c r="AH61" s="20">
        <f t="shared" si="58"/>
        <v>0</v>
      </c>
      <c r="AI61" s="20">
        <f t="shared" si="59"/>
        <v>0</v>
      </c>
      <c r="AJ61" s="20">
        <f t="shared" si="59"/>
        <v>0</v>
      </c>
      <c r="AK61" s="20">
        <f t="shared" si="59"/>
        <v>0</v>
      </c>
      <c r="AL61" s="20">
        <f t="shared" si="59"/>
        <v>0</v>
      </c>
      <c r="AM61" s="20">
        <f t="shared" si="60"/>
        <v>0</v>
      </c>
      <c r="AO61">
        <f t="shared" si="61"/>
        <v>0</v>
      </c>
      <c r="AP61">
        <f t="shared" si="61"/>
        <v>0</v>
      </c>
      <c r="AQ61">
        <f t="shared" si="61"/>
        <v>0</v>
      </c>
      <c r="AR61">
        <f t="shared" si="61"/>
        <v>0</v>
      </c>
      <c r="AS61">
        <f t="shared" si="62"/>
        <v>0</v>
      </c>
      <c r="AU61">
        <f t="shared" si="63"/>
        <v>0</v>
      </c>
      <c r="AV61">
        <f t="shared" si="63"/>
        <v>0</v>
      </c>
      <c r="AW61">
        <f t="shared" si="63"/>
        <v>0</v>
      </c>
      <c r="AX61">
        <f t="shared" si="63"/>
        <v>0</v>
      </c>
      <c r="AY61">
        <f t="shared" si="64"/>
        <v>0</v>
      </c>
    </row>
    <row r="62" spans="1:53" ht="15" x14ac:dyDescent="0.25">
      <c r="A62" s="1"/>
      <c r="B62" s="2"/>
      <c r="C62" s="1" t="s">
        <v>13</v>
      </c>
      <c r="D62">
        <v>0</v>
      </c>
      <c r="E62" s="360">
        <v>1.4E-3</v>
      </c>
      <c r="F62">
        <v>0</v>
      </c>
      <c r="G62">
        <v>0</v>
      </c>
      <c r="H62">
        <v>0</v>
      </c>
      <c r="J62">
        <v>0</v>
      </c>
      <c r="K62" s="14">
        <v>1.4E-3</v>
      </c>
      <c r="L62">
        <v>0</v>
      </c>
      <c r="M62">
        <v>0</v>
      </c>
      <c r="N62">
        <v>0</v>
      </c>
      <c r="O62" s="20"/>
      <c r="P62" s="20"/>
      <c r="Q62" s="438">
        <v>0.48081737892681803</v>
      </c>
      <c r="R62" s="197">
        <v>0.33900000000000002</v>
      </c>
      <c r="S62" s="197">
        <v>1.9830000000000001</v>
      </c>
      <c r="T62" s="197">
        <v>0.76146788990825687</v>
      </c>
      <c r="U62" s="197">
        <v>0.76146788990825687</v>
      </c>
      <c r="V62" s="20">
        <f t="shared" si="55"/>
        <v>8.3919519242623461E-4</v>
      </c>
      <c r="W62" s="20">
        <f t="shared" si="55"/>
        <v>0</v>
      </c>
      <c r="X62" s="20">
        <f t="shared" si="55"/>
        <v>0</v>
      </c>
      <c r="Y62" s="20">
        <f t="shared" si="55"/>
        <v>0</v>
      </c>
      <c r="Z62" s="20">
        <f t="shared" si="56"/>
        <v>6.7555268220411042E-4</v>
      </c>
      <c r="AA62" s="20">
        <f t="shared" si="56"/>
        <v>0</v>
      </c>
      <c r="AB62" s="20">
        <f t="shared" si="56"/>
        <v>0</v>
      </c>
      <c r="AC62" s="20">
        <f t="shared" si="56"/>
        <v>0</v>
      </c>
      <c r="AD62" s="20">
        <f t="shared" si="57"/>
        <v>6.7555268220411042E-4</v>
      </c>
      <c r="AE62" s="20">
        <f t="shared" si="58"/>
        <v>7.7304916947155983E-3</v>
      </c>
      <c r="AF62" s="20">
        <f t="shared" si="58"/>
        <v>0</v>
      </c>
      <c r="AG62" s="20">
        <f t="shared" si="58"/>
        <v>0</v>
      </c>
      <c r="AH62" s="20">
        <f t="shared" si="58"/>
        <v>0</v>
      </c>
      <c r="AI62" s="20">
        <f t="shared" si="59"/>
        <v>6.223050901928001E-3</v>
      </c>
      <c r="AJ62" s="20">
        <f t="shared" si="59"/>
        <v>0</v>
      </c>
      <c r="AK62" s="20">
        <f t="shared" si="59"/>
        <v>0</v>
      </c>
      <c r="AL62" s="20">
        <f t="shared" si="59"/>
        <v>0</v>
      </c>
      <c r="AM62" s="20">
        <f t="shared" si="60"/>
        <v>6.223050901928001E-3</v>
      </c>
      <c r="AO62">
        <f t="shared" si="61"/>
        <v>5.6219494213026076E-4</v>
      </c>
      <c r="AP62">
        <f t="shared" si="61"/>
        <v>0</v>
      </c>
      <c r="AQ62">
        <f t="shared" si="61"/>
        <v>0</v>
      </c>
      <c r="AR62">
        <f t="shared" si="61"/>
        <v>0</v>
      </c>
      <c r="AS62">
        <f t="shared" si="62"/>
        <v>5.6219494213026076E-4</v>
      </c>
      <c r="AU62">
        <f t="shared" si="63"/>
        <v>5.1788229605844831E-3</v>
      </c>
      <c r="AV62">
        <f t="shared" si="63"/>
        <v>0</v>
      </c>
      <c r="AW62">
        <f t="shared" si="63"/>
        <v>0</v>
      </c>
      <c r="AX62">
        <f t="shared" si="63"/>
        <v>0</v>
      </c>
      <c r="AY62">
        <f t="shared" si="64"/>
        <v>5.1788229605844831E-3</v>
      </c>
    </row>
    <row r="63" spans="1:53" ht="15" x14ac:dyDescent="0.25">
      <c r="A63" s="7"/>
      <c r="B63" s="8" t="s">
        <v>14</v>
      </c>
      <c r="C63" s="7"/>
      <c r="D63" s="357">
        <f t="shared" ref="D63:H63" si="65">SUM(D57:D62)</f>
        <v>0</v>
      </c>
      <c r="E63" s="363">
        <f>SUM(E57:E62)</f>
        <v>18.565100000000001</v>
      </c>
      <c r="F63" s="357">
        <f t="shared" si="65"/>
        <v>0</v>
      </c>
      <c r="G63" s="357">
        <f t="shared" si="65"/>
        <v>0</v>
      </c>
      <c r="H63" s="357">
        <f t="shared" si="65"/>
        <v>0</v>
      </c>
      <c r="J63">
        <v>0</v>
      </c>
      <c r="K63" s="14">
        <v>16.231872926109002</v>
      </c>
      <c r="L63">
        <v>0</v>
      </c>
      <c r="M63">
        <v>0</v>
      </c>
      <c r="N63">
        <v>0</v>
      </c>
      <c r="O63" s="20"/>
      <c r="P63" s="20"/>
      <c r="Q63" s="438">
        <v>0.4626614507130718</v>
      </c>
      <c r="R63" s="197"/>
      <c r="S63" s="197"/>
      <c r="T63" s="197"/>
      <c r="U63" s="197"/>
      <c r="BA63" s="319">
        <f>(E63*10000*Q63*AU$10)</f>
        <v>71480.621452825901</v>
      </c>
    </row>
    <row r="64" spans="1:53" ht="15" x14ac:dyDescent="0.25">
      <c r="A64" s="10"/>
      <c r="B64" s="9" t="s">
        <v>15</v>
      </c>
      <c r="C64" s="5"/>
      <c r="E64" s="363">
        <f>SUM(E63)</f>
        <v>18.565100000000001</v>
      </c>
      <c r="H64" s="358">
        <f>SUM(D63:H63)</f>
        <v>18.565100000000001</v>
      </c>
      <c r="K64" s="14"/>
      <c r="N64">
        <v>0</v>
      </c>
      <c r="O64" s="20"/>
      <c r="P64" s="20"/>
      <c r="Q64" s="438"/>
      <c r="R64" s="197"/>
      <c r="S64" s="197"/>
      <c r="T64" s="197"/>
      <c r="U64" s="197"/>
    </row>
    <row r="65" spans="1:53" ht="15.75" x14ac:dyDescent="0.25">
      <c r="A65" s="3"/>
      <c r="B65" s="11"/>
      <c r="C65" s="3"/>
      <c r="E65" s="361"/>
      <c r="K65" s="14"/>
      <c r="O65" s="20"/>
      <c r="P65" s="20"/>
      <c r="Q65" s="439"/>
      <c r="R65" s="197"/>
      <c r="S65" s="197"/>
      <c r="T65" s="197"/>
      <c r="U65" s="197"/>
    </row>
    <row r="66" spans="1:53" ht="15" x14ac:dyDescent="0.25">
      <c r="A66" s="3">
        <v>7</v>
      </c>
      <c r="B66" s="11" t="s">
        <v>21</v>
      </c>
      <c r="C66" s="3" t="s">
        <v>8</v>
      </c>
      <c r="D66">
        <v>0</v>
      </c>
      <c r="E66" s="360">
        <v>6.2215999999999996</v>
      </c>
      <c r="F66">
        <v>0</v>
      </c>
      <c r="G66">
        <v>0</v>
      </c>
      <c r="H66">
        <v>0</v>
      </c>
      <c r="J66">
        <v>0</v>
      </c>
      <c r="K66" s="14">
        <v>3.0276691686005992</v>
      </c>
      <c r="L66">
        <v>0</v>
      </c>
      <c r="M66">
        <v>0</v>
      </c>
      <c r="N66">
        <v>0</v>
      </c>
      <c r="O66" s="20"/>
      <c r="P66" s="20"/>
      <c r="Q66" s="438">
        <v>2.4254602568774899E-2</v>
      </c>
      <c r="R66" s="197">
        <v>0.15</v>
      </c>
      <c r="S66" s="197">
        <v>1.18</v>
      </c>
      <c r="T66" s="197">
        <v>0.46666666666666673</v>
      </c>
      <c r="U66" s="197">
        <v>0.6566321730950142</v>
      </c>
      <c r="V66" s="20">
        <f t="shared" ref="V66:Y71" si="66">IF(K66&gt;0,((E66-K66)*$Q66*$R66*10)+(K66*$O$12*$Q66*$R66*10),(E66*$Q66*$R66*10))</f>
        <v>0.15671004325471002</v>
      </c>
      <c r="W66" s="20">
        <f t="shared" si="66"/>
        <v>0</v>
      </c>
      <c r="X66" s="20">
        <f t="shared" si="66"/>
        <v>0</v>
      </c>
      <c r="Y66" s="20">
        <f t="shared" si="66"/>
        <v>0</v>
      </c>
      <c r="Z66" s="20">
        <f t="shared" ref="Z66:AC71" si="67">V66*(EXP(1.01-0.34*LN(Z$8))*(1-$T66)+(1*$T66))</f>
        <v>8.838469499684648E-2</v>
      </c>
      <c r="AA66" s="20">
        <f t="shared" si="67"/>
        <v>0</v>
      </c>
      <c r="AB66" s="20">
        <f t="shared" si="67"/>
        <v>0</v>
      </c>
      <c r="AC66" s="20">
        <f t="shared" si="67"/>
        <v>0</v>
      </c>
      <c r="AD66" s="20">
        <f t="shared" ref="AD66:AD71" si="68">SUM(Z66:AC66)</f>
        <v>8.838469499684648E-2</v>
      </c>
      <c r="AE66" s="20">
        <f t="shared" ref="AE66:AH71" si="69">IF(K66&gt;0,((E66-K66)*$Q66*$S66*10)+(K66*$P$12*$Q66*$S66)*10,(E66*$Q66*$S66*10))</f>
        <v>1.4159516001171599</v>
      </c>
      <c r="AF66" s="20">
        <f t="shared" si="69"/>
        <v>0</v>
      </c>
      <c r="AG66" s="20">
        <f t="shared" si="69"/>
        <v>0</v>
      </c>
      <c r="AH66" s="20">
        <f t="shared" si="69"/>
        <v>0</v>
      </c>
      <c r="AI66" s="20">
        <f t="shared" ref="AI66:AL71" si="70">AE66*(EXP(1.01-0.34*LN(AI$8))*(1-$U66)+(1*$U66))</f>
        <v>1.0184907984988758</v>
      </c>
      <c r="AJ66" s="20">
        <f t="shared" si="70"/>
        <v>0</v>
      </c>
      <c r="AK66" s="20">
        <f t="shared" si="70"/>
        <v>0</v>
      </c>
      <c r="AL66" s="20">
        <f t="shared" si="70"/>
        <v>0</v>
      </c>
      <c r="AM66" s="20">
        <f t="shared" ref="AM66:AM71" si="71">SUM(AI66:AL66)</f>
        <v>1.0184907984988758</v>
      </c>
      <c r="AO66">
        <f t="shared" ref="AO66:AR71" si="72">Z66*AO$10</f>
        <v>7.3553743176375641E-2</v>
      </c>
      <c r="AP66">
        <f t="shared" si="72"/>
        <v>0</v>
      </c>
      <c r="AQ66">
        <f t="shared" si="72"/>
        <v>0</v>
      </c>
      <c r="AR66">
        <f t="shared" si="72"/>
        <v>0</v>
      </c>
      <c r="AS66">
        <f t="shared" ref="AS66:AS71" si="73">SUM(AO66:AR66)</f>
        <v>7.3553743176375641E-2</v>
      </c>
      <c r="AU66">
        <f t="shared" ref="AU66:AX71" si="74">AI66*AU$10</f>
        <v>0.84758804251076447</v>
      </c>
      <c r="AV66">
        <f t="shared" si="74"/>
        <v>0</v>
      </c>
      <c r="AW66">
        <f t="shared" si="74"/>
        <v>0</v>
      </c>
      <c r="AX66">
        <f t="shared" si="74"/>
        <v>0</v>
      </c>
      <c r="AY66">
        <f t="shared" ref="AY66:AY71" si="75">SUM(AU66:AX66)</f>
        <v>0.84758804251076447</v>
      </c>
    </row>
    <row r="67" spans="1:53" ht="15" x14ac:dyDescent="0.25">
      <c r="A67" s="3"/>
      <c r="B67" s="11"/>
      <c r="C67" s="3" t="s">
        <v>9</v>
      </c>
      <c r="D67">
        <v>0</v>
      </c>
      <c r="E67" s="360">
        <v>3.8833000000000002</v>
      </c>
      <c r="F67">
        <v>0</v>
      </c>
      <c r="G67">
        <v>0</v>
      </c>
      <c r="H67">
        <v>0</v>
      </c>
      <c r="J67">
        <v>0</v>
      </c>
      <c r="K67" s="14">
        <v>-24.426011909499998</v>
      </c>
      <c r="L67">
        <v>0</v>
      </c>
      <c r="M67">
        <v>0</v>
      </c>
      <c r="N67">
        <v>0</v>
      </c>
      <c r="O67" s="20"/>
      <c r="P67" s="20"/>
      <c r="Q67" s="438">
        <v>3.950920513754981E-2</v>
      </c>
      <c r="R67" s="197">
        <v>0.15</v>
      </c>
      <c r="S67" s="197">
        <v>1.18</v>
      </c>
      <c r="T67" s="197">
        <v>0.46666666666666673</v>
      </c>
      <c r="U67" s="197">
        <v>0.6566321730950142</v>
      </c>
      <c r="V67" s="20">
        <f t="shared" si="66"/>
        <v>0.23013914446597078</v>
      </c>
      <c r="W67" s="20">
        <f t="shared" si="66"/>
        <v>0</v>
      </c>
      <c r="X67" s="20">
        <f t="shared" si="66"/>
        <v>0</v>
      </c>
      <c r="Y67" s="20">
        <f t="shared" si="66"/>
        <v>0</v>
      </c>
      <c r="Z67" s="20">
        <f t="shared" si="67"/>
        <v>0.12979881613202643</v>
      </c>
      <c r="AA67" s="20">
        <f t="shared" si="67"/>
        <v>0</v>
      </c>
      <c r="AB67" s="20">
        <f t="shared" si="67"/>
        <v>0</v>
      </c>
      <c r="AC67" s="20">
        <f t="shared" si="67"/>
        <v>0</v>
      </c>
      <c r="AD67" s="20">
        <f t="shared" si="68"/>
        <v>0.12979881613202643</v>
      </c>
      <c r="AE67" s="20">
        <f t="shared" si="69"/>
        <v>1.8104279364656368</v>
      </c>
      <c r="AF67" s="20">
        <f t="shared" si="69"/>
        <v>0</v>
      </c>
      <c r="AG67" s="20">
        <f t="shared" si="69"/>
        <v>0</v>
      </c>
      <c r="AH67" s="20">
        <f t="shared" si="69"/>
        <v>0</v>
      </c>
      <c r="AI67" s="20">
        <f t="shared" si="70"/>
        <v>1.3022367392239877</v>
      </c>
      <c r="AJ67" s="20">
        <f t="shared" si="70"/>
        <v>0</v>
      </c>
      <c r="AK67" s="20">
        <f t="shared" si="70"/>
        <v>0</v>
      </c>
      <c r="AL67" s="20">
        <f t="shared" si="70"/>
        <v>0</v>
      </c>
      <c r="AM67" s="20">
        <f t="shared" si="71"/>
        <v>1.3022367392239877</v>
      </c>
      <c r="AO67">
        <f t="shared" si="72"/>
        <v>0.1080185747850724</v>
      </c>
      <c r="AP67">
        <f t="shared" si="72"/>
        <v>0</v>
      </c>
      <c r="AQ67">
        <f t="shared" si="72"/>
        <v>0</v>
      </c>
      <c r="AR67">
        <f t="shared" si="72"/>
        <v>0</v>
      </c>
      <c r="AS67">
        <f t="shared" si="73"/>
        <v>0.1080185747850724</v>
      </c>
      <c r="AU67">
        <f t="shared" si="74"/>
        <v>1.0837214143822027</v>
      </c>
      <c r="AV67">
        <f t="shared" si="74"/>
        <v>0</v>
      </c>
      <c r="AW67">
        <f t="shared" si="74"/>
        <v>0</v>
      </c>
      <c r="AX67">
        <f t="shared" si="74"/>
        <v>0</v>
      </c>
      <c r="AY67">
        <f t="shared" si="75"/>
        <v>1.0837214143822027</v>
      </c>
    </row>
    <row r="68" spans="1:53" ht="15" x14ac:dyDescent="0.25">
      <c r="A68" s="3"/>
      <c r="B68" s="11"/>
      <c r="C68" s="3" t="s">
        <v>10</v>
      </c>
      <c r="D68">
        <v>0</v>
      </c>
      <c r="E68" s="360">
        <v>0</v>
      </c>
      <c r="F68">
        <v>0</v>
      </c>
      <c r="G68">
        <v>0</v>
      </c>
      <c r="H68">
        <v>0</v>
      </c>
      <c r="J68">
        <v>0</v>
      </c>
      <c r="K68" s="14">
        <v>0</v>
      </c>
      <c r="L68">
        <v>0</v>
      </c>
      <c r="M68">
        <v>0</v>
      </c>
      <c r="N68">
        <v>0</v>
      </c>
      <c r="O68" s="20"/>
      <c r="P68" s="20"/>
      <c r="Q68" s="438"/>
      <c r="R68" s="197">
        <v>0.15</v>
      </c>
      <c r="S68" s="197">
        <v>1.18</v>
      </c>
      <c r="T68" s="197">
        <v>0.46666666666666673</v>
      </c>
      <c r="U68" s="197">
        <v>0.6566321730950142</v>
      </c>
      <c r="V68" s="20">
        <f t="shared" si="66"/>
        <v>0</v>
      </c>
      <c r="W68" s="20">
        <f t="shared" si="66"/>
        <v>0</v>
      </c>
      <c r="X68" s="20">
        <f t="shared" si="66"/>
        <v>0</v>
      </c>
      <c r="Y68" s="20">
        <f t="shared" si="66"/>
        <v>0</v>
      </c>
      <c r="Z68" s="20">
        <f t="shared" si="67"/>
        <v>0</v>
      </c>
      <c r="AA68" s="20">
        <f t="shared" si="67"/>
        <v>0</v>
      </c>
      <c r="AB68" s="20">
        <f t="shared" si="67"/>
        <v>0</v>
      </c>
      <c r="AC68" s="20">
        <f t="shared" si="67"/>
        <v>0</v>
      </c>
      <c r="AD68" s="20">
        <f t="shared" si="68"/>
        <v>0</v>
      </c>
      <c r="AE68" s="20">
        <f t="shared" si="69"/>
        <v>0</v>
      </c>
      <c r="AF68" s="20">
        <f t="shared" si="69"/>
        <v>0</v>
      </c>
      <c r="AG68" s="20">
        <f t="shared" si="69"/>
        <v>0</v>
      </c>
      <c r="AH68" s="20">
        <f t="shared" si="69"/>
        <v>0</v>
      </c>
      <c r="AI68" s="20">
        <f t="shared" si="70"/>
        <v>0</v>
      </c>
      <c r="AJ68" s="20">
        <f t="shared" si="70"/>
        <v>0</v>
      </c>
      <c r="AK68" s="20">
        <f t="shared" si="70"/>
        <v>0</v>
      </c>
      <c r="AL68" s="20">
        <f t="shared" si="70"/>
        <v>0</v>
      </c>
      <c r="AM68" s="20">
        <f t="shared" si="71"/>
        <v>0</v>
      </c>
      <c r="AO68">
        <f t="shared" si="72"/>
        <v>0</v>
      </c>
      <c r="AP68">
        <f t="shared" si="72"/>
        <v>0</v>
      </c>
      <c r="AQ68">
        <f t="shared" si="72"/>
        <v>0</v>
      </c>
      <c r="AR68">
        <f t="shared" si="72"/>
        <v>0</v>
      </c>
      <c r="AS68">
        <f t="shared" si="73"/>
        <v>0</v>
      </c>
      <c r="AU68">
        <f t="shared" si="74"/>
        <v>0</v>
      </c>
      <c r="AV68">
        <f t="shared" si="74"/>
        <v>0</v>
      </c>
      <c r="AW68">
        <f t="shared" si="74"/>
        <v>0</v>
      </c>
      <c r="AX68">
        <f t="shared" si="74"/>
        <v>0</v>
      </c>
      <c r="AY68">
        <f t="shared" si="75"/>
        <v>0</v>
      </c>
    </row>
    <row r="69" spans="1:53" ht="15" x14ac:dyDescent="0.25">
      <c r="A69" s="3"/>
      <c r="B69" s="11"/>
      <c r="C69" s="3" t="s">
        <v>11</v>
      </c>
      <c r="D69">
        <v>0</v>
      </c>
      <c r="E69" s="360">
        <v>0.13730000000000001</v>
      </c>
      <c r="F69">
        <v>0</v>
      </c>
      <c r="G69">
        <v>0</v>
      </c>
      <c r="H69">
        <v>0</v>
      </c>
      <c r="J69">
        <v>0</v>
      </c>
      <c r="K69" s="14">
        <v>-0.29315512371429997</v>
      </c>
      <c r="L69">
        <v>0</v>
      </c>
      <c r="M69">
        <v>0</v>
      </c>
      <c r="N69">
        <v>0</v>
      </c>
      <c r="O69" s="20"/>
      <c r="P69" s="20"/>
      <c r="Q69" s="438">
        <v>7.0018410275099613E-2</v>
      </c>
      <c r="R69" s="197">
        <v>0.15</v>
      </c>
      <c r="S69" s="197">
        <v>1.18</v>
      </c>
      <c r="T69" s="197">
        <v>0.46666666666666673</v>
      </c>
      <c r="U69" s="197">
        <v>0.6566321730950142</v>
      </c>
      <c r="V69" s="20">
        <f t="shared" si="66"/>
        <v>1.4420291596156765E-2</v>
      </c>
      <c r="W69" s="20">
        <f t="shared" si="66"/>
        <v>0</v>
      </c>
      <c r="X69" s="20">
        <f t="shared" si="66"/>
        <v>0</v>
      </c>
      <c r="Y69" s="20">
        <f t="shared" si="66"/>
        <v>0</v>
      </c>
      <c r="Z69" s="20">
        <f t="shared" si="67"/>
        <v>8.1330656799087891E-3</v>
      </c>
      <c r="AA69" s="20">
        <f t="shared" si="67"/>
        <v>0</v>
      </c>
      <c r="AB69" s="20">
        <f t="shared" si="67"/>
        <v>0</v>
      </c>
      <c r="AC69" s="20">
        <f t="shared" si="67"/>
        <v>0</v>
      </c>
      <c r="AD69" s="20">
        <f t="shared" si="68"/>
        <v>8.1330656799087891E-3</v>
      </c>
      <c r="AE69" s="20">
        <f t="shared" si="69"/>
        <v>0.11343962722309987</v>
      </c>
      <c r="AF69" s="20">
        <f t="shared" si="69"/>
        <v>0</v>
      </c>
      <c r="AG69" s="20">
        <f t="shared" si="69"/>
        <v>0</v>
      </c>
      <c r="AH69" s="20">
        <f t="shared" si="69"/>
        <v>0</v>
      </c>
      <c r="AI69" s="20">
        <f t="shared" si="70"/>
        <v>8.159686849628893E-2</v>
      </c>
      <c r="AJ69" s="20">
        <f t="shared" si="70"/>
        <v>0</v>
      </c>
      <c r="AK69" s="20">
        <f t="shared" si="70"/>
        <v>0</v>
      </c>
      <c r="AL69" s="20">
        <f t="shared" si="70"/>
        <v>0</v>
      </c>
      <c r="AM69" s="20">
        <f t="shared" si="71"/>
        <v>8.159686849628893E-2</v>
      </c>
      <c r="AO69">
        <f t="shared" si="72"/>
        <v>6.7683372588200948E-3</v>
      </c>
      <c r="AP69">
        <f t="shared" si="72"/>
        <v>0</v>
      </c>
      <c r="AQ69">
        <f t="shared" si="72"/>
        <v>0</v>
      </c>
      <c r="AR69">
        <f t="shared" si="72"/>
        <v>0</v>
      </c>
      <c r="AS69">
        <f t="shared" si="73"/>
        <v>6.7683372588200948E-3</v>
      </c>
      <c r="AU69">
        <f t="shared" si="74"/>
        <v>6.7904913962611654E-2</v>
      </c>
      <c r="AV69">
        <f t="shared" si="74"/>
        <v>0</v>
      </c>
      <c r="AW69">
        <f t="shared" si="74"/>
        <v>0</v>
      </c>
      <c r="AX69">
        <f t="shared" si="74"/>
        <v>0</v>
      </c>
      <c r="AY69">
        <f t="shared" si="75"/>
        <v>6.7904913962611654E-2</v>
      </c>
    </row>
    <row r="70" spans="1:53" ht="15" x14ac:dyDescent="0.25">
      <c r="A70" s="3"/>
      <c r="B70" s="12"/>
      <c r="C70" s="3" t="s">
        <v>12</v>
      </c>
      <c r="D70">
        <v>0</v>
      </c>
      <c r="E70" s="360">
        <v>0</v>
      </c>
      <c r="F70">
        <v>0</v>
      </c>
      <c r="G70">
        <v>0</v>
      </c>
      <c r="H70">
        <v>0</v>
      </c>
      <c r="J70">
        <v>0</v>
      </c>
      <c r="K70" s="14">
        <v>0</v>
      </c>
      <c r="L70">
        <v>0</v>
      </c>
      <c r="M70">
        <v>0</v>
      </c>
      <c r="N70">
        <v>0</v>
      </c>
      <c r="O70" s="20"/>
      <c r="P70" s="20"/>
      <c r="Q70" s="438"/>
      <c r="R70" s="197">
        <v>0.15</v>
      </c>
      <c r="S70" s="197">
        <v>1.18</v>
      </c>
      <c r="T70" s="197">
        <v>0.46666666666666673</v>
      </c>
      <c r="U70" s="197">
        <v>0.6566321730950142</v>
      </c>
      <c r="V70" s="20">
        <f t="shared" si="66"/>
        <v>0</v>
      </c>
      <c r="W70" s="20">
        <f t="shared" si="66"/>
        <v>0</v>
      </c>
      <c r="X70" s="20">
        <f t="shared" si="66"/>
        <v>0</v>
      </c>
      <c r="Y70" s="20">
        <f t="shared" si="66"/>
        <v>0</v>
      </c>
      <c r="Z70" s="20">
        <f t="shared" si="67"/>
        <v>0</v>
      </c>
      <c r="AA70" s="20">
        <f t="shared" si="67"/>
        <v>0</v>
      </c>
      <c r="AB70" s="20">
        <f t="shared" si="67"/>
        <v>0</v>
      </c>
      <c r="AC70" s="20">
        <f t="shared" si="67"/>
        <v>0</v>
      </c>
      <c r="AD70" s="20">
        <f t="shared" si="68"/>
        <v>0</v>
      </c>
      <c r="AE70" s="20">
        <f t="shared" si="69"/>
        <v>0</v>
      </c>
      <c r="AF70" s="20">
        <f t="shared" si="69"/>
        <v>0</v>
      </c>
      <c r="AG70" s="20">
        <f t="shared" si="69"/>
        <v>0</v>
      </c>
      <c r="AH70" s="20">
        <f t="shared" si="69"/>
        <v>0</v>
      </c>
      <c r="AI70" s="20">
        <f t="shared" si="70"/>
        <v>0</v>
      </c>
      <c r="AJ70" s="20">
        <f t="shared" si="70"/>
        <v>0</v>
      </c>
      <c r="AK70" s="20">
        <f t="shared" si="70"/>
        <v>0</v>
      </c>
      <c r="AL70" s="20">
        <f t="shared" si="70"/>
        <v>0</v>
      </c>
      <c r="AM70" s="20">
        <f t="shared" si="71"/>
        <v>0</v>
      </c>
      <c r="AO70">
        <f t="shared" si="72"/>
        <v>0</v>
      </c>
      <c r="AP70">
        <f t="shared" si="72"/>
        <v>0</v>
      </c>
      <c r="AQ70">
        <f t="shared" si="72"/>
        <v>0</v>
      </c>
      <c r="AR70">
        <f t="shared" si="72"/>
        <v>0</v>
      </c>
      <c r="AS70">
        <f t="shared" si="73"/>
        <v>0</v>
      </c>
      <c r="AU70">
        <f t="shared" si="74"/>
        <v>0</v>
      </c>
      <c r="AV70">
        <f t="shared" si="74"/>
        <v>0</v>
      </c>
      <c r="AW70">
        <f t="shared" si="74"/>
        <v>0</v>
      </c>
      <c r="AX70">
        <f t="shared" si="74"/>
        <v>0</v>
      </c>
      <c r="AY70">
        <f t="shared" si="75"/>
        <v>0</v>
      </c>
    </row>
    <row r="71" spans="1:53" ht="15" x14ac:dyDescent="0.25">
      <c r="A71" s="3"/>
      <c r="B71" s="12"/>
      <c r="C71" s="3" t="s">
        <v>13</v>
      </c>
      <c r="D71">
        <v>0</v>
      </c>
      <c r="E71" s="360">
        <v>0</v>
      </c>
      <c r="F71">
        <v>0</v>
      </c>
      <c r="G71">
        <v>0</v>
      </c>
      <c r="H71">
        <v>0</v>
      </c>
      <c r="J71">
        <v>0</v>
      </c>
      <c r="K71" s="14">
        <v>-3.8476341248699999</v>
      </c>
      <c r="L71">
        <v>0</v>
      </c>
      <c r="M71">
        <v>0</v>
      </c>
      <c r="N71">
        <v>0</v>
      </c>
      <c r="O71" s="20"/>
      <c r="P71" s="20"/>
      <c r="Q71" s="438"/>
      <c r="R71" s="197">
        <v>0.15</v>
      </c>
      <c r="S71" s="197">
        <v>1.18</v>
      </c>
      <c r="T71" s="197">
        <v>0.46666666666666673</v>
      </c>
      <c r="U71" s="197">
        <v>0.6566321730950142</v>
      </c>
      <c r="V71" s="20">
        <f t="shared" si="66"/>
        <v>0</v>
      </c>
      <c r="W71" s="20">
        <f t="shared" si="66"/>
        <v>0</v>
      </c>
      <c r="X71" s="20">
        <f t="shared" si="66"/>
        <v>0</v>
      </c>
      <c r="Y71" s="20">
        <f t="shared" si="66"/>
        <v>0</v>
      </c>
      <c r="Z71" s="20">
        <f t="shared" si="67"/>
        <v>0</v>
      </c>
      <c r="AA71" s="20">
        <f t="shared" si="67"/>
        <v>0</v>
      </c>
      <c r="AB71" s="20">
        <f t="shared" si="67"/>
        <v>0</v>
      </c>
      <c r="AC71" s="20">
        <f t="shared" si="67"/>
        <v>0</v>
      </c>
      <c r="AD71" s="20">
        <f t="shared" si="68"/>
        <v>0</v>
      </c>
      <c r="AE71" s="20">
        <f t="shared" si="69"/>
        <v>0</v>
      </c>
      <c r="AF71" s="20">
        <f t="shared" si="69"/>
        <v>0</v>
      </c>
      <c r="AG71" s="20">
        <f t="shared" si="69"/>
        <v>0</v>
      </c>
      <c r="AH71" s="20">
        <f t="shared" si="69"/>
        <v>0</v>
      </c>
      <c r="AI71" s="20">
        <f t="shared" si="70"/>
        <v>0</v>
      </c>
      <c r="AJ71" s="20">
        <f t="shared" si="70"/>
        <v>0</v>
      </c>
      <c r="AK71" s="20">
        <f t="shared" si="70"/>
        <v>0</v>
      </c>
      <c r="AL71" s="20">
        <f t="shared" si="70"/>
        <v>0</v>
      </c>
      <c r="AM71" s="20">
        <f t="shared" si="71"/>
        <v>0</v>
      </c>
      <c r="AO71">
        <f t="shared" si="72"/>
        <v>0</v>
      </c>
      <c r="AP71">
        <f t="shared" si="72"/>
        <v>0</v>
      </c>
      <c r="AQ71">
        <f t="shared" si="72"/>
        <v>0</v>
      </c>
      <c r="AR71">
        <f t="shared" si="72"/>
        <v>0</v>
      </c>
      <c r="AS71">
        <f t="shared" si="73"/>
        <v>0</v>
      </c>
      <c r="AU71">
        <f t="shared" si="74"/>
        <v>0</v>
      </c>
      <c r="AV71">
        <f t="shared" si="74"/>
        <v>0</v>
      </c>
      <c r="AW71">
        <f t="shared" si="74"/>
        <v>0</v>
      </c>
      <c r="AX71">
        <f t="shared" si="74"/>
        <v>0</v>
      </c>
      <c r="AY71">
        <f t="shared" si="75"/>
        <v>0</v>
      </c>
    </row>
    <row r="72" spans="1:53" ht="15" x14ac:dyDescent="0.25">
      <c r="A72" s="7"/>
      <c r="B72" s="8" t="s">
        <v>14</v>
      </c>
      <c r="C72" s="7"/>
      <c r="D72" s="357">
        <f t="shared" ref="D72:H72" si="76">SUM(D66:D71)</f>
        <v>0</v>
      </c>
      <c r="E72" s="363">
        <f>SUM(E66:E71)</f>
        <v>10.2422</v>
      </c>
      <c r="F72" s="357">
        <f t="shared" si="76"/>
        <v>0</v>
      </c>
      <c r="G72" s="357">
        <f t="shared" si="76"/>
        <v>0</v>
      </c>
      <c r="H72" s="357">
        <f t="shared" si="76"/>
        <v>0</v>
      </c>
      <c r="J72">
        <v>0</v>
      </c>
      <c r="K72" s="14">
        <v>-25.539131989483696</v>
      </c>
      <c r="L72">
        <v>0</v>
      </c>
      <c r="M72">
        <v>0</v>
      </c>
      <c r="N72">
        <v>0</v>
      </c>
      <c r="O72" s="20"/>
      <c r="P72" s="20"/>
      <c r="Q72" s="438">
        <v>3.0651818884937634E-2</v>
      </c>
      <c r="R72" s="197"/>
      <c r="S72" s="197"/>
      <c r="T72" s="197"/>
      <c r="U72" s="197"/>
      <c r="BA72" s="319">
        <f>(E72*10000*Q72*AU$10)</f>
        <v>2612.6258181878911</v>
      </c>
    </row>
    <row r="73" spans="1:53" ht="15" x14ac:dyDescent="0.25">
      <c r="A73" s="10"/>
      <c r="B73" s="9" t="s">
        <v>15</v>
      </c>
      <c r="C73" s="5"/>
      <c r="E73" s="363">
        <f>SUM(E72)</f>
        <v>10.2422</v>
      </c>
      <c r="H73" s="358">
        <f>SUM(D72:H72)</f>
        <v>10.2422</v>
      </c>
      <c r="K73" s="14"/>
      <c r="N73">
        <v>0</v>
      </c>
      <c r="O73" s="20"/>
      <c r="P73" s="20"/>
      <c r="Q73" s="438"/>
      <c r="R73" s="197"/>
      <c r="S73" s="197"/>
      <c r="T73" s="197"/>
      <c r="U73" s="197"/>
    </row>
    <row r="74" spans="1:53" ht="15.75" x14ac:dyDescent="0.25">
      <c r="A74" s="1"/>
      <c r="B74" s="2"/>
      <c r="C74" s="1"/>
      <c r="E74" s="361"/>
      <c r="K74" s="14"/>
      <c r="O74" s="20"/>
      <c r="P74" s="20"/>
      <c r="Q74" s="439"/>
      <c r="R74" s="197"/>
      <c r="S74" s="197"/>
      <c r="T74" s="197"/>
      <c r="U74" s="197"/>
    </row>
    <row r="75" spans="1:53" ht="15" x14ac:dyDescent="0.25">
      <c r="A75" s="1">
        <v>8</v>
      </c>
      <c r="B75" s="2" t="s">
        <v>22</v>
      </c>
      <c r="C75" s="1" t="s">
        <v>8</v>
      </c>
      <c r="D75">
        <v>0</v>
      </c>
      <c r="E75" s="360">
        <v>7.4356</v>
      </c>
      <c r="F75">
        <v>0</v>
      </c>
      <c r="G75">
        <v>0</v>
      </c>
      <c r="H75">
        <v>0</v>
      </c>
      <c r="J75">
        <v>0</v>
      </c>
      <c r="K75">
        <v>0</v>
      </c>
      <c r="L75">
        <v>0</v>
      </c>
      <c r="M75">
        <v>0</v>
      </c>
      <c r="N75">
        <v>0</v>
      </c>
      <c r="O75" s="20"/>
      <c r="P75" s="20"/>
      <c r="Q75" s="438">
        <v>2.4254602568774906E-2</v>
      </c>
      <c r="R75" s="197">
        <v>5.6499999999999995E-2</v>
      </c>
      <c r="S75" s="197">
        <v>1.25</v>
      </c>
      <c r="T75" s="197">
        <v>0.50078889239507718</v>
      </c>
      <c r="U75" s="197">
        <v>0.75268470790377973</v>
      </c>
      <c r="V75" s="20">
        <f t="shared" ref="V75:Y80" si="77">IF(K75&gt;0,((E75-K75)*$Q75*$R75*10)+(K75*$O$12*$Q75*$R75*10),(E75*$Q75*$R75*10))</f>
        <v>0.10189635041611621</v>
      </c>
      <c r="W75" s="20">
        <f t="shared" si="77"/>
        <v>0</v>
      </c>
      <c r="X75" s="20">
        <f t="shared" si="77"/>
        <v>0</v>
      </c>
      <c r="Y75" s="20">
        <f t="shared" si="77"/>
        <v>0</v>
      </c>
      <c r="Z75" s="20">
        <f t="shared" ref="Z75:AC80" si="78">V75*(EXP(1.01-0.34*LN(Z$8))*(1-$T75)+(1*$T75))</f>
        <v>6.0312072479099886E-2</v>
      </c>
      <c r="AA75" s="20">
        <f t="shared" si="78"/>
        <v>0</v>
      </c>
      <c r="AB75" s="20">
        <f t="shared" si="78"/>
        <v>0</v>
      </c>
      <c r="AC75" s="20">
        <f t="shared" si="78"/>
        <v>0</v>
      </c>
      <c r="AD75" s="20">
        <f t="shared" ref="AD75:AD80" si="79">SUM(Z75:AC75)</f>
        <v>6.0312072479099886E-2</v>
      </c>
      <c r="AE75" s="20">
        <f t="shared" ref="AE75:AH80" si="80">IF(K75&gt;0,((E75-K75)*$Q75*$S75*10)+(K75*$P$12*$Q75*$S75)*10,(E75*$Q75*$S75*10))</f>
        <v>2.2543440357547837</v>
      </c>
      <c r="AF75" s="20">
        <f t="shared" si="80"/>
        <v>0</v>
      </c>
      <c r="AG75" s="20">
        <f t="shared" si="80"/>
        <v>0</v>
      </c>
      <c r="AH75" s="20">
        <f t="shared" si="80"/>
        <v>0</v>
      </c>
      <c r="AI75" s="20">
        <f t="shared" ref="AI75:AL80" si="81">AE75*(EXP(1.01-0.34*LN(AI$8))*(1-$U75)+(1*$U75))</f>
        <v>1.7985617304010137</v>
      </c>
      <c r="AJ75" s="20">
        <f t="shared" si="81"/>
        <v>0</v>
      </c>
      <c r="AK75" s="20">
        <f t="shared" si="81"/>
        <v>0</v>
      </c>
      <c r="AL75" s="20">
        <f t="shared" si="81"/>
        <v>0</v>
      </c>
      <c r="AM75" s="20">
        <f t="shared" ref="AM75:AM80" si="82">SUM(AI75:AL75)</f>
        <v>1.7985617304010137</v>
      </c>
      <c r="AO75">
        <f t="shared" ref="AO75:AR80" si="83">Z75*AO$10</f>
        <v>5.0191706717106925E-2</v>
      </c>
      <c r="AP75">
        <f t="shared" si="83"/>
        <v>0</v>
      </c>
      <c r="AQ75">
        <f t="shared" si="83"/>
        <v>0</v>
      </c>
      <c r="AR75">
        <f t="shared" si="83"/>
        <v>0</v>
      </c>
      <c r="AS75">
        <f t="shared" ref="AS75:AS80" si="84">SUM(AO75:AR75)</f>
        <v>5.0191706717106925E-2</v>
      </c>
      <c r="AU75">
        <f t="shared" ref="AU75:AX80" si="85">AI75*AU$10</f>
        <v>1.4967630720397238</v>
      </c>
      <c r="AV75">
        <f t="shared" si="85"/>
        <v>0</v>
      </c>
      <c r="AW75">
        <f t="shared" si="85"/>
        <v>0</v>
      </c>
      <c r="AX75">
        <f t="shared" si="85"/>
        <v>0</v>
      </c>
      <c r="AY75">
        <f t="shared" ref="AY75:AY80" si="86">SUM(AU75:AX75)</f>
        <v>1.4967630720397238</v>
      </c>
    </row>
    <row r="76" spans="1:53" ht="15" x14ac:dyDescent="0.25">
      <c r="A76" s="1"/>
      <c r="B76" s="2"/>
      <c r="C76" s="1" t="s">
        <v>9</v>
      </c>
      <c r="D76">
        <v>0</v>
      </c>
      <c r="E76" s="360">
        <v>0</v>
      </c>
      <c r="F76">
        <v>0</v>
      </c>
      <c r="G76">
        <v>0</v>
      </c>
      <c r="H76">
        <v>0</v>
      </c>
      <c r="J76">
        <v>0</v>
      </c>
      <c r="K76">
        <v>0</v>
      </c>
      <c r="L76">
        <v>0</v>
      </c>
      <c r="M76">
        <v>0</v>
      </c>
      <c r="N76">
        <v>0</v>
      </c>
      <c r="O76" s="20"/>
      <c r="P76" s="20"/>
      <c r="Q76" s="438"/>
      <c r="R76" s="197">
        <v>5.6499999999999995E-2</v>
      </c>
      <c r="S76" s="197">
        <v>1.25</v>
      </c>
      <c r="T76" s="197">
        <v>0.50078889239507718</v>
      </c>
      <c r="U76" s="197">
        <v>0.75268470790377973</v>
      </c>
      <c r="V76" s="20">
        <f t="shared" si="77"/>
        <v>0</v>
      </c>
      <c r="W76" s="20">
        <f t="shared" si="77"/>
        <v>0</v>
      </c>
      <c r="X76" s="20">
        <f t="shared" si="77"/>
        <v>0</v>
      </c>
      <c r="Y76" s="20">
        <f t="shared" si="77"/>
        <v>0</v>
      </c>
      <c r="Z76" s="20">
        <f t="shared" si="78"/>
        <v>0</v>
      </c>
      <c r="AA76" s="20">
        <f t="shared" si="78"/>
        <v>0</v>
      </c>
      <c r="AB76" s="20">
        <f t="shared" si="78"/>
        <v>0</v>
      </c>
      <c r="AC76" s="20">
        <f t="shared" si="78"/>
        <v>0</v>
      </c>
      <c r="AD76" s="20">
        <f t="shared" si="79"/>
        <v>0</v>
      </c>
      <c r="AE76" s="20">
        <f t="shared" si="80"/>
        <v>0</v>
      </c>
      <c r="AF76" s="20">
        <f t="shared" si="80"/>
        <v>0</v>
      </c>
      <c r="AG76" s="20">
        <f t="shared" si="80"/>
        <v>0</v>
      </c>
      <c r="AH76" s="20">
        <f t="shared" si="80"/>
        <v>0</v>
      </c>
      <c r="AI76" s="20">
        <f t="shared" si="81"/>
        <v>0</v>
      </c>
      <c r="AJ76" s="20">
        <f t="shared" si="81"/>
        <v>0</v>
      </c>
      <c r="AK76" s="20">
        <f t="shared" si="81"/>
        <v>0</v>
      </c>
      <c r="AL76" s="20">
        <f t="shared" si="81"/>
        <v>0</v>
      </c>
      <c r="AM76" s="20">
        <f t="shared" si="82"/>
        <v>0</v>
      </c>
      <c r="AO76">
        <f t="shared" si="83"/>
        <v>0</v>
      </c>
      <c r="AP76">
        <f t="shared" si="83"/>
        <v>0</v>
      </c>
      <c r="AQ76">
        <f t="shared" si="83"/>
        <v>0</v>
      </c>
      <c r="AR76">
        <f t="shared" si="83"/>
        <v>0</v>
      </c>
      <c r="AS76">
        <f t="shared" si="84"/>
        <v>0</v>
      </c>
      <c r="AU76">
        <f t="shared" si="85"/>
        <v>0</v>
      </c>
      <c r="AV76">
        <f t="shared" si="85"/>
        <v>0</v>
      </c>
      <c r="AW76">
        <f t="shared" si="85"/>
        <v>0</v>
      </c>
      <c r="AX76">
        <f t="shared" si="85"/>
        <v>0</v>
      </c>
      <c r="AY76">
        <f t="shared" si="86"/>
        <v>0</v>
      </c>
    </row>
    <row r="77" spans="1:53" ht="15" x14ac:dyDescent="0.25">
      <c r="A77" s="1"/>
      <c r="B77" s="2"/>
      <c r="C77" s="1" t="s">
        <v>10</v>
      </c>
      <c r="D77">
        <v>0</v>
      </c>
      <c r="E77" s="360">
        <v>0</v>
      </c>
      <c r="F77">
        <v>0</v>
      </c>
      <c r="G77">
        <v>0</v>
      </c>
      <c r="H77">
        <v>0</v>
      </c>
      <c r="J77">
        <v>0</v>
      </c>
      <c r="K77">
        <v>0</v>
      </c>
      <c r="L77">
        <v>0</v>
      </c>
      <c r="M77">
        <v>0</v>
      </c>
      <c r="N77">
        <v>0</v>
      </c>
      <c r="O77" s="20"/>
      <c r="P77" s="20"/>
      <c r="Q77" s="438"/>
      <c r="R77" s="197">
        <v>5.6499999999999995E-2</v>
      </c>
      <c r="S77" s="197">
        <v>1.25</v>
      </c>
      <c r="T77" s="197">
        <v>0.50078889239507718</v>
      </c>
      <c r="U77" s="197">
        <v>0.75268470790377973</v>
      </c>
      <c r="V77" s="20">
        <f t="shared" si="77"/>
        <v>0</v>
      </c>
      <c r="W77" s="20">
        <f t="shared" si="77"/>
        <v>0</v>
      </c>
      <c r="X77" s="20">
        <f t="shared" si="77"/>
        <v>0</v>
      </c>
      <c r="Y77" s="20">
        <f t="shared" si="77"/>
        <v>0</v>
      </c>
      <c r="Z77" s="20">
        <f t="shared" si="78"/>
        <v>0</v>
      </c>
      <c r="AA77" s="20">
        <f t="shared" si="78"/>
        <v>0</v>
      </c>
      <c r="AB77" s="20">
        <f t="shared" si="78"/>
        <v>0</v>
      </c>
      <c r="AC77" s="20">
        <f t="shared" si="78"/>
        <v>0</v>
      </c>
      <c r="AD77" s="20">
        <f t="shared" si="79"/>
        <v>0</v>
      </c>
      <c r="AE77" s="20">
        <f t="shared" si="80"/>
        <v>0</v>
      </c>
      <c r="AF77" s="20">
        <f t="shared" si="80"/>
        <v>0</v>
      </c>
      <c r="AG77" s="20">
        <f t="shared" si="80"/>
        <v>0</v>
      </c>
      <c r="AH77" s="20">
        <f t="shared" si="80"/>
        <v>0</v>
      </c>
      <c r="AI77" s="20">
        <f t="shared" si="81"/>
        <v>0</v>
      </c>
      <c r="AJ77" s="20">
        <f t="shared" si="81"/>
        <v>0</v>
      </c>
      <c r="AK77" s="20">
        <f t="shared" si="81"/>
        <v>0</v>
      </c>
      <c r="AL77" s="20">
        <f t="shared" si="81"/>
        <v>0</v>
      </c>
      <c r="AM77" s="20">
        <f t="shared" si="82"/>
        <v>0</v>
      </c>
      <c r="AO77">
        <f t="shared" si="83"/>
        <v>0</v>
      </c>
      <c r="AP77">
        <f t="shared" si="83"/>
        <v>0</v>
      </c>
      <c r="AQ77">
        <f t="shared" si="83"/>
        <v>0</v>
      </c>
      <c r="AR77">
        <f t="shared" si="83"/>
        <v>0</v>
      </c>
      <c r="AS77">
        <f t="shared" si="84"/>
        <v>0</v>
      </c>
      <c r="AU77">
        <f t="shared" si="85"/>
        <v>0</v>
      </c>
      <c r="AV77">
        <f t="shared" si="85"/>
        <v>0</v>
      </c>
      <c r="AW77">
        <f t="shared" si="85"/>
        <v>0</v>
      </c>
      <c r="AX77">
        <f t="shared" si="85"/>
        <v>0</v>
      </c>
      <c r="AY77">
        <f t="shared" si="86"/>
        <v>0</v>
      </c>
    </row>
    <row r="78" spans="1:53" ht="15" x14ac:dyDescent="0.25">
      <c r="A78" s="1"/>
      <c r="B78" s="2"/>
      <c r="C78" s="1" t="s">
        <v>11</v>
      </c>
      <c r="D78">
        <v>0</v>
      </c>
      <c r="E78" s="360">
        <v>0.4214</v>
      </c>
      <c r="F78">
        <v>0</v>
      </c>
      <c r="G78">
        <v>0</v>
      </c>
      <c r="H78">
        <v>0</v>
      </c>
      <c r="J78">
        <v>0</v>
      </c>
      <c r="K78">
        <v>0</v>
      </c>
      <c r="L78">
        <v>0</v>
      </c>
      <c r="M78">
        <v>0</v>
      </c>
      <c r="N78">
        <v>0</v>
      </c>
      <c r="O78" s="20"/>
      <c r="P78" s="20"/>
      <c r="Q78" s="438">
        <v>7.0018410275099613E-2</v>
      </c>
      <c r="R78" s="197">
        <v>5.6499999999999995E-2</v>
      </c>
      <c r="S78" s="197">
        <v>1.25</v>
      </c>
      <c r="T78" s="197">
        <v>0.50078889239507718</v>
      </c>
      <c r="U78" s="197">
        <v>0.75268470790377973</v>
      </c>
      <c r="V78" s="20">
        <f t="shared" si="77"/>
        <v>1.6670753320808741E-2</v>
      </c>
      <c r="W78" s="20">
        <f t="shared" si="77"/>
        <v>0</v>
      </c>
      <c r="X78" s="20">
        <f t="shared" si="77"/>
        <v>0</v>
      </c>
      <c r="Y78" s="20">
        <f t="shared" si="77"/>
        <v>0</v>
      </c>
      <c r="Z78" s="20">
        <f t="shared" si="78"/>
        <v>9.8673571571488532E-3</v>
      </c>
      <c r="AA78" s="20">
        <f t="shared" si="78"/>
        <v>0</v>
      </c>
      <c r="AB78" s="20">
        <f t="shared" si="78"/>
        <v>0</v>
      </c>
      <c r="AC78" s="20">
        <f t="shared" si="78"/>
        <v>0</v>
      </c>
      <c r="AD78" s="20">
        <f t="shared" si="79"/>
        <v>9.8673571571488532E-3</v>
      </c>
      <c r="AE78" s="20">
        <f t="shared" si="80"/>
        <v>0.36882197612408718</v>
      </c>
      <c r="AF78" s="20">
        <f t="shared" si="80"/>
        <v>0</v>
      </c>
      <c r="AG78" s="20">
        <f t="shared" si="80"/>
        <v>0</v>
      </c>
      <c r="AH78" s="20">
        <f t="shared" si="80"/>
        <v>0</v>
      </c>
      <c r="AI78" s="20">
        <f t="shared" si="81"/>
        <v>0.2942537079818705</v>
      </c>
      <c r="AJ78" s="20">
        <f t="shared" si="81"/>
        <v>0</v>
      </c>
      <c r="AK78" s="20">
        <f t="shared" si="81"/>
        <v>0</v>
      </c>
      <c r="AL78" s="20">
        <f t="shared" si="81"/>
        <v>0</v>
      </c>
      <c r="AM78" s="20">
        <f t="shared" si="82"/>
        <v>0.2942537079818705</v>
      </c>
      <c r="AO78">
        <f t="shared" si="83"/>
        <v>8.2116146261792759E-3</v>
      </c>
      <c r="AP78">
        <f t="shared" si="83"/>
        <v>0</v>
      </c>
      <c r="AQ78">
        <f t="shared" si="83"/>
        <v>0</v>
      </c>
      <c r="AR78">
        <f t="shared" si="83"/>
        <v>0</v>
      </c>
      <c r="AS78">
        <f t="shared" si="84"/>
        <v>8.2116146261792759E-3</v>
      </c>
      <c r="AU78">
        <f t="shared" si="85"/>
        <v>0.24487793578251266</v>
      </c>
      <c r="AV78">
        <f t="shared" si="85"/>
        <v>0</v>
      </c>
      <c r="AW78">
        <f t="shared" si="85"/>
        <v>0</v>
      </c>
      <c r="AX78">
        <f t="shared" si="85"/>
        <v>0</v>
      </c>
      <c r="AY78">
        <f t="shared" si="86"/>
        <v>0.24487793578251266</v>
      </c>
    </row>
    <row r="79" spans="1:53" ht="15" x14ac:dyDescent="0.25">
      <c r="A79" s="1"/>
      <c r="B79" s="13"/>
      <c r="C79" s="1" t="s">
        <v>12</v>
      </c>
      <c r="D79">
        <v>0</v>
      </c>
      <c r="E79" s="360">
        <v>0</v>
      </c>
      <c r="F79">
        <v>0</v>
      </c>
      <c r="G79">
        <v>0</v>
      </c>
      <c r="H79">
        <v>0</v>
      </c>
      <c r="J79">
        <v>0</v>
      </c>
      <c r="K79">
        <v>0</v>
      </c>
      <c r="L79">
        <v>0</v>
      </c>
      <c r="M79">
        <v>0</v>
      </c>
      <c r="N79">
        <v>0</v>
      </c>
      <c r="O79" s="20"/>
      <c r="P79" s="20"/>
      <c r="Q79" s="438"/>
      <c r="R79" s="197">
        <v>5.6499999999999995E-2</v>
      </c>
      <c r="S79" s="197">
        <v>1.25</v>
      </c>
      <c r="T79" s="197">
        <v>0.50078889239507718</v>
      </c>
      <c r="U79" s="197">
        <v>0.75268470790377973</v>
      </c>
      <c r="V79" s="20">
        <f t="shared" si="77"/>
        <v>0</v>
      </c>
      <c r="W79" s="20">
        <f t="shared" si="77"/>
        <v>0</v>
      </c>
      <c r="X79" s="20">
        <f t="shared" si="77"/>
        <v>0</v>
      </c>
      <c r="Y79" s="20">
        <f t="shared" si="77"/>
        <v>0</v>
      </c>
      <c r="Z79" s="20">
        <f t="shared" si="78"/>
        <v>0</v>
      </c>
      <c r="AA79" s="20">
        <f t="shared" si="78"/>
        <v>0</v>
      </c>
      <c r="AB79" s="20">
        <f t="shared" si="78"/>
        <v>0</v>
      </c>
      <c r="AC79" s="20">
        <f t="shared" si="78"/>
        <v>0</v>
      </c>
      <c r="AD79" s="20">
        <f t="shared" si="79"/>
        <v>0</v>
      </c>
      <c r="AE79" s="20">
        <f t="shared" si="80"/>
        <v>0</v>
      </c>
      <c r="AF79" s="20">
        <f t="shared" si="80"/>
        <v>0</v>
      </c>
      <c r="AG79" s="20">
        <f t="shared" si="80"/>
        <v>0</v>
      </c>
      <c r="AH79" s="20">
        <f t="shared" si="80"/>
        <v>0</v>
      </c>
      <c r="AI79" s="20">
        <f t="shared" si="81"/>
        <v>0</v>
      </c>
      <c r="AJ79" s="20">
        <f t="shared" si="81"/>
        <v>0</v>
      </c>
      <c r="AK79" s="20">
        <f t="shared" si="81"/>
        <v>0</v>
      </c>
      <c r="AL79" s="20">
        <f t="shared" si="81"/>
        <v>0</v>
      </c>
      <c r="AM79" s="20">
        <f t="shared" si="82"/>
        <v>0</v>
      </c>
      <c r="AO79">
        <f t="shared" si="83"/>
        <v>0</v>
      </c>
      <c r="AP79">
        <f t="shared" si="83"/>
        <v>0</v>
      </c>
      <c r="AQ79">
        <f t="shared" si="83"/>
        <v>0</v>
      </c>
      <c r="AR79">
        <f t="shared" si="83"/>
        <v>0</v>
      </c>
      <c r="AS79">
        <f t="shared" si="84"/>
        <v>0</v>
      </c>
      <c r="AU79">
        <f t="shared" si="85"/>
        <v>0</v>
      </c>
      <c r="AV79">
        <f t="shared" si="85"/>
        <v>0</v>
      </c>
      <c r="AW79">
        <f t="shared" si="85"/>
        <v>0</v>
      </c>
      <c r="AX79">
        <f t="shared" si="85"/>
        <v>0</v>
      </c>
      <c r="AY79">
        <f t="shared" si="86"/>
        <v>0</v>
      </c>
    </row>
    <row r="80" spans="1:53" ht="15" x14ac:dyDescent="0.25">
      <c r="A80" s="1"/>
      <c r="B80" s="13"/>
      <c r="C80" s="1" t="s">
        <v>13</v>
      </c>
      <c r="D80">
        <v>0</v>
      </c>
      <c r="E80" s="360">
        <v>0</v>
      </c>
      <c r="F80">
        <v>0</v>
      </c>
      <c r="G80">
        <v>0</v>
      </c>
      <c r="H80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20"/>
      <c r="P80" s="20"/>
      <c r="Q80" s="438"/>
      <c r="R80" s="197">
        <v>5.6499999999999995E-2</v>
      </c>
      <c r="S80" s="197">
        <v>1.25</v>
      </c>
      <c r="T80" s="197">
        <v>0.50078889239507718</v>
      </c>
      <c r="U80" s="197">
        <v>0.75268470790377973</v>
      </c>
      <c r="V80" s="20">
        <f t="shared" si="77"/>
        <v>0</v>
      </c>
      <c r="W80" s="20">
        <f t="shared" si="77"/>
        <v>0</v>
      </c>
      <c r="X80" s="20">
        <f t="shared" si="77"/>
        <v>0</v>
      </c>
      <c r="Y80" s="20">
        <f t="shared" si="77"/>
        <v>0</v>
      </c>
      <c r="Z80" s="20">
        <f t="shared" si="78"/>
        <v>0</v>
      </c>
      <c r="AA80" s="20">
        <f t="shared" si="78"/>
        <v>0</v>
      </c>
      <c r="AB80" s="20">
        <f t="shared" si="78"/>
        <v>0</v>
      </c>
      <c r="AC80" s="20">
        <f t="shared" si="78"/>
        <v>0</v>
      </c>
      <c r="AD80" s="20">
        <f t="shared" si="79"/>
        <v>0</v>
      </c>
      <c r="AE80" s="20">
        <f t="shared" si="80"/>
        <v>0</v>
      </c>
      <c r="AF80" s="20">
        <f t="shared" si="80"/>
        <v>0</v>
      </c>
      <c r="AG80" s="20">
        <f t="shared" si="80"/>
        <v>0</v>
      </c>
      <c r="AH80" s="20">
        <f t="shared" si="80"/>
        <v>0</v>
      </c>
      <c r="AI80" s="20">
        <f t="shared" si="81"/>
        <v>0</v>
      </c>
      <c r="AJ80" s="20">
        <f t="shared" si="81"/>
        <v>0</v>
      </c>
      <c r="AK80" s="20">
        <f t="shared" si="81"/>
        <v>0</v>
      </c>
      <c r="AL80" s="20">
        <f t="shared" si="81"/>
        <v>0</v>
      </c>
      <c r="AM80" s="20">
        <f t="shared" si="82"/>
        <v>0</v>
      </c>
      <c r="AO80">
        <f t="shared" si="83"/>
        <v>0</v>
      </c>
      <c r="AP80">
        <f t="shared" si="83"/>
        <v>0</v>
      </c>
      <c r="AQ80">
        <f t="shared" si="83"/>
        <v>0</v>
      </c>
      <c r="AR80">
        <f t="shared" si="83"/>
        <v>0</v>
      </c>
      <c r="AS80">
        <f t="shared" si="84"/>
        <v>0</v>
      </c>
      <c r="AU80">
        <f t="shared" si="85"/>
        <v>0</v>
      </c>
      <c r="AV80">
        <f t="shared" si="85"/>
        <v>0</v>
      </c>
      <c r="AW80">
        <f t="shared" si="85"/>
        <v>0</v>
      </c>
      <c r="AX80">
        <f t="shared" si="85"/>
        <v>0</v>
      </c>
      <c r="AY80">
        <f t="shared" si="86"/>
        <v>0</v>
      </c>
    </row>
    <row r="81" spans="1:53" ht="15" x14ac:dyDescent="0.25">
      <c r="A81" s="7"/>
      <c r="B81" s="8" t="s">
        <v>14</v>
      </c>
      <c r="C81" s="7"/>
      <c r="D81" s="357">
        <f t="shared" ref="D81:H81" si="87">SUM(D75:D80)</f>
        <v>0</v>
      </c>
      <c r="E81" s="363">
        <f>SUM(E75:E80)</f>
        <v>7.8570000000000002</v>
      </c>
      <c r="F81" s="357">
        <f t="shared" si="87"/>
        <v>0</v>
      </c>
      <c r="G81" s="357">
        <f t="shared" si="87"/>
        <v>0</v>
      </c>
      <c r="H81" s="357">
        <f t="shared" si="87"/>
        <v>0</v>
      </c>
      <c r="J81">
        <v>0</v>
      </c>
      <c r="K81">
        <v>0</v>
      </c>
      <c r="L81">
        <v>0</v>
      </c>
      <c r="M81">
        <v>0</v>
      </c>
      <c r="N81">
        <v>0</v>
      </c>
      <c r="O81" s="20"/>
      <c r="P81" s="20"/>
      <c r="Q81" s="438">
        <v>2.6709085013403289E-2</v>
      </c>
      <c r="R81" s="197"/>
      <c r="S81" s="197"/>
      <c r="T81" s="197"/>
      <c r="U81" s="197"/>
      <c r="BA81" s="319">
        <f>(E81*10000*Q81*AU$10)</f>
        <v>1746.3990040684769</v>
      </c>
    </row>
    <row r="82" spans="1:53" ht="15" x14ac:dyDescent="0.25">
      <c r="A82" s="10"/>
      <c r="B82" s="9" t="s">
        <v>15</v>
      </c>
      <c r="C82" s="5"/>
      <c r="E82" s="363">
        <f>SUM(E81)</f>
        <v>7.8570000000000002</v>
      </c>
      <c r="H82" s="358">
        <f>SUM(D81:H81)</f>
        <v>7.8570000000000002</v>
      </c>
      <c r="K82" s="14"/>
      <c r="N82">
        <v>0</v>
      </c>
      <c r="O82" s="20"/>
      <c r="P82" s="20"/>
      <c r="Q82" s="438"/>
      <c r="R82" s="197"/>
      <c r="S82" s="197"/>
      <c r="T82" s="197"/>
      <c r="U82" s="197"/>
    </row>
    <row r="83" spans="1:53" ht="15.75" x14ac:dyDescent="0.25">
      <c r="A83" s="1"/>
      <c r="B83" s="2"/>
      <c r="C83" s="1"/>
      <c r="E83" s="361"/>
      <c r="K83" s="14"/>
      <c r="O83" s="20"/>
      <c r="P83" s="20"/>
      <c r="Q83" s="439"/>
      <c r="R83" s="197"/>
      <c r="S83" s="197"/>
      <c r="T83" s="197"/>
      <c r="U83" s="197"/>
    </row>
    <row r="84" spans="1:53" ht="15" x14ac:dyDescent="0.25">
      <c r="A84" s="1">
        <v>9</v>
      </c>
      <c r="B84" s="2" t="s">
        <v>23</v>
      </c>
      <c r="C84" s="1" t="s">
        <v>8</v>
      </c>
      <c r="D84">
        <v>0</v>
      </c>
      <c r="E84" s="360">
        <v>112.6026</v>
      </c>
      <c r="F84">
        <v>0</v>
      </c>
      <c r="G84">
        <v>0</v>
      </c>
      <c r="H84">
        <v>0</v>
      </c>
      <c r="J84">
        <v>0</v>
      </c>
      <c r="K84">
        <v>0</v>
      </c>
      <c r="L84">
        <v>0</v>
      </c>
      <c r="M84">
        <v>0</v>
      </c>
      <c r="N84">
        <v>0</v>
      </c>
      <c r="O84" s="20"/>
      <c r="P84" s="20"/>
      <c r="Q84" s="438">
        <v>2.4254602568774906E-2</v>
      </c>
      <c r="R84" s="197">
        <v>0.38700000000000001</v>
      </c>
      <c r="S84" s="197">
        <v>2.48</v>
      </c>
      <c r="T84" s="197">
        <v>0.72182006204756977</v>
      </c>
      <c r="U84" s="197">
        <v>0.90789473684210531</v>
      </c>
      <c r="V84" s="20">
        <f t="shared" ref="V84:Y89" si="88">IF(K84&gt;0,((E84-K84)*$Q84*$R84*10)+(K84*$O$12*$Q84*$R84*10),(E84*$Q84*$R84*10))</f>
        <v>10.569478174385537</v>
      </c>
      <c r="W84" s="20">
        <f t="shared" si="88"/>
        <v>0</v>
      </c>
      <c r="X84" s="20">
        <f t="shared" si="88"/>
        <v>0</v>
      </c>
      <c r="Y84" s="20">
        <f t="shared" si="88"/>
        <v>0</v>
      </c>
      <c r="Z84" s="20">
        <f t="shared" ref="Z84:AC89" si="89">V84*(EXP(1.01-0.34*LN(Z$8))*(1-$T84)+(1*$T84))</f>
        <v>8.1658590668204152</v>
      </c>
      <c r="AA84" s="20">
        <f t="shared" si="89"/>
        <v>0</v>
      </c>
      <c r="AB84" s="20">
        <f t="shared" si="89"/>
        <v>0</v>
      </c>
      <c r="AC84" s="20">
        <f t="shared" si="89"/>
        <v>0</v>
      </c>
      <c r="AD84" s="20">
        <f t="shared" ref="AD84:AD89" si="90">SUM(Z84:AC84)</f>
        <v>8.1658590668204152</v>
      </c>
      <c r="AE84" s="20">
        <f t="shared" ref="AE84:AH89" si="91">IF(K84&gt;0,((E84-K84)*$Q84*$S84*10)+(K84*$P$12*$Q84*$S84)*10,(E84*$Q84*$S84*10))</f>
        <v>67.732056518026184</v>
      </c>
      <c r="AF84" s="20">
        <f t="shared" si="91"/>
        <v>0</v>
      </c>
      <c r="AG84" s="20">
        <f t="shared" si="91"/>
        <v>0</v>
      </c>
      <c r="AH84" s="20">
        <f t="shared" si="91"/>
        <v>0</v>
      </c>
      <c r="AI84" s="20">
        <f t="shared" ref="AI84:AL89" si="92">AE84*(EXP(1.01-0.34*LN(AI$8))*(1-$U84)+(1*$U84))</f>
        <v>62.632117238129226</v>
      </c>
      <c r="AJ84" s="20">
        <f t="shared" si="92"/>
        <v>0</v>
      </c>
      <c r="AK84" s="20">
        <f t="shared" si="92"/>
        <v>0</v>
      </c>
      <c r="AL84" s="20">
        <f t="shared" si="92"/>
        <v>0</v>
      </c>
      <c r="AM84" s="20">
        <f t="shared" ref="AM84:AM89" si="93">SUM(AI84:AL84)</f>
        <v>62.632117238129226</v>
      </c>
      <c r="AO84">
        <f t="shared" ref="AO84:AR89" si="94">Z84*AO$10</f>
        <v>6.79562791540795</v>
      </c>
      <c r="AP84">
        <f t="shared" si="94"/>
        <v>0</v>
      </c>
      <c r="AQ84">
        <f t="shared" si="94"/>
        <v>0</v>
      </c>
      <c r="AR84">
        <f t="shared" si="94"/>
        <v>0</v>
      </c>
      <c r="AS84">
        <f t="shared" ref="AS84:AS89" si="95">SUM(AO84:AR84)</f>
        <v>6.79562791540795</v>
      </c>
      <c r="AU84">
        <f t="shared" ref="AU84:AX89" si="96">AI84*AU$10</f>
        <v>52.122447965571148</v>
      </c>
      <c r="AV84">
        <f t="shared" si="96"/>
        <v>0</v>
      </c>
      <c r="AW84">
        <f t="shared" si="96"/>
        <v>0</v>
      </c>
      <c r="AX84">
        <f t="shared" si="96"/>
        <v>0</v>
      </c>
      <c r="AY84">
        <f t="shared" ref="AY84:AY89" si="97">SUM(AU84:AX84)</f>
        <v>52.122447965571148</v>
      </c>
    </row>
    <row r="85" spans="1:53" ht="15" x14ac:dyDescent="0.25">
      <c r="A85" s="1"/>
      <c r="B85" s="2"/>
      <c r="C85" s="1" t="s">
        <v>9</v>
      </c>
      <c r="D85">
        <v>0</v>
      </c>
      <c r="E85" s="360">
        <v>16.2562</v>
      </c>
      <c r="F85">
        <v>0</v>
      </c>
      <c r="G85">
        <v>0</v>
      </c>
      <c r="H85">
        <v>0</v>
      </c>
      <c r="J85">
        <v>0</v>
      </c>
      <c r="K85">
        <v>0</v>
      </c>
      <c r="L85">
        <v>0</v>
      </c>
      <c r="M85">
        <v>0</v>
      </c>
      <c r="N85">
        <v>0</v>
      </c>
      <c r="O85" s="20"/>
      <c r="P85" s="20"/>
      <c r="Q85" s="438">
        <v>3.9509205137549804E-2</v>
      </c>
      <c r="R85" s="197">
        <v>0.38700000000000001</v>
      </c>
      <c r="S85" s="197">
        <v>2.48</v>
      </c>
      <c r="T85" s="197">
        <v>0.72182006204756977</v>
      </c>
      <c r="U85" s="197">
        <v>0.90789473684210531</v>
      </c>
      <c r="V85" s="20">
        <f t="shared" si="88"/>
        <v>2.4855831219557336</v>
      </c>
      <c r="W85" s="20">
        <f t="shared" si="88"/>
        <v>0</v>
      </c>
      <c r="X85" s="20">
        <f t="shared" si="88"/>
        <v>0</v>
      </c>
      <c r="Y85" s="20">
        <f t="shared" si="88"/>
        <v>0</v>
      </c>
      <c r="Z85" s="20">
        <f t="shared" si="89"/>
        <v>1.9203333540104492</v>
      </c>
      <c r="AA85" s="20">
        <f t="shared" si="89"/>
        <v>0</v>
      </c>
      <c r="AB85" s="20">
        <f t="shared" si="89"/>
        <v>0</v>
      </c>
      <c r="AC85" s="20">
        <f t="shared" si="89"/>
        <v>0</v>
      </c>
      <c r="AD85" s="20">
        <f t="shared" si="90"/>
        <v>1.9203333540104492</v>
      </c>
      <c r="AE85" s="20">
        <f t="shared" si="91"/>
        <v>15.92828460581452</v>
      </c>
      <c r="AF85" s="20">
        <f t="shared" si="91"/>
        <v>0</v>
      </c>
      <c r="AG85" s="20">
        <f t="shared" si="91"/>
        <v>0</v>
      </c>
      <c r="AH85" s="20">
        <f t="shared" si="91"/>
        <v>0</v>
      </c>
      <c r="AI85" s="20">
        <f t="shared" si="92"/>
        <v>14.728951697608018</v>
      </c>
      <c r="AJ85" s="20">
        <f t="shared" si="92"/>
        <v>0</v>
      </c>
      <c r="AK85" s="20">
        <f t="shared" si="92"/>
        <v>0</v>
      </c>
      <c r="AL85" s="20">
        <f t="shared" si="92"/>
        <v>0</v>
      </c>
      <c r="AM85" s="20">
        <f t="shared" si="93"/>
        <v>14.728951697608018</v>
      </c>
      <c r="AO85">
        <f t="shared" si="94"/>
        <v>1.5981014172074959</v>
      </c>
      <c r="AP85">
        <f t="shared" si="94"/>
        <v>0</v>
      </c>
      <c r="AQ85">
        <f t="shared" si="94"/>
        <v>0</v>
      </c>
      <c r="AR85">
        <f t="shared" si="94"/>
        <v>0</v>
      </c>
      <c r="AS85">
        <f t="shared" si="95"/>
        <v>1.5981014172074959</v>
      </c>
      <c r="AU85">
        <f t="shared" si="96"/>
        <v>12.257433602749392</v>
      </c>
      <c r="AV85">
        <f t="shared" si="96"/>
        <v>0</v>
      </c>
      <c r="AW85">
        <f t="shared" si="96"/>
        <v>0</v>
      </c>
      <c r="AX85">
        <f t="shared" si="96"/>
        <v>0</v>
      </c>
      <c r="AY85">
        <f t="shared" si="97"/>
        <v>12.257433602749392</v>
      </c>
    </row>
    <row r="86" spans="1:53" ht="15" x14ac:dyDescent="0.25">
      <c r="A86" s="1"/>
      <c r="B86" s="2"/>
      <c r="C86" s="1" t="s">
        <v>10</v>
      </c>
      <c r="D86">
        <v>0</v>
      </c>
      <c r="E86" s="360">
        <v>0.92589999999999995</v>
      </c>
      <c r="F86">
        <v>0</v>
      </c>
      <c r="G86">
        <v>0</v>
      </c>
      <c r="H86">
        <v>0</v>
      </c>
      <c r="J86">
        <v>0</v>
      </c>
      <c r="K86">
        <v>0</v>
      </c>
      <c r="L86">
        <v>0</v>
      </c>
      <c r="M86">
        <v>0</v>
      </c>
      <c r="N86">
        <v>0</v>
      </c>
      <c r="O86" s="20"/>
      <c r="P86" s="20"/>
      <c r="Q86" s="438">
        <v>5.4763807706324705E-2</v>
      </c>
      <c r="R86" s="197">
        <v>0.38700000000000001</v>
      </c>
      <c r="S86" s="197">
        <v>2.48</v>
      </c>
      <c r="T86" s="197">
        <v>0.72182006204756977</v>
      </c>
      <c r="U86" s="197">
        <v>0.90789473684210531</v>
      </c>
      <c r="V86" s="20">
        <f t="shared" si="88"/>
        <v>0.19623148297895701</v>
      </c>
      <c r="W86" s="20">
        <f t="shared" si="88"/>
        <v>0</v>
      </c>
      <c r="X86" s="20">
        <f t="shared" si="88"/>
        <v>0</v>
      </c>
      <c r="Y86" s="20">
        <f t="shared" si="88"/>
        <v>0</v>
      </c>
      <c r="Z86" s="20">
        <f t="shared" si="89"/>
        <v>0.1516062201029606</v>
      </c>
      <c r="AA86" s="20">
        <f t="shared" si="89"/>
        <v>0</v>
      </c>
      <c r="AB86" s="20">
        <f t="shared" si="89"/>
        <v>0</v>
      </c>
      <c r="AC86" s="20">
        <f t="shared" si="89"/>
        <v>0</v>
      </c>
      <c r="AD86" s="20">
        <f t="shared" si="90"/>
        <v>0.1516062201029606</v>
      </c>
      <c r="AE86" s="20">
        <f t="shared" si="91"/>
        <v>1.2575040769710939</v>
      </c>
      <c r="AF86" s="20">
        <f t="shared" si="91"/>
        <v>0</v>
      </c>
      <c r="AG86" s="20">
        <f t="shared" si="91"/>
        <v>0</v>
      </c>
      <c r="AH86" s="20">
        <f t="shared" si="91"/>
        <v>0</v>
      </c>
      <c r="AI86" s="20">
        <f t="shared" si="92"/>
        <v>1.1628193033725152</v>
      </c>
      <c r="AJ86" s="20">
        <f t="shared" si="92"/>
        <v>0</v>
      </c>
      <c r="AK86" s="20">
        <f t="shared" si="92"/>
        <v>0</v>
      </c>
      <c r="AL86" s="20">
        <f t="shared" si="92"/>
        <v>0</v>
      </c>
      <c r="AM86" s="20">
        <f t="shared" si="93"/>
        <v>1.1628193033725152</v>
      </c>
      <c r="AO86">
        <f t="shared" si="94"/>
        <v>0.12616669636968381</v>
      </c>
      <c r="AP86">
        <f t="shared" si="94"/>
        <v>0</v>
      </c>
      <c r="AQ86">
        <f t="shared" si="94"/>
        <v>0</v>
      </c>
      <c r="AR86">
        <f t="shared" si="94"/>
        <v>0</v>
      </c>
      <c r="AS86">
        <f t="shared" si="95"/>
        <v>0.12616669636968381</v>
      </c>
      <c r="AU86">
        <f t="shared" si="96"/>
        <v>0.96769822426660712</v>
      </c>
      <c r="AV86">
        <f t="shared" si="96"/>
        <v>0</v>
      </c>
      <c r="AW86">
        <f t="shared" si="96"/>
        <v>0</v>
      </c>
      <c r="AX86">
        <f t="shared" si="96"/>
        <v>0</v>
      </c>
      <c r="AY86">
        <f t="shared" si="97"/>
        <v>0.96769822426660712</v>
      </c>
    </row>
    <row r="87" spans="1:53" ht="15" x14ac:dyDescent="0.25">
      <c r="A87" s="1"/>
      <c r="B87" s="2"/>
      <c r="C87" s="1" t="s">
        <v>11</v>
      </c>
      <c r="D87">
        <v>0</v>
      </c>
      <c r="E87" s="360">
        <v>101.6451</v>
      </c>
      <c r="F87">
        <v>0</v>
      </c>
      <c r="G87">
        <v>0</v>
      </c>
      <c r="H87">
        <v>0</v>
      </c>
      <c r="J87">
        <v>0</v>
      </c>
      <c r="K87">
        <v>0</v>
      </c>
      <c r="L87">
        <v>0</v>
      </c>
      <c r="M87">
        <v>0</v>
      </c>
      <c r="N87">
        <v>0</v>
      </c>
      <c r="O87" s="20"/>
      <c r="P87" s="20"/>
      <c r="Q87" s="438">
        <v>7.0018410275099613E-2</v>
      </c>
      <c r="R87" s="197">
        <v>0.38700000000000001</v>
      </c>
      <c r="S87" s="197">
        <v>2.48</v>
      </c>
      <c r="T87" s="197">
        <v>0.72182006204756977</v>
      </c>
      <c r="U87" s="197">
        <v>0.90789473684210531</v>
      </c>
      <c r="V87" s="20">
        <f t="shared" si="88"/>
        <v>27.542899576161155</v>
      </c>
      <c r="W87" s="20">
        <f t="shared" si="88"/>
        <v>0</v>
      </c>
      <c r="X87" s="20">
        <f t="shared" si="88"/>
        <v>0</v>
      </c>
      <c r="Y87" s="20">
        <f t="shared" si="88"/>
        <v>0</v>
      </c>
      <c r="Z87" s="20">
        <f t="shared" si="89"/>
        <v>21.279332103223258</v>
      </c>
      <c r="AA87" s="20">
        <f t="shared" si="89"/>
        <v>0</v>
      </c>
      <c r="AB87" s="20">
        <f t="shared" si="89"/>
        <v>0</v>
      </c>
      <c r="AC87" s="20">
        <f t="shared" si="89"/>
        <v>0</v>
      </c>
      <c r="AD87" s="20">
        <f t="shared" si="90"/>
        <v>21.279332103223258</v>
      </c>
      <c r="AE87" s="20">
        <f t="shared" si="91"/>
        <v>176.50230219348748</v>
      </c>
      <c r="AF87" s="20">
        <f t="shared" si="91"/>
        <v>0</v>
      </c>
      <c r="AG87" s="20">
        <f t="shared" si="91"/>
        <v>0</v>
      </c>
      <c r="AH87" s="20">
        <f t="shared" si="91"/>
        <v>0</v>
      </c>
      <c r="AI87" s="20">
        <f t="shared" si="92"/>
        <v>163.2124204118935</v>
      </c>
      <c r="AJ87" s="20">
        <f t="shared" si="92"/>
        <v>0</v>
      </c>
      <c r="AK87" s="20">
        <f t="shared" si="92"/>
        <v>0</v>
      </c>
      <c r="AL87" s="20">
        <f t="shared" si="92"/>
        <v>0</v>
      </c>
      <c r="AM87" s="20">
        <f t="shared" si="93"/>
        <v>163.2124204118935</v>
      </c>
      <c r="AO87">
        <f t="shared" si="94"/>
        <v>17.708660176302395</v>
      </c>
      <c r="AP87">
        <f t="shared" si="94"/>
        <v>0</v>
      </c>
      <c r="AQ87">
        <f t="shared" si="94"/>
        <v>0</v>
      </c>
      <c r="AR87">
        <f t="shared" si="94"/>
        <v>0</v>
      </c>
      <c r="AS87">
        <f t="shared" si="95"/>
        <v>17.708660176302395</v>
      </c>
      <c r="AU87">
        <f t="shared" si="96"/>
        <v>135.82537626677779</v>
      </c>
      <c r="AV87">
        <f t="shared" si="96"/>
        <v>0</v>
      </c>
      <c r="AW87">
        <f t="shared" si="96"/>
        <v>0</v>
      </c>
      <c r="AX87">
        <f t="shared" si="96"/>
        <v>0</v>
      </c>
      <c r="AY87">
        <f t="shared" si="97"/>
        <v>135.82537626677779</v>
      </c>
    </row>
    <row r="88" spans="1:53" ht="15" x14ac:dyDescent="0.25">
      <c r="A88" s="1"/>
      <c r="B88" s="2"/>
      <c r="C88" s="1" t="s">
        <v>12</v>
      </c>
      <c r="D88">
        <v>0</v>
      </c>
      <c r="E88" s="360">
        <v>0</v>
      </c>
      <c r="F88">
        <v>0</v>
      </c>
      <c r="G88">
        <v>0</v>
      </c>
      <c r="H88">
        <v>0</v>
      </c>
      <c r="J88">
        <v>0</v>
      </c>
      <c r="K88">
        <v>0</v>
      </c>
      <c r="L88">
        <v>0</v>
      </c>
      <c r="M88">
        <v>0</v>
      </c>
      <c r="N88">
        <v>0</v>
      </c>
      <c r="O88" s="20"/>
      <c r="P88" s="20"/>
      <c r="Q88" s="438"/>
      <c r="R88" s="197">
        <v>0.38700000000000001</v>
      </c>
      <c r="S88" s="197">
        <v>2.48</v>
      </c>
      <c r="T88" s="197">
        <v>0.72182006204756977</v>
      </c>
      <c r="U88" s="197">
        <v>0.90789473684210531</v>
      </c>
      <c r="V88" s="20">
        <f t="shared" si="88"/>
        <v>0</v>
      </c>
      <c r="W88" s="20">
        <f t="shared" si="88"/>
        <v>0</v>
      </c>
      <c r="X88" s="20">
        <f t="shared" si="88"/>
        <v>0</v>
      </c>
      <c r="Y88" s="20">
        <f t="shared" si="88"/>
        <v>0</v>
      </c>
      <c r="Z88" s="20">
        <f t="shared" si="89"/>
        <v>0</v>
      </c>
      <c r="AA88" s="20">
        <f t="shared" si="89"/>
        <v>0</v>
      </c>
      <c r="AB88" s="20">
        <f t="shared" si="89"/>
        <v>0</v>
      </c>
      <c r="AC88" s="20">
        <f t="shared" si="89"/>
        <v>0</v>
      </c>
      <c r="AD88" s="20">
        <f t="shared" si="90"/>
        <v>0</v>
      </c>
      <c r="AE88" s="20">
        <f t="shared" si="91"/>
        <v>0</v>
      </c>
      <c r="AF88" s="20">
        <f t="shared" si="91"/>
        <v>0</v>
      </c>
      <c r="AG88" s="20">
        <f t="shared" si="91"/>
        <v>0</v>
      </c>
      <c r="AH88" s="20">
        <f t="shared" si="91"/>
        <v>0</v>
      </c>
      <c r="AI88" s="20">
        <f t="shared" si="92"/>
        <v>0</v>
      </c>
      <c r="AJ88" s="20">
        <f t="shared" si="92"/>
        <v>0</v>
      </c>
      <c r="AK88" s="20">
        <f t="shared" si="92"/>
        <v>0</v>
      </c>
      <c r="AL88" s="20">
        <f t="shared" si="92"/>
        <v>0</v>
      </c>
      <c r="AM88" s="20">
        <f t="shared" si="93"/>
        <v>0</v>
      </c>
      <c r="AO88">
        <f t="shared" si="94"/>
        <v>0</v>
      </c>
      <c r="AP88">
        <f t="shared" si="94"/>
        <v>0</v>
      </c>
      <c r="AQ88">
        <f t="shared" si="94"/>
        <v>0</v>
      </c>
      <c r="AR88">
        <f t="shared" si="94"/>
        <v>0</v>
      </c>
      <c r="AS88">
        <f t="shared" si="95"/>
        <v>0</v>
      </c>
      <c r="AU88">
        <f t="shared" si="96"/>
        <v>0</v>
      </c>
      <c r="AV88">
        <f t="shared" si="96"/>
        <v>0</v>
      </c>
      <c r="AW88">
        <f t="shared" si="96"/>
        <v>0</v>
      </c>
      <c r="AX88">
        <f t="shared" si="96"/>
        <v>0</v>
      </c>
      <c r="AY88">
        <f t="shared" si="97"/>
        <v>0</v>
      </c>
    </row>
    <row r="89" spans="1:53" ht="15" x14ac:dyDescent="0.25">
      <c r="A89" s="1"/>
      <c r="B89" s="2"/>
      <c r="C89" s="1" t="s">
        <v>13</v>
      </c>
      <c r="D89">
        <v>0</v>
      </c>
      <c r="E89" s="360">
        <v>0.3357</v>
      </c>
      <c r="F89">
        <v>0</v>
      </c>
      <c r="G89">
        <v>0</v>
      </c>
      <c r="H89">
        <v>0</v>
      </c>
      <c r="J89">
        <v>0</v>
      </c>
      <c r="K89">
        <v>0</v>
      </c>
      <c r="L89">
        <v>0</v>
      </c>
      <c r="M89">
        <v>0</v>
      </c>
      <c r="N89">
        <v>0</v>
      </c>
      <c r="O89" s="20"/>
      <c r="P89" s="20"/>
      <c r="Q89" s="438">
        <v>7.0018410275099613E-2</v>
      </c>
      <c r="R89" s="197">
        <v>0.38700000000000001</v>
      </c>
      <c r="S89" s="197">
        <v>2.48</v>
      </c>
      <c r="T89" s="197">
        <v>0.72182006204756977</v>
      </c>
      <c r="U89" s="197">
        <v>0.90789473684210531</v>
      </c>
      <c r="V89" s="20">
        <f t="shared" si="88"/>
        <v>9.0965047874588131E-2</v>
      </c>
      <c r="W89" s="20">
        <f t="shared" si="88"/>
        <v>0</v>
      </c>
      <c r="X89" s="20">
        <f t="shared" si="88"/>
        <v>0</v>
      </c>
      <c r="Y89" s="20">
        <f t="shared" si="88"/>
        <v>0</v>
      </c>
      <c r="Z89" s="20">
        <f t="shared" si="89"/>
        <v>7.0278565194505649E-2</v>
      </c>
      <c r="AA89" s="20">
        <f t="shared" si="89"/>
        <v>0</v>
      </c>
      <c r="AB89" s="20">
        <f t="shared" si="89"/>
        <v>0</v>
      </c>
      <c r="AC89" s="20">
        <f t="shared" si="89"/>
        <v>0</v>
      </c>
      <c r="AD89" s="20">
        <f t="shared" si="90"/>
        <v>7.0278565194505649E-2</v>
      </c>
      <c r="AE89" s="20">
        <f t="shared" si="91"/>
        <v>0.58292847216790333</v>
      </c>
      <c r="AF89" s="20">
        <f t="shared" si="91"/>
        <v>0</v>
      </c>
      <c r="AG89" s="20">
        <f t="shared" si="91"/>
        <v>0</v>
      </c>
      <c r="AH89" s="20">
        <f t="shared" si="91"/>
        <v>0</v>
      </c>
      <c r="AI89" s="20">
        <f t="shared" si="92"/>
        <v>0.53903640738483849</v>
      </c>
      <c r="AJ89" s="20">
        <f t="shared" si="92"/>
        <v>0</v>
      </c>
      <c r="AK89" s="20">
        <f t="shared" si="92"/>
        <v>0</v>
      </c>
      <c r="AL89" s="20">
        <f t="shared" si="92"/>
        <v>0</v>
      </c>
      <c r="AM89" s="20">
        <f t="shared" si="93"/>
        <v>0.53903640738483849</v>
      </c>
      <c r="AO89">
        <f t="shared" si="94"/>
        <v>5.8485821954867602E-2</v>
      </c>
      <c r="AP89">
        <f t="shared" si="94"/>
        <v>0</v>
      </c>
      <c r="AQ89">
        <f t="shared" si="94"/>
        <v>0</v>
      </c>
      <c r="AR89">
        <f t="shared" si="94"/>
        <v>0</v>
      </c>
      <c r="AS89">
        <f t="shared" si="95"/>
        <v>5.8485821954867602E-2</v>
      </c>
      <c r="AU89">
        <f t="shared" si="96"/>
        <v>0.44858609822566264</v>
      </c>
      <c r="AV89">
        <f t="shared" si="96"/>
        <v>0</v>
      </c>
      <c r="AW89">
        <f t="shared" si="96"/>
        <v>0</v>
      </c>
      <c r="AX89">
        <f t="shared" si="96"/>
        <v>0</v>
      </c>
      <c r="AY89">
        <f t="shared" si="97"/>
        <v>0.44858609822566264</v>
      </c>
    </row>
    <row r="90" spans="1:53" ht="15" x14ac:dyDescent="0.25">
      <c r="A90" s="7"/>
      <c r="B90" s="8" t="s">
        <v>14</v>
      </c>
      <c r="C90" s="7"/>
      <c r="D90" s="357">
        <f t="shared" ref="D90:H90" si="98">SUM(D84:D89)</f>
        <v>0</v>
      </c>
      <c r="E90" s="363">
        <f>SUM(E84:E89)</f>
        <v>231.7655</v>
      </c>
      <c r="F90" s="357">
        <f t="shared" si="98"/>
        <v>0</v>
      </c>
      <c r="G90" s="357">
        <f t="shared" si="98"/>
        <v>0</v>
      </c>
      <c r="H90" s="357">
        <f t="shared" si="98"/>
        <v>0</v>
      </c>
      <c r="J90">
        <v>0</v>
      </c>
      <c r="K90">
        <v>0</v>
      </c>
      <c r="L90">
        <v>0</v>
      </c>
      <c r="M90">
        <v>0</v>
      </c>
      <c r="N90">
        <v>0</v>
      </c>
      <c r="O90" s="20"/>
      <c r="P90" s="20"/>
      <c r="Q90" s="438">
        <v>4.5583316567418077E-2</v>
      </c>
      <c r="R90" s="197"/>
      <c r="S90" s="197"/>
      <c r="T90" s="197"/>
      <c r="U90" s="197"/>
      <c r="BA90" s="319">
        <f>(E90*10000*Q90*AU$10)</f>
        <v>87918.93537744919</v>
      </c>
    </row>
    <row r="91" spans="1:53" ht="15" x14ac:dyDescent="0.25">
      <c r="A91" s="10"/>
      <c r="B91" s="9" t="s">
        <v>15</v>
      </c>
      <c r="C91" s="5"/>
      <c r="E91" s="363">
        <f>SUM(E90)</f>
        <v>231.7655</v>
      </c>
      <c r="H91" s="358">
        <f>SUM(D90:H90)</f>
        <v>231.7655</v>
      </c>
      <c r="K91" s="14"/>
      <c r="N91">
        <v>0</v>
      </c>
      <c r="O91" s="20"/>
      <c r="P91" s="20"/>
      <c r="Q91" s="438"/>
      <c r="R91" s="197"/>
      <c r="S91" s="197"/>
      <c r="T91" s="197"/>
      <c r="U91" s="197"/>
    </row>
    <row r="92" spans="1:53" ht="15.75" x14ac:dyDescent="0.25">
      <c r="A92" s="1"/>
      <c r="B92" s="2"/>
      <c r="C92" s="1"/>
      <c r="E92" s="361"/>
      <c r="K92" s="14"/>
      <c r="O92" s="20"/>
      <c r="P92" s="20"/>
      <c r="Q92" s="439"/>
      <c r="R92" s="197"/>
      <c r="S92" s="197"/>
      <c r="T92" s="197"/>
      <c r="U92" s="197"/>
    </row>
    <row r="93" spans="1:53" ht="15" x14ac:dyDescent="0.25">
      <c r="A93" s="1">
        <v>10</v>
      </c>
      <c r="B93" s="2" t="s">
        <v>24</v>
      </c>
      <c r="C93" s="1" t="s">
        <v>8</v>
      </c>
      <c r="D93">
        <v>0</v>
      </c>
      <c r="E93" s="360">
        <v>125.95440000000001</v>
      </c>
      <c r="F93">
        <v>0</v>
      </c>
      <c r="G93">
        <v>0</v>
      </c>
      <c r="H93">
        <v>0</v>
      </c>
      <c r="J93">
        <v>0</v>
      </c>
      <c r="K93">
        <v>0</v>
      </c>
      <c r="L93">
        <v>0</v>
      </c>
      <c r="M93">
        <v>0</v>
      </c>
      <c r="N93">
        <v>0</v>
      </c>
      <c r="O93" s="20"/>
      <c r="P93" s="20"/>
      <c r="Q93" s="438">
        <v>2.4254602568774902E-2</v>
      </c>
      <c r="R93" s="197">
        <v>0.66599999999999993</v>
      </c>
      <c r="S93" s="197">
        <v>4.5549999999999997</v>
      </c>
      <c r="T93" s="197">
        <v>0.60039794540960334</v>
      </c>
      <c r="U93" s="197">
        <v>0.90789473684210531</v>
      </c>
      <c r="V93" s="20">
        <f t="shared" ref="V93:Y98" si="99">IF(K93&gt;0,((E93-K93)*$Q93*$R93*10)+(K93*$O$12*$Q93*$R93*10),(E93*$Q93*$R93*10))</f>
        <v>20.346126265831419</v>
      </c>
      <c r="W93" s="20">
        <f t="shared" si="99"/>
        <v>0</v>
      </c>
      <c r="X93" s="20">
        <f t="shared" si="99"/>
        <v>0</v>
      </c>
      <c r="Y93" s="20">
        <f t="shared" si="99"/>
        <v>0</v>
      </c>
      <c r="Z93" s="20">
        <f t="shared" ref="Z93:AC98" si="100">V93*(EXP(1.01-0.34*LN(Z$8))*(1-$T93)+(1*$T93))</f>
        <v>13.699584418661393</v>
      </c>
      <c r="AA93" s="20">
        <f t="shared" si="100"/>
        <v>0</v>
      </c>
      <c r="AB93" s="20">
        <f t="shared" si="100"/>
        <v>0</v>
      </c>
      <c r="AC93" s="20">
        <f t="shared" si="100"/>
        <v>0</v>
      </c>
      <c r="AD93" s="20">
        <f t="shared" ref="AD93:AD98" si="101">SUM(Z93:AC93)</f>
        <v>13.699584418661393</v>
      </c>
      <c r="AE93" s="20">
        <f t="shared" ref="AE93:AH98" si="102">IF(K93&gt;0,((E93-K93)*$Q93*$S93*10)+(K93*$P$12*$Q93*$S93)*10,(E93*$Q93*$S93*10))</f>
        <v>139.15406177306625</v>
      </c>
      <c r="AF93" s="20">
        <f t="shared" si="102"/>
        <v>0</v>
      </c>
      <c r="AG93" s="20">
        <f t="shared" si="102"/>
        <v>0</v>
      </c>
      <c r="AH93" s="20">
        <f t="shared" si="102"/>
        <v>0</v>
      </c>
      <c r="AI93" s="20">
        <f t="shared" ref="AI93:AL98" si="103">AE93*(EXP(1.01-0.34*LN(AI$8))*(1-$U93)+(1*$U93))</f>
        <v>128.67634557667708</v>
      </c>
      <c r="AJ93" s="20">
        <f t="shared" si="103"/>
        <v>0</v>
      </c>
      <c r="AK93" s="20">
        <f t="shared" si="103"/>
        <v>0</v>
      </c>
      <c r="AL93" s="20">
        <f t="shared" si="103"/>
        <v>0</v>
      </c>
      <c r="AM93" s="20">
        <f t="shared" ref="AM93:AM98" si="104">SUM(AI93:AL93)</f>
        <v>128.67634557667708</v>
      </c>
      <c r="AO93">
        <f t="shared" ref="AO93:AR98" si="105">Z93*AO$10</f>
        <v>11.400794153210013</v>
      </c>
      <c r="AP93">
        <f t="shared" si="105"/>
        <v>0</v>
      </c>
      <c r="AQ93">
        <f t="shared" si="105"/>
        <v>0</v>
      </c>
      <c r="AR93">
        <f t="shared" si="105"/>
        <v>0</v>
      </c>
      <c r="AS93">
        <f t="shared" ref="AS93:AS98" si="106">SUM(AO93:AR93)</f>
        <v>11.400794153210013</v>
      </c>
      <c r="AU93">
        <f t="shared" ref="AU93:AX98" si="107">AI93*AU$10</f>
        <v>107.08445478891068</v>
      </c>
      <c r="AV93">
        <f t="shared" si="107"/>
        <v>0</v>
      </c>
      <c r="AW93">
        <f t="shared" si="107"/>
        <v>0</v>
      </c>
      <c r="AX93">
        <f t="shared" si="107"/>
        <v>0</v>
      </c>
      <c r="AY93">
        <f t="shared" ref="AY93:AY98" si="108">SUM(AU93:AX93)</f>
        <v>107.08445478891068</v>
      </c>
    </row>
    <row r="94" spans="1:53" ht="15" x14ac:dyDescent="0.25">
      <c r="A94" s="1"/>
      <c r="B94" s="2"/>
      <c r="C94" s="1" t="s">
        <v>9</v>
      </c>
      <c r="D94">
        <v>0</v>
      </c>
      <c r="E94" s="360">
        <v>5.7535999999999996</v>
      </c>
      <c r="F94">
        <v>0</v>
      </c>
      <c r="G94">
        <v>0</v>
      </c>
      <c r="H94">
        <v>0</v>
      </c>
      <c r="J94">
        <v>0</v>
      </c>
      <c r="K94">
        <v>0</v>
      </c>
      <c r="L94">
        <v>0</v>
      </c>
      <c r="M94">
        <v>0</v>
      </c>
      <c r="N94">
        <v>0</v>
      </c>
      <c r="O94" s="20"/>
      <c r="P94" s="20"/>
      <c r="Q94" s="438">
        <v>3.950920513754981E-2</v>
      </c>
      <c r="R94" s="197">
        <v>0.66599999999999993</v>
      </c>
      <c r="S94" s="197">
        <v>4.5549999999999997</v>
      </c>
      <c r="T94" s="197">
        <v>0.60039794540960334</v>
      </c>
      <c r="U94" s="197">
        <v>0.90789473684210531</v>
      </c>
      <c r="V94" s="20">
        <f t="shared" si="99"/>
        <v>1.5139522834448478</v>
      </c>
      <c r="W94" s="20">
        <f t="shared" si="99"/>
        <v>0</v>
      </c>
      <c r="X94" s="20">
        <f t="shared" si="99"/>
        <v>0</v>
      </c>
      <c r="Y94" s="20">
        <f t="shared" si="99"/>
        <v>0</v>
      </c>
      <c r="Z94" s="20">
        <f t="shared" si="100"/>
        <v>1.0193840754693821</v>
      </c>
      <c r="AA94" s="20">
        <f t="shared" si="100"/>
        <v>0</v>
      </c>
      <c r="AB94" s="20">
        <f t="shared" si="100"/>
        <v>0</v>
      </c>
      <c r="AC94" s="20">
        <f t="shared" si="100"/>
        <v>0</v>
      </c>
      <c r="AD94" s="20">
        <f t="shared" si="101"/>
        <v>1.0193840754693821</v>
      </c>
      <c r="AE94" s="20">
        <f t="shared" si="102"/>
        <v>10.354433410046969</v>
      </c>
      <c r="AF94" s="20">
        <f t="shared" si="102"/>
        <v>0</v>
      </c>
      <c r="AG94" s="20">
        <f t="shared" si="102"/>
        <v>0</v>
      </c>
      <c r="AH94" s="20">
        <f t="shared" si="102"/>
        <v>0</v>
      </c>
      <c r="AI94" s="20">
        <f t="shared" si="103"/>
        <v>9.5747880783727126</v>
      </c>
      <c r="AJ94" s="20">
        <f t="shared" si="103"/>
        <v>0</v>
      </c>
      <c r="AK94" s="20">
        <f t="shared" si="103"/>
        <v>0</v>
      </c>
      <c r="AL94" s="20">
        <f t="shared" si="103"/>
        <v>0</v>
      </c>
      <c r="AM94" s="20">
        <f t="shared" si="104"/>
        <v>9.5747880783727126</v>
      </c>
      <c r="AO94">
        <f t="shared" si="105"/>
        <v>0.84833142760561986</v>
      </c>
      <c r="AP94">
        <f t="shared" si="105"/>
        <v>0</v>
      </c>
      <c r="AQ94">
        <f t="shared" si="105"/>
        <v>0</v>
      </c>
      <c r="AR94">
        <f t="shared" si="105"/>
        <v>0</v>
      </c>
      <c r="AS94">
        <f t="shared" si="106"/>
        <v>0.84833142760561986</v>
      </c>
      <c r="AU94">
        <f t="shared" si="107"/>
        <v>7.9681386388217721</v>
      </c>
      <c r="AV94">
        <f t="shared" si="107"/>
        <v>0</v>
      </c>
      <c r="AW94">
        <f t="shared" si="107"/>
        <v>0</v>
      </c>
      <c r="AX94">
        <f t="shared" si="107"/>
        <v>0</v>
      </c>
      <c r="AY94">
        <f t="shared" si="108"/>
        <v>7.9681386388217721</v>
      </c>
    </row>
    <row r="95" spans="1:53" ht="15" x14ac:dyDescent="0.25">
      <c r="A95" s="1"/>
      <c r="B95" s="2"/>
      <c r="C95" s="1" t="s">
        <v>10</v>
      </c>
      <c r="D95">
        <v>0</v>
      </c>
      <c r="E95" s="360"/>
      <c r="F95">
        <v>0</v>
      </c>
      <c r="G95">
        <v>0</v>
      </c>
      <c r="H95">
        <v>0</v>
      </c>
      <c r="J95">
        <v>0</v>
      </c>
      <c r="K95">
        <v>0</v>
      </c>
      <c r="L95">
        <v>0</v>
      </c>
      <c r="M95">
        <v>0</v>
      </c>
      <c r="N95">
        <v>0</v>
      </c>
      <c r="O95" s="20"/>
      <c r="P95" s="20"/>
      <c r="Q95" s="438"/>
      <c r="R95" s="197">
        <v>0.66599999999999993</v>
      </c>
      <c r="S95" s="197">
        <v>4.5549999999999997</v>
      </c>
      <c r="T95" s="197">
        <v>0.60039794540960334</v>
      </c>
      <c r="U95" s="197">
        <v>0.90789473684210531</v>
      </c>
      <c r="V95" s="20">
        <f t="shared" si="99"/>
        <v>0</v>
      </c>
      <c r="W95" s="20">
        <f t="shared" si="99"/>
        <v>0</v>
      </c>
      <c r="X95" s="20">
        <f t="shared" si="99"/>
        <v>0</v>
      </c>
      <c r="Y95" s="20">
        <f t="shared" si="99"/>
        <v>0</v>
      </c>
      <c r="Z95" s="20">
        <f t="shared" si="100"/>
        <v>0</v>
      </c>
      <c r="AA95" s="20">
        <f t="shared" si="100"/>
        <v>0</v>
      </c>
      <c r="AB95" s="20">
        <f t="shared" si="100"/>
        <v>0</v>
      </c>
      <c r="AC95" s="20">
        <f t="shared" si="100"/>
        <v>0</v>
      </c>
      <c r="AD95" s="20">
        <f t="shared" si="101"/>
        <v>0</v>
      </c>
      <c r="AE95" s="20">
        <f t="shared" si="102"/>
        <v>0</v>
      </c>
      <c r="AF95" s="20">
        <f t="shared" si="102"/>
        <v>0</v>
      </c>
      <c r="AG95" s="20">
        <f t="shared" si="102"/>
        <v>0</v>
      </c>
      <c r="AH95" s="20">
        <f t="shared" si="102"/>
        <v>0</v>
      </c>
      <c r="AI95" s="20">
        <f t="shared" si="103"/>
        <v>0</v>
      </c>
      <c r="AJ95" s="20">
        <f t="shared" si="103"/>
        <v>0</v>
      </c>
      <c r="AK95" s="20">
        <f t="shared" si="103"/>
        <v>0</v>
      </c>
      <c r="AL95" s="20">
        <f t="shared" si="103"/>
        <v>0</v>
      </c>
      <c r="AM95" s="20">
        <f t="shared" si="104"/>
        <v>0</v>
      </c>
      <c r="AO95">
        <f t="shared" si="105"/>
        <v>0</v>
      </c>
      <c r="AP95">
        <f t="shared" si="105"/>
        <v>0</v>
      </c>
      <c r="AQ95">
        <f t="shared" si="105"/>
        <v>0</v>
      </c>
      <c r="AR95">
        <f t="shared" si="105"/>
        <v>0</v>
      </c>
      <c r="AS95">
        <f t="shared" si="106"/>
        <v>0</v>
      </c>
      <c r="AU95">
        <f t="shared" si="107"/>
        <v>0</v>
      </c>
      <c r="AV95">
        <f t="shared" si="107"/>
        <v>0</v>
      </c>
      <c r="AW95">
        <f t="shared" si="107"/>
        <v>0</v>
      </c>
      <c r="AX95">
        <f t="shared" si="107"/>
        <v>0</v>
      </c>
      <c r="AY95">
        <f t="shared" si="108"/>
        <v>0</v>
      </c>
    </row>
    <row r="96" spans="1:53" ht="15" x14ac:dyDescent="0.25">
      <c r="A96" s="1"/>
      <c r="B96" s="2"/>
      <c r="C96" s="1" t="s">
        <v>11</v>
      </c>
      <c r="D96">
        <v>0</v>
      </c>
      <c r="E96" s="360">
        <v>55.817700000000002</v>
      </c>
      <c r="F96">
        <v>0</v>
      </c>
      <c r="G96">
        <v>0</v>
      </c>
      <c r="H96">
        <v>0</v>
      </c>
      <c r="J96">
        <v>0</v>
      </c>
      <c r="K96">
        <v>0</v>
      </c>
      <c r="L96">
        <v>0</v>
      </c>
      <c r="M96">
        <v>0</v>
      </c>
      <c r="N96">
        <v>0</v>
      </c>
      <c r="O96" s="20"/>
      <c r="P96" s="20"/>
      <c r="Q96" s="438">
        <v>7.0018410275099613E-2</v>
      </c>
      <c r="R96" s="197">
        <v>0.66599999999999993</v>
      </c>
      <c r="S96" s="197">
        <v>4.5549999999999997</v>
      </c>
      <c r="T96" s="197">
        <v>0.60039794540960334</v>
      </c>
      <c r="U96" s="197">
        <v>0.90789473684210531</v>
      </c>
      <c r="V96" s="20">
        <f t="shared" si="99"/>
        <v>26.029055683954766</v>
      </c>
      <c r="W96" s="20">
        <f t="shared" si="99"/>
        <v>0</v>
      </c>
      <c r="X96" s="20">
        <f t="shared" si="99"/>
        <v>0</v>
      </c>
      <c r="Y96" s="20">
        <f t="shared" si="99"/>
        <v>0</v>
      </c>
      <c r="Z96" s="20">
        <f t="shared" si="100"/>
        <v>17.526050955420285</v>
      </c>
      <c r="AA96" s="20">
        <f t="shared" si="100"/>
        <v>0</v>
      </c>
      <c r="AB96" s="20">
        <f t="shared" si="100"/>
        <v>0</v>
      </c>
      <c r="AC96" s="20">
        <f t="shared" si="100"/>
        <v>0</v>
      </c>
      <c r="AD96" s="20">
        <f t="shared" si="101"/>
        <v>17.526050955420285</v>
      </c>
      <c r="AE96" s="20">
        <f t="shared" si="102"/>
        <v>178.02154450512606</v>
      </c>
      <c r="AF96" s="20">
        <f t="shared" si="102"/>
        <v>0</v>
      </c>
      <c r="AG96" s="20">
        <f t="shared" si="102"/>
        <v>0</v>
      </c>
      <c r="AH96" s="20">
        <f t="shared" si="102"/>
        <v>0</v>
      </c>
      <c r="AI96" s="20">
        <f t="shared" si="103"/>
        <v>164.61727016055497</v>
      </c>
      <c r="AJ96" s="20">
        <f t="shared" si="103"/>
        <v>0</v>
      </c>
      <c r="AK96" s="20">
        <f t="shared" si="103"/>
        <v>0</v>
      </c>
      <c r="AL96" s="20">
        <f t="shared" si="103"/>
        <v>0</v>
      </c>
      <c r="AM96" s="20">
        <f t="shared" si="104"/>
        <v>164.61727016055497</v>
      </c>
      <c r="AO96">
        <f t="shared" si="105"/>
        <v>14.585179605100763</v>
      </c>
      <c r="AP96">
        <f t="shared" si="105"/>
        <v>0</v>
      </c>
      <c r="AQ96">
        <f t="shared" si="105"/>
        <v>0</v>
      </c>
      <c r="AR96">
        <f t="shared" si="105"/>
        <v>0</v>
      </c>
      <c r="AS96">
        <f t="shared" si="106"/>
        <v>14.585179605100763</v>
      </c>
      <c r="AU96">
        <f t="shared" si="107"/>
        <v>136.99449222761385</v>
      </c>
      <c r="AV96">
        <f t="shared" si="107"/>
        <v>0</v>
      </c>
      <c r="AW96">
        <f t="shared" si="107"/>
        <v>0</v>
      </c>
      <c r="AX96">
        <f t="shared" si="107"/>
        <v>0</v>
      </c>
      <c r="AY96">
        <f t="shared" si="108"/>
        <v>136.99449222761385</v>
      </c>
    </row>
    <row r="97" spans="1:53" ht="15" x14ac:dyDescent="0.25">
      <c r="A97" s="1"/>
      <c r="B97" s="2"/>
      <c r="C97" s="1" t="s">
        <v>12</v>
      </c>
      <c r="D97">
        <v>0</v>
      </c>
      <c r="E97" s="360">
        <v>0</v>
      </c>
      <c r="F97">
        <v>0</v>
      </c>
      <c r="G97">
        <v>0</v>
      </c>
      <c r="H9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20"/>
      <c r="P97" s="20"/>
      <c r="Q97" s="438"/>
      <c r="R97" s="197">
        <v>0.66599999999999993</v>
      </c>
      <c r="S97" s="197">
        <v>4.5549999999999997</v>
      </c>
      <c r="T97" s="197">
        <v>0.60039794540960334</v>
      </c>
      <c r="U97" s="197">
        <v>0.90789473684210531</v>
      </c>
      <c r="V97" s="20">
        <f t="shared" si="99"/>
        <v>0</v>
      </c>
      <c r="W97" s="20">
        <f t="shared" si="99"/>
        <v>0</v>
      </c>
      <c r="X97" s="20">
        <f t="shared" si="99"/>
        <v>0</v>
      </c>
      <c r="Y97" s="20">
        <f t="shared" si="99"/>
        <v>0</v>
      </c>
      <c r="Z97" s="20">
        <f t="shared" si="100"/>
        <v>0</v>
      </c>
      <c r="AA97" s="20">
        <f t="shared" si="100"/>
        <v>0</v>
      </c>
      <c r="AB97" s="20">
        <f t="shared" si="100"/>
        <v>0</v>
      </c>
      <c r="AC97" s="20">
        <f t="shared" si="100"/>
        <v>0</v>
      </c>
      <c r="AD97" s="20">
        <f t="shared" si="101"/>
        <v>0</v>
      </c>
      <c r="AE97" s="20">
        <f t="shared" si="102"/>
        <v>0</v>
      </c>
      <c r="AF97" s="20">
        <f t="shared" si="102"/>
        <v>0</v>
      </c>
      <c r="AG97" s="20">
        <f t="shared" si="102"/>
        <v>0</v>
      </c>
      <c r="AH97" s="20">
        <f t="shared" si="102"/>
        <v>0</v>
      </c>
      <c r="AI97" s="20">
        <f t="shared" si="103"/>
        <v>0</v>
      </c>
      <c r="AJ97" s="20">
        <f t="shared" si="103"/>
        <v>0</v>
      </c>
      <c r="AK97" s="20">
        <f t="shared" si="103"/>
        <v>0</v>
      </c>
      <c r="AL97" s="20">
        <f t="shared" si="103"/>
        <v>0</v>
      </c>
      <c r="AM97" s="20">
        <f t="shared" si="104"/>
        <v>0</v>
      </c>
      <c r="AO97">
        <f t="shared" si="105"/>
        <v>0</v>
      </c>
      <c r="AP97">
        <f t="shared" si="105"/>
        <v>0</v>
      </c>
      <c r="AQ97">
        <f t="shared" si="105"/>
        <v>0</v>
      </c>
      <c r="AR97">
        <f t="shared" si="105"/>
        <v>0</v>
      </c>
      <c r="AS97">
        <f t="shared" si="106"/>
        <v>0</v>
      </c>
      <c r="AU97">
        <f t="shared" si="107"/>
        <v>0</v>
      </c>
      <c r="AV97">
        <f t="shared" si="107"/>
        <v>0</v>
      </c>
      <c r="AW97">
        <f t="shared" si="107"/>
        <v>0</v>
      </c>
      <c r="AX97">
        <f t="shared" si="107"/>
        <v>0</v>
      </c>
      <c r="AY97">
        <f t="shared" si="108"/>
        <v>0</v>
      </c>
    </row>
    <row r="98" spans="1:53" ht="15" x14ac:dyDescent="0.25">
      <c r="A98" s="1"/>
      <c r="B98" s="2"/>
      <c r="C98" s="1" t="s">
        <v>13</v>
      </c>
      <c r="D98">
        <v>0</v>
      </c>
      <c r="E98" s="360">
        <v>0.22670000000000001</v>
      </c>
      <c r="F98">
        <v>0</v>
      </c>
      <c r="G98">
        <v>0</v>
      </c>
      <c r="H98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20"/>
      <c r="P98" s="20"/>
      <c r="Q98" s="438">
        <v>7.0018410275099613E-2</v>
      </c>
      <c r="R98" s="197">
        <v>0.66599999999999993</v>
      </c>
      <c r="S98" s="197">
        <v>4.5549999999999997</v>
      </c>
      <c r="T98" s="197">
        <v>0.60039794540960334</v>
      </c>
      <c r="U98" s="197">
        <v>0.90789473684210531</v>
      </c>
      <c r="V98" s="20">
        <f t="shared" si="99"/>
        <v>0.10571533623837144</v>
      </c>
      <c r="W98" s="20">
        <f t="shared" si="99"/>
        <v>0</v>
      </c>
      <c r="X98" s="20">
        <f t="shared" si="99"/>
        <v>0</v>
      </c>
      <c r="Y98" s="20">
        <f t="shared" si="99"/>
        <v>0</v>
      </c>
      <c r="Z98" s="20">
        <f t="shared" si="100"/>
        <v>7.1180929196182907E-2</v>
      </c>
      <c r="AA98" s="20">
        <f t="shared" si="100"/>
        <v>0</v>
      </c>
      <c r="AB98" s="20">
        <f t="shared" si="100"/>
        <v>0</v>
      </c>
      <c r="AC98" s="20">
        <f t="shared" si="100"/>
        <v>0</v>
      </c>
      <c r="AD98" s="20">
        <f t="shared" si="101"/>
        <v>7.1180929196182907E-2</v>
      </c>
      <c r="AE98" s="20">
        <f t="shared" si="102"/>
        <v>0.7230230579065795</v>
      </c>
      <c r="AF98" s="20">
        <f t="shared" si="102"/>
        <v>0</v>
      </c>
      <c r="AG98" s="20">
        <f t="shared" si="102"/>
        <v>0</v>
      </c>
      <c r="AH98" s="20">
        <f t="shared" si="102"/>
        <v>0</v>
      </c>
      <c r="AI98" s="20">
        <f t="shared" si="103"/>
        <v>0.66858245942412198</v>
      </c>
      <c r="AJ98" s="20">
        <f t="shared" si="103"/>
        <v>0</v>
      </c>
      <c r="AK98" s="20">
        <f t="shared" si="103"/>
        <v>0</v>
      </c>
      <c r="AL98" s="20">
        <f t="shared" si="103"/>
        <v>0</v>
      </c>
      <c r="AM98" s="20">
        <f t="shared" si="104"/>
        <v>0.66858245942412198</v>
      </c>
      <c r="AO98">
        <f t="shared" si="105"/>
        <v>5.9236769277063415E-2</v>
      </c>
      <c r="AP98">
        <f t="shared" si="105"/>
        <v>0</v>
      </c>
      <c r="AQ98">
        <f t="shared" si="105"/>
        <v>0</v>
      </c>
      <c r="AR98">
        <f t="shared" si="105"/>
        <v>0</v>
      </c>
      <c r="AS98">
        <f t="shared" si="106"/>
        <v>5.9236769277063415E-2</v>
      </c>
      <c r="AU98">
        <f t="shared" si="107"/>
        <v>0.55639432273275435</v>
      </c>
      <c r="AV98">
        <f t="shared" si="107"/>
        <v>0</v>
      </c>
      <c r="AW98">
        <f t="shared" si="107"/>
        <v>0</v>
      </c>
      <c r="AX98">
        <f t="shared" si="107"/>
        <v>0</v>
      </c>
      <c r="AY98">
        <f t="shared" si="108"/>
        <v>0.55639432273275435</v>
      </c>
    </row>
    <row r="99" spans="1:53" ht="15" x14ac:dyDescent="0.25">
      <c r="A99" s="7"/>
      <c r="B99" s="8" t="s">
        <v>14</v>
      </c>
      <c r="C99" s="7"/>
      <c r="D99" s="357">
        <f t="shared" ref="D99:H99" si="109">SUM(D93:D98)</f>
        <v>0</v>
      </c>
      <c r="E99" s="363">
        <f>SUM(E93:E98)</f>
        <v>187.75239999999999</v>
      </c>
      <c r="F99" s="357">
        <f t="shared" si="109"/>
        <v>0</v>
      </c>
      <c r="G99" s="357">
        <f t="shared" si="109"/>
        <v>0</v>
      </c>
      <c r="H99" s="357">
        <f t="shared" si="109"/>
        <v>0</v>
      </c>
      <c r="J99">
        <v>0</v>
      </c>
      <c r="K99">
        <v>0</v>
      </c>
      <c r="L99">
        <v>0</v>
      </c>
      <c r="M99">
        <v>0</v>
      </c>
      <c r="N99">
        <v>0</v>
      </c>
      <c r="O99" s="20"/>
      <c r="P99" s="20"/>
      <c r="Q99" s="438">
        <v>3.8382645810597901E-2</v>
      </c>
      <c r="R99" s="197"/>
      <c r="S99" s="197"/>
      <c r="T99" s="197"/>
      <c r="U99" s="197"/>
      <c r="BA99" s="319">
        <f>(E99*10000*Q99*AU$10)</f>
        <v>59971.942660228902</v>
      </c>
    </row>
    <row r="100" spans="1:53" ht="15" x14ac:dyDescent="0.25">
      <c r="A100" s="10"/>
      <c r="B100" s="9" t="s">
        <v>15</v>
      </c>
      <c r="C100" s="5"/>
      <c r="E100" s="363">
        <f>SUM(E99)</f>
        <v>187.75239999999999</v>
      </c>
      <c r="H100" s="358">
        <f>SUM(D99:H99)</f>
        <v>187.75239999999999</v>
      </c>
      <c r="K100" s="14"/>
      <c r="N100">
        <v>0</v>
      </c>
      <c r="O100" s="20"/>
      <c r="P100" s="20"/>
      <c r="Q100" s="438"/>
      <c r="R100" s="197"/>
      <c r="S100" s="197"/>
      <c r="T100" s="197"/>
      <c r="U100" s="197"/>
    </row>
    <row r="101" spans="1:53" ht="15.75" x14ac:dyDescent="0.25">
      <c r="A101" s="1"/>
      <c r="B101" s="2"/>
      <c r="C101" s="1"/>
      <c r="E101" s="361"/>
      <c r="K101" s="14"/>
      <c r="O101" s="20"/>
      <c r="P101" s="20"/>
      <c r="Q101" s="439"/>
      <c r="R101" s="197"/>
      <c r="S101" s="197"/>
      <c r="T101" s="197"/>
      <c r="U101" s="197"/>
    </row>
    <row r="102" spans="1:53" ht="15" x14ac:dyDescent="0.25">
      <c r="A102" s="1">
        <v>11</v>
      </c>
      <c r="B102" s="2" t="s">
        <v>25</v>
      </c>
      <c r="C102" s="1" t="s">
        <v>8</v>
      </c>
      <c r="D102">
        <v>0</v>
      </c>
      <c r="E102" s="360">
        <v>9.1846999999999994</v>
      </c>
      <c r="F102">
        <v>0</v>
      </c>
      <c r="G102">
        <v>0</v>
      </c>
      <c r="H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 s="20"/>
      <c r="P102" s="20"/>
      <c r="Q102" s="438">
        <v>2.4254602568774902E-2</v>
      </c>
      <c r="R102" s="197">
        <v>0.14000000000000001</v>
      </c>
      <c r="S102" s="197">
        <v>2.0499999999999998</v>
      </c>
      <c r="T102" s="197">
        <v>0.62857142857142845</v>
      </c>
      <c r="U102" s="197">
        <v>0.90789473684210531</v>
      </c>
      <c r="V102" s="20">
        <f t="shared" ref="V102:Y107" si="110">IF(K102&gt;0,((E102-K102)*$Q102*$R102*10)+(K102*$O$12*$Q102*$R102*10),(E102*$Q102*$R102*10))</f>
        <v>0.3118797474987976</v>
      </c>
      <c r="W102" s="20">
        <f t="shared" si="110"/>
        <v>0</v>
      </c>
      <c r="X102" s="20">
        <f t="shared" si="110"/>
        <v>0</v>
      </c>
      <c r="Y102" s="20">
        <f t="shared" si="110"/>
        <v>0</v>
      </c>
      <c r="Z102" s="20">
        <f t="shared" ref="Z102:AC107" si="111">V102*(EXP(1.01-0.34*LN(Z$8))*(1-$T102)+(1*$T102))</f>
        <v>0.21718000949923713</v>
      </c>
      <c r="AA102" s="20">
        <f t="shared" si="111"/>
        <v>0</v>
      </c>
      <c r="AB102" s="20">
        <f t="shared" si="111"/>
        <v>0</v>
      </c>
      <c r="AC102" s="20">
        <f t="shared" si="111"/>
        <v>0</v>
      </c>
      <c r="AD102" s="20">
        <f t="shared" ref="AD102:AD107" si="112">SUM(Z102:AC102)</f>
        <v>0.21718000949923713</v>
      </c>
      <c r="AE102" s="20">
        <f t="shared" ref="AE102:AH107" si="113">IF(K102&gt;0,((E102-K102)*$Q102*$S102*10)+(K102*$P$12*$Q102*$S102)*10,(E102*$Q102*$S102*10))</f>
        <v>4.5668105883752492</v>
      </c>
      <c r="AF102" s="20">
        <f t="shared" si="113"/>
        <v>0</v>
      </c>
      <c r="AG102" s="20">
        <f t="shared" si="113"/>
        <v>0</v>
      </c>
      <c r="AH102" s="20">
        <f t="shared" si="113"/>
        <v>0</v>
      </c>
      <c r="AI102" s="20">
        <f t="shared" ref="AI102:AL107" si="114">AE102*(EXP(1.01-0.34*LN(AI$8))*(1-$U102)+(1*$U102))</f>
        <v>4.2229489385033636</v>
      </c>
      <c r="AJ102" s="20">
        <f t="shared" si="114"/>
        <v>0</v>
      </c>
      <c r="AK102" s="20">
        <f t="shared" si="114"/>
        <v>0</v>
      </c>
      <c r="AL102" s="20">
        <f t="shared" si="114"/>
        <v>0</v>
      </c>
      <c r="AM102" s="20">
        <f t="shared" ref="AM102:AM107" si="115">SUM(AI102:AL102)</f>
        <v>4.2229489385033636</v>
      </c>
      <c r="AO102">
        <f t="shared" ref="AO102:AR107" si="116">Z102*AO$10</f>
        <v>0.18073720390526515</v>
      </c>
      <c r="AP102">
        <f t="shared" si="116"/>
        <v>0</v>
      </c>
      <c r="AQ102">
        <f t="shared" si="116"/>
        <v>0</v>
      </c>
      <c r="AR102">
        <f t="shared" si="116"/>
        <v>0</v>
      </c>
      <c r="AS102">
        <f t="shared" ref="AS102:AS107" si="117">SUM(AO102:AR102)</f>
        <v>0.18073720390526515</v>
      </c>
      <c r="AU102">
        <f t="shared" ref="AU102:AX107" si="118">AI102*AU$10</f>
        <v>3.5143381066224992</v>
      </c>
      <c r="AV102">
        <f t="shared" si="118"/>
        <v>0</v>
      </c>
      <c r="AW102">
        <f t="shared" si="118"/>
        <v>0</v>
      </c>
      <c r="AX102">
        <f t="shared" si="118"/>
        <v>0</v>
      </c>
      <c r="AY102">
        <f t="shared" ref="AY102:AY107" si="119">SUM(AU102:AX102)</f>
        <v>3.5143381066224992</v>
      </c>
    </row>
    <row r="103" spans="1:53" ht="15" x14ac:dyDescent="0.25">
      <c r="A103" s="1"/>
      <c r="B103" s="2"/>
      <c r="C103" s="1" t="s">
        <v>9</v>
      </c>
      <c r="D103">
        <v>0</v>
      </c>
      <c r="E103" s="360">
        <v>0</v>
      </c>
      <c r="F103">
        <v>0</v>
      </c>
      <c r="G103">
        <v>0</v>
      </c>
      <c r="H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 s="20"/>
      <c r="P103" s="20"/>
      <c r="Q103" s="438"/>
      <c r="R103" s="197">
        <v>0.14000000000000001</v>
      </c>
      <c r="S103" s="197">
        <v>2.0499999999999998</v>
      </c>
      <c r="T103" s="197">
        <v>0.62857142857142845</v>
      </c>
      <c r="U103" s="197">
        <v>0.90789473684210531</v>
      </c>
      <c r="V103" s="20">
        <f t="shared" si="110"/>
        <v>0</v>
      </c>
      <c r="W103" s="20">
        <f t="shared" si="110"/>
        <v>0</v>
      </c>
      <c r="X103" s="20">
        <f t="shared" si="110"/>
        <v>0</v>
      </c>
      <c r="Y103" s="20">
        <f t="shared" si="110"/>
        <v>0</v>
      </c>
      <c r="Z103" s="20">
        <f t="shared" si="111"/>
        <v>0</v>
      </c>
      <c r="AA103" s="20">
        <f t="shared" si="111"/>
        <v>0</v>
      </c>
      <c r="AB103" s="20">
        <f t="shared" si="111"/>
        <v>0</v>
      </c>
      <c r="AC103" s="20">
        <f t="shared" si="111"/>
        <v>0</v>
      </c>
      <c r="AD103" s="20">
        <f t="shared" si="112"/>
        <v>0</v>
      </c>
      <c r="AE103" s="20">
        <f t="shared" si="113"/>
        <v>0</v>
      </c>
      <c r="AF103" s="20">
        <f t="shared" si="113"/>
        <v>0</v>
      </c>
      <c r="AG103" s="20">
        <f t="shared" si="113"/>
        <v>0</v>
      </c>
      <c r="AH103" s="20">
        <f t="shared" si="113"/>
        <v>0</v>
      </c>
      <c r="AI103" s="20">
        <f t="shared" si="114"/>
        <v>0</v>
      </c>
      <c r="AJ103" s="20">
        <f t="shared" si="114"/>
        <v>0</v>
      </c>
      <c r="AK103" s="20">
        <f t="shared" si="114"/>
        <v>0</v>
      </c>
      <c r="AL103" s="20">
        <f t="shared" si="114"/>
        <v>0</v>
      </c>
      <c r="AM103" s="20">
        <f t="shared" si="115"/>
        <v>0</v>
      </c>
      <c r="AO103">
        <f t="shared" si="116"/>
        <v>0</v>
      </c>
      <c r="AP103">
        <f t="shared" si="116"/>
        <v>0</v>
      </c>
      <c r="AQ103">
        <f t="shared" si="116"/>
        <v>0</v>
      </c>
      <c r="AR103">
        <f t="shared" si="116"/>
        <v>0</v>
      </c>
      <c r="AS103">
        <f t="shared" si="117"/>
        <v>0</v>
      </c>
      <c r="AU103">
        <f t="shared" si="118"/>
        <v>0</v>
      </c>
      <c r="AV103">
        <f t="shared" si="118"/>
        <v>0</v>
      </c>
      <c r="AW103">
        <f t="shared" si="118"/>
        <v>0</v>
      </c>
      <c r="AX103">
        <f t="shared" si="118"/>
        <v>0</v>
      </c>
      <c r="AY103">
        <f t="shared" si="119"/>
        <v>0</v>
      </c>
    </row>
    <row r="104" spans="1:53" ht="15" x14ac:dyDescent="0.25">
      <c r="A104" s="1"/>
      <c r="B104" s="2"/>
      <c r="C104" s="1" t="s">
        <v>10</v>
      </c>
      <c r="D104">
        <v>0</v>
      </c>
      <c r="E104" s="360">
        <v>0</v>
      </c>
      <c r="F104">
        <v>0</v>
      </c>
      <c r="G104">
        <v>0</v>
      </c>
      <c r="H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 s="20"/>
      <c r="P104" s="20"/>
      <c r="Q104" s="438"/>
      <c r="R104" s="197">
        <v>0.14000000000000001</v>
      </c>
      <c r="S104" s="197">
        <v>2.0499999999999998</v>
      </c>
      <c r="T104" s="197">
        <v>0.62857142857142845</v>
      </c>
      <c r="U104" s="197">
        <v>0.90789473684210531</v>
      </c>
      <c r="V104" s="20">
        <f t="shared" si="110"/>
        <v>0</v>
      </c>
      <c r="W104" s="20">
        <f t="shared" si="110"/>
        <v>0</v>
      </c>
      <c r="X104" s="20">
        <f t="shared" si="110"/>
        <v>0</v>
      </c>
      <c r="Y104" s="20">
        <f t="shared" si="110"/>
        <v>0</v>
      </c>
      <c r="Z104" s="20">
        <f t="shared" si="111"/>
        <v>0</v>
      </c>
      <c r="AA104" s="20">
        <f t="shared" si="111"/>
        <v>0</v>
      </c>
      <c r="AB104" s="20">
        <f t="shared" si="111"/>
        <v>0</v>
      </c>
      <c r="AC104" s="20">
        <f t="shared" si="111"/>
        <v>0</v>
      </c>
      <c r="AD104" s="20">
        <f t="shared" si="112"/>
        <v>0</v>
      </c>
      <c r="AE104" s="20">
        <f t="shared" si="113"/>
        <v>0</v>
      </c>
      <c r="AF104" s="20">
        <f t="shared" si="113"/>
        <v>0</v>
      </c>
      <c r="AG104" s="20">
        <f t="shared" si="113"/>
        <v>0</v>
      </c>
      <c r="AH104" s="20">
        <f t="shared" si="113"/>
        <v>0</v>
      </c>
      <c r="AI104" s="20">
        <f t="shared" si="114"/>
        <v>0</v>
      </c>
      <c r="AJ104" s="20">
        <f t="shared" si="114"/>
        <v>0</v>
      </c>
      <c r="AK104" s="20">
        <f t="shared" si="114"/>
        <v>0</v>
      </c>
      <c r="AL104" s="20">
        <f t="shared" si="114"/>
        <v>0</v>
      </c>
      <c r="AM104" s="20">
        <f t="shared" si="115"/>
        <v>0</v>
      </c>
      <c r="AO104">
        <f t="shared" si="116"/>
        <v>0</v>
      </c>
      <c r="AP104">
        <f t="shared" si="116"/>
        <v>0</v>
      </c>
      <c r="AQ104">
        <f t="shared" si="116"/>
        <v>0</v>
      </c>
      <c r="AR104">
        <f t="shared" si="116"/>
        <v>0</v>
      </c>
      <c r="AS104">
        <f t="shared" si="117"/>
        <v>0</v>
      </c>
      <c r="AU104">
        <f t="shared" si="118"/>
        <v>0</v>
      </c>
      <c r="AV104">
        <f t="shared" si="118"/>
        <v>0</v>
      </c>
      <c r="AW104">
        <f t="shared" si="118"/>
        <v>0</v>
      </c>
      <c r="AX104">
        <f t="shared" si="118"/>
        <v>0</v>
      </c>
      <c r="AY104">
        <f t="shared" si="119"/>
        <v>0</v>
      </c>
    </row>
    <row r="105" spans="1:53" ht="15" x14ac:dyDescent="0.25">
      <c r="A105" s="1"/>
      <c r="B105" s="2"/>
      <c r="C105" s="1" t="s">
        <v>11</v>
      </c>
      <c r="D105">
        <v>0</v>
      </c>
      <c r="E105" s="360">
        <v>6.8199999999999997E-2</v>
      </c>
      <c r="F105">
        <v>0</v>
      </c>
      <c r="G105">
        <v>0</v>
      </c>
      <c r="H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 s="20"/>
      <c r="P105" s="20"/>
      <c r="Q105" s="438">
        <v>7.0018410275099613E-2</v>
      </c>
      <c r="R105" s="197">
        <v>0.14000000000000001</v>
      </c>
      <c r="S105" s="197">
        <v>2.0499999999999998</v>
      </c>
      <c r="T105" s="197">
        <v>0.62857142857142845</v>
      </c>
      <c r="U105" s="197">
        <v>0.90789473684210531</v>
      </c>
      <c r="V105" s="20">
        <f t="shared" si="110"/>
        <v>6.6853578130665111E-3</v>
      </c>
      <c r="W105" s="20">
        <f t="shared" si="110"/>
        <v>0</v>
      </c>
      <c r="X105" s="20">
        <f t="shared" si="110"/>
        <v>0</v>
      </c>
      <c r="Y105" s="20">
        <f t="shared" si="110"/>
        <v>0</v>
      </c>
      <c r="Z105" s="20">
        <f t="shared" si="111"/>
        <v>4.6554035168737008E-3</v>
      </c>
      <c r="AA105" s="20">
        <f t="shared" si="111"/>
        <v>0</v>
      </c>
      <c r="AB105" s="20">
        <f t="shared" si="111"/>
        <v>0</v>
      </c>
      <c r="AC105" s="20">
        <f t="shared" si="111"/>
        <v>0</v>
      </c>
      <c r="AD105" s="20">
        <f t="shared" si="112"/>
        <v>4.6554035168737008E-3</v>
      </c>
      <c r="AE105" s="20">
        <f t="shared" si="113"/>
        <v>9.7892739405616769E-2</v>
      </c>
      <c r="AF105" s="20">
        <f t="shared" si="113"/>
        <v>0</v>
      </c>
      <c r="AG105" s="20">
        <f t="shared" si="113"/>
        <v>0</v>
      </c>
      <c r="AH105" s="20">
        <f t="shared" si="113"/>
        <v>0</v>
      </c>
      <c r="AI105" s="20">
        <f t="shared" si="114"/>
        <v>9.0521827424248649E-2</v>
      </c>
      <c r="AJ105" s="20">
        <f t="shared" si="114"/>
        <v>0</v>
      </c>
      <c r="AK105" s="20">
        <f t="shared" si="114"/>
        <v>0</v>
      </c>
      <c r="AL105" s="20">
        <f t="shared" si="114"/>
        <v>0</v>
      </c>
      <c r="AM105" s="20">
        <f t="shared" si="115"/>
        <v>9.0521827424248649E-2</v>
      </c>
      <c r="AO105">
        <f t="shared" si="116"/>
        <v>3.8742268067422942E-3</v>
      </c>
      <c r="AP105">
        <f t="shared" si="116"/>
        <v>0</v>
      </c>
      <c r="AQ105">
        <f t="shared" si="116"/>
        <v>0</v>
      </c>
      <c r="AR105">
        <f t="shared" si="116"/>
        <v>0</v>
      </c>
      <c r="AS105">
        <f t="shared" si="117"/>
        <v>3.8742268067422942E-3</v>
      </c>
      <c r="AU105">
        <f t="shared" si="118"/>
        <v>7.5332264782459732E-2</v>
      </c>
      <c r="AV105">
        <f t="shared" si="118"/>
        <v>0</v>
      </c>
      <c r="AW105">
        <f t="shared" si="118"/>
        <v>0</v>
      </c>
      <c r="AX105">
        <f t="shared" si="118"/>
        <v>0</v>
      </c>
      <c r="AY105">
        <f t="shared" si="119"/>
        <v>7.5332264782459732E-2</v>
      </c>
    </row>
    <row r="106" spans="1:53" ht="15" x14ac:dyDescent="0.25">
      <c r="A106" s="1"/>
      <c r="B106" s="2"/>
      <c r="C106" s="1" t="s">
        <v>12</v>
      </c>
      <c r="D106">
        <v>0</v>
      </c>
      <c r="E106" s="360">
        <v>0</v>
      </c>
      <c r="F106">
        <v>0</v>
      </c>
      <c r="G106">
        <v>0</v>
      </c>
      <c r="H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 s="20"/>
      <c r="P106" s="20"/>
      <c r="Q106" s="438"/>
      <c r="R106" s="197">
        <v>0.14000000000000001</v>
      </c>
      <c r="S106" s="197">
        <v>2.0499999999999998</v>
      </c>
      <c r="T106" s="197">
        <v>0.62857142857142845</v>
      </c>
      <c r="U106" s="197">
        <v>0.90789473684210531</v>
      </c>
      <c r="V106" s="20">
        <f t="shared" si="110"/>
        <v>0</v>
      </c>
      <c r="W106" s="20">
        <f t="shared" si="110"/>
        <v>0</v>
      </c>
      <c r="X106" s="20">
        <f t="shared" si="110"/>
        <v>0</v>
      </c>
      <c r="Y106" s="20">
        <f t="shared" si="110"/>
        <v>0</v>
      </c>
      <c r="Z106" s="20">
        <f t="shared" si="111"/>
        <v>0</v>
      </c>
      <c r="AA106" s="20">
        <f t="shared" si="111"/>
        <v>0</v>
      </c>
      <c r="AB106" s="20">
        <f t="shared" si="111"/>
        <v>0</v>
      </c>
      <c r="AC106" s="20">
        <f t="shared" si="111"/>
        <v>0</v>
      </c>
      <c r="AD106" s="20">
        <f t="shared" si="112"/>
        <v>0</v>
      </c>
      <c r="AE106" s="20">
        <f t="shared" si="113"/>
        <v>0</v>
      </c>
      <c r="AF106" s="20">
        <f t="shared" si="113"/>
        <v>0</v>
      </c>
      <c r="AG106" s="20">
        <f t="shared" si="113"/>
        <v>0</v>
      </c>
      <c r="AH106" s="20">
        <f t="shared" si="113"/>
        <v>0</v>
      </c>
      <c r="AI106" s="20">
        <f t="shared" si="114"/>
        <v>0</v>
      </c>
      <c r="AJ106" s="20">
        <f t="shared" si="114"/>
        <v>0</v>
      </c>
      <c r="AK106" s="20">
        <f t="shared" si="114"/>
        <v>0</v>
      </c>
      <c r="AL106" s="20">
        <f t="shared" si="114"/>
        <v>0</v>
      </c>
      <c r="AM106" s="20">
        <f t="shared" si="115"/>
        <v>0</v>
      </c>
      <c r="AO106">
        <f t="shared" si="116"/>
        <v>0</v>
      </c>
      <c r="AP106">
        <f t="shared" si="116"/>
        <v>0</v>
      </c>
      <c r="AQ106">
        <f t="shared" si="116"/>
        <v>0</v>
      </c>
      <c r="AR106">
        <f t="shared" si="116"/>
        <v>0</v>
      </c>
      <c r="AS106">
        <f t="shared" si="117"/>
        <v>0</v>
      </c>
      <c r="AU106">
        <f t="shared" si="118"/>
        <v>0</v>
      </c>
      <c r="AV106">
        <f t="shared" si="118"/>
        <v>0</v>
      </c>
      <c r="AW106">
        <f t="shared" si="118"/>
        <v>0</v>
      </c>
      <c r="AX106">
        <f t="shared" si="118"/>
        <v>0</v>
      </c>
      <c r="AY106">
        <f t="shared" si="119"/>
        <v>0</v>
      </c>
    </row>
    <row r="107" spans="1:53" ht="15" x14ac:dyDescent="0.25">
      <c r="A107" s="1"/>
      <c r="B107" s="2"/>
      <c r="C107" s="1" t="s">
        <v>13</v>
      </c>
      <c r="D107">
        <v>0</v>
      </c>
      <c r="E107" s="360">
        <v>2.5700000000000001E-2</v>
      </c>
      <c r="F107">
        <v>0</v>
      </c>
      <c r="G107">
        <v>0</v>
      </c>
      <c r="H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0"/>
      <c r="P107" s="20"/>
      <c r="Q107" s="438">
        <v>7.0018410275099613E-2</v>
      </c>
      <c r="R107" s="197">
        <v>0.14000000000000001</v>
      </c>
      <c r="S107" s="197">
        <v>2.0499999999999998</v>
      </c>
      <c r="T107" s="197">
        <v>0.62857142857142845</v>
      </c>
      <c r="U107" s="197">
        <v>0.90789473684210531</v>
      </c>
      <c r="V107" s="20">
        <f t="shared" si="110"/>
        <v>2.5192624016980845E-3</v>
      </c>
      <c r="W107" s="20">
        <f t="shared" si="110"/>
        <v>0</v>
      </c>
      <c r="X107" s="20">
        <f t="shared" si="110"/>
        <v>0</v>
      </c>
      <c r="Y107" s="20">
        <f t="shared" si="110"/>
        <v>0</v>
      </c>
      <c r="Z107" s="20">
        <f t="shared" si="111"/>
        <v>1.7543089499069519E-3</v>
      </c>
      <c r="AA107" s="20">
        <f t="shared" si="111"/>
        <v>0</v>
      </c>
      <c r="AB107" s="20">
        <f t="shared" si="111"/>
        <v>0</v>
      </c>
      <c r="AC107" s="20">
        <f t="shared" si="111"/>
        <v>0</v>
      </c>
      <c r="AD107" s="20">
        <f t="shared" si="112"/>
        <v>1.7543089499069519E-3</v>
      </c>
      <c r="AE107" s="20">
        <f t="shared" si="113"/>
        <v>3.6889199453436231E-2</v>
      </c>
      <c r="AF107" s="20">
        <f t="shared" si="113"/>
        <v>0</v>
      </c>
      <c r="AG107" s="20">
        <f t="shared" si="113"/>
        <v>0</v>
      </c>
      <c r="AH107" s="20">
        <f t="shared" si="113"/>
        <v>0</v>
      </c>
      <c r="AI107" s="20">
        <f t="shared" si="114"/>
        <v>3.4111597724386954E-2</v>
      </c>
      <c r="AJ107" s="20">
        <f t="shared" si="114"/>
        <v>0</v>
      </c>
      <c r="AK107" s="20">
        <f t="shared" si="114"/>
        <v>0</v>
      </c>
      <c r="AL107" s="20">
        <f t="shared" si="114"/>
        <v>0</v>
      </c>
      <c r="AM107" s="20">
        <f t="shared" si="115"/>
        <v>3.4111597724386954E-2</v>
      </c>
      <c r="AO107">
        <f t="shared" si="116"/>
        <v>1.4599359081125655E-3</v>
      </c>
      <c r="AP107">
        <f t="shared" si="116"/>
        <v>0</v>
      </c>
      <c r="AQ107">
        <f t="shared" si="116"/>
        <v>0</v>
      </c>
      <c r="AR107">
        <f t="shared" si="116"/>
        <v>0</v>
      </c>
      <c r="AS107">
        <f t="shared" si="117"/>
        <v>1.4599359081125655E-3</v>
      </c>
      <c r="AU107">
        <f t="shared" si="118"/>
        <v>2.8387671626234824E-2</v>
      </c>
      <c r="AV107">
        <f t="shared" si="118"/>
        <v>0</v>
      </c>
      <c r="AW107">
        <f t="shared" si="118"/>
        <v>0</v>
      </c>
      <c r="AX107">
        <f t="shared" si="118"/>
        <v>0</v>
      </c>
      <c r="AY107">
        <f t="shared" si="119"/>
        <v>2.8387671626234824E-2</v>
      </c>
    </row>
    <row r="108" spans="1:53" ht="15" x14ac:dyDescent="0.25">
      <c r="A108" s="7"/>
      <c r="B108" s="8" t="s">
        <v>14</v>
      </c>
      <c r="C108" s="7"/>
      <c r="D108" s="357">
        <f t="shared" ref="D108:H108" si="120">SUM(D102:D107)</f>
        <v>0</v>
      </c>
      <c r="E108" s="363">
        <f>SUM(E102:E107)</f>
        <v>9.2785999999999991</v>
      </c>
      <c r="F108" s="357">
        <f t="shared" si="120"/>
        <v>0</v>
      </c>
      <c r="G108" s="357">
        <f t="shared" si="120"/>
        <v>0</v>
      </c>
      <c r="H108" s="357">
        <f t="shared" si="120"/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 s="20"/>
      <c r="P108" s="20"/>
      <c r="Q108" s="438">
        <v>2.4717735104246193E-2</v>
      </c>
      <c r="R108" s="197"/>
      <c r="S108" s="197"/>
      <c r="T108" s="197"/>
      <c r="U108" s="197"/>
      <c r="BA108" s="319">
        <f>(E108*10000*Q108*AU$10)</f>
        <v>1908.6172200801889</v>
      </c>
    </row>
    <row r="109" spans="1:53" ht="15" x14ac:dyDescent="0.25">
      <c r="A109" s="10"/>
      <c r="B109" s="9" t="s">
        <v>15</v>
      </c>
      <c r="C109" s="5"/>
      <c r="E109" s="363">
        <f>SUM(E108)</f>
        <v>9.2785999999999991</v>
      </c>
      <c r="H109" s="358">
        <f>SUM(D108:H108)</f>
        <v>9.2785999999999991</v>
      </c>
      <c r="K109" s="14"/>
      <c r="N109">
        <v>0</v>
      </c>
      <c r="O109" s="20"/>
      <c r="P109" s="20"/>
      <c r="Q109" s="438"/>
      <c r="R109" s="197"/>
      <c r="S109" s="197"/>
      <c r="T109" s="197"/>
      <c r="U109" s="197"/>
    </row>
    <row r="110" spans="1:53" ht="15.75" x14ac:dyDescent="0.25">
      <c r="A110" s="1"/>
      <c r="B110" s="2"/>
      <c r="C110" s="1"/>
      <c r="E110" s="361"/>
      <c r="K110" s="14"/>
      <c r="O110" s="20"/>
      <c r="P110" s="20"/>
      <c r="Q110" s="439"/>
      <c r="R110" s="197"/>
      <c r="S110" s="197"/>
      <c r="T110" s="197"/>
      <c r="U110" s="197"/>
    </row>
    <row r="111" spans="1:53" ht="15" x14ac:dyDescent="0.25">
      <c r="A111" s="1">
        <v>12</v>
      </c>
      <c r="B111" s="2" t="s">
        <v>26</v>
      </c>
      <c r="C111" s="1" t="s">
        <v>8</v>
      </c>
      <c r="D111">
        <v>0</v>
      </c>
      <c r="E111" s="360"/>
      <c r="F111">
        <v>0</v>
      </c>
      <c r="G111">
        <v>0</v>
      </c>
      <c r="H111">
        <v>0</v>
      </c>
      <c r="J111">
        <v>0</v>
      </c>
      <c r="K111" s="14">
        <v>0</v>
      </c>
      <c r="L111">
        <v>0</v>
      </c>
      <c r="M111">
        <v>0</v>
      </c>
      <c r="N111">
        <v>0</v>
      </c>
      <c r="O111" s="20"/>
      <c r="P111" s="20"/>
      <c r="Q111" s="438"/>
      <c r="R111" s="197">
        <v>6.531704360902256</v>
      </c>
      <c r="S111" s="197">
        <v>78.227142857142866</v>
      </c>
      <c r="T111" s="197">
        <v>0.5825685654008439</v>
      </c>
      <c r="U111" s="197">
        <v>0.90789473684210531</v>
      </c>
      <c r="V111" s="20">
        <f t="shared" ref="V111:Y116" si="121">IF(K111&gt;0,((E111-K111)*$Q111*$R111*10)+(K111*$O$12*$Q111*$R111*10),(E111*$Q111*$R111*10))</f>
        <v>0</v>
      </c>
      <c r="W111" s="20">
        <f t="shared" si="121"/>
        <v>0</v>
      </c>
      <c r="X111" s="20">
        <f t="shared" si="121"/>
        <v>0</v>
      </c>
      <c r="Y111" s="20">
        <f t="shared" si="121"/>
        <v>0</v>
      </c>
      <c r="Z111" s="20">
        <f t="shared" ref="Z111:AC116" si="122">V111*(EXP(1.01-0.34*LN(Z$8))*(1-$T111)+(1*$T111))</f>
        <v>0</v>
      </c>
      <c r="AA111" s="20">
        <f t="shared" si="122"/>
        <v>0</v>
      </c>
      <c r="AB111" s="20">
        <f t="shared" si="122"/>
        <v>0</v>
      </c>
      <c r="AC111" s="20">
        <f t="shared" si="122"/>
        <v>0</v>
      </c>
      <c r="AD111" s="20">
        <f t="shared" ref="AD111:AD116" si="123">SUM(Z111:AC111)</f>
        <v>0</v>
      </c>
      <c r="AE111" s="20">
        <f t="shared" ref="AE111:AH116" si="124">IF(K111&gt;0,((E111-K111)*$Q111*$S111*10)+(K111*$P$12*$Q111*$S111)*10,(E111*$Q111*$S111*10))</f>
        <v>0</v>
      </c>
      <c r="AF111" s="20">
        <f t="shared" si="124"/>
        <v>0</v>
      </c>
      <c r="AG111" s="20">
        <f t="shared" si="124"/>
        <v>0</v>
      </c>
      <c r="AH111" s="20">
        <f t="shared" si="124"/>
        <v>0</v>
      </c>
      <c r="AI111" s="20">
        <f t="shared" ref="AI111:AL116" si="125">AE111*(EXP(1.01-0.34*LN(AI$8))*(1-$U111)+(1*$U111))</f>
        <v>0</v>
      </c>
      <c r="AJ111" s="20">
        <f t="shared" si="125"/>
        <v>0</v>
      </c>
      <c r="AK111" s="20">
        <f t="shared" si="125"/>
        <v>0</v>
      </c>
      <c r="AL111" s="20">
        <f t="shared" si="125"/>
        <v>0</v>
      </c>
      <c r="AM111" s="20">
        <f t="shared" ref="AM111:AM116" si="126">SUM(AI111:AL111)</f>
        <v>0</v>
      </c>
      <c r="AO111">
        <f t="shared" ref="AO111:AR116" si="127">Z111*AO$10</f>
        <v>0</v>
      </c>
      <c r="AP111">
        <f t="shared" si="127"/>
        <v>0</v>
      </c>
      <c r="AQ111">
        <f t="shared" si="127"/>
        <v>0</v>
      </c>
      <c r="AR111">
        <f t="shared" si="127"/>
        <v>0</v>
      </c>
      <c r="AS111">
        <f t="shared" ref="AS111:AS116" si="128">SUM(AO111:AR111)</f>
        <v>0</v>
      </c>
      <c r="AU111">
        <f t="shared" ref="AU111:AX116" si="129">AI111*AU$10</f>
        <v>0</v>
      </c>
      <c r="AV111">
        <f t="shared" si="129"/>
        <v>0</v>
      </c>
      <c r="AW111">
        <f t="shared" si="129"/>
        <v>0</v>
      </c>
      <c r="AX111">
        <f t="shared" si="129"/>
        <v>0</v>
      </c>
      <c r="AY111">
        <f t="shared" ref="AY111:AY116" si="130">SUM(AU111:AX111)</f>
        <v>0</v>
      </c>
    </row>
    <row r="112" spans="1:53" ht="15" x14ac:dyDescent="0.25">
      <c r="A112" s="1"/>
      <c r="B112" s="2"/>
      <c r="C112" s="1" t="s">
        <v>9</v>
      </c>
      <c r="D112">
        <v>0</v>
      </c>
      <c r="E112" s="360"/>
      <c r="F112">
        <v>0</v>
      </c>
      <c r="G112">
        <v>0</v>
      </c>
      <c r="H112">
        <v>0</v>
      </c>
      <c r="J112">
        <v>0</v>
      </c>
      <c r="K112" s="14">
        <v>0</v>
      </c>
      <c r="L112">
        <v>0</v>
      </c>
      <c r="M112">
        <v>0</v>
      </c>
      <c r="N112">
        <v>0</v>
      </c>
      <c r="O112" s="20"/>
      <c r="P112" s="20"/>
      <c r="Q112" s="438"/>
      <c r="R112" s="197">
        <v>6.531704360902256</v>
      </c>
      <c r="S112" s="197">
        <v>78.227142857142866</v>
      </c>
      <c r="T112" s="197">
        <v>0.5825685654008439</v>
      </c>
      <c r="U112" s="197">
        <v>0.90789473684210531</v>
      </c>
      <c r="V112" s="20">
        <f t="shared" si="121"/>
        <v>0</v>
      </c>
      <c r="W112" s="20">
        <f t="shared" si="121"/>
        <v>0</v>
      </c>
      <c r="X112" s="20">
        <f t="shared" si="121"/>
        <v>0</v>
      </c>
      <c r="Y112" s="20">
        <f t="shared" si="121"/>
        <v>0</v>
      </c>
      <c r="Z112" s="20">
        <f t="shared" si="122"/>
        <v>0</v>
      </c>
      <c r="AA112" s="20">
        <f t="shared" si="122"/>
        <v>0</v>
      </c>
      <c r="AB112" s="20">
        <f t="shared" si="122"/>
        <v>0</v>
      </c>
      <c r="AC112" s="20">
        <f t="shared" si="122"/>
        <v>0</v>
      </c>
      <c r="AD112" s="20">
        <f t="shared" si="123"/>
        <v>0</v>
      </c>
      <c r="AE112" s="20">
        <f t="shared" si="124"/>
        <v>0</v>
      </c>
      <c r="AF112" s="20">
        <f t="shared" si="124"/>
        <v>0</v>
      </c>
      <c r="AG112" s="20">
        <f t="shared" si="124"/>
        <v>0</v>
      </c>
      <c r="AH112" s="20">
        <f t="shared" si="124"/>
        <v>0</v>
      </c>
      <c r="AI112" s="20">
        <f t="shared" si="125"/>
        <v>0</v>
      </c>
      <c r="AJ112" s="20">
        <f t="shared" si="125"/>
        <v>0</v>
      </c>
      <c r="AK112" s="20">
        <f t="shared" si="125"/>
        <v>0</v>
      </c>
      <c r="AL112" s="20">
        <f t="shared" si="125"/>
        <v>0</v>
      </c>
      <c r="AM112" s="20">
        <f t="shared" si="126"/>
        <v>0</v>
      </c>
      <c r="AO112">
        <f t="shared" si="127"/>
        <v>0</v>
      </c>
      <c r="AP112">
        <f t="shared" si="127"/>
        <v>0</v>
      </c>
      <c r="AQ112">
        <f t="shared" si="127"/>
        <v>0</v>
      </c>
      <c r="AR112">
        <f t="shared" si="127"/>
        <v>0</v>
      </c>
      <c r="AS112">
        <f t="shared" si="128"/>
        <v>0</v>
      </c>
      <c r="AU112">
        <f t="shared" si="129"/>
        <v>0</v>
      </c>
      <c r="AV112">
        <f t="shared" si="129"/>
        <v>0</v>
      </c>
      <c r="AW112">
        <f t="shared" si="129"/>
        <v>0</v>
      </c>
      <c r="AX112">
        <f t="shared" si="129"/>
        <v>0</v>
      </c>
      <c r="AY112">
        <f t="shared" si="130"/>
        <v>0</v>
      </c>
    </row>
    <row r="113" spans="1:53" ht="15" x14ac:dyDescent="0.25">
      <c r="A113" s="1"/>
      <c r="B113" s="2"/>
      <c r="C113" s="1" t="s">
        <v>10</v>
      </c>
      <c r="D113">
        <v>0</v>
      </c>
      <c r="E113" s="360"/>
      <c r="F113">
        <v>0</v>
      </c>
      <c r="G113">
        <v>0</v>
      </c>
      <c r="H113">
        <v>0</v>
      </c>
      <c r="J113">
        <v>0</v>
      </c>
      <c r="K113" s="14">
        <v>0</v>
      </c>
      <c r="L113">
        <v>0</v>
      </c>
      <c r="M113">
        <v>0</v>
      </c>
      <c r="N113">
        <v>0</v>
      </c>
      <c r="O113" s="20"/>
      <c r="P113" s="20"/>
      <c r="Q113" s="438"/>
      <c r="R113" s="197">
        <v>6.531704360902256</v>
      </c>
      <c r="S113" s="197">
        <v>78.227142857142866</v>
      </c>
      <c r="T113" s="197">
        <v>0.5825685654008439</v>
      </c>
      <c r="U113" s="197">
        <v>0.90789473684210531</v>
      </c>
      <c r="V113" s="20">
        <f t="shared" si="121"/>
        <v>0</v>
      </c>
      <c r="W113" s="20">
        <f t="shared" si="121"/>
        <v>0</v>
      </c>
      <c r="X113" s="20">
        <f t="shared" si="121"/>
        <v>0</v>
      </c>
      <c r="Y113" s="20">
        <f t="shared" si="121"/>
        <v>0</v>
      </c>
      <c r="Z113" s="20">
        <f t="shared" si="122"/>
        <v>0</v>
      </c>
      <c r="AA113" s="20">
        <f t="shared" si="122"/>
        <v>0</v>
      </c>
      <c r="AB113" s="20">
        <f t="shared" si="122"/>
        <v>0</v>
      </c>
      <c r="AC113" s="20">
        <f t="shared" si="122"/>
        <v>0</v>
      </c>
      <c r="AD113" s="20">
        <f t="shared" si="123"/>
        <v>0</v>
      </c>
      <c r="AE113" s="20">
        <f t="shared" si="124"/>
        <v>0</v>
      </c>
      <c r="AF113" s="20">
        <f t="shared" si="124"/>
        <v>0</v>
      </c>
      <c r="AG113" s="20">
        <f t="shared" si="124"/>
        <v>0</v>
      </c>
      <c r="AH113" s="20">
        <f t="shared" si="124"/>
        <v>0</v>
      </c>
      <c r="AI113" s="20">
        <f t="shared" si="125"/>
        <v>0</v>
      </c>
      <c r="AJ113" s="20">
        <f t="shared" si="125"/>
        <v>0</v>
      </c>
      <c r="AK113" s="20">
        <f t="shared" si="125"/>
        <v>0</v>
      </c>
      <c r="AL113" s="20">
        <f t="shared" si="125"/>
        <v>0</v>
      </c>
      <c r="AM113" s="20">
        <f t="shared" si="126"/>
        <v>0</v>
      </c>
      <c r="AO113">
        <f t="shared" si="127"/>
        <v>0</v>
      </c>
      <c r="AP113">
        <f t="shared" si="127"/>
        <v>0</v>
      </c>
      <c r="AQ113">
        <f t="shared" si="127"/>
        <v>0</v>
      </c>
      <c r="AR113">
        <f t="shared" si="127"/>
        <v>0</v>
      </c>
      <c r="AS113">
        <f t="shared" si="128"/>
        <v>0</v>
      </c>
      <c r="AU113">
        <f t="shared" si="129"/>
        <v>0</v>
      </c>
      <c r="AV113">
        <f t="shared" si="129"/>
        <v>0</v>
      </c>
      <c r="AW113">
        <f t="shared" si="129"/>
        <v>0</v>
      </c>
      <c r="AX113">
        <f t="shared" si="129"/>
        <v>0</v>
      </c>
      <c r="AY113">
        <f t="shared" si="130"/>
        <v>0</v>
      </c>
    </row>
    <row r="114" spans="1:53" ht="15" x14ac:dyDescent="0.25">
      <c r="A114" s="1"/>
      <c r="B114" s="2"/>
      <c r="C114" s="1" t="s">
        <v>11</v>
      </c>
      <c r="D114">
        <v>0</v>
      </c>
      <c r="E114" s="360"/>
      <c r="F114">
        <v>0</v>
      </c>
      <c r="G114">
        <v>0</v>
      </c>
      <c r="H114">
        <v>0</v>
      </c>
      <c r="J114">
        <v>0</v>
      </c>
      <c r="K114" s="14">
        <v>0</v>
      </c>
      <c r="L114">
        <v>0</v>
      </c>
      <c r="M114">
        <v>0</v>
      </c>
      <c r="N114">
        <v>0</v>
      </c>
      <c r="O114" s="20"/>
      <c r="P114" s="20"/>
      <c r="Q114" s="438"/>
      <c r="R114" s="197">
        <v>6.531704360902256</v>
      </c>
      <c r="S114" s="197">
        <v>78.227142857142866</v>
      </c>
      <c r="T114" s="197">
        <v>0.5825685654008439</v>
      </c>
      <c r="U114" s="197">
        <v>0.90789473684210531</v>
      </c>
      <c r="V114" s="20">
        <f t="shared" si="121"/>
        <v>0</v>
      </c>
      <c r="W114" s="20">
        <f t="shared" si="121"/>
        <v>0</v>
      </c>
      <c r="X114" s="20">
        <f t="shared" si="121"/>
        <v>0</v>
      </c>
      <c r="Y114" s="20">
        <f t="shared" si="121"/>
        <v>0</v>
      </c>
      <c r="Z114" s="20">
        <f t="shared" si="122"/>
        <v>0</v>
      </c>
      <c r="AA114" s="20">
        <f t="shared" si="122"/>
        <v>0</v>
      </c>
      <c r="AB114" s="20">
        <f t="shared" si="122"/>
        <v>0</v>
      </c>
      <c r="AC114" s="20">
        <f t="shared" si="122"/>
        <v>0</v>
      </c>
      <c r="AD114" s="20">
        <f t="shared" si="123"/>
        <v>0</v>
      </c>
      <c r="AE114" s="20">
        <f t="shared" si="124"/>
        <v>0</v>
      </c>
      <c r="AF114" s="20">
        <f t="shared" si="124"/>
        <v>0</v>
      </c>
      <c r="AG114" s="20">
        <f t="shared" si="124"/>
        <v>0</v>
      </c>
      <c r="AH114" s="20">
        <f t="shared" si="124"/>
        <v>0</v>
      </c>
      <c r="AI114" s="20">
        <f t="shared" si="125"/>
        <v>0</v>
      </c>
      <c r="AJ114" s="20">
        <f t="shared" si="125"/>
        <v>0</v>
      </c>
      <c r="AK114" s="20">
        <f t="shared" si="125"/>
        <v>0</v>
      </c>
      <c r="AL114" s="20">
        <f t="shared" si="125"/>
        <v>0</v>
      </c>
      <c r="AM114" s="20">
        <f t="shared" si="126"/>
        <v>0</v>
      </c>
      <c r="AO114">
        <f t="shared" si="127"/>
        <v>0</v>
      </c>
      <c r="AP114">
        <f t="shared" si="127"/>
        <v>0</v>
      </c>
      <c r="AQ114">
        <f t="shared" si="127"/>
        <v>0</v>
      </c>
      <c r="AR114">
        <f t="shared" si="127"/>
        <v>0</v>
      </c>
      <c r="AS114">
        <f t="shared" si="128"/>
        <v>0</v>
      </c>
      <c r="AU114">
        <f t="shared" si="129"/>
        <v>0</v>
      </c>
      <c r="AV114">
        <f t="shared" si="129"/>
        <v>0</v>
      </c>
      <c r="AW114">
        <f t="shared" si="129"/>
        <v>0</v>
      </c>
      <c r="AX114">
        <f t="shared" si="129"/>
        <v>0</v>
      </c>
      <c r="AY114">
        <f t="shared" si="130"/>
        <v>0</v>
      </c>
    </row>
    <row r="115" spans="1:53" ht="15" x14ac:dyDescent="0.25">
      <c r="A115" s="1"/>
      <c r="B115" s="2"/>
      <c r="C115" s="1" t="s">
        <v>12</v>
      </c>
      <c r="D115">
        <v>0</v>
      </c>
      <c r="E115" s="360"/>
      <c r="F115">
        <v>0</v>
      </c>
      <c r="G115">
        <v>0</v>
      </c>
      <c r="H115">
        <v>0</v>
      </c>
      <c r="J115">
        <v>0</v>
      </c>
      <c r="K115" s="14">
        <v>0</v>
      </c>
      <c r="L115">
        <v>0</v>
      </c>
      <c r="M115">
        <v>0</v>
      </c>
      <c r="N115">
        <v>0</v>
      </c>
      <c r="O115" s="20"/>
      <c r="P115" s="20"/>
      <c r="Q115" s="438"/>
      <c r="R115" s="197">
        <v>6.531704360902256</v>
      </c>
      <c r="S115" s="197">
        <v>78.227142857142866</v>
      </c>
      <c r="T115" s="197">
        <v>0.5825685654008439</v>
      </c>
      <c r="U115" s="197">
        <v>0.90789473684210531</v>
      </c>
      <c r="V115" s="20">
        <f t="shared" si="121"/>
        <v>0</v>
      </c>
      <c r="W115" s="20">
        <f t="shared" si="121"/>
        <v>0</v>
      </c>
      <c r="X115" s="20">
        <f t="shared" si="121"/>
        <v>0</v>
      </c>
      <c r="Y115" s="20">
        <f t="shared" si="121"/>
        <v>0</v>
      </c>
      <c r="Z115" s="20">
        <f t="shared" si="122"/>
        <v>0</v>
      </c>
      <c r="AA115" s="20">
        <f t="shared" si="122"/>
        <v>0</v>
      </c>
      <c r="AB115" s="20">
        <f t="shared" si="122"/>
        <v>0</v>
      </c>
      <c r="AC115" s="20">
        <f t="shared" si="122"/>
        <v>0</v>
      </c>
      <c r="AD115" s="20">
        <f t="shared" si="123"/>
        <v>0</v>
      </c>
      <c r="AE115" s="20">
        <f t="shared" si="124"/>
        <v>0</v>
      </c>
      <c r="AF115" s="20">
        <f t="shared" si="124"/>
        <v>0</v>
      </c>
      <c r="AG115" s="20">
        <f t="shared" si="124"/>
        <v>0</v>
      </c>
      <c r="AH115" s="20">
        <f t="shared" si="124"/>
        <v>0</v>
      </c>
      <c r="AI115" s="20">
        <f t="shared" si="125"/>
        <v>0</v>
      </c>
      <c r="AJ115" s="20">
        <f t="shared" si="125"/>
        <v>0</v>
      </c>
      <c r="AK115" s="20">
        <f t="shared" si="125"/>
        <v>0</v>
      </c>
      <c r="AL115" s="20">
        <f t="shared" si="125"/>
        <v>0</v>
      </c>
      <c r="AM115" s="20">
        <f t="shared" si="126"/>
        <v>0</v>
      </c>
      <c r="AO115">
        <f t="shared" si="127"/>
        <v>0</v>
      </c>
      <c r="AP115">
        <f t="shared" si="127"/>
        <v>0</v>
      </c>
      <c r="AQ115">
        <f t="shared" si="127"/>
        <v>0</v>
      </c>
      <c r="AR115">
        <f t="shared" si="127"/>
        <v>0</v>
      </c>
      <c r="AS115">
        <f t="shared" si="128"/>
        <v>0</v>
      </c>
      <c r="AU115">
        <f t="shared" si="129"/>
        <v>0</v>
      </c>
      <c r="AV115">
        <f t="shared" si="129"/>
        <v>0</v>
      </c>
      <c r="AW115">
        <f t="shared" si="129"/>
        <v>0</v>
      </c>
      <c r="AX115">
        <f t="shared" si="129"/>
        <v>0</v>
      </c>
      <c r="AY115">
        <f t="shared" si="130"/>
        <v>0</v>
      </c>
    </row>
    <row r="116" spans="1:53" ht="15" x14ac:dyDescent="0.25">
      <c r="A116" s="1"/>
      <c r="B116" s="2"/>
      <c r="C116" s="1" t="s">
        <v>13</v>
      </c>
      <c r="D116">
        <v>0</v>
      </c>
      <c r="E116" s="360"/>
      <c r="F116">
        <v>0</v>
      </c>
      <c r="G116">
        <v>0</v>
      </c>
      <c r="H116">
        <v>0</v>
      </c>
      <c r="J116">
        <v>0</v>
      </c>
      <c r="K116" s="14">
        <v>0</v>
      </c>
      <c r="L116">
        <v>0</v>
      </c>
      <c r="M116">
        <v>0</v>
      </c>
      <c r="N116">
        <v>0</v>
      </c>
      <c r="O116" s="20"/>
      <c r="P116" s="20"/>
      <c r="Q116" s="438"/>
      <c r="R116" s="197">
        <v>6.531704360902256</v>
      </c>
      <c r="S116" s="197">
        <v>78.227142857142866</v>
      </c>
      <c r="T116" s="197">
        <v>0.5825685654008439</v>
      </c>
      <c r="U116" s="197">
        <v>0.90789473684210531</v>
      </c>
      <c r="V116" s="20">
        <f t="shared" si="121"/>
        <v>0</v>
      </c>
      <c r="W116" s="20">
        <f t="shared" si="121"/>
        <v>0</v>
      </c>
      <c r="X116" s="20">
        <f t="shared" si="121"/>
        <v>0</v>
      </c>
      <c r="Y116" s="20">
        <f t="shared" si="121"/>
        <v>0</v>
      </c>
      <c r="Z116" s="20">
        <f t="shared" si="122"/>
        <v>0</v>
      </c>
      <c r="AA116" s="20">
        <f t="shared" si="122"/>
        <v>0</v>
      </c>
      <c r="AB116" s="20">
        <f t="shared" si="122"/>
        <v>0</v>
      </c>
      <c r="AC116" s="20">
        <f t="shared" si="122"/>
        <v>0</v>
      </c>
      <c r="AD116" s="20">
        <f t="shared" si="123"/>
        <v>0</v>
      </c>
      <c r="AE116" s="20">
        <f t="shared" si="124"/>
        <v>0</v>
      </c>
      <c r="AF116" s="20">
        <f t="shared" si="124"/>
        <v>0</v>
      </c>
      <c r="AG116" s="20">
        <f t="shared" si="124"/>
        <v>0</v>
      </c>
      <c r="AH116" s="20">
        <f t="shared" si="124"/>
        <v>0</v>
      </c>
      <c r="AI116" s="20">
        <f t="shared" si="125"/>
        <v>0</v>
      </c>
      <c r="AJ116" s="20">
        <f t="shared" si="125"/>
        <v>0</v>
      </c>
      <c r="AK116" s="20">
        <f t="shared" si="125"/>
        <v>0</v>
      </c>
      <c r="AL116" s="20">
        <f t="shared" si="125"/>
        <v>0</v>
      </c>
      <c r="AM116" s="20">
        <f t="shared" si="126"/>
        <v>0</v>
      </c>
      <c r="AO116">
        <f t="shared" si="127"/>
        <v>0</v>
      </c>
      <c r="AP116">
        <f t="shared" si="127"/>
        <v>0</v>
      </c>
      <c r="AQ116">
        <f t="shared" si="127"/>
        <v>0</v>
      </c>
      <c r="AR116">
        <f t="shared" si="127"/>
        <v>0</v>
      </c>
      <c r="AS116">
        <f t="shared" si="128"/>
        <v>0</v>
      </c>
      <c r="AU116">
        <f t="shared" si="129"/>
        <v>0</v>
      </c>
      <c r="AV116">
        <f t="shared" si="129"/>
        <v>0</v>
      </c>
      <c r="AW116">
        <f t="shared" si="129"/>
        <v>0</v>
      </c>
      <c r="AX116">
        <f t="shared" si="129"/>
        <v>0</v>
      </c>
      <c r="AY116">
        <f t="shared" si="130"/>
        <v>0</v>
      </c>
    </row>
    <row r="117" spans="1:53" ht="15" x14ac:dyDescent="0.25">
      <c r="A117" s="7"/>
      <c r="B117" s="8" t="s">
        <v>14</v>
      </c>
      <c r="C117" s="7"/>
      <c r="D117" s="357">
        <f t="shared" ref="D117:H117" si="131">SUM(D111:D116)</f>
        <v>0</v>
      </c>
      <c r="E117" s="363">
        <f>SUM(E111:E116)</f>
        <v>0</v>
      </c>
      <c r="F117" s="357">
        <f t="shared" si="131"/>
        <v>0</v>
      </c>
      <c r="G117" s="357">
        <f t="shared" si="131"/>
        <v>0</v>
      </c>
      <c r="H117" s="357">
        <f t="shared" si="131"/>
        <v>0</v>
      </c>
      <c r="J117">
        <v>0</v>
      </c>
      <c r="K117" s="14">
        <v>0</v>
      </c>
      <c r="L117">
        <v>0</v>
      </c>
      <c r="M117">
        <v>0</v>
      </c>
      <c r="N117">
        <v>0</v>
      </c>
      <c r="O117" s="20"/>
      <c r="P117" s="20"/>
      <c r="Q117" s="438"/>
      <c r="R117" s="197"/>
      <c r="S117" s="197"/>
      <c r="T117" s="197"/>
      <c r="U117" s="197"/>
      <c r="BA117" s="319">
        <f>(E117*10000*Q117*AU$10)</f>
        <v>0</v>
      </c>
    </row>
    <row r="118" spans="1:53" ht="15" x14ac:dyDescent="0.25">
      <c r="A118" s="10"/>
      <c r="B118" s="9" t="s">
        <v>15</v>
      </c>
      <c r="C118" s="5"/>
      <c r="E118" s="363">
        <f>SUM(E117)</f>
        <v>0</v>
      </c>
      <c r="H118" s="358">
        <f>SUM(D117:H117)</f>
        <v>0</v>
      </c>
      <c r="K118" s="14"/>
      <c r="N118">
        <v>0</v>
      </c>
      <c r="O118" s="20"/>
      <c r="P118" s="20"/>
      <c r="Q118" s="438"/>
      <c r="R118" s="197"/>
      <c r="S118" s="197"/>
      <c r="T118" s="197"/>
      <c r="U118" s="197"/>
    </row>
    <row r="119" spans="1:53" ht="15.75" x14ac:dyDescent="0.25">
      <c r="A119" s="1"/>
      <c r="B119" s="2"/>
      <c r="C119" s="1"/>
      <c r="E119" s="361"/>
      <c r="K119" s="14"/>
      <c r="O119" s="20"/>
      <c r="P119" s="20"/>
      <c r="Q119" s="439"/>
      <c r="R119" s="197"/>
      <c r="S119" s="197"/>
      <c r="T119" s="197"/>
      <c r="U119" s="197"/>
    </row>
    <row r="120" spans="1:53" ht="15" x14ac:dyDescent="0.25">
      <c r="A120" s="1">
        <v>13</v>
      </c>
      <c r="B120" s="2" t="s">
        <v>27</v>
      </c>
      <c r="C120" s="1" t="s">
        <v>8</v>
      </c>
      <c r="D120">
        <v>0</v>
      </c>
      <c r="E120" s="360">
        <v>6.2455999999999996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 s="20"/>
      <c r="P120" s="20"/>
      <c r="Q120" s="438">
        <v>2.4254602568774906E-2</v>
      </c>
      <c r="R120" s="197">
        <v>0.49226666666666663</v>
      </c>
      <c r="S120" s="197">
        <v>2.8337500000000002</v>
      </c>
      <c r="T120" s="197">
        <v>0.68718466195761863</v>
      </c>
      <c r="U120" s="197">
        <v>0.90789473684210531</v>
      </c>
      <c r="V120" s="20">
        <f t="shared" ref="V120:Y125" si="132">IF(K120&gt;0,((E120-K120)*$Q120*$R120*10)+(K120*$O$12*$Q120*$R120*10),(E120*$Q120*$R120*10))</f>
        <v>0.74570792414222886</v>
      </c>
      <c r="W120" s="20">
        <f t="shared" si="132"/>
        <v>0</v>
      </c>
      <c r="X120" s="20">
        <f t="shared" si="132"/>
        <v>0</v>
      </c>
      <c r="Y120" s="20">
        <f t="shared" si="132"/>
        <v>0</v>
      </c>
      <c r="Z120" s="20">
        <f t="shared" ref="Z120:AC125" si="133">V120*(EXP(1.01-0.34*LN(Z$8))*(1-$T120)+(1*$T120))</f>
        <v>0.55501126131858147</v>
      </c>
      <c r="AA120" s="20">
        <f t="shared" si="133"/>
        <v>0</v>
      </c>
      <c r="AB120" s="20">
        <f t="shared" si="133"/>
        <v>0</v>
      </c>
      <c r="AC120" s="20">
        <f t="shared" si="133"/>
        <v>0</v>
      </c>
      <c r="AD120" s="20">
        <f t="shared" ref="AD120:AD125" si="134">SUM(Z120:AC120)</f>
        <v>0.55501126131858147</v>
      </c>
      <c r="AE120" s="20">
        <f t="shared" ref="AE120:AH125" si="135">IF(K120&gt;0,((E120-K120)*$Q120*$S120*10)+(K120*$P$12*$Q120*$S120)*10,(E120*$Q120*$S120*10))</f>
        <v>4.2926933167078305</v>
      </c>
      <c r="AF120" s="20">
        <f t="shared" si="135"/>
        <v>0</v>
      </c>
      <c r="AG120" s="20">
        <f t="shared" si="135"/>
        <v>0</v>
      </c>
      <c r="AH120" s="20">
        <f t="shared" si="135"/>
        <v>0</v>
      </c>
      <c r="AI120" s="20">
        <f t="shared" ref="AI120:AL125" si="136">AE120*(EXP(1.01-0.34*LN(AI$8))*(1-$U120)+(1*$U120))</f>
        <v>3.9694715456901002</v>
      </c>
      <c r="AJ120" s="20">
        <f t="shared" si="136"/>
        <v>0</v>
      </c>
      <c r="AK120" s="20">
        <f t="shared" si="136"/>
        <v>0</v>
      </c>
      <c r="AL120" s="20">
        <f t="shared" si="136"/>
        <v>0</v>
      </c>
      <c r="AM120" s="20">
        <f t="shared" ref="AM120:AM125" si="137">SUM(AI120:AL120)</f>
        <v>3.9694715456901002</v>
      </c>
      <c r="AO120">
        <f t="shared" ref="AO120:AR125" si="138">Z120*AO$10</f>
        <v>0.46188037166932355</v>
      </c>
      <c r="AP120">
        <f t="shared" si="138"/>
        <v>0</v>
      </c>
      <c r="AQ120">
        <f t="shared" si="138"/>
        <v>0</v>
      </c>
      <c r="AR120">
        <f t="shared" si="138"/>
        <v>0</v>
      </c>
      <c r="AS120">
        <f t="shared" ref="AS120:AS125" si="139">SUM(AO120:AR120)</f>
        <v>0.46188037166932355</v>
      </c>
      <c r="AU120">
        <f t="shared" ref="AU120:AX125" si="140">AI120*AU$10</f>
        <v>3.3033942203233018</v>
      </c>
      <c r="AV120">
        <f t="shared" si="140"/>
        <v>0</v>
      </c>
      <c r="AW120">
        <f t="shared" si="140"/>
        <v>0</v>
      </c>
      <c r="AX120">
        <f t="shared" si="140"/>
        <v>0</v>
      </c>
      <c r="AY120">
        <f t="shared" ref="AY120:AY125" si="141">SUM(AU120:AX120)</f>
        <v>3.3033942203233018</v>
      </c>
    </row>
    <row r="121" spans="1:53" ht="15" x14ac:dyDescent="0.25">
      <c r="A121" s="1"/>
      <c r="B121" s="2"/>
      <c r="C121" s="1" t="s">
        <v>9</v>
      </c>
      <c r="D121">
        <v>0</v>
      </c>
      <c r="E121" s="360">
        <v>0.30580000000000002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20"/>
      <c r="P121" s="20"/>
      <c r="Q121" s="438">
        <v>3.9509205137549804E-2</v>
      </c>
      <c r="R121" s="197">
        <v>0.49226666666666663</v>
      </c>
      <c r="S121" s="197">
        <v>2.8337500000000002</v>
      </c>
      <c r="T121" s="197">
        <v>0.68718466195761863</v>
      </c>
      <c r="U121" s="197">
        <v>0.90789473684210531</v>
      </c>
      <c r="V121" s="20">
        <f t="shared" si="132"/>
        <v>5.9475239900644794E-2</v>
      </c>
      <c r="W121" s="20">
        <f t="shared" si="132"/>
        <v>0</v>
      </c>
      <c r="X121" s="20">
        <f t="shared" si="132"/>
        <v>0</v>
      </c>
      <c r="Y121" s="20">
        <f t="shared" si="132"/>
        <v>0</v>
      </c>
      <c r="Z121" s="20">
        <f t="shared" si="133"/>
        <v>4.4265893985841839E-2</v>
      </c>
      <c r="AA121" s="20">
        <f t="shared" si="133"/>
        <v>0</v>
      </c>
      <c r="AB121" s="20">
        <f t="shared" si="133"/>
        <v>0</v>
      </c>
      <c r="AC121" s="20">
        <f t="shared" si="133"/>
        <v>0</v>
      </c>
      <c r="AD121" s="20">
        <f t="shared" si="134"/>
        <v>4.4265893985841839E-2</v>
      </c>
      <c r="AE121" s="20">
        <f t="shared" si="135"/>
        <v>0.34237126435899018</v>
      </c>
      <c r="AF121" s="20">
        <f t="shared" si="135"/>
        <v>0</v>
      </c>
      <c r="AG121" s="20">
        <f t="shared" si="135"/>
        <v>0</v>
      </c>
      <c r="AH121" s="20">
        <f t="shared" si="135"/>
        <v>0</v>
      </c>
      <c r="AI121" s="20">
        <f t="shared" si="136"/>
        <v>0.31659214662398238</v>
      </c>
      <c r="AJ121" s="20">
        <f t="shared" si="136"/>
        <v>0</v>
      </c>
      <c r="AK121" s="20">
        <f t="shared" si="136"/>
        <v>0</v>
      </c>
      <c r="AL121" s="20">
        <f t="shared" si="136"/>
        <v>0</v>
      </c>
      <c r="AM121" s="20">
        <f t="shared" si="137"/>
        <v>0.31659214662398238</v>
      </c>
      <c r="AO121">
        <f t="shared" si="138"/>
        <v>3.6838076975017578E-2</v>
      </c>
      <c r="AP121">
        <f t="shared" si="138"/>
        <v>0</v>
      </c>
      <c r="AQ121">
        <f t="shared" si="138"/>
        <v>0</v>
      </c>
      <c r="AR121">
        <f t="shared" si="138"/>
        <v>0</v>
      </c>
      <c r="AS121">
        <f t="shared" si="139"/>
        <v>3.6838076975017578E-2</v>
      </c>
      <c r="AU121">
        <f t="shared" si="140"/>
        <v>0.26346798442047814</v>
      </c>
      <c r="AV121">
        <f t="shared" si="140"/>
        <v>0</v>
      </c>
      <c r="AW121">
        <f t="shared" si="140"/>
        <v>0</v>
      </c>
      <c r="AX121">
        <f t="shared" si="140"/>
        <v>0</v>
      </c>
      <c r="AY121">
        <f t="shared" si="141"/>
        <v>0.26346798442047814</v>
      </c>
    </row>
    <row r="122" spans="1:53" ht="15" x14ac:dyDescent="0.25">
      <c r="A122" s="1"/>
      <c r="B122" s="2"/>
      <c r="C122" s="1" t="s">
        <v>10</v>
      </c>
      <c r="D122">
        <v>0</v>
      </c>
      <c r="E122" s="360"/>
      <c r="F122">
        <v>0</v>
      </c>
      <c r="G122">
        <v>0</v>
      </c>
      <c r="H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s="20"/>
      <c r="P122" s="20"/>
      <c r="Q122" s="438"/>
      <c r="R122" s="197">
        <v>0.49226666666666663</v>
      </c>
      <c r="S122" s="197">
        <v>2.8337500000000002</v>
      </c>
      <c r="T122" s="197">
        <v>0.68718466195761863</v>
      </c>
      <c r="U122" s="197">
        <v>0.90789473684210531</v>
      </c>
      <c r="V122" s="20">
        <f t="shared" si="132"/>
        <v>0</v>
      </c>
      <c r="W122" s="20">
        <f t="shared" si="132"/>
        <v>0</v>
      </c>
      <c r="X122" s="20">
        <f t="shared" si="132"/>
        <v>0</v>
      </c>
      <c r="Y122" s="20">
        <f t="shared" si="132"/>
        <v>0</v>
      </c>
      <c r="Z122" s="20">
        <f t="shared" si="133"/>
        <v>0</v>
      </c>
      <c r="AA122" s="20">
        <f t="shared" si="133"/>
        <v>0</v>
      </c>
      <c r="AB122" s="20">
        <f t="shared" si="133"/>
        <v>0</v>
      </c>
      <c r="AC122" s="20">
        <f t="shared" si="133"/>
        <v>0</v>
      </c>
      <c r="AD122" s="20">
        <f t="shared" si="134"/>
        <v>0</v>
      </c>
      <c r="AE122" s="20">
        <f t="shared" si="135"/>
        <v>0</v>
      </c>
      <c r="AF122" s="20">
        <f t="shared" si="135"/>
        <v>0</v>
      </c>
      <c r="AG122" s="20">
        <f t="shared" si="135"/>
        <v>0</v>
      </c>
      <c r="AH122" s="20">
        <f t="shared" si="135"/>
        <v>0</v>
      </c>
      <c r="AI122" s="20">
        <f t="shared" si="136"/>
        <v>0</v>
      </c>
      <c r="AJ122" s="20">
        <f t="shared" si="136"/>
        <v>0</v>
      </c>
      <c r="AK122" s="20">
        <f t="shared" si="136"/>
        <v>0</v>
      </c>
      <c r="AL122" s="20">
        <f t="shared" si="136"/>
        <v>0</v>
      </c>
      <c r="AM122" s="20">
        <f t="shared" si="137"/>
        <v>0</v>
      </c>
      <c r="AO122">
        <f t="shared" si="138"/>
        <v>0</v>
      </c>
      <c r="AP122">
        <f t="shared" si="138"/>
        <v>0</v>
      </c>
      <c r="AQ122">
        <f t="shared" si="138"/>
        <v>0</v>
      </c>
      <c r="AR122">
        <f t="shared" si="138"/>
        <v>0</v>
      </c>
      <c r="AS122">
        <f t="shared" si="139"/>
        <v>0</v>
      </c>
      <c r="AU122">
        <f t="shared" si="140"/>
        <v>0</v>
      </c>
      <c r="AV122">
        <f t="shared" si="140"/>
        <v>0</v>
      </c>
      <c r="AW122">
        <f t="shared" si="140"/>
        <v>0</v>
      </c>
      <c r="AX122">
        <f t="shared" si="140"/>
        <v>0</v>
      </c>
      <c r="AY122">
        <f t="shared" si="141"/>
        <v>0</v>
      </c>
    </row>
    <row r="123" spans="1:53" ht="15" x14ac:dyDescent="0.25">
      <c r="A123" s="1"/>
      <c r="B123" s="2"/>
      <c r="C123" s="1" t="s">
        <v>11</v>
      </c>
      <c r="D123">
        <v>0</v>
      </c>
      <c r="E123" s="360">
        <v>1.7323999999999999</v>
      </c>
      <c r="F123">
        <v>0</v>
      </c>
      <c r="G123">
        <v>0</v>
      </c>
      <c r="H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 s="20"/>
      <c r="P123" s="20"/>
      <c r="Q123" s="438">
        <v>7.0018410275099599E-2</v>
      </c>
      <c r="R123" s="197">
        <v>0.49226666666666663</v>
      </c>
      <c r="S123" s="197">
        <v>2.8337500000000002</v>
      </c>
      <c r="T123" s="197">
        <v>0.68718466195761863</v>
      </c>
      <c r="U123" s="197">
        <v>0.90789473684210531</v>
      </c>
      <c r="V123" s="20">
        <f t="shared" si="132"/>
        <v>0.59711894466996085</v>
      </c>
      <c r="W123" s="20">
        <f t="shared" si="132"/>
        <v>0</v>
      </c>
      <c r="X123" s="20">
        <f t="shared" si="132"/>
        <v>0</v>
      </c>
      <c r="Y123" s="20">
        <f t="shared" si="132"/>
        <v>0</v>
      </c>
      <c r="Z123" s="20">
        <f t="shared" si="133"/>
        <v>0.44442029903290375</v>
      </c>
      <c r="AA123" s="20">
        <f t="shared" si="133"/>
        <v>0</v>
      </c>
      <c r="AB123" s="20">
        <f t="shared" si="133"/>
        <v>0</v>
      </c>
      <c r="AC123" s="20">
        <f t="shared" si="133"/>
        <v>0</v>
      </c>
      <c r="AD123" s="20">
        <f t="shared" si="134"/>
        <v>0.44442029903290375</v>
      </c>
      <c r="AE123" s="20">
        <f t="shared" si="135"/>
        <v>3.4373357451080078</v>
      </c>
      <c r="AF123" s="20">
        <f t="shared" si="135"/>
        <v>0</v>
      </c>
      <c r="AG123" s="20">
        <f t="shared" si="135"/>
        <v>0</v>
      </c>
      <c r="AH123" s="20">
        <f t="shared" si="135"/>
        <v>0</v>
      </c>
      <c r="AI123" s="20">
        <f t="shared" si="136"/>
        <v>3.1785188054510121</v>
      </c>
      <c r="AJ123" s="20">
        <f t="shared" si="136"/>
        <v>0</v>
      </c>
      <c r="AK123" s="20">
        <f t="shared" si="136"/>
        <v>0</v>
      </c>
      <c r="AL123" s="20">
        <f t="shared" si="136"/>
        <v>0</v>
      </c>
      <c r="AM123" s="20">
        <f t="shared" si="137"/>
        <v>3.1785188054510121</v>
      </c>
      <c r="AO123">
        <f t="shared" si="138"/>
        <v>0.36984657285518252</v>
      </c>
      <c r="AP123">
        <f t="shared" si="138"/>
        <v>0</v>
      </c>
      <c r="AQ123">
        <f t="shared" si="138"/>
        <v>0</v>
      </c>
      <c r="AR123">
        <f t="shared" si="138"/>
        <v>0</v>
      </c>
      <c r="AS123">
        <f t="shared" si="139"/>
        <v>0.36984657285518252</v>
      </c>
      <c r="AU123">
        <f t="shared" si="140"/>
        <v>2.6451633498963325</v>
      </c>
      <c r="AV123">
        <f t="shared" si="140"/>
        <v>0</v>
      </c>
      <c r="AW123">
        <f t="shared" si="140"/>
        <v>0</v>
      </c>
      <c r="AX123">
        <f t="shared" si="140"/>
        <v>0</v>
      </c>
      <c r="AY123">
        <f t="shared" si="141"/>
        <v>2.6451633498963325</v>
      </c>
    </row>
    <row r="124" spans="1:53" ht="15" x14ac:dyDescent="0.25">
      <c r="A124" s="1"/>
      <c r="B124" s="2"/>
      <c r="C124" s="1" t="s">
        <v>12</v>
      </c>
      <c r="D124">
        <v>0</v>
      </c>
      <c r="E124" s="360"/>
      <c r="F124">
        <v>0</v>
      </c>
      <c r="G124">
        <v>0</v>
      </c>
      <c r="H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 s="20"/>
      <c r="P124" s="20"/>
      <c r="Q124" s="438"/>
      <c r="R124" s="197">
        <v>0.49226666666666663</v>
      </c>
      <c r="S124" s="197">
        <v>2.8337500000000002</v>
      </c>
      <c r="T124" s="197">
        <v>0.68718466195761863</v>
      </c>
      <c r="U124" s="197">
        <v>0.90789473684210531</v>
      </c>
      <c r="V124" s="20">
        <f t="shared" si="132"/>
        <v>0</v>
      </c>
      <c r="W124" s="20">
        <f t="shared" si="132"/>
        <v>0</v>
      </c>
      <c r="X124" s="20">
        <f t="shared" si="132"/>
        <v>0</v>
      </c>
      <c r="Y124" s="20">
        <f t="shared" si="132"/>
        <v>0</v>
      </c>
      <c r="Z124" s="20">
        <f t="shared" si="133"/>
        <v>0</v>
      </c>
      <c r="AA124" s="20">
        <f t="shared" si="133"/>
        <v>0</v>
      </c>
      <c r="AB124" s="20">
        <f t="shared" si="133"/>
        <v>0</v>
      </c>
      <c r="AC124" s="20">
        <f t="shared" si="133"/>
        <v>0</v>
      </c>
      <c r="AD124" s="20">
        <f t="shared" si="134"/>
        <v>0</v>
      </c>
      <c r="AE124" s="20">
        <f t="shared" si="135"/>
        <v>0</v>
      </c>
      <c r="AF124" s="20">
        <f t="shared" si="135"/>
        <v>0</v>
      </c>
      <c r="AG124" s="20">
        <f t="shared" si="135"/>
        <v>0</v>
      </c>
      <c r="AH124" s="20">
        <f t="shared" si="135"/>
        <v>0</v>
      </c>
      <c r="AI124" s="20">
        <f t="shared" si="136"/>
        <v>0</v>
      </c>
      <c r="AJ124" s="20">
        <f t="shared" si="136"/>
        <v>0</v>
      </c>
      <c r="AK124" s="20">
        <f t="shared" si="136"/>
        <v>0</v>
      </c>
      <c r="AL124" s="20">
        <f t="shared" si="136"/>
        <v>0</v>
      </c>
      <c r="AM124" s="20">
        <f t="shared" si="137"/>
        <v>0</v>
      </c>
      <c r="AO124">
        <f t="shared" si="138"/>
        <v>0</v>
      </c>
      <c r="AP124">
        <f t="shared" si="138"/>
        <v>0</v>
      </c>
      <c r="AQ124">
        <f t="shared" si="138"/>
        <v>0</v>
      </c>
      <c r="AR124">
        <f t="shared" si="138"/>
        <v>0</v>
      </c>
      <c r="AS124">
        <f t="shared" si="139"/>
        <v>0</v>
      </c>
      <c r="AU124">
        <f t="shared" si="140"/>
        <v>0</v>
      </c>
      <c r="AV124">
        <f t="shared" si="140"/>
        <v>0</v>
      </c>
      <c r="AW124">
        <f t="shared" si="140"/>
        <v>0</v>
      </c>
      <c r="AX124">
        <f t="shared" si="140"/>
        <v>0</v>
      </c>
      <c r="AY124">
        <f t="shared" si="141"/>
        <v>0</v>
      </c>
    </row>
    <row r="125" spans="1:53" ht="15" x14ac:dyDescent="0.25">
      <c r="A125" s="1"/>
      <c r="B125" s="2"/>
      <c r="C125" s="1" t="s">
        <v>13</v>
      </c>
      <c r="D125">
        <v>0</v>
      </c>
      <c r="E125" s="360"/>
      <c r="F125">
        <v>0</v>
      </c>
      <c r="G125">
        <v>0</v>
      </c>
      <c r="H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20"/>
      <c r="P125" s="20"/>
      <c r="Q125" s="438"/>
      <c r="R125" s="197">
        <v>0.49226666666666663</v>
      </c>
      <c r="S125" s="197">
        <v>2.8337500000000002</v>
      </c>
      <c r="T125" s="197">
        <v>0.68718466195761863</v>
      </c>
      <c r="U125" s="197">
        <v>0.90789473684210531</v>
      </c>
      <c r="V125" s="20">
        <f t="shared" si="132"/>
        <v>0</v>
      </c>
      <c r="W125" s="20">
        <f t="shared" si="132"/>
        <v>0</v>
      </c>
      <c r="X125" s="20">
        <f t="shared" si="132"/>
        <v>0</v>
      </c>
      <c r="Y125" s="20">
        <f t="shared" si="132"/>
        <v>0</v>
      </c>
      <c r="Z125" s="20">
        <f t="shared" si="133"/>
        <v>0</v>
      </c>
      <c r="AA125" s="20">
        <f t="shared" si="133"/>
        <v>0</v>
      </c>
      <c r="AB125" s="20">
        <f t="shared" si="133"/>
        <v>0</v>
      </c>
      <c r="AC125" s="20">
        <f t="shared" si="133"/>
        <v>0</v>
      </c>
      <c r="AD125" s="20">
        <f t="shared" si="134"/>
        <v>0</v>
      </c>
      <c r="AE125" s="20">
        <f t="shared" si="135"/>
        <v>0</v>
      </c>
      <c r="AF125" s="20">
        <f t="shared" si="135"/>
        <v>0</v>
      </c>
      <c r="AG125" s="20">
        <f t="shared" si="135"/>
        <v>0</v>
      </c>
      <c r="AH125" s="20">
        <f t="shared" si="135"/>
        <v>0</v>
      </c>
      <c r="AI125" s="20">
        <f t="shared" si="136"/>
        <v>0</v>
      </c>
      <c r="AJ125" s="20">
        <f t="shared" si="136"/>
        <v>0</v>
      </c>
      <c r="AK125" s="20">
        <f t="shared" si="136"/>
        <v>0</v>
      </c>
      <c r="AL125" s="20">
        <f t="shared" si="136"/>
        <v>0</v>
      </c>
      <c r="AM125" s="20">
        <f t="shared" si="137"/>
        <v>0</v>
      </c>
      <c r="AO125">
        <f t="shared" si="138"/>
        <v>0</v>
      </c>
      <c r="AP125">
        <f t="shared" si="138"/>
        <v>0</v>
      </c>
      <c r="AQ125">
        <f t="shared" si="138"/>
        <v>0</v>
      </c>
      <c r="AR125">
        <f t="shared" si="138"/>
        <v>0</v>
      </c>
      <c r="AS125">
        <f t="shared" si="139"/>
        <v>0</v>
      </c>
      <c r="AU125">
        <f t="shared" si="140"/>
        <v>0</v>
      </c>
      <c r="AV125">
        <f t="shared" si="140"/>
        <v>0</v>
      </c>
      <c r="AW125">
        <f t="shared" si="140"/>
        <v>0</v>
      </c>
      <c r="AX125">
        <f t="shared" si="140"/>
        <v>0</v>
      </c>
      <c r="AY125">
        <f t="shared" si="141"/>
        <v>0</v>
      </c>
    </row>
    <row r="126" spans="1:53" ht="15" x14ac:dyDescent="0.25">
      <c r="A126" s="7"/>
      <c r="B126" s="8" t="s">
        <v>14</v>
      </c>
      <c r="C126" s="7"/>
      <c r="D126" s="357">
        <f t="shared" ref="D126:H126" si="142">SUM(D120:D125)</f>
        <v>0</v>
      </c>
      <c r="E126" s="363">
        <f>SUM(E120:E125)</f>
        <v>8.2837999999999994</v>
      </c>
      <c r="F126" s="357">
        <f t="shared" si="142"/>
        <v>0</v>
      </c>
      <c r="G126" s="357">
        <f t="shared" si="142"/>
        <v>0</v>
      </c>
      <c r="H126" s="357">
        <f t="shared" si="142"/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 s="20"/>
      <c r="P126" s="20"/>
      <c r="Q126" s="438">
        <v>3.4388367016971177E-2</v>
      </c>
      <c r="R126" s="197"/>
      <c r="S126" s="197"/>
      <c r="T126" s="197"/>
      <c r="U126" s="197"/>
      <c r="BA126" s="319">
        <f>(E126*10000*Q126*AU$10)</f>
        <v>2370.6578037733366</v>
      </c>
    </row>
    <row r="127" spans="1:53" ht="15" x14ac:dyDescent="0.25">
      <c r="A127" s="10"/>
      <c r="B127" s="9" t="s">
        <v>15</v>
      </c>
      <c r="C127" s="5"/>
      <c r="E127" s="363">
        <f>SUM(E126)</f>
        <v>8.2837999999999994</v>
      </c>
      <c r="H127" s="358">
        <f>SUM(D126:H126)</f>
        <v>8.2837999999999994</v>
      </c>
      <c r="K127" s="14"/>
      <c r="N127">
        <v>0</v>
      </c>
      <c r="O127" s="20"/>
      <c r="P127" s="20"/>
      <c r="Q127" s="438"/>
      <c r="R127" s="197"/>
      <c r="S127" s="197"/>
      <c r="T127" s="197"/>
      <c r="U127" s="197"/>
    </row>
    <row r="128" spans="1:53" ht="15.75" x14ac:dyDescent="0.25">
      <c r="A128" s="1"/>
      <c r="B128" s="2"/>
      <c r="C128" s="1"/>
      <c r="E128" s="361"/>
      <c r="K128" s="14"/>
      <c r="O128" s="20"/>
      <c r="P128" s="20"/>
      <c r="Q128" s="439"/>
      <c r="R128" s="197"/>
      <c r="S128" s="197"/>
      <c r="T128" s="197"/>
      <c r="U128" s="197"/>
    </row>
    <row r="129" spans="1:53" ht="15" x14ac:dyDescent="0.25">
      <c r="A129" s="1">
        <v>14</v>
      </c>
      <c r="B129" s="2" t="s">
        <v>28</v>
      </c>
      <c r="C129" s="1" t="s">
        <v>8</v>
      </c>
      <c r="D129">
        <v>0</v>
      </c>
      <c r="E129" s="360">
        <v>216.33430000000001</v>
      </c>
      <c r="F129">
        <v>0</v>
      </c>
      <c r="G129">
        <v>0</v>
      </c>
      <c r="H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 s="20"/>
      <c r="P129" s="20"/>
      <c r="Q129" s="438">
        <v>2.4254602568774902E-2</v>
      </c>
      <c r="R129" s="197">
        <v>5.6499999999999995E-2</v>
      </c>
      <c r="S129" s="197">
        <v>1.25</v>
      </c>
      <c r="T129" s="197">
        <v>0.50078889239507718</v>
      </c>
      <c r="U129" s="197">
        <v>0.75268470790377973</v>
      </c>
      <c r="V129" s="20">
        <f t="shared" ref="V129:Y134" si="143">E129*$Q129*$R129*10</f>
        <v>2.9646128946991777</v>
      </c>
      <c r="W129" s="20">
        <f t="shared" si="143"/>
        <v>0</v>
      </c>
      <c r="X129" s="20">
        <f t="shared" si="143"/>
        <v>0</v>
      </c>
      <c r="Y129" s="20">
        <f t="shared" si="143"/>
        <v>0</v>
      </c>
      <c r="Z129" s="20">
        <f t="shared" ref="Z129:AC134" si="144">V129*(EXP(1.01-0.34*LN(Z$8))*(1-$T129)+(1*$T129))</f>
        <v>1.7547433941195514</v>
      </c>
      <c r="AA129" s="20">
        <f t="shared" si="144"/>
        <v>0</v>
      </c>
      <c r="AB129" s="20">
        <f t="shared" si="144"/>
        <v>0</v>
      </c>
      <c r="AC129" s="20">
        <f t="shared" si="144"/>
        <v>0</v>
      </c>
      <c r="AD129" s="20">
        <f t="shared" ref="AD129:AD134" si="145">SUM(Z129:AC129)</f>
        <v>1.7547433941195514</v>
      </c>
      <c r="AE129" s="20">
        <f t="shared" ref="AE129:AE134" si="146">E129*$Q129*$S129*10</f>
        <v>65.588780856176513</v>
      </c>
      <c r="AF129" s="20">
        <f t="shared" ref="AF129:AH134" si="147">F129*$Q129*$S129*10</f>
        <v>0</v>
      </c>
      <c r="AG129" s="20">
        <f t="shared" si="147"/>
        <v>0</v>
      </c>
      <c r="AH129" s="20">
        <f t="shared" si="147"/>
        <v>0</v>
      </c>
      <c r="AI129" s="20">
        <f t="shared" ref="AI129:AL134" si="148">AE129*(EXP(1.01-0.34*LN(AI$8))*(1-$U129)+(1*$U129))</f>
        <v>52.328069416468345</v>
      </c>
      <c r="AJ129" s="20">
        <f t="shared" si="148"/>
        <v>0</v>
      </c>
      <c r="AK129" s="20">
        <f t="shared" si="148"/>
        <v>0</v>
      </c>
      <c r="AL129" s="20">
        <f t="shared" si="148"/>
        <v>0</v>
      </c>
      <c r="AM129" s="20">
        <f t="shared" ref="AM129:AM134" si="149">SUM(AI129:AL129)</f>
        <v>52.328069416468345</v>
      </c>
      <c r="AO129">
        <f t="shared" ref="AO129:AR134" si="150">Z129*AO$10</f>
        <v>1.4602974525862908</v>
      </c>
      <c r="AP129">
        <f t="shared" si="150"/>
        <v>0</v>
      </c>
      <c r="AQ129">
        <f t="shared" si="150"/>
        <v>0</v>
      </c>
      <c r="AR129">
        <f t="shared" si="150"/>
        <v>0</v>
      </c>
      <c r="AS129">
        <f t="shared" ref="AS129:AS134" si="151">SUM(AO129:AR129)</f>
        <v>1.4602974525862908</v>
      </c>
      <c r="AU129">
        <f t="shared" ref="AU129:AX134" si="152">AI129*AU$10</f>
        <v>43.547419368384958</v>
      </c>
      <c r="AV129">
        <f t="shared" si="152"/>
        <v>0</v>
      </c>
      <c r="AW129">
        <f t="shared" si="152"/>
        <v>0</v>
      </c>
      <c r="AX129">
        <f t="shared" si="152"/>
        <v>0</v>
      </c>
      <c r="AY129">
        <f t="shared" ref="AY129:AY134" si="153">SUM(AU129:AX129)</f>
        <v>43.547419368384958</v>
      </c>
    </row>
    <row r="130" spans="1:53" ht="15" x14ac:dyDescent="0.25">
      <c r="A130" s="1"/>
      <c r="B130" s="2"/>
      <c r="C130" s="1" t="s">
        <v>9</v>
      </c>
      <c r="D130">
        <v>0</v>
      </c>
      <c r="E130" s="360">
        <v>4.1064999999999996</v>
      </c>
      <c r="F130">
        <v>0</v>
      </c>
      <c r="G130">
        <v>0</v>
      </c>
      <c r="H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 s="20"/>
      <c r="P130" s="20"/>
      <c r="Q130" s="438">
        <v>3.950920513754981E-2</v>
      </c>
      <c r="R130" s="197">
        <v>5.6499999999999995E-2</v>
      </c>
      <c r="S130" s="197">
        <v>1.25</v>
      </c>
      <c r="T130" s="197">
        <v>0.50078889239507718</v>
      </c>
      <c r="U130" s="197">
        <v>0.75268470790377973</v>
      </c>
      <c r="V130" s="20">
        <f t="shared" si="143"/>
        <v>9.1668171257001788E-2</v>
      </c>
      <c r="W130" s="20">
        <f t="shared" si="143"/>
        <v>0</v>
      </c>
      <c r="X130" s="20">
        <f t="shared" si="143"/>
        <v>0</v>
      </c>
      <c r="Y130" s="20">
        <f t="shared" si="143"/>
        <v>0</v>
      </c>
      <c r="Z130" s="20">
        <f t="shared" si="144"/>
        <v>5.4258051110772643E-2</v>
      </c>
      <c r="AA130" s="20">
        <f t="shared" si="144"/>
        <v>0</v>
      </c>
      <c r="AB130" s="20">
        <f t="shared" si="144"/>
        <v>0</v>
      </c>
      <c r="AC130" s="20">
        <f t="shared" si="144"/>
        <v>0</v>
      </c>
      <c r="AD130" s="20">
        <f t="shared" si="145"/>
        <v>5.4258051110772643E-2</v>
      </c>
      <c r="AE130" s="20">
        <f t="shared" si="146"/>
        <v>2.0280568862168535</v>
      </c>
      <c r="AF130" s="20">
        <f t="shared" si="147"/>
        <v>0</v>
      </c>
      <c r="AG130" s="20">
        <f t="shared" si="147"/>
        <v>0</v>
      </c>
      <c r="AH130" s="20">
        <f t="shared" si="147"/>
        <v>0</v>
      </c>
      <c r="AI130" s="20">
        <f t="shared" si="148"/>
        <v>1.6180252192095501</v>
      </c>
      <c r="AJ130" s="20">
        <f t="shared" si="148"/>
        <v>0</v>
      </c>
      <c r="AK130" s="20">
        <f t="shared" si="148"/>
        <v>0</v>
      </c>
      <c r="AL130" s="20">
        <f t="shared" si="148"/>
        <v>0</v>
      </c>
      <c r="AM130" s="20">
        <f t="shared" si="149"/>
        <v>1.6180252192095501</v>
      </c>
      <c r="AO130">
        <f t="shared" si="150"/>
        <v>4.5153550134384997E-2</v>
      </c>
      <c r="AP130">
        <f t="shared" si="150"/>
        <v>0</v>
      </c>
      <c r="AQ130">
        <f t="shared" si="150"/>
        <v>0</v>
      </c>
      <c r="AR130">
        <f t="shared" si="150"/>
        <v>0</v>
      </c>
      <c r="AS130">
        <f t="shared" si="151"/>
        <v>4.5153550134384997E-2</v>
      </c>
      <c r="AU130">
        <f t="shared" si="152"/>
        <v>1.3465205874261876</v>
      </c>
      <c r="AV130">
        <f t="shared" si="152"/>
        <v>0</v>
      </c>
      <c r="AW130">
        <f t="shared" si="152"/>
        <v>0</v>
      </c>
      <c r="AX130">
        <f t="shared" si="152"/>
        <v>0</v>
      </c>
      <c r="AY130">
        <f t="shared" si="153"/>
        <v>1.3465205874261876</v>
      </c>
    </row>
    <row r="131" spans="1:53" ht="15" x14ac:dyDescent="0.25">
      <c r="A131" s="1"/>
      <c r="B131" s="2"/>
      <c r="C131" s="1" t="s">
        <v>10</v>
      </c>
      <c r="D131">
        <v>0</v>
      </c>
      <c r="E131" s="360">
        <v>9.0899999999999995E-2</v>
      </c>
      <c r="F131">
        <v>0</v>
      </c>
      <c r="G131">
        <v>0</v>
      </c>
      <c r="H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 s="20"/>
      <c r="P131" s="20"/>
      <c r="Q131" s="438">
        <v>5.4763807706324698E-2</v>
      </c>
      <c r="R131" s="197">
        <v>5.6499999999999995E-2</v>
      </c>
      <c r="S131" s="197">
        <v>1.25</v>
      </c>
      <c r="T131" s="197">
        <v>0.50078889239507718</v>
      </c>
      <c r="U131" s="197">
        <v>0.75268470790377973</v>
      </c>
      <c r="V131" s="20">
        <f t="shared" si="143"/>
        <v>2.8125870180852764E-3</v>
      </c>
      <c r="W131" s="20">
        <f t="shared" si="143"/>
        <v>0</v>
      </c>
      <c r="X131" s="20">
        <f t="shared" si="143"/>
        <v>0</v>
      </c>
      <c r="Y131" s="20">
        <f t="shared" si="143"/>
        <v>0</v>
      </c>
      <c r="Z131" s="20">
        <f t="shared" si="144"/>
        <v>1.6647598407185445E-3</v>
      </c>
      <c r="AA131" s="20">
        <f t="shared" si="144"/>
        <v>0</v>
      </c>
      <c r="AB131" s="20">
        <f t="shared" si="144"/>
        <v>0</v>
      </c>
      <c r="AC131" s="20">
        <f t="shared" si="144"/>
        <v>0</v>
      </c>
      <c r="AD131" s="20">
        <f t="shared" si="145"/>
        <v>1.6647598407185445E-3</v>
      </c>
      <c r="AE131" s="20">
        <f t="shared" si="146"/>
        <v>6.2225376506311429E-2</v>
      </c>
      <c r="AF131" s="20">
        <f t="shared" si="147"/>
        <v>0</v>
      </c>
      <c r="AG131" s="20">
        <f t="shared" si="147"/>
        <v>0</v>
      </c>
      <c r="AH131" s="20">
        <f t="shared" si="147"/>
        <v>0</v>
      </c>
      <c r="AI131" s="20">
        <f t="shared" si="148"/>
        <v>4.9644676708173817E-2</v>
      </c>
      <c r="AJ131" s="20">
        <f t="shared" si="148"/>
        <v>0</v>
      </c>
      <c r="AK131" s="20">
        <f t="shared" si="148"/>
        <v>0</v>
      </c>
      <c r="AL131" s="20">
        <f t="shared" si="148"/>
        <v>0</v>
      </c>
      <c r="AM131" s="20">
        <f t="shared" si="149"/>
        <v>4.9644676708173817E-2</v>
      </c>
      <c r="AO131">
        <f t="shared" si="150"/>
        <v>1.3854131394459728E-3</v>
      </c>
      <c r="AP131">
        <f t="shared" si="150"/>
        <v>0</v>
      </c>
      <c r="AQ131">
        <f t="shared" si="150"/>
        <v>0</v>
      </c>
      <c r="AR131">
        <f t="shared" si="150"/>
        <v>0</v>
      </c>
      <c r="AS131">
        <f t="shared" si="151"/>
        <v>1.3854131394459728E-3</v>
      </c>
      <c r="AU131">
        <f t="shared" si="152"/>
        <v>4.1314299956542254E-2</v>
      </c>
      <c r="AV131">
        <f t="shared" si="152"/>
        <v>0</v>
      </c>
      <c r="AW131">
        <f t="shared" si="152"/>
        <v>0</v>
      </c>
      <c r="AX131">
        <f t="shared" si="152"/>
        <v>0</v>
      </c>
      <c r="AY131">
        <f t="shared" si="153"/>
        <v>4.1314299956542254E-2</v>
      </c>
    </row>
    <row r="132" spans="1:53" ht="15" x14ac:dyDescent="0.25">
      <c r="A132" s="1"/>
      <c r="B132" s="2"/>
      <c r="C132" s="1" t="s">
        <v>11</v>
      </c>
      <c r="D132">
        <v>0</v>
      </c>
      <c r="E132" s="360">
        <v>98.100099999999998</v>
      </c>
      <c r="F132">
        <v>0</v>
      </c>
      <c r="G132">
        <v>0</v>
      </c>
      <c r="H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 s="20"/>
      <c r="P132" s="20"/>
      <c r="Q132" s="438">
        <v>7.0018410275099613E-2</v>
      </c>
      <c r="R132" s="197">
        <v>5.6499999999999995E-2</v>
      </c>
      <c r="S132" s="197">
        <v>1.25</v>
      </c>
      <c r="T132" s="197">
        <v>0.50078889239507718</v>
      </c>
      <c r="U132" s="197">
        <v>0.75268470790377973</v>
      </c>
      <c r="V132" s="20">
        <f t="shared" si="143"/>
        <v>3.8808793731529883</v>
      </c>
      <c r="W132" s="20">
        <f t="shared" si="143"/>
        <v>0</v>
      </c>
      <c r="X132" s="20">
        <f t="shared" si="143"/>
        <v>0</v>
      </c>
      <c r="Y132" s="20">
        <f t="shared" si="143"/>
        <v>0</v>
      </c>
      <c r="Z132" s="20">
        <f t="shared" si="144"/>
        <v>2.2970781296915472</v>
      </c>
      <c r="AA132" s="20">
        <f t="shared" si="144"/>
        <v>0</v>
      </c>
      <c r="AB132" s="20">
        <f t="shared" si="144"/>
        <v>0</v>
      </c>
      <c r="AC132" s="20">
        <f t="shared" si="144"/>
        <v>0</v>
      </c>
      <c r="AD132" s="20">
        <f t="shared" si="145"/>
        <v>2.2970781296915472</v>
      </c>
      <c r="AE132" s="20">
        <f t="shared" si="146"/>
        <v>85.860163122853734</v>
      </c>
      <c r="AF132" s="20">
        <f t="shared" si="147"/>
        <v>0</v>
      </c>
      <c r="AG132" s="20">
        <f t="shared" si="147"/>
        <v>0</v>
      </c>
      <c r="AH132" s="20">
        <f t="shared" si="147"/>
        <v>0</v>
      </c>
      <c r="AI132" s="20">
        <f t="shared" si="148"/>
        <v>68.500992354988838</v>
      </c>
      <c r="AJ132" s="20">
        <f t="shared" si="148"/>
        <v>0</v>
      </c>
      <c r="AK132" s="20">
        <f t="shared" si="148"/>
        <v>0</v>
      </c>
      <c r="AL132" s="20">
        <f t="shared" si="148"/>
        <v>0</v>
      </c>
      <c r="AM132" s="20">
        <f t="shared" si="149"/>
        <v>68.500992354988838</v>
      </c>
      <c r="AO132">
        <f t="shared" si="150"/>
        <v>1.9116284195293056</v>
      </c>
      <c r="AP132">
        <f t="shared" si="150"/>
        <v>0</v>
      </c>
      <c r="AQ132">
        <f t="shared" si="150"/>
        <v>0</v>
      </c>
      <c r="AR132">
        <f t="shared" si="150"/>
        <v>0</v>
      </c>
      <c r="AS132">
        <f t="shared" si="151"/>
        <v>1.9116284195293056</v>
      </c>
      <c r="AU132">
        <f t="shared" si="152"/>
        <v>57.006525837821712</v>
      </c>
      <c r="AV132">
        <f t="shared" si="152"/>
        <v>0</v>
      </c>
      <c r="AW132">
        <f t="shared" si="152"/>
        <v>0</v>
      </c>
      <c r="AX132">
        <f t="shared" si="152"/>
        <v>0</v>
      </c>
      <c r="AY132">
        <f t="shared" si="153"/>
        <v>57.006525837821712</v>
      </c>
    </row>
    <row r="133" spans="1:53" ht="15" x14ac:dyDescent="0.25">
      <c r="A133" s="1"/>
      <c r="B133" s="2"/>
      <c r="C133" s="1" t="s">
        <v>12</v>
      </c>
      <c r="D133">
        <v>0</v>
      </c>
      <c r="E133" s="360">
        <v>0</v>
      </c>
      <c r="F133">
        <v>0</v>
      </c>
      <c r="G133">
        <v>0</v>
      </c>
      <c r="H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 s="20"/>
      <c r="P133" s="20"/>
      <c r="Q133" s="438"/>
      <c r="R133" s="197">
        <v>5.6499999999999995E-2</v>
      </c>
      <c r="S133" s="197">
        <v>1.25</v>
      </c>
      <c r="T133" s="197">
        <v>0.50078889239507718</v>
      </c>
      <c r="U133" s="197">
        <v>0.75268470790377973</v>
      </c>
      <c r="V133" s="20">
        <f t="shared" si="143"/>
        <v>0</v>
      </c>
      <c r="W133" s="20">
        <f t="shared" si="143"/>
        <v>0</v>
      </c>
      <c r="X133" s="20">
        <f t="shared" si="143"/>
        <v>0</v>
      </c>
      <c r="Y133" s="20">
        <f t="shared" si="143"/>
        <v>0</v>
      </c>
      <c r="Z133" s="20">
        <f t="shared" si="144"/>
        <v>0</v>
      </c>
      <c r="AA133" s="20">
        <f t="shared" si="144"/>
        <v>0</v>
      </c>
      <c r="AB133" s="20">
        <f t="shared" si="144"/>
        <v>0</v>
      </c>
      <c r="AC133" s="20">
        <f t="shared" si="144"/>
        <v>0</v>
      </c>
      <c r="AD133" s="20">
        <f t="shared" si="145"/>
        <v>0</v>
      </c>
      <c r="AE133" s="20">
        <f t="shared" si="146"/>
        <v>0</v>
      </c>
      <c r="AF133" s="20">
        <f t="shared" si="147"/>
        <v>0</v>
      </c>
      <c r="AG133" s="20">
        <f t="shared" si="147"/>
        <v>0</v>
      </c>
      <c r="AH133" s="20">
        <f t="shared" si="147"/>
        <v>0</v>
      </c>
      <c r="AI133" s="20">
        <f t="shared" si="148"/>
        <v>0</v>
      </c>
      <c r="AJ133" s="20">
        <f t="shared" si="148"/>
        <v>0</v>
      </c>
      <c r="AK133" s="20">
        <f t="shared" si="148"/>
        <v>0</v>
      </c>
      <c r="AL133" s="20">
        <f t="shared" si="148"/>
        <v>0</v>
      </c>
      <c r="AM133" s="20">
        <f t="shared" si="149"/>
        <v>0</v>
      </c>
      <c r="AO133">
        <f t="shared" si="150"/>
        <v>0</v>
      </c>
      <c r="AP133">
        <f t="shared" si="150"/>
        <v>0</v>
      </c>
      <c r="AQ133">
        <f t="shared" si="150"/>
        <v>0</v>
      </c>
      <c r="AR133">
        <f t="shared" si="150"/>
        <v>0</v>
      </c>
      <c r="AS133">
        <f t="shared" si="151"/>
        <v>0</v>
      </c>
      <c r="AU133">
        <f t="shared" si="152"/>
        <v>0</v>
      </c>
      <c r="AV133">
        <f t="shared" si="152"/>
        <v>0</v>
      </c>
      <c r="AW133">
        <f t="shared" si="152"/>
        <v>0</v>
      </c>
      <c r="AX133">
        <f t="shared" si="152"/>
        <v>0</v>
      </c>
      <c r="AY133">
        <f t="shared" si="153"/>
        <v>0</v>
      </c>
    </row>
    <row r="134" spans="1:53" ht="15" x14ac:dyDescent="0.25">
      <c r="A134" s="1"/>
      <c r="B134" s="2"/>
      <c r="C134" s="1" t="s">
        <v>13</v>
      </c>
      <c r="D134">
        <v>0</v>
      </c>
      <c r="E134" s="360">
        <v>0.71750000000000003</v>
      </c>
      <c r="F134">
        <v>0</v>
      </c>
      <c r="G134">
        <v>0</v>
      </c>
      <c r="H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20"/>
      <c r="P134" s="20"/>
      <c r="Q134" s="438">
        <v>7.0018410275099613E-2</v>
      </c>
      <c r="R134" s="197">
        <v>5.6499999999999995E-2</v>
      </c>
      <c r="S134" s="197">
        <v>1.25</v>
      </c>
      <c r="T134" s="197">
        <v>0.50078889239507718</v>
      </c>
      <c r="U134" s="197">
        <v>0.75268470790377973</v>
      </c>
      <c r="V134" s="20">
        <f t="shared" si="143"/>
        <v>2.8384588295396945E-2</v>
      </c>
      <c r="W134" s="20">
        <f t="shared" si="143"/>
        <v>0</v>
      </c>
      <c r="X134" s="20">
        <f t="shared" si="143"/>
        <v>0</v>
      </c>
      <c r="Y134" s="20">
        <f t="shared" si="143"/>
        <v>0</v>
      </c>
      <c r="Z134" s="20">
        <f t="shared" si="144"/>
        <v>1.6800732701125542E-2</v>
      </c>
      <c r="AA134" s="20">
        <f t="shared" si="144"/>
        <v>0</v>
      </c>
      <c r="AB134" s="20">
        <f t="shared" si="144"/>
        <v>0</v>
      </c>
      <c r="AC134" s="20">
        <f t="shared" si="144"/>
        <v>0</v>
      </c>
      <c r="AD134" s="20">
        <f t="shared" si="145"/>
        <v>1.6800732701125542E-2</v>
      </c>
      <c r="AE134" s="20">
        <f t="shared" si="146"/>
        <v>0.62797761715479972</v>
      </c>
      <c r="AF134" s="20">
        <f t="shared" si="147"/>
        <v>0</v>
      </c>
      <c r="AG134" s="20">
        <f t="shared" si="147"/>
        <v>0</v>
      </c>
      <c r="AH134" s="20">
        <f t="shared" si="147"/>
        <v>0</v>
      </c>
      <c r="AI134" s="20">
        <f t="shared" si="148"/>
        <v>0.50101337322494577</v>
      </c>
      <c r="AJ134" s="20">
        <f t="shared" si="148"/>
        <v>0</v>
      </c>
      <c r="AK134" s="20">
        <f t="shared" si="148"/>
        <v>0</v>
      </c>
      <c r="AL134" s="20">
        <f t="shared" si="148"/>
        <v>0</v>
      </c>
      <c r="AM134" s="20">
        <f t="shared" si="149"/>
        <v>0.50101337322494577</v>
      </c>
      <c r="AO134">
        <f t="shared" si="150"/>
        <v>1.3981569753876677E-2</v>
      </c>
      <c r="AP134">
        <f t="shared" si="150"/>
        <v>0</v>
      </c>
      <c r="AQ134">
        <f t="shared" si="150"/>
        <v>0</v>
      </c>
      <c r="AR134">
        <f t="shared" si="150"/>
        <v>0</v>
      </c>
      <c r="AS134">
        <f t="shared" si="151"/>
        <v>1.3981569753876677E-2</v>
      </c>
      <c r="AU134">
        <f t="shared" si="152"/>
        <v>0.41694332919779992</v>
      </c>
      <c r="AV134">
        <f t="shared" si="152"/>
        <v>0</v>
      </c>
      <c r="AW134">
        <f t="shared" si="152"/>
        <v>0</v>
      </c>
      <c r="AX134">
        <f t="shared" si="152"/>
        <v>0</v>
      </c>
      <c r="AY134">
        <f t="shared" si="153"/>
        <v>0.41694332919779992</v>
      </c>
    </row>
    <row r="135" spans="1:53" ht="15" x14ac:dyDescent="0.25">
      <c r="A135" s="7"/>
      <c r="B135" s="8" t="s">
        <v>14</v>
      </c>
      <c r="C135" s="7"/>
      <c r="D135" s="357">
        <f t="shared" ref="D135:H135" si="154">SUM(D129:D134)</f>
        <v>0</v>
      </c>
      <c r="E135" s="363">
        <f>SUM(E129:E134)</f>
        <v>319.34929999999997</v>
      </c>
      <c r="F135" s="357">
        <f t="shared" si="154"/>
        <v>0</v>
      </c>
      <c r="G135" s="357">
        <f t="shared" si="154"/>
        <v>0</v>
      </c>
      <c r="H135" s="357">
        <f t="shared" si="154"/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 s="20"/>
      <c r="P135" s="20"/>
      <c r="Q135" s="438">
        <v>3.8620332998107895E-2</v>
      </c>
      <c r="R135" s="197"/>
      <c r="S135" s="197"/>
      <c r="T135" s="197"/>
      <c r="U135" s="197"/>
      <c r="BA135" s="319">
        <f>(E135*10000*Q135*AU$10)</f>
        <v>102638.35764110673</v>
      </c>
    </row>
    <row r="136" spans="1:53" ht="15" x14ac:dyDescent="0.25">
      <c r="A136" s="10"/>
      <c r="B136" s="9" t="s">
        <v>15</v>
      </c>
      <c r="C136" s="5"/>
      <c r="E136" s="363">
        <f>SUM(E135)</f>
        <v>319.34929999999997</v>
      </c>
      <c r="H136" s="358">
        <f>SUM(D135:H135)</f>
        <v>319.34929999999997</v>
      </c>
      <c r="K136" s="14"/>
      <c r="N136">
        <v>0</v>
      </c>
      <c r="O136" s="20"/>
      <c r="P136" s="20"/>
      <c r="Q136" s="438"/>
      <c r="R136" s="197"/>
      <c r="S136" s="197"/>
      <c r="T136" s="197"/>
      <c r="U136" s="197"/>
    </row>
    <row r="137" spans="1:53" ht="15.75" x14ac:dyDescent="0.25">
      <c r="A137" s="1"/>
      <c r="B137" s="2"/>
      <c r="C137" s="1"/>
      <c r="E137" s="361"/>
      <c r="K137" s="14"/>
      <c r="O137" s="20"/>
      <c r="P137" s="20"/>
      <c r="Q137" s="439"/>
      <c r="R137" s="197"/>
      <c r="S137" s="197"/>
      <c r="T137" s="197"/>
      <c r="U137" s="197"/>
    </row>
    <row r="138" spans="1:53" ht="15" x14ac:dyDescent="0.25">
      <c r="A138" s="1">
        <v>15</v>
      </c>
      <c r="B138" s="2" t="s">
        <v>29</v>
      </c>
      <c r="C138" s="1" t="s">
        <v>8</v>
      </c>
      <c r="D138">
        <v>0</v>
      </c>
      <c r="E138" s="360">
        <v>2.8900999999999999</v>
      </c>
      <c r="F138">
        <v>0</v>
      </c>
      <c r="G138">
        <v>0</v>
      </c>
      <c r="H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 s="20"/>
      <c r="P138" s="20"/>
      <c r="Q138" s="438">
        <v>0.76731130341951137</v>
      </c>
      <c r="R138" s="197">
        <v>2.5000000000000001E-2</v>
      </c>
      <c r="S138" s="197">
        <v>0.71599999999999997</v>
      </c>
      <c r="T138" s="197">
        <v>0.11808671869809276</v>
      </c>
      <c r="U138" s="197">
        <v>0.41263016220713056</v>
      </c>
      <c r="V138" s="20">
        <f t="shared" ref="V138:Y143" si="155">E138*$Q138*$R138*10</f>
        <v>0.55440159950318246</v>
      </c>
      <c r="W138" s="20">
        <f t="shared" si="155"/>
        <v>0</v>
      </c>
      <c r="X138" s="20">
        <f t="shared" si="155"/>
        <v>0</v>
      </c>
      <c r="Y138" s="20">
        <f t="shared" si="155"/>
        <v>0</v>
      </c>
      <c r="Z138" s="20">
        <f t="shared" ref="Z138:AC143" si="156">V138*(EXP(1.01-0.34*LN(Z$8))*(1-$T138)+(1*$T138))</f>
        <v>0.15469929415423256</v>
      </c>
      <c r="AA138" s="20">
        <f t="shared" si="156"/>
        <v>0</v>
      </c>
      <c r="AB138" s="20">
        <f t="shared" si="156"/>
        <v>0</v>
      </c>
      <c r="AC138" s="20">
        <f t="shared" si="156"/>
        <v>0</v>
      </c>
      <c r="AD138" s="20">
        <f t="shared" ref="AD138:AD143" si="157">SUM(Z138:AC138)</f>
        <v>0.15469929415423256</v>
      </c>
      <c r="AE138" s="20">
        <f t="shared" ref="AE138:AE143" si="158">E138*$Q138*$S138*10</f>
        <v>15.878061809771145</v>
      </c>
      <c r="AF138" s="20">
        <f t="shared" ref="AF138:AH143" si="159">F138*$Q138*$S138*10</f>
        <v>0</v>
      </c>
      <c r="AG138" s="20">
        <f t="shared" si="159"/>
        <v>0</v>
      </c>
      <c r="AH138" s="20">
        <f t="shared" si="159"/>
        <v>0</v>
      </c>
      <c r="AI138" s="20">
        <f t="shared" ref="AI138:AL143" si="160">AE138*(EXP(1.01-0.34*LN(AI$8))*(1-$U138)+(1*$U138))</f>
        <v>8.2538417148087309</v>
      </c>
      <c r="AJ138" s="20">
        <f t="shared" si="160"/>
        <v>0</v>
      </c>
      <c r="AK138" s="20">
        <f t="shared" si="160"/>
        <v>0</v>
      </c>
      <c r="AL138" s="20">
        <f t="shared" si="160"/>
        <v>0</v>
      </c>
      <c r="AM138" s="20">
        <f t="shared" ref="AM138:AM143" si="161">SUM(AI138:AL138)</f>
        <v>8.2538417148087309</v>
      </c>
      <c r="AO138">
        <f t="shared" ref="AO138:AR143" si="162">Z138*AO$10</f>
        <v>0.12874075259515233</v>
      </c>
      <c r="AP138">
        <f t="shared" si="162"/>
        <v>0</v>
      </c>
      <c r="AQ138">
        <f t="shared" si="162"/>
        <v>0</v>
      </c>
      <c r="AR138">
        <f t="shared" si="162"/>
        <v>0</v>
      </c>
      <c r="AS138">
        <f t="shared" ref="AS138:AS143" si="163">SUM(AO138:AR138)</f>
        <v>0.12874075259515233</v>
      </c>
      <c r="AU138">
        <f t="shared" ref="AU138:AX143" si="164">AI138*AU$10</f>
        <v>6.868847075063826</v>
      </c>
      <c r="AV138">
        <f t="shared" si="164"/>
        <v>0</v>
      </c>
      <c r="AW138">
        <f t="shared" si="164"/>
        <v>0</v>
      </c>
      <c r="AX138">
        <f t="shared" si="164"/>
        <v>0</v>
      </c>
      <c r="AY138">
        <f t="shared" ref="AY138:AY143" si="165">SUM(AU138:AX138)</f>
        <v>6.868847075063826</v>
      </c>
    </row>
    <row r="139" spans="1:53" ht="15" x14ac:dyDescent="0.25">
      <c r="A139" s="1"/>
      <c r="B139" s="2"/>
      <c r="C139" s="1" t="s">
        <v>9</v>
      </c>
      <c r="D139">
        <v>0</v>
      </c>
      <c r="E139" s="360">
        <v>0.32750000000000001</v>
      </c>
      <c r="F139">
        <v>0</v>
      </c>
      <c r="G139">
        <v>0</v>
      </c>
      <c r="H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 s="20"/>
      <c r="P139" s="20"/>
      <c r="Q139" s="438">
        <v>0.76962260683902262</v>
      </c>
      <c r="R139" s="197">
        <v>2.5000000000000001E-2</v>
      </c>
      <c r="S139" s="197">
        <v>0.71599999999999997</v>
      </c>
      <c r="T139" s="197">
        <v>0.11808671869809276</v>
      </c>
      <c r="U139" s="197">
        <v>0.41263016220713056</v>
      </c>
      <c r="V139" s="20">
        <f t="shared" si="155"/>
        <v>6.3012850934944978E-2</v>
      </c>
      <c r="W139" s="20">
        <f t="shared" si="155"/>
        <v>0</v>
      </c>
      <c r="X139" s="20">
        <f t="shared" si="155"/>
        <v>0</v>
      </c>
      <c r="Y139" s="20">
        <f t="shared" si="155"/>
        <v>0</v>
      </c>
      <c r="Z139" s="20">
        <f t="shared" si="156"/>
        <v>1.7583000429683832E-2</v>
      </c>
      <c r="AA139" s="20">
        <f t="shared" si="156"/>
        <v>0</v>
      </c>
      <c r="AB139" s="20">
        <f t="shared" si="156"/>
        <v>0</v>
      </c>
      <c r="AC139" s="20">
        <f t="shared" si="156"/>
        <v>0</v>
      </c>
      <c r="AD139" s="20">
        <f t="shared" si="157"/>
        <v>1.7583000429683832E-2</v>
      </c>
      <c r="AE139" s="20">
        <f t="shared" si="158"/>
        <v>1.8046880507768239</v>
      </c>
      <c r="AF139" s="20">
        <f t="shared" si="159"/>
        <v>0</v>
      </c>
      <c r="AG139" s="20">
        <f t="shared" si="159"/>
        <v>0</v>
      </c>
      <c r="AH139" s="20">
        <f t="shared" si="159"/>
        <v>0</v>
      </c>
      <c r="AI139" s="20">
        <f t="shared" si="160"/>
        <v>0.93812517511123739</v>
      </c>
      <c r="AJ139" s="20">
        <f t="shared" si="160"/>
        <v>0</v>
      </c>
      <c r="AK139" s="20">
        <f t="shared" si="160"/>
        <v>0</v>
      </c>
      <c r="AL139" s="20">
        <f t="shared" si="160"/>
        <v>0</v>
      </c>
      <c r="AM139" s="20">
        <f t="shared" si="161"/>
        <v>0.93812517511123739</v>
      </c>
      <c r="AO139">
        <f t="shared" si="162"/>
        <v>1.4632572957582886E-2</v>
      </c>
      <c r="AP139">
        <f t="shared" si="162"/>
        <v>0</v>
      </c>
      <c r="AQ139">
        <f t="shared" si="162"/>
        <v>0</v>
      </c>
      <c r="AR139">
        <f t="shared" si="162"/>
        <v>0</v>
      </c>
      <c r="AS139">
        <f t="shared" si="163"/>
        <v>1.4632572957582886E-2</v>
      </c>
      <c r="AU139">
        <f t="shared" si="164"/>
        <v>0.7807077707275718</v>
      </c>
      <c r="AV139">
        <f t="shared" si="164"/>
        <v>0</v>
      </c>
      <c r="AW139">
        <f t="shared" si="164"/>
        <v>0</v>
      </c>
      <c r="AX139">
        <f t="shared" si="164"/>
        <v>0</v>
      </c>
      <c r="AY139">
        <f t="shared" si="165"/>
        <v>0.7807077707275718</v>
      </c>
    </row>
    <row r="140" spans="1:53" ht="15" x14ac:dyDescent="0.25">
      <c r="A140" s="1"/>
      <c r="B140" s="2"/>
      <c r="C140" s="1" t="s">
        <v>10</v>
      </c>
      <c r="D140">
        <v>0</v>
      </c>
      <c r="E140" s="360">
        <v>0</v>
      </c>
      <c r="F140">
        <v>0</v>
      </c>
      <c r="G140">
        <v>0</v>
      </c>
      <c r="H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 s="20"/>
      <c r="P140" s="20"/>
      <c r="Q140" s="438"/>
      <c r="R140" s="197">
        <v>2.5000000000000001E-2</v>
      </c>
      <c r="S140" s="197">
        <v>0.71599999999999997</v>
      </c>
      <c r="T140" s="197">
        <v>0.11808671869809276</v>
      </c>
      <c r="U140" s="197">
        <v>0.41263016220713056</v>
      </c>
      <c r="V140" s="20">
        <f t="shared" si="155"/>
        <v>0</v>
      </c>
      <c r="W140" s="20">
        <f t="shared" si="155"/>
        <v>0</v>
      </c>
      <c r="X140" s="20">
        <f t="shared" si="155"/>
        <v>0</v>
      </c>
      <c r="Y140" s="20">
        <f t="shared" si="155"/>
        <v>0</v>
      </c>
      <c r="Z140" s="20">
        <f t="shared" si="156"/>
        <v>0</v>
      </c>
      <c r="AA140" s="20">
        <f t="shared" si="156"/>
        <v>0</v>
      </c>
      <c r="AB140" s="20">
        <f t="shared" si="156"/>
        <v>0</v>
      </c>
      <c r="AC140" s="20">
        <f t="shared" si="156"/>
        <v>0</v>
      </c>
      <c r="AD140" s="20">
        <f t="shared" si="157"/>
        <v>0</v>
      </c>
      <c r="AE140" s="20">
        <f t="shared" si="158"/>
        <v>0</v>
      </c>
      <c r="AF140" s="20">
        <f t="shared" si="159"/>
        <v>0</v>
      </c>
      <c r="AG140" s="20">
        <f t="shared" si="159"/>
        <v>0</v>
      </c>
      <c r="AH140" s="20">
        <f t="shared" si="159"/>
        <v>0</v>
      </c>
      <c r="AI140" s="20">
        <f t="shared" si="160"/>
        <v>0</v>
      </c>
      <c r="AJ140" s="20">
        <f t="shared" si="160"/>
        <v>0</v>
      </c>
      <c r="AK140" s="20">
        <f t="shared" si="160"/>
        <v>0</v>
      </c>
      <c r="AL140" s="20">
        <f t="shared" si="160"/>
        <v>0</v>
      </c>
      <c r="AM140" s="20">
        <f t="shared" si="161"/>
        <v>0</v>
      </c>
      <c r="AO140">
        <f t="shared" si="162"/>
        <v>0</v>
      </c>
      <c r="AP140">
        <f t="shared" si="162"/>
        <v>0</v>
      </c>
      <c r="AQ140">
        <f t="shared" si="162"/>
        <v>0</v>
      </c>
      <c r="AR140">
        <f t="shared" si="162"/>
        <v>0</v>
      </c>
      <c r="AS140">
        <f t="shared" si="163"/>
        <v>0</v>
      </c>
      <c r="AU140">
        <f t="shared" si="164"/>
        <v>0</v>
      </c>
      <c r="AV140">
        <f t="shared" si="164"/>
        <v>0</v>
      </c>
      <c r="AW140">
        <f t="shared" si="164"/>
        <v>0</v>
      </c>
      <c r="AX140">
        <f t="shared" si="164"/>
        <v>0</v>
      </c>
      <c r="AY140">
        <f t="shared" si="165"/>
        <v>0</v>
      </c>
    </row>
    <row r="141" spans="1:53" ht="15" x14ac:dyDescent="0.25">
      <c r="A141" s="1"/>
      <c r="B141" s="2"/>
      <c r="C141" s="1" t="s">
        <v>11</v>
      </c>
      <c r="D141">
        <v>0</v>
      </c>
      <c r="E141" s="360">
        <v>10.4046</v>
      </c>
      <c r="F141">
        <v>0</v>
      </c>
      <c r="G141">
        <v>0</v>
      </c>
      <c r="H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 s="20"/>
      <c r="P141" s="20"/>
      <c r="Q141" s="438">
        <v>0.77424521367804522</v>
      </c>
      <c r="R141" s="197">
        <v>2.5000000000000001E-2</v>
      </c>
      <c r="S141" s="197">
        <v>0.71599999999999997</v>
      </c>
      <c r="T141" s="197">
        <v>0.11808671869809276</v>
      </c>
      <c r="U141" s="197">
        <v>0.41263016220713056</v>
      </c>
      <c r="V141" s="20">
        <f t="shared" si="155"/>
        <v>2.0139279375586474</v>
      </c>
      <c r="W141" s="20">
        <f t="shared" si="155"/>
        <v>0</v>
      </c>
      <c r="X141" s="20">
        <f t="shared" si="155"/>
        <v>0</v>
      </c>
      <c r="Y141" s="20">
        <f t="shared" si="155"/>
        <v>0</v>
      </c>
      <c r="Z141" s="20">
        <f t="shared" si="156"/>
        <v>0.56196308000735429</v>
      </c>
      <c r="AA141" s="20">
        <f t="shared" si="156"/>
        <v>0</v>
      </c>
      <c r="AB141" s="20">
        <f t="shared" si="156"/>
        <v>0</v>
      </c>
      <c r="AC141" s="20">
        <f t="shared" si="156"/>
        <v>0</v>
      </c>
      <c r="AD141" s="20">
        <f t="shared" si="157"/>
        <v>0.56196308000735429</v>
      </c>
      <c r="AE141" s="20">
        <f t="shared" si="158"/>
        <v>57.678896131679657</v>
      </c>
      <c r="AF141" s="20">
        <f t="shared" si="159"/>
        <v>0</v>
      </c>
      <c r="AG141" s="20">
        <f t="shared" si="159"/>
        <v>0</v>
      </c>
      <c r="AH141" s="20">
        <f t="shared" si="159"/>
        <v>0</v>
      </c>
      <c r="AI141" s="20">
        <f t="shared" si="160"/>
        <v>29.983034746898952</v>
      </c>
      <c r="AJ141" s="20">
        <f t="shared" si="160"/>
        <v>0</v>
      </c>
      <c r="AK141" s="20">
        <f t="shared" si="160"/>
        <v>0</v>
      </c>
      <c r="AL141" s="20">
        <f t="shared" si="160"/>
        <v>0</v>
      </c>
      <c r="AM141" s="20">
        <f t="shared" si="161"/>
        <v>29.983034746898952</v>
      </c>
      <c r="AO141">
        <f t="shared" si="162"/>
        <v>0.46766567518212027</v>
      </c>
      <c r="AP141">
        <f t="shared" si="162"/>
        <v>0</v>
      </c>
      <c r="AQ141">
        <f t="shared" si="162"/>
        <v>0</v>
      </c>
      <c r="AR141">
        <f t="shared" si="162"/>
        <v>0</v>
      </c>
      <c r="AS141">
        <f t="shared" si="163"/>
        <v>0.46766567518212027</v>
      </c>
      <c r="AU141">
        <f t="shared" si="164"/>
        <v>24.951881516369308</v>
      </c>
      <c r="AV141">
        <f t="shared" si="164"/>
        <v>0</v>
      </c>
      <c r="AW141">
        <f t="shared" si="164"/>
        <v>0</v>
      </c>
      <c r="AX141">
        <f t="shared" si="164"/>
        <v>0</v>
      </c>
      <c r="AY141">
        <f t="shared" si="165"/>
        <v>24.951881516369308</v>
      </c>
    </row>
    <row r="142" spans="1:53" ht="15" x14ac:dyDescent="0.25">
      <c r="A142" s="1"/>
      <c r="B142" s="2"/>
      <c r="C142" s="1" t="s">
        <v>12</v>
      </c>
      <c r="D142">
        <v>0</v>
      </c>
      <c r="E142" s="360">
        <v>0</v>
      </c>
      <c r="F142">
        <v>0</v>
      </c>
      <c r="G142">
        <v>0</v>
      </c>
      <c r="H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 s="20"/>
      <c r="P142" s="20"/>
      <c r="Q142" s="438"/>
      <c r="R142" s="197">
        <v>2.5000000000000001E-2</v>
      </c>
      <c r="S142" s="197">
        <v>0.71599999999999997</v>
      </c>
      <c r="T142" s="197">
        <v>0.11808671869809276</v>
      </c>
      <c r="U142" s="197">
        <v>0.41263016220713056</v>
      </c>
      <c r="V142" s="20">
        <f t="shared" si="155"/>
        <v>0</v>
      </c>
      <c r="W142" s="20">
        <f t="shared" si="155"/>
        <v>0</v>
      </c>
      <c r="X142" s="20">
        <f t="shared" si="155"/>
        <v>0</v>
      </c>
      <c r="Y142" s="20">
        <f t="shared" si="155"/>
        <v>0</v>
      </c>
      <c r="Z142" s="20">
        <f t="shared" si="156"/>
        <v>0</v>
      </c>
      <c r="AA142" s="20">
        <f t="shared" si="156"/>
        <v>0</v>
      </c>
      <c r="AB142" s="20">
        <f t="shared" si="156"/>
        <v>0</v>
      </c>
      <c r="AC142" s="20">
        <f t="shared" si="156"/>
        <v>0</v>
      </c>
      <c r="AD142" s="20">
        <f t="shared" si="157"/>
        <v>0</v>
      </c>
      <c r="AE142" s="20">
        <f t="shared" si="158"/>
        <v>0</v>
      </c>
      <c r="AF142" s="20">
        <f t="shared" si="159"/>
        <v>0</v>
      </c>
      <c r="AG142" s="20">
        <f t="shared" si="159"/>
        <v>0</v>
      </c>
      <c r="AH142" s="20">
        <f t="shared" si="159"/>
        <v>0</v>
      </c>
      <c r="AI142" s="20">
        <f t="shared" si="160"/>
        <v>0</v>
      </c>
      <c r="AJ142" s="20">
        <f t="shared" si="160"/>
        <v>0</v>
      </c>
      <c r="AK142" s="20">
        <f t="shared" si="160"/>
        <v>0</v>
      </c>
      <c r="AL142" s="20">
        <f t="shared" si="160"/>
        <v>0</v>
      </c>
      <c r="AM142" s="20">
        <f t="shared" si="161"/>
        <v>0</v>
      </c>
      <c r="AO142">
        <f t="shared" si="162"/>
        <v>0</v>
      </c>
      <c r="AP142">
        <f t="shared" si="162"/>
        <v>0</v>
      </c>
      <c r="AQ142">
        <f t="shared" si="162"/>
        <v>0</v>
      </c>
      <c r="AR142">
        <f t="shared" si="162"/>
        <v>0</v>
      </c>
      <c r="AS142">
        <f t="shared" si="163"/>
        <v>0</v>
      </c>
      <c r="AU142">
        <f t="shared" si="164"/>
        <v>0</v>
      </c>
      <c r="AV142">
        <f t="shared" si="164"/>
        <v>0</v>
      </c>
      <c r="AW142">
        <f t="shared" si="164"/>
        <v>0</v>
      </c>
      <c r="AX142">
        <f t="shared" si="164"/>
        <v>0</v>
      </c>
      <c r="AY142">
        <f t="shared" si="165"/>
        <v>0</v>
      </c>
    </row>
    <row r="143" spans="1:53" ht="15" x14ac:dyDescent="0.25">
      <c r="A143" s="1"/>
      <c r="B143" s="2"/>
      <c r="C143" s="1" t="s">
        <v>13</v>
      </c>
      <c r="D143">
        <v>0</v>
      </c>
      <c r="E143" s="360">
        <v>9.9110999999999994</v>
      </c>
      <c r="F143">
        <v>0</v>
      </c>
      <c r="G143">
        <v>0</v>
      </c>
      <c r="H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20"/>
      <c r="P143" s="20"/>
      <c r="Q143" s="438">
        <v>0.77424521367804533</v>
      </c>
      <c r="R143" s="197">
        <v>2.5000000000000001E-2</v>
      </c>
      <c r="S143" s="197">
        <v>0.71599999999999997</v>
      </c>
      <c r="T143" s="197">
        <v>0.11808671869809276</v>
      </c>
      <c r="U143" s="197">
        <v>0.41263016220713056</v>
      </c>
      <c r="V143" s="20">
        <f t="shared" si="155"/>
        <v>1.9184054343211188</v>
      </c>
      <c r="W143" s="20">
        <f t="shared" si="155"/>
        <v>0</v>
      </c>
      <c r="X143" s="20">
        <f t="shared" si="155"/>
        <v>0</v>
      </c>
      <c r="Y143" s="20">
        <f t="shared" si="155"/>
        <v>0</v>
      </c>
      <c r="Z143" s="20">
        <f t="shared" si="156"/>
        <v>0.53530864062634698</v>
      </c>
      <c r="AA143" s="20">
        <f t="shared" si="156"/>
        <v>0</v>
      </c>
      <c r="AB143" s="20">
        <f t="shared" si="156"/>
        <v>0</v>
      </c>
      <c r="AC143" s="20">
        <f t="shared" si="156"/>
        <v>0</v>
      </c>
      <c r="AD143" s="20">
        <f t="shared" si="157"/>
        <v>0.53530864062634698</v>
      </c>
      <c r="AE143" s="20">
        <f t="shared" si="158"/>
        <v>54.943131638956835</v>
      </c>
      <c r="AF143" s="20">
        <f t="shared" si="159"/>
        <v>0</v>
      </c>
      <c r="AG143" s="20">
        <f t="shared" si="159"/>
        <v>0</v>
      </c>
      <c r="AH143" s="20">
        <f t="shared" si="159"/>
        <v>0</v>
      </c>
      <c r="AI143" s="20">
        <f t="shared" si="160"/>
        <v>28.560911104702747</v>
      </c>
      <c r="AJ143" s="20">
        <f t="shared" si="160"/>
        <v>0</v>
      </c>
      <c r="AK143" s="20">
        <f t="shared" si="160"/>
        <v>0</v>
      </c>
      <c r="AL143" s="20">
        <f t="shared" si="160"/>
        <v>0</v>
      </c>
      <c r="AM143" s="20">
        <f t="shared" si="161"/>
        <v>28.560911104702747</v>
      </c>
      <c r="AO143">
        <f t="shared" si="162"/>
        <v>0.44548385072924596</v>
      </c>
      <c r="AP143">
        <f t="shared" si="162"/>
        <v>0</v>
      </c>
      <c r="AQ143">
        <f t="shared" si="162"/>
        <v>0</v>
      </c>
      <c r="AR143">
        <f t="shared" si="162"/>
        <v>0</v>
      </c>
      <c r="AS143">
        <f t="shared" si="163"/>
        <v>0.44548385072924596</v>
      </c>
      <c r="AU143">
        <f t="shared" si="164"/>
        <v>23.768390221333629</v>
      </c>
      <c r="AV143">
        <f t="shared" si="164"/>
        <v>0</v>
      </c>
      <c r="AW143">
        <f t="shared" si="164"/>
        <v>0</v>
      </c>
      <c r="AX143">
        <f t="shared" si="164"/>
        <v>0</v>
      </c>
      <c r="AY143">
        <f t="shared" si="165"/>
        <v>23.768390221333629</v>
      </c>
    </row>
    <row r="144" spans="1:53" ht="15" x14ac:dyDescent="0.25">
      <c r="A144" s="7"/>
      <c r="B144" s="8" t="s">
        <v>14</v>
      </c>
      <c r="C144" s="7"/>
      <c r="D144" s="357">
        <f t="shared" ref="D144:H144" si="166">SUM(D138:D143)</f>
        <v>0</v>
      </c>
      <c r="E144" s="363">
        <f>SUM(E138:E143)</f>
        <v>23.533299999999997</v>
      </c>
      <c r="F144" s="357">
        <f t="shared" si="166"/>
        <v>0</v>
      </c>
      <c r="G144" s="357">
        <f t="shared" si="166"/>
        <v>0</v>
      </c>
      <c r="H144" s="357">
        <f t="shared" si="166"/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 s="20"/>
      <c r="P144" s="20"/>
      <c r="Q144" s="438">
        <v>0.77332933712108298</v>
      </c>
      <c r="R144" s="197"/>
      <c r="S144" s="197"/>
      <c r="T144" s="197"/>
      <c r="U144" s="197"/>
      <c r="BA144" s="319">
        <f>(E144*10000*Q144*AU$10)</f>
        <v>151452.00550931809</v>
      </c>
    </row>
    <row r="145" spans="1:53" ht="15" x14ac:dyDescent="0.25">
      <c r="A145" s="10"/>
      <c r="B145" s="9" t="s">
        <v>15</v>
      </c>
      <c r="C145" s="5"/>
      <c r="E145" s="363">
        <f>SUM(E144)</f>
        <v>23.533299999999997</v>
      </c>
      <c r="H145" s="358">
        <f>SUM(D144:H144)</f>
        <v>23.533299999999997</v>
      </c>
      <c r="K145" s="14"/>
      <c r="N145">
        <v>0</v>
      </c>
      <c r="O145" s="20"/>
      <c r="P145" s="20"/>
      <c r="Q145" s="438"/>
      <c r="R145" s="197"/>
      <c r="S145" s="197"/>
      <c r="T145" s="197"/>
      <c r="U145" s="197"/>
    </row>
    <row r="146" spans="1:53" ht="15.75" x14ac:dyDescent="0.25">
      <c r="A146" s="1"/>
      <c r="B146" s="2"/>
      <c r="C146" s="1"/>
      <c r="E146" s="361"/>
      <c r="K146" s="14"/>
      <c r="O146" s="20"/>
      <c r="P146" s="20"/>
      <c r="Q146" s="439"/>
      <c r="R146" s="197"/>
      <c r="S146" s="197"/>
      <c r="T146" s="197"/>
      <c r="U146" s="197"/>
    </row>
    <row r="147" spans="1:53" ht="15" x14ac:dyDescent="0.25">
      <c r="A147" s="1">
        <v>16</v>
      </c>
      <c r="B147" s="2" t="s">
        <v>30</v>
      </c>
      <c r="C147" s="1" t="s">
        <v>8</v>
      </c>
      <c r="D147">
        <v>0</v>
      </c>
      <c r="E147" s="360">
        <v>72.439700000000002</v>
      </c>
      <c r="F147">
        <v>0</v>
      </c>
      <c r="G147">
        <v>0</v>
      </c>
      <c r="H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 s="20"/>
      <c r="P147" s="20"/>
      <c r="Q147" s="438">
        <v>0.67885217236585216</v>
      </c>
      <c r="R147" s="197">
        <v>5.6499999999999995E-2</v>
      </c>
      <c r="S147" s="197">
        <v>1.25</v>
      </c>
      <c r="T147" s="197">
        <v>0.50650413159351704</v>
      </c>
      <c r="U147" s="197">
        <v>0.77519673403474398</v>
      </c>
      <c r="V147" s="20">
        <f t="shared" ref="V147:Y152" si="167">E147*$Q147*$R147*10</f>
        <v>27.784353956449799</v>
      </c>
      <c r="W147" s="20">
        <f t="shared" si="167"/>
        <v>0</v>
      </c>
      <c r="X147" s="20">
        <f t="shared" si="167"/>
        <v>0</v>
      </c>
      <c r="Y147" s="20">
        <f t="shared" si="167"/>
        <v>0</v>
      </c>
      <c r="Z147" s="20">
        <f t="shared" ref="Z147:AC152" si="168">V147*(EXP(1.01-0.34*LN(Z$8))*(1-$T147)+(1*$T147))</f>
        <v>16.575270062574582</v>
      </c>
      <c r="AA147" s="20">
        <f t="shared" si="168"/>
        <v>0</v>
      </c>
      <c r="AB147" s="20">
        <f t="shared" si="168"/>
        <v>0</v>
      </c>
      <c r="AC147" s="20">
        <f t="shared" si="168"/>
        <v>0</v>
      </c>
      <c r="AD147" s="20">
        <f t="shared" ref="AD147:AD152" si="169">SUM(Z147:AC147)</f>
        <v>16.575270062574582</v>
      </c>
      <c r="AE147" s="20">
        <f t="shared" ref="AE147:AE152" si="170">E147*$Q147*$S147*10</f>
        <v>614.69809638163269</v>
      </c>
      <c r="AF147" s="20">
        <f t="shared" ref="AF147:AH152" si="171">F147*$Q147*$S147*10</f>
        <v>0</v>
      </c>
      <c r="AG147" s="20">
        <f t="shared" si="171"/>
        <v>0</v>
      </c>
      <c r="AH147" s="20">
        <f t="shared" si="171"/>
        <v>0</v>
      </c>
      <c r="AI147" s="20">
        <f t="shared" ref="AI147:AL152" si="172">AE147*(EXP(1.01-0.34*LN(AI$8))*(1-$U147)+(1*$U147))</f>
        <v>501.73130848649811</v>
      </c>
      <c r="AJ147" s="20">
        <f t="shared" si="172"/>
        <v>0</v>
      </c>
      <c r="AK147" s="20">
        <f t="shared" si="172"/>
        <v>0</v>
      </c>
      <c r="AL147" s="20">
        <f t="shared" si="172"/>
        <v>0</v>
      </c>
      <c r="AM147" s="20">
        <f t="shared" ref="AM147:AM152" si="173">SUM(AI147:AL147)</f>
        <v>501.73130848649811</v>
      </c>
      <c r="AO147">
        <f t="shared" ref="AO147:AR152" si="174">Z147*AO$10</f>
        <v>13.793939746074567</v>
      </c>
      <c r="AP147">
        <f t="shared" si="174"/>
        <v>0</v>
      </c>
      <c r="AQ147">
        <f t="shared" si="174"/>
        <v>0</v>
      </c>
      <c r="AR147">
        <f t="shared" si="174"/>
        <v>0</v>
      </c>
      <c r="AS147">
        <f t="shared" ref="AS147:AS152" si="175">SUM(AO147:AR147)</f>
        <v>13.793939746074567</v>
      </c>
      <c r="AU147">
        <f t="shared" ref="AU147:AX152" si="176">AI147*AU$10</f>
        <v>417.54079492246376</v>
      </c>
      <c r="AV147">
        <f t="shared" si="176"/>
        <v>0</v>
      </c>
      <c r="AW147">
        <f t="shared" si="176"/>
        <v>0</v>
      </c>
      <c r="AX147">
        <f t="shared" si="176"/>
        <v>0</v>
      </c>
      <c r="AY147">
        <f t="shared" ref="AY147:AY152" si="177">SUM(AU147:AX147)</f>
        <v>417.54079492246376</v>
      </c>
    </row>
    <row r="148" spans="1:53" ht="15" x14ac:dyDescent="0.25">
      <c r="A148" s="1"/>
      <c r="B148" s="2"/>
      <c r="C148" s="1" t="s">
        <v>9</v>
      </c>
      <c r="D148">
        <v>0</v>
      </c>
      <c r="E148" s="360">
        <v>6.3832000000000004</v>
      </c>
      <c r="F148">
        <v>0</v>
      </c>
      <c r="G148">
        <v>0</v>
      </c>
      <c r="H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 s="20"/>
      <c r="P148" s="20"/>
      <c r="Q148" s="438">
        <v>0.68270434473170438</v>
      </c>
      <c r="R148" s="197">
        <v>5.6499999999999995E-2</v>
      </c>
      <c r="S148" s="197">
        <v>1.25</v>
      </c>
      <c r="T148" s="197">
        <v>0.50650413159351704</v>
      </c>
      <c r="U148" s="197">
        <v>0.77519673403474398</v>
      </c>
      <c r="V148" s="20">
        <f t="shared" si="167"/>
        <v>2.4621786809096498</v>
      </c>
      <c r="W148" s="20">
        <f t="shared" si="167"/>
        <v>0</v>
      </c>
      <c r="X148" s="20">
        <f t="shared" si="167"/>
        <v>0</v>
      </c>
      <c r="Y148" s="20">
        <f t="shared" si="167"/>
        <v>0</v>
      </c>
      <c r="Z148" s="20">
        <f t="shared" si="168"/>
        <v>1.4688582157555348</v>
      </c>
      <c r="AA148" s="20">
        <f t="shared" si="168"/>
        <v>0</v>
      </c>
      <c r="AB148" s="20">
        <f t="shared" si="168"/>
        <v>0</v>
      </c>
      <c r="AC148" s="20">
        <f t="shared" si="168"/>
        <v>0</v>
      </c>
      <c r="AD148" s="20">
        <f t="shared" si="169"/>
        <v>1.4688582157555348</v>
      </c>
      <c r="AE148" s="20">
        <f t="shared" si="170"/>
        <v>54.472979666142692</v>
      </c>
      <c r="AF148" s="20">
        <f t="shared" si="171"/>
        <v>0</v>
      </c>
      <c r="AG148" s="20">
        <f t="shared" si="171"/>
        <v>0</v>
      </c>
      <c r="AH148" s="20">
        <f t="shared" si="171"/>
        <v>0</v>
      </c>
      <c r="AI148" s="20">
        <f t="shared" si="172"/>
        <v>44.462150649127707</v>
      </c>
      <c r="AJ148" s="20">
        <f t="shared" si="172"/>
        <v>0</v>
      </c>
      <c r="AK148" s="20">
        <f t="shared" si="172"/>
        <v>0</v>
      </c>
      <c r="AL148" s="20">
        <f t="shared" si="172"/>
        <v>0</v>
      </c>
      <c r="AM148" s="20">
        <f t="shared" si="173"/>
        <v>44.462150649127707</v>
      </c>
      <c r="AO148">
        <f t="shared" si="174"/>
        <v>1.2223838071517561</v>
      </c>
      <c r="AP148">
        <f t="shared" si="174"/>
        <v>0</v>
      </c>
      <c r="AQ148">
        <f t="shared" si="174"/>
        <v>0</v>
      </c>
      <c r="AR148">
        <f t="shared" si="174"/>
        <v>0</v>
      </c>
      <c r="AS148">
        <f t="shared" si="175"/>
        <v>1.2223838071517561</v>
      </c>
      <c r="AU148">
        <f t="shared" si="176"/>
        <v>37.001401770204083</v>
      </c>
      <c r="AV148">
        <f t="shared" si="176"/>
        <v>0</v>
      </c>
      <c r="AW148">
        <f t="shared" si="176"/>
        <v>0</v>
      </c>
      <c r="AX148">
        <f t="shared" si="176"/>
        <v>0</v>
      </c>
      <c r="AY148">
        <f t="shared" si="177"/>
        <v>37.001401770204083</v>
      </c>
    </row>
    <row r="149" spans="1:53" ht="15" x14ac:dyDescent="0.25">
      <c r="A149" s="1"/>
      <c r="B149" s="2"/>
      <c r="C149" s="1" t="s">
        <v>10</v>
      </c>
      <c r="D149">
        <v>0</v>
      </c>
      <c r="E149" s="360">
        <v>0</v>
      </c>
      <c r="F149">
        <v>0</v>
      </c>
      <c r="G149">
        <v>0</v>
      </c>
      <c r="H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 s="20"/>
      <c r="P149" s="20"/>
      <c r="Q149" s="438"/>
      <c r="R149" s="197">
        <v>5.6499999999999995E-2</v>
      </c>
      <c r="S149" s="197">
        <v>1.25</v>
      </c>
      <c r="T149" s="197">
        <v>0.50650413159351704</v>
      </c>
      <c r="U149" s="197">
        <v>0.77519673403474398</v>
      </c>
      <c r="V149" s="20">
        <f t="shared" si="167"/>
        <v>0</v>
      </c>
      <c r="W149" s="20">
        <f t="shared" si="167"/>
        <v>0</v>
      </c>
      <c r="X149" s="20">
        <f t="shared" si="167"/>
        <v>0</v>
      </c>
      <c r="Y149" s="20">
        <f t="shared" si="167"/>
        <v>0</v>
      </c>
      <c r="Z149" s="20">
        <f t="shared" si="168"/>
        <v>0</v>
      </c>
      <c r="AA149" s="20">
        <f t="shared" si="168"/>
        <v>0</v>
      </c>
      <c r="AB149" s="20">
        <f t="shared" si="168"/>
        <v>0</v>
      </c>
      <c r="AC149" s="20">
        <f t="shared" si="168"/>
        <v>0</v>
      </c>
      <c r="AD149" s="20">
        <f t="shared" si="169"/>
        <v>0</v>
      </c>
      <c r="AE149" s="20">
        <f t="shared" si="170"/>
        <v>0</v>
      </c>
      <c r="AF149" s="20">
        <f t="shared" si="171"/>
        <v>0</v>
      </c>
      <c r="AG149" s="20">
        <f t="shared" si="171"/>
        <v>0</v>
      </c>
      <c r="AH149" s="20">
        <f t="shared" si="171"/>
        <v>0</v>
      </c>
      <c r="AI149" s="20">
        <f t="shared" si="172"/>
        <v>0</v>
      </c>
      <c r="AJ149" s="20">
        <f t="shared" si="172"/>
        <v>0</v>
      </c>
      <c r="AK149" s="20">
        <f t="shared" si="172"/>
        <v>0</v>
      </c>
      <c r="AL149" s="20">
        <f t="shared" si="172"/>
        <v>0</v>
      </c>
      <c r="AM149" s="20">
        <f t="shared" si="173"/>
        <v>0</v>
      </c>
      <c r="AO149">
        <f t="shared" si="174"/>
        <v>0</v>
      </c>
      <c r="AP149">
        <f t="shared" si="174"/>
        <v>0</v>
      </c>
      <c r="AQ149">
        <f t="shared" si="174"/>
        <v>0</v>
      </c>
      <c r="AR149">
        <f t="shared" si="174"/>
        <v>0</v>
      </c>
      <c r="AS149">
        <f t="shared" si="175"/>
        <v>0</v>
      </c>
      <c r="AU149">
        <f t="shared" si="176"/>
        <v>0</v>
      </c>
      <c r="AV149">
        <f t="shared" si="176"/>
        <v>0</v>
      </c>
      <c r="AW149">
        <f t="shared" si="176"/>
        <v>0</v>
      </c>
      <c r="AX149">
        <f t="shared" si="176"/>
        <v>0</v>
      </c>
      <c r="AY149">
        <f t="shared" si="177"/>
        <v>0</v>
      </c>
    </row>
    <row r="150" spans="1:53" ht="15" x14ac:dyDescent="0.25">
      <c r="A150" s="1"/>
      <c r="B150" s="2"/>
      <c r="C150" s="1" t="s">
        <v>11</v>
      </c>
      <c r="D150">
        <v>0</v>
      </c>
      <c r="E150" s="360">
        <v>1282.5646999999999</v>
      </c>
      <c r="F150">
        <v>0</v>
      </c>
      <c r="G150">
        <v>0</v>
      </c>
      <c r="H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s="20"/>
      <c r="P150" s="20"/>
      <c r="Q150" s="438">
        <v>0.69040868946340905</v>
      </c>
      <c r="R150" s="197">
        <v>5.6499999999999995E-2</v>
      </c>
      <c r="S150" s="197">
        <v>1.25</v>
      </c>
      <c r="T150" s="197">
        <v>0.50650413159351704</v>
      </c>
      <c r="U150" s="197">
        <v>0.77519673403474398</v>
      </c>
      <c r="V150" s="20">
        <f t="shared" si="167"/>
        <v>500.3040047286521</v>
      </c>
      <c r="W150" s="20">
        <f t="shared" si="167"/>
        <v>0</v>
      </c>
      <c r="X150" s="20">
        <f t="shared" si="167"/>
        <v>0</v>
      </c>
      <c r="Y150" s="20">
        <f t="shared" si="167"/>
        <v>0</v>
      </c>
      <c r="Z150" s="20">
        <f t="shared" si="168"/>
        <v>298.46560423046856</v>
      </c>
      <c r="AA150" s="20">
        <f t="shared" si="168"/>
        <v>0</v>
      </c>
      <c r="AB150" s="20">
        <f t="shared" si="168"/>
        <v>0</v>
      </c>
      <c r="AC150" s="20">
        <f t="shared" si="168"/>
        <v>0</v>
      </c>
      <c r="AD150" s="20">
        <f t="shared" si="169"/>
        <v>298.46560423046856</v>
      </c>
      <c r="AE150" s="20">
        <f t="shared" si="170"/>
        <v>11068.67267098788</v>
      </c>
      <c r="AF150" s="20">
        <f t="shared" si="171"/>
        <v>0</v>
      </c>
      <c r="AG150" s="20">
        <f t="shared" si="171"/>
        <v>0</v>
      </c>
      <c r="AH150" s="20">
        <f t="shared" si="171"/>
        <v>0</v>
      </c>
      <c r="AI150" s="20">
        <f t="shared" si="172"/>
        <v>9034.5157323793374</v>
      </c>
      <c r="AJ150" s="20">
        <f t="shared" si="172"/>
        <v>0</v>
      </c>
      <c r="AK150" s="20">
        <f t="shared" si="172"/>
        <v>0</v>
      </c>
      <c r="AL150" s="20">
        <f t="shared" si="172"/>
        <v>0</v>
      </c>
      <c r="AM150" s="20">
        <f t="shared" si="173"/>
        <v>9034.5157323793374</v>
      </c>
      <c r="AO150">
        <f t="shared" si="174"/>
        <v>248.38307584059595</v>
      </c>
      <c r="AP150">
        <f t="shared" si="174"/>
        <v>0</v>
      </c>
      <c r="AQ150">
        <f t="shared" si="174"/>
        <v>0</v>
      </c>
      <c r="AR150">
        <f t="shared" si="174"/>
        <v>0</v>
      </c>
      <c r="AS150">
        <f t="shared" si="175"/>
        <v>248.38307584059595</v>
      </c>
      <c r="AU150">
        <f t="shared" si="176"/>
        <v>7518.5239924860853</v>
      </c>
      <c r="AV150">
        <f t="shared" si="176"/>
        <v>0</v>
      </c>
      <c r="AW150">
        <f t="shared" si="176"/>
        <v>0</v>
      </c>
      <c r="AX150">
        <f t="shared" si="176"/>
        <v>0</v>
      </c>
      <c r="AY150">
        <f t="shared" si="177"/>
        <v>7518.5239924860853</v>
      </c>
    </row>
    <row r="151" spans="1:53" ht="15" x14ac:dyDescent="0.25">
      <c r="A151" s="1"/>
      <c r="B151" s="2"/>
      <c r="C151" s="1" t="s">
        <v>12</v>
      </c>
      <c r="D151">
        <v>0</v>
      </c>
      <c r="E151" s="360">
        <v>0</v>
      </c>
      <c r="F151">
        <v>0</v>
      </c>
      <c r="G151">
        <v>0</v>
      </c>
      <c r="H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 s="20"/>
      <c r="P151" s="20"/>
      <c r="Q151" s="438"/>
      <c r="R151" s="197">
        <v>5.6499999999999995E-2</v>
      </c>
      <c r="S151" s="197">
        <v>1.25</v>
      </c>
      <c r="T151" s="197">
        <v>0.50650413159351704</v>
      </c>
      <c r="U151" s="197">
        <v>0.77519673403474398</v>
      </c>
      <c r="V151" s="20">
        <f t="shared" si="167"/>
        <v>0</v>
      </c>
      <c r="W151" s="20">
        <f t="shared" si="167"/>
        <v>0</v>
      </c>
      <c r="X151" s="20">
        <f t="shared" si="167"/>
        <v>0</v>
      </c>
      <c r="Y151" s="20">
        <f t="shared" si="167"/>
        <v>0</v>
      </c>
      <c r="Z151" s="20">
        <f t="shared" si="168"/>
        <v>0</v>
      </c>
      <c r="AA151" s="20">
        <f t="shared" si="168"/>
        <v>0</v>
      </c>
      <c r="AB151" s="20">
        <f t="shared" si="168"/>
        <v>0</v>
      </c>
      <c r="AC151" s="20">
        <f t="shared" si="168"/>
        <v>0</v>
      </c>
      <c r="AD151" s="20">
        <f t="shared" si="169"/>
        <v>0</v>
      </c>
      <c r="AE151" s="20">
        <f t="shared" si="170"/>
        <v>0</v>
      </c>
      <c r="AF151" s="20">
        <f t="shared" si="171"/>
        <v>0</v>
      </c>
      <c r="AG151" s="20">
        <f t="shared" si="171"/>
        <v>0</v>
      </c>
      <c r="AH151" s="20">
        <f t="shared" si="171"/>
        <v>0</v>
      </c>
      <c r="AI151" s="20">
        <f t="shared" si="172"/>
        <v>0</v>
      </c>
      <c r="AJ151" s="20">
        <f t="shared" si="172"/>
        <v>0</v>
      </c>
      <c r="AK151" s="20">
        <f t="shared" si="172"/>
        <v>0</v>
      </c>
      <c r="AL151" s="20">
        <f t="shared" si="172"/>
        <v>0</v>
      </c>
      <c r="AM151" s="20">
        <f t="shared" si="173"/>
        <v>0</v>
      </c>
      <c r="AO151">
        <f t="shared" si="174"/>
        <v>0</v>
      </c>
      <c r="AP151">
        <f t="shared" si="174"/>
        <v>0</v>
      </c>
      <c r="AQ151">
        <f t="shared" si="174"/>
        <v>0</v>
      </c>
      <c r="AR151">
        <f t="shared" si="174"/>
        <v>0</v>
      </c>
      <c r="AS151">
        <f t="shared" si="175"/>
        <v>0</v>
      </c>
      <c r="AU151">
        <f t="shared" si="176"/>
        <v>0</v>
      </c>
      <c r="AV151">
        <f t="shared" si="176"/>
        <v>0</v>
      </c>
      <c r="AW151">
        <f t="shared" si="176"/>
        <v>0</v>
      </c>
      <c r="AX151">
        <f t="shared" si="176"/>
        <v>0</v>
      </c>
      <c r="AY151">
        <f t="shared" si="177"/>
        <v>0</v>
      </c>
    </row>
    <row r="152" spans="1:53" ht="15" x14ac:dyDescent="0.25">
      <c r="A152" s="1"/>
      <c r="B152" s="2"/>
      <c r="C152" s="1" t="s">
        <v>13</v>
      </c>
      <c r="D152">
        <v>0</v>
      </c>
      <c r="E152" s="360">
        <v>29.971499999999999</v>
      </c>
      <c r="F152">
        <v>0</v>
      </c>
      <c r="G152">
        <v>0</v>
      </c>
      <c r="H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20"/>
      <c r="P152" s="20"/>
      <c r="Q152" s="438">
        <v>0.69040868946340894</v>
      </c>
      <c r="R152" s="197">
        <v>5.6499999999999995E-2</v>
      </c>
      <c r="S152" s="197">
        <v>1.25</v>
      </c>
      <c r="T152" s="197">
        <v>0.50650413159351704</v>
      </c>
      <c r="U152" s="197">
        <v>0.77519673403474398</v>
      </c>
      <c r="V152" s="20">
        <f t="shared" si="167"/>
        <v>11.691309980482696</v>
      </c>
      <c r="W152" s="20">
        <f t="shared" si="167"/>
        <v>0</v>
      </c>
      <c r="X152" s="20">
        <f t="shared" si="167"/>
        <v>0</v>
      </c>
      <c r="Y152" s="20">
        <f t="shared" si="167"/>
        <v>0</v>
      </c>
      <c r="Z152" s="20">
        <f t="shared" si="168"/>
        <v>6.974667131563411</v>
      </c>
      <c r="AA152" s="20">
        <f t="shared" si="168"/>
        <v>0</v>
      </c>
      <c r="AB152" s="20">
        <f t="shared" si="168"/>
        <v>0</v>
      </c>
      <c r="AC152" s="20">
        <f t="shared" si="168"/>
        <v>0</v>
      </c>
      <c r="AD152" s="20">
        <f t="shared" si="169"/>
        <v>6.974667131563411</v>
      </c>
      <c r="AE152" s="20">
        <f t="shared" si="170"/>
        <v>258.65730045315701</v>
      </c>
      <c r="AF152" s="20">
        <f t="shared" si="171"/>
        <v>0</v>
      </c>
      <c r="AG152" s="20">
        <f t="shared" si="171"/>
        <v>0</v>
      </c>
      <c r="AH152" s="20">
        <f t="shared" si="171"/>
        <v>0</v>
      </c>
      <c r="AI152" s="20">
        <f t="shared" si="172"/>
        <v>211.12228355653892</v>
      </c>
      <c r="AJ152" s="20">
        <f t="shared" si="172"/>
        <v>0</v>
      </c>
      <c r="AK152" s="20">
        <f t="shared" si="172"/>
        <v>0</v>
      </c>
      <c r="AL152" s="20">
        <f t="shared" si="172"/>
        <v>0</v>
      </c>
      <c r="AM152" s="20">
        <f t="shared" si="173"/>
        <v>211.12228355653892</v>
      </c>
      <c r="AO152">
        <f t="shared" si="174"/>
        <v>5.8043179868870709</v>
      </c>
      <c r="AP152">
        <f t="shared" si="174"/>
        <v>0</v>
      </c>
      <c r="AQ152">
        <f t="shared" si="174"/>
        <v>0</v>
      </c>
      <c r="AR152">
        <f t="shared" si="174"/>
        <v>0</v>
      </c>
      <c r="AS152">
        <f t="shared" si="175"/>
        <v>5.8043179868870709</v>
      </c>
      <c r="AU152">
        <f t="shared" si="176"/>
        <v>175.69596437575169</v>
      </c>
      <c r="AV152">
        <f t="shared" si="176"/>
        <v>0</v>
      </c>
      <c r="AW152">
        <f t="shared" si="176"/>
        <v>0</v>
      </c>
      <c r="AX152">
        <f t="shared" si="176"/>
        <v>0</v>
      </c>
      <c r="AY152">
        <f t="shared" si="177"/>
        <v>175.69596437575169</v>
      </c>
    </row>
    <row r="153" spans="1:53" ht="15" x14ac:dyDescent="0.25">
      <c r="A153" s="7"/>
      <c r="B153" s="8" t="s">
        <v>14</v>
      </c>
      <c r="C153" s="7"/>
      <c r="D153" s="357">
        <f t="shared" ref="D153:H153" si="178">SUM(D147:D152)</f>
        <v>0</v>
      </c>
      <c r="E153" s="363">
        <f>SUM(E147:E152)</f>
        <v>1391.3591000000001</v>
      </c>
      <c r="F153" s="357">
        <f t="shared" si="178"/>
        <v>0</v>
      </c>
      <c r="G153" s="357">
        <f t="shared" si="178"/>
        <v>0</v>
      </c>
      <c r="H153" s="357">
        <f t="shared" si="178"/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 s="20"/>
      <c r="P153" s="20"/>
      <c r="Q153" s="438">
        <v>0.68977166556003033</v>
      </c>
      <c r="R153" s="197"/>
      <c r="S153" s="197"/>
      <c r="T153" s="197"/>
      <c r="U153" s="197"/>
      <c r="BA153" s="319">
        <f>(E153*10000*Q153*AU$10)</f>
        <v>7986790.5373761524</v>
      </c>
    </row>
    <row r="154" spans="1:53" ht="15" x14ac:dyDescent="0.25">
      <c r="A154" s="10"/>
      <c r="B154" s="9" t="s">
        <v>15</v>
      </c>
      <c r="C154" s="5"/>
      <c r="E154" s="363">
        <f>SUM(E153)</f>
        <v>1391.3591000000001</v>
      </c>
      <c r="H154" s="358">
        <f>SUM(D153:H153)</f>
        <v>1391.3591000000001</v>
      </c>
      <c r="K154" s="14"/>
      <c r="N154">
        <v>0</v>
      </c>
      <c r="O154" s="20"/>
      <c r="P154" s="20"/>
      <c r="Q154" s="438"/>
      <c r="R154" s="197"/>
      <c r="S154" s="197"/>
      <c r="T154" s="197"/>
      <c r="U154" s="197"/>
    </row>
    <row r="155" spans="1:53" ht="15.75" x14ac:dyDescent="0.25">
      <c r="A155" s="1"/>
      <c r="B155" s="2"/>
      <c r="C155" s="1"/>
      <c r="E155" s="361"/>
      <c r="K155" s="14"/>
      <c r="O155" s="20"/>
      <c r="P155" s="20"/>
      <c r="Q155" s="439"/>
      <c r="R155" s="197"/>
      <c r="S155" s="197"/>
      <c r="T155" s="197"/>
      <c r="U155" s="197"/>
    </row>
    <row r="156" spans="1:53" ht="15" x14ac:dyDescent="0.25">
      <c r="A156" s="1">
        <v>17</v>
      </c>
      <c r="B156" s="2" t="s">
        <v>31</v>
      </c>
      <c r="C156" s="1" t="s">
        <v>8</v>
      </c>
      <c r="D156">
        <v>0</v>
      </c>
      <c r="E156" s="360"/>
      <c r="F156">
        <v>0</v>
      </c>
      <c r="G156">
        <v>0</v>
      </c>
      <c r="H156">
        <v>0</v>
      </c>
      <c r="J156">
        <v>0</v>
      </c>
      <c r="K156" s="14">
        <v>0</v>
      </c>
      <c r="L156">
        <v>0</v>
      </c>
      <c r="M156">
        <v>0</v>
      </c>
      <c r="N156">
        <v>0</v>
      </c>
      <c r="O156" s="20"/>
      <c r="P156" s="20"/>
      <c r="Q156" s="438"/>
      <c r="R156" s="197"/>
      <c r="S156" s="197"/>
      <c r="T156" s="197"/>
      <c r="U156" s="197"/>
      <c r="V156" s="20">
        <f t="shared" ref="V156:Y161" si="179">IF(K156&gt;0,((E156-K156)*$Q156*$R156*10)+(K156*$O$12*$Q156*$R156*10),(E156*$Q156*$R156*10))</f>
        <v>0</v>
      </c>
      <c r="W156" s="20">
        <f t="shared" si="179"/>
        <v>0</v>
      </c>
      <c r="X156" s="20">
        <f t="shared" si="179"/>
        <v>0</v>
      </c>
      <c r="Y156" s="20">
        <f t="shared" si="179"/>
        <v>0</v>
      </c>
      <c r="Z156" s="20">
        <f t="shared" ref="Z156:AC161" si="180">V156*(EXP(1.01-0.34*LN(Z$8))*(1-$T156)+(1*$T156))</f>
        <v>0</v>
      </c>
      <c r="AA156" s="20">
        <f t="shared" si="180"/>
        <v>0</v>
      </c>
      <c r="AB156" s="20">
        <f t="shared" si="180"/>
        <v>0</v>
      </c>
      <c r="AC156" s="20">
        <f t="shared" si="180"/>
        <v>0</v>
      </c>
      <c r="AD156" s="20">
        <f t="shared" ref="AD156:AD161" si="181">SUM(Z156:AC156)</f>
        <v>0</v>
      </c>
      <c r="AE156" s="20">
        <f t="shared" ref="AE156:AH161" si="182">IF(K156&gt;0,((E156-K156)*$Q156*$S156*10)+(K156*$P$12*$Q156*$S156)*10,(E156*$Q156*$S156*10))</f>
        <v>0</v>
      </c>
      <c r="AF156" s="20">
        <f t="shared" si="182"/>
        <v>0</v>
      </c>
      <c r="AG156" s="20">
        <f t="shared" si="182"/>
        <v>0</v>
      </c>
      <c r="AH156" s="20">
        <f t="shared" si="182"/>
        <v>0</v>
      </c>
      <c r="AI156" s="20">
        <f t="shared" ref="AI156:AL161" si="183">AE156*(EXP(1.01-0.34*LN(AI$8))*(1-$U156)+(1*$U156))</f>
        <v>0</v>
      </c>
      <c r="AJ156" s="20">
        <f t="shared" si="183"/>
        <v>0</v>
      </c>
      <c r="AK156" s="20">
        <f t="shared" si="183"/>
        <v>0</v>
      </c>
      <c r="AL156" s="20">
        <f t="shared" si="183"/>
        <v>0</v>
      </c>
      <c r="AM156" s="20">
        <f t="shared" ref="AM156:AM161" si="184">SUM(AI156:AL156)</f>
        <v>0</v>
      </c>
      <c r="AO156">
        <f t="shared" ref="AO156:AR161" si="185">Z156*AO$10</f>
        <v>0</v>
      </c>
      <c r="AP156">
        <f t="shared" si="185"/>
        <v>0</v>
      </c>
      <c r="AQ156">
        <f t="shared" si="185"/>
        <v>0</v>
      </c>
      <c r="AR156">
        <f t="shared" si="185"/>
        <v>0</v>
      </c>
      <c r="AS156">
        <f t="shared" ref="AS156:AS161" si="186">SUM(AO156:AR156)</f>
        <v>0</v>
      </c>
      <c r="AU156">
        <f t="shared" ref="AU156:AX161" si="187">AI156*AU$10</f>
        <v>0</v>
      </c>
      <c r="AV156">
        <f t="shared" si="187"/>
        <v>0</v>
      </c>
      <c r="AW156">
        <f t="shared" si="187"/>
        <v>0</v>
      </c>
      <c r="AX156">
        <f t="shared" si="187"/>
        <v>0</v>
      </c>
      <c r="AY156">
        <f t="shared" ref="AY156:AY161" si="188">SUM(AU156:AX156)</f>
        <v>0</v>
      </c>
    </row>
    <row r="157" spans="1:53" ht="15" x14ac:dyDescent="0.25">
      <c r="A157" s="1"/>
      <c r="B157" s="2"/>
      <c r="C157" s="1" t="s">
        <v>9</v>
      </c>
      <c r="D157">
        <v>0</v>
      </c>
      <c r="E157" s="360"/>
      <c r="F157">
        <v>0</v>
      </c>
      <c r="G157">
        <v>0</v>
      </c>
      <c r="H157">
        <v>0</v>
      </c>
      <c r="J157">
        <v>0</v>
      </c>
      <c r="K157" s="14">
        <v>0</v>
      </c>
      <c r="L157">
        <v>0</v>
      </c>
      <c r="M157">
        <v>0</v>
      </c>
      <c r="N157">
        <v>0</v>
      </c>
      <c r="O157" s="20"/>
      <c r="P157" s="20"/>
      <c r="Q157" s="438"/>
      <c r="R157" s="197"/>
      <c r="S157" s="197"/>
      <c r="T157" s="197"/>
      <c r="U157" s="197"/>
      <c r="V157" s="20">
        <f t="shared" si="179"/>
        <v>0</v>
      </c>
      <c r="W157" s="20">
        <f t="shared" si="179"/>
        <v>0</v>
      </c>
      <c r="X157" s="20">
        <f t="shared" si="179"/>
        <v>0</v>
      </c>
      <c r="Y157" s="20">
        <f t="shared" si="179"/>
        <v>0</v>
      </c>
      <c r="Z157" s="20">
        <f t="shared" si="180"/>
        <v>0</v>
      </c>
      <c r="AA157" s="20">
        <f t="shared" si="180"/>
        <v>0</v>
      </c>
      <c r="AB157" s="20">
        <f t="shared" si="180"/>
        <v>0</v>
      </c>
      <c r="AC157" s="20">
        <f t="shared" si="180"/>
        <v>0</v>
      </c>
      <c r="AD157" s="20">
        <f t="shared" si="181"/>
        <v>0</v>
      </c>
      <c r="AE157" s="20">
        <f t="shared" si="182"/>
        <v>0</v>
      </c>
      <c r="AF157" s="20">
        <f t="shared" si="182"/>
        <v>0</v>
      </c>
      <c r="AG157" s="20">
        <f t="shared" si="182"/>
        <v>0</v>
      </c>
      <c r="AH157" s="20">
        <f t="shared" si="182"/>
        <v>0</v>
      </c>
      <c r="AI157" s="20">
        <f t="shared" si="183"/>
        <v>0</v>
      </c>
      <c r="AJ157" s="20">
        <f t="shared" si="183"/>
        <v>0</v>
      </c>
      <c r="AK157" s="20">
        <f t="shared" si="183"/>
        <v>0</v>
      </c>
      <c r="AL157" s="20">
        <f t="shared" si="183"/>
        <v>0</v>
      </c>
      <c r="AM157" s="20">
        <f t="shared" si="184"/>
        <v>0</v>
      </c>
      <c r="AO157">
        <f t="shared" si="185"/>
        <v>0</v>
      </c>
      <c r="AP157">
        <f t="shared" si="185"/>
        <v>0</v>
      </c>
      <c r="AQ157">
        <f t="shared" si="185"/>
        <v>0</v>
      </c>
      <c r="AR157">
        <f t="shared" si="185"/>
        <v>0</v>
      </c>
      <c r="AS157">
        <f t="shared" si="186"/>
        <v>0</v>
      </c>
      <c r="AU157">
        <f t="shared" si="187"/>
        <v>0</v>
      </c>
      <c r="AV157">
        <f t="shared" si="187"/>
        <v>0</v>
      </c>
      <c r="AW157">
        <f t="shared" si="187"/>
        <v>0</v>
      </c>
      <c r="AX157">
        <f t="shared" si="187"/>
        <v>0</v>
      </c>
      <c r="AY157">
        <f t="shared" si="188"/>
        <v>0</v>
      </c>
    </row>
    <row r="158" spans="1:53" ht="15" x14ac:dyDescent="0.25">
      <c r="A158" s="1"/>
      <c r="B158" s="2"/>
      <c r="C158" s="1" t="s">
        <v>10</v>
      </c>
      <c r="D158">
        <v>0</v>
      </c>
      <c r="E158" s="360"/>
      <c r="F158">
        <v>0</v>
      </c>
      <c r="G158">
        <v>0</v>
      </c>
      <c r="H158">
        <v>0</v>
      </c>
      <c r="J158">
        <v>0</v>
      </c>
      <c r="K158" s="14">
        <v>0</v>
      </c>
      <c r="L158">
        <v>0</v>
      </c>
      <c r="M158">
        <v>0</v>
      </c>
      <c r="N158">
        <v>0</v>
      </c>
      <c r="O158" s="20"/>
      <c r="P158" s="20"/>
      <c r="Q158" s="438"/>
      <c r="R158" s="197"/>
      <c r="S158" s="197"/>
      <c r="T158" s="197"/>
      <c r="U158" s="197"/>
      <c r="V158" s="20">
        <f t="shared" si="179"/>
        <v>0</v>
      </c>
      <c r="W158" s="20">
        <f t="shared" si="179"/>
        <v>0</v>
      </c>
      <c r="X158" s="20">
        <f t="shared" si="179"/>
        <v>0</v>
      </c>
      <c r="Y158" s="20">
        <f t="shared" si="179"/>
        <v>0</v>
      </c>
      <c r="Z158" s="20">
        <f t="shared" si="180"/>
        <v>0</v>
      </c>
      <c r="AA158" s="20">
        <f t="shared" si="180"/>
        <v>0</v>
      </c>
      <c r="AB158" s="20">
        <f t="shared" si="180"/>
        <v>0</v>
      </c>
      <c r="AC158" s="20">
        <f t="shared" si="180"/>
        <v>0</v>
      </c>
      <c r="AD158" s="20">
        <f t="shared" si="181"/>
        <v>0</v>
      </c>
      <c r="AE158" s="20">
        <f t="shared" si="182"/>
        <v>0</v>
      </c>
      <c r="AF158" s="20">
        <f t="shared" si="182"/>
        <v>0</v>
      </c>
      <c r="AG158" s="20">
        <f t="shared" si="182"/>
        <v>0</v>
      </c>
      <c r="AH158" s="20">
        <f t="shared" si="182"/>
        <v>0</v>
      </c>
      <c r="AI158" s="20">
        <f t="shared" si="183"/>
        <v>0</v>
      </c>
      <c r="AJ158" s="20">
        <f t="shared" si="183"/>
        <v>0</v>
      </c>
      <c r="AK158" s="20">
        <f t="shared" si="183"/>
        <v>0</v>
      </c>
      <c r="AL158" s="20">
        <f t="shared" si="183"/>
        <v>0</v>
      </c>
      <c r="AM158" s="20">
        <f t="shared" si="184"/>
        <v>0</v>
      </c>
      <c r="AO158">
        <f t="shared" si="185"/>
        <v>0</v>
      </c>
      <c r="AP158">
        <f t="shared" si="185"/>
        <v>0</v>
      </c>
      <c r="AQ158">
        <f t="shared" si="185"/>
        <v>0</v>
      </c>
      <c r="AR158">
        <f t="shared" si="185"/>
        <v>0</v>
      </c>
      <c r="AS158">
        <f t="shared" si="186"/>
        <v>0</v>
      </c>
      <c r="AU158">
        <f t="shared" si="187"/>
        <v>0</v>
      </c>
      <c r="AV158">
        <f t="shared" si="187"/>
        <v>0</v>
      </c>
      <c r="AW158">
        <f t="shared" si="187"/>
        <v>0</v>
      </c>
      <c r="AX158">
        <f t="shared" si="187"/>
        <v>0</v>
      </c>
      <c r="AY158">
        <f t="shared" si="188"/>
        <v>0</v>
      </c>
    </row>
    <row r="159" spans="1:53" ht="15" x14ac:dyDescent="0.25">
      <c r="A159" s="1"/>
      <c r="B159" s="2"/>
      <c r="C159" s="1" t="s">
        <v>11</v>
      </c>
      <c r="D159">
        <v>0</v>
      </c>
      <c r="E159" s="360"/>
      <c r="F159">
        <v>0</v>
      </c>
      <c r="G159">
        <v>0</v>
      </c>
      <c r="H159">
        <v>0</v>
      </c>
      <c r="J159">
        <v>0</v>
      </c>
      <c r="K159" s="14">
        <v>0</v>
      </c>
      <c r="L159">
        <v>0</v>
      </c>
      <c r="M159">
        <v>0</v>
      </c>
      <c r="N159">
        <v>0</v>
      </c>
      <c r="O159" s="20"/>
      <c r="P159" s="20"/>
      <c r="Q159" s="438"/>
      <c r="R159" s="197"/>
      <c r="S159" s="197"/>
      <c r="T159" s="197"/>
      <c r="U159" s="197"/>
      <c r="V159" s="20">
        <f t="shared" si="179"/>
        <v>0</v>
      </c>
      <c r="W159" s="20">
        <f t="shared" si="179"/>
        <v>0</v>
      </c>
      <c r="X159" s="20">
        <f t="shared" si="179"/>
        <v>0</v>
      </c>
      <c r="Y159" s="20">
        <f t="shared" si="179"/>
        <v>0</v>
      </c>
      <c r="Z159" s="20">
        <f t="shared" si="180"/>
        <v>0</v>
      </c>
      <c r="AA159" s="20">
        <f t="shared" si="180"/>
        <v>0</v>
      </c>
      <c r="AB159" s="20">
        <f t="shared" si="180"/>
        <v>0</v>
      </c>
      <c r="AC159" s="20">
        <f t="shared" si="180"/>
        <v>0</v>
      </c>
      <c r="AD159" s="20">
        <f t="shared" si="181"/>
        <v>0</v>
      </c>
      <c r="AE159" s="20">
        <f t="shared" si="182"/>
        <v>0</v>
      </c>
      <c r="AF159" s="20">
        <f t="shared" si="182"/>
        <v>0</v>
      </c>
      <c r="AG159" s="20">
        <f t="shared" si="182"/>
        <v>0</v>
      </c>
      <c r="AH159" s="20">
        <f t="shared" si="182"/>
        <v>0</v>
      </c>
      <c r="AI159" s="20">
        <f t="shared" si="183"/>
        <v>0</v>
      </c>
      <c r="AJ159" s="20">
        <f t="shared" si="183"/>
        <v>0</v>
      </c>
      <c r="AK159" s="20">
        <f t="shared" si="183"/>
        <v>0</v>
      </c>
      <c r="AL159" s="20">
        <f t="shared" si="183"/>
        <v>0</v>
      </c>
      <c r="AM159" s="20">
        <f t="shared" si="184"/>
        <v>0</v>
      </c>
      <c r="AO159">
        <f t="shared" si="185"/>
        <v>0</v>
      </c>
      <c r="AP159">
        <f t="shared" si="185"/>
        <v>0</v>
      </c>
      <c r="AQ159">
        <f t="shared" si="185"/>
        <v>0</v>
      </c>
      <c r="AR159">
        <f t="shared" si="185"/>
        <v>0</v>
      </c>
      <c r="AS159">
        <f t="shared" si="186"/>
        <v>0</v>
      </c>
      <c r="AU159">
        <f t="shared" si="187"/>
        <v>0</v>
      </c>
      <c r="AV159">
        <f t="shared" si="187"/>
        <v>0</v>
      </c>
      <c r="AW159">
        <f t="shared" si="187"/>
        <v>0</v>
      </c>
      <c r="AX159">
        <f t="shared" si="187"/>
        <v>0</v>
      </c>
      <c r="AY159">
        <f t="shared" si="188"/>
        <v>0</v>
      </c>
    </row>
    <row r="160" spans="1:53" ht="15" x14ac:dyDescent="0.25">
      <c r="A160" s="1"/>
      <c r="B160" s="2"/>
      <c r="C160" s="1" t="s">
        <v>12</v>
      </c>
      <c r="D160">
        <v>0</v>
      </c>
      <c r="E160" s="360"/>
      <c r="F160">
        <v>0</v>
      </c>
      <c r="G160">
        <v>0</v>
      </c>
      <c r="H160">
        <v>0</v>
      </c>
      <c r="J160">
        <v>0</v>
      </c>
      <c r="K160" s="14">
        <v>0</v>
      </c>
      <c r="L160">
        <v>0</v>
      </c>
      <c r="M160">
        <v>0</v>
      </c>
      <c r="N160">
        <v>0</v>
      </c>
      <c r="O160" s="20"/>
      <c r="P160" s="20"/>
      <c r="Q160" s="438"/>
      <c r="R160" s="197"/>
      <c r="S160" s="197"/>
      <c r="T160" s="197"/>
      <c r="U160" s="197"/>
      <c r="V160" s="20">
        <f t="shared" si="179"/>
        <v>0</v>
      </c>
      <c r="W160" s="20">
        <f t="shared" si="179"/>
        <v>0</v>
      </c>
      <c r="X160" s="20">
        <f t="shared" si="179"/>
        <v>0</v>
      </c>
      <c r="Y160" s="20">
        <f t="shared" si="179"/>
        <v>0</v>
      </c>
      <c r="Z160" s="20">
        <f t="shared" si="180"/>
        <v>0</v>
      </c>
      <c r="AA160" s="20">
        <f t="shared" si="180"/>
        <v>0</v>
      </c>
      <c r="AB160" s="20">
        <f t="shared" si="180"/>
        <v>0</v>
      </c>
      <c r="AC160" s="20">
        <f t="shared" si="180"/>
        <v>0</v>
      </c>
      <c r="AD160" s="20">
        <f t="shared" si="181"/>
        <v>0</v>
      </c>
      <c r="AE160" s="20">
        <f t="shared" si="182"/>
        <v>0</v>
      </c>
      <c r="AF160" s="20">
        <f t="shared" si="182"/>
        <v>0</v>
      </c>
      <c r="AG160" s="20">
        <f t="shared" si="182"/>
        <v>0</v>
      </c>
      <c r="AH160" s="20">
        <f t="shared" si="182"/>
        <v>0</v>
      </c>
      <c r="AI160" s="20">
        <f t="shared" si="183"/>
        <v>0</v>
      </c>
      <c r="AJ160" s="20">
        <f t="shared" si="183"/>
        <v>0</v>
      </c>
      <c r="AK160" s="20">
        <f t="shared" si="183"/>
        <v>0</v>
      </c>
      <c r="AL160" s="20">
        <f t="shared" si="183"/>
        <v>0</v>
      </c>
      <c r="AM160" s="20">
        <f t="shared" si="184"/>
        <v>0</v>
      </c>
      <c r="AO160">
        <f t="shared" si="185"/>
        <v>0</v>
      </c>
      <c r="AP160">
        <f t="shared" si="185"/>
        <v>0</v>
      </c>
      <c r="AQ160">
        <f t="shared" si="185"/>
        <v>0</v>
      </c>
      <c r="AR160">
        <f t="shared" si="185"/>
        <v>0</v>
      </c>
      <c r="AS160">
        <f t="shared" si="186"/>
        <v>0</v>
      </c>
      <c r="AU160">
        <f t="shared" si="187"/>
        <v>0</v>
      </c>
      <c r="AV160">
        <f t="shared" si="187"/>
        <v>0</v>
      </c>
      <c r="AW160">
        <f t="shared" si="187"/>
        <v>0</v>
      </c>
      <c r="AX160">
        <f t="shared" si="187"/>
        <v>0</v>
      </c>
      <c r="AY160">
        <f t="shared" si="188"/>
        <v>0</v>
      </c>
    </row>
    <row r="161" spans="1:53" ht="15" x14ac:dyDescent="0.25">
      <c r="A161" s="1"/>
      <c r="B161" s="2"/>
      <c r="C161" s="1" t="s">
        <v>13</v>
      </c>
      <c r="D161">
        <v>0</v>
      </c>
      <c r="E161" s="360"/>
      <c r="F161">
        <v>0</v>
      </c>
      <c r="G161">
        <v>0</v>
      </c>
      <c r="H161">
        <v>0</v>
      </c>
      <c r="J161">
        <v>0</v>
      </c>
      <c r="K161" s="14">
        <v>0</v>
      </c>
      <c r="L161">
        <v>0</v>
      </c>
      <c r="M161">
        <v>0</v>
      </c>
      <c r="N161">
        <v>0</v>
      </c>
      <c r="O161" s="20"/>
      <c r="P161" s="20"/>
      <c r="Q161" s="438"/>
      <c r="R161" s="197"/>
      <c r="S161" s="197"/>
      <c r="T161" s="197"/>
      <c r="U161" s="197"/>
      <c r="V161" s="20">
        <f t="shared" si="179"/>
        <v>0</v>
      </c>
      <c r="W161" s="20">
        <f t="shared" si="179"/>
        <v>0</v>
      </c>
      <c r="X161" s="20">
        <f t="shared" si="179"/>
        <v>0</v>
      </c>
      <c r="Y161" s="20">
        <f t="shared" si="179"/>
        <v>0</v>
      </c>
      <c r="Z161" s="20">
        <f t="shared" si="180"/>
        <v>0</v>
      </c>
      <c r="AA161" s="20">
        <f t="shared" si="180"/>
        <v>0</v>
      </c>
      <c r="AB161" s="20">
        <f t="shared" si="180"/>
        <v>0</v>
      </c>
      <c r="AC161" s="20">
        <f t="shared" si="180"/>
        <v>0</v>
      </c>
      <c r="AD161" s="20">
        <f t="shared" si="181"/>
        <v>0</v>
      </c>
      <c r="AE161" s="20">
        <f t="shared" si="182"/>
        <v>0</v>
      </c>
      <c r="AF161" s="20">
        <f t="shared" si="182"/>
        <v>0</v>
      </c>
      <c r="AG161" s="20">
        <f t="shared" si="182"/>
        <v>0</v>
      </c>
      <c r="AH161" s="20">
        <f t="shared" si="182"/>
        <v>0</v>
      </c>
      <c r="AI161" s="20">
        <f t="shared" si="183"/>
        <v>0</v>
      </c>
      <c r="AJ161" s="20">
        <f t="shared" si="183"/>
        <v>0</v>
      </c>
      <c r="AK161" s="20">
        <f t="shared" si="183"/>
        <v>0</v>
      </c>
      <c r="AL161" s="20">
        <f t="shared" si="183"/>
        <v>0</v>
      </c>
      <c r="AM161" s="20">
        <f t="shared" si="184"/>
        <v>0</v>
      </c>
      <c r="AO161">
        <f t="shared" si="185"/>
        <v>0</v>
      </c>
      <c r="AP161">
        <f t="shared" si="185"/>
        <v>0</v>
      </c>
      <c r="AQ161">
        <f t="shared" si="185"/>
        <v>0</v>
      </c>
      <c r="AR161">
        <f t="shared" si="185"/>
        <v>0</v>
      </c>
      <c r="AS161">
        <f t="shared" si="186"/>
        <v>0</v>
      </c>
      <c r="AU161">
        <f t="shared" si="187"/>
        <v>0</v>
      </c>
      <c r="AV161">
        <f t="shared" si="187"/>
        <v>0</v>
      </c>
      <c r="AW161">
        <f t="shared" si="187"/>
        <v>0</v>
      </c>
      <c r="AX161">
        <f t="shared" si="187"/>
        <v>0</v>
      </c>
      <c r="AY161">
        <f t="shared" si="188"/>
        <v>0</v>
      </c>
    </row>
    <row r="162" spans="1:53" ht="15" x14ac:dyDescent="0.25">
      <c r="A162" s="7"/>
      <c r="B162" s="8" t="s">
        <v>14</v>
      </c>
      <c r="C162" s="7"/>
      <c r="D162" s="357">
        <f t="shared" ref="D162:H162" si="189">SUM(D156:D161)</f>
        <v>0</v>
      </c>
      <c r="E162" s="363">
        <f>SUM(E156:E161)</f>
        <v>0</v>
      </c>
      <c r="F162" s="357">
        <f t="shared" si="189"/>
        <v>0</v>
      </c>
      <c r="G162" s="357">
        <f t="shared" si="189"/>
        <v>0</v>
      </c>
      <c r="H162" s="357">
        <f t="shared" si="189"/>
        <v>0</v>
      </c>
      <c r="J162">
        <v>0</v>
      </c>
      <c r="K162" s="14">
        <v>0</v>
      </c>
      <c r="L162">
        <v>0</v>
      </c>
      <c r="M162">
        <v>0</v>
      </c>
      <c r="N162">
        <v>0</v>
      </c>
      <c r="O162" s="20"/>
      <c r="P162" s="20"/>
      <c r="Q162" s="438"/>
      <c r="R162" s="197"/>
      <c r="S162" s="197"/>
      <c r="T162" s="197"/>
      <c r="U162" s="197"/>
      <c r="BA162" s="319">
        <f>(E162*10000*Q162*AU$10)</f>
        <v>0</v>
      </c>
    </row>
    <row r="163" spans="1:53" ht="15" x14ac:dyDescent="0.25">
      <c r="A163" s="10"/>
      <c r="B163" s="9" t="s">
        <v>15</v>
      </c>
      <c r="C163" s="5"/>
      <c r="E163" s="363">
        <f>SUM(E162)</f>
        <v>0</v>
      </c>
      <c r="H163" s="358">
        <f>SUM(D162:H162)</f>
        <v>0</v>
      </c>
      <c r="K163" s="14"/>
      <c r="N163">
        <v>0</v>
      </c>
      <c r="O163" s="20"/>
      <c r="P163" s="20"/>
      <c r="Q163" s="438"/>
      <c r="R163" s="197"/>
      <c r="S163" s="197"/>
      <c r="T163" s="197"/>
      <c r="U163" s="197"/>
    </row>
    <row r="164" spans="1:53" ht="15.75" x14ac:dyDescent="0.25">
      <c r="A164" s="1"/>
      <c r="B164" s="2"/>
      <c r="C164" s="1"/>
      <c r="E164" s="361"/>
      <c r="K164" s="14"/>
      <c r="O164" s="20"/>
      <c r="P164" s="20"/>
      <c r="Q164" s="439"/>
      <c r="R164" s="197"/>
      <c r="S164" s="197"/>
      <c r="T164" s="197"/>
      <c r="U164" s="197"/>
    </row>
    <row r="165" spans="1:53" ht="15" x14ac:dyDescent="0.25">
      <c r="A165" s="1">
        <v>18</v>
      </c>
      <c r="B165" s="2" t="s">
        <v>709</v>
      </c>
      <c r="C165" s="1" t="s">
        <v>8</v>
      </c>
      <c r="D165">
        <v>0</v>
      </c>
      <c r="E165" s="360"/>
      <c r="F165">
        <v>0</v>
      </c>
      <c r="G165">
        <v>0</v>
      </c>
      <c r="H165">
        <v>0</v>
      </c>
      <c r="J165">
        <v>0</v>
      </c>
      <c r="K165" s="14">
        <v>0</v>
      </c>
      <c r="L165">
        <v>0</v>
      </c>
      <c r="M165">
        <v>0</v>
      </c>
      <c r="N165">
        <v>0</v>
      </c>
      <c r="O165" s="20"/>
      <c r="P165" s="20"/>
      <c r="Q165" s="438"/>
      <c r="R165" s="197">
        <v>0.66599999999999993</v>
      </c>
      <c r="S165" s="197">
        <v>4.5549999999999997</v>
      </c>
      <c r="T165" s="197">
        <v>0.60039794540960334</v>
      </c>
      <c r="U165" s="197">
        <v>0.90789473684210531</v>
      </c>
      <c r="V165" s="20">
        <f t="shared" ref="V165:Y170" si="190">IF(K165&gt;0,((E165-K165)*$Q165*$R165*10)+(K165*$O$12*$Q165*$R165*10),(E165*$Q165*$R165*10))</f>
        <v>0</v>
      </c>
      <c r="W165" s="20">
        <f t="shared" si="190"/>
        <v>0</v>
      </c>
      <c r="X165" s="20">
        <f t="shared" si="190"/>
        <v>0</v>
      </c>
      <c r="Y165" s="20">
        <f t="shared" si="190"/>
        <v>0</v>
      </c>
      <c r="Z165" s="20">
        <f t="shared" ref="Z165:AC170" si="191">V165*(EXP(1.01-0.34*LN(Z$8))*(1-$T165)+(1*$T165))</f>
        <v>0</v>
      </c>
      <c r="AA165" s="20">
        <f t="shared" si="191"/>
        <v>0</v>
      </c>
      <c r="AB165" s="20">
        <f t="shared" si="191"/>
        <v>0</v>
      </c>
      <c r="AC165" s="20">
        <f t="shared" si="191"/>
        <v>0</v>
      </c>
      <c r="AD165" s="20">
        <f t="shared" ref="AD165:AD170" si="192">SUM(Z165:AC165)</f>
        <v>0</v>
      </c>
      <c r="AE165" s="20">
        <f t="shared" ref="AE165:AH170" si="193">IF(K165&gt;0,((E165-K165)*$Q165*$S165*10)+(K165*$P$12*$Q165*$S165)*10,(E165*$Q165*$S165*10))</f>
        <v>0</v>
      </c>
      <c r="AF165" s="20">
        <f t="shared" si="193"/>
        <v>0</v>
      </c>
      <c r="AG165" s="20">
        <f t="shared" si="193"/>
        <v>0</v>
      </c>
      <c r="AH165" s="20">
        <f t="shared" si="193"/>
        <v>0</v>
      </c>
      <c r="AI165" s="20">
        <f t="shared" ref="AI165:AL170" si="194">AE165*(EXP(1.01-0.34*LN(AI$8))*(1-$U165)+(1*$U165))</f>
        <v>0</v>
      </c>
      <c r="AJ165" s="20">
        <f t="shared" si="194"/>
        <v>0</v>
      </c>
      <c r="AK165" s="20">
        <f t="shared" si="194"/>
        <v>0</v>
      </c>
      <c r="AL165" s="20">
        <f t="shared" si="194"/>
        <v>0</v>
      </c>
      <c r="AM165" s="20">
        <f t="shared" ref="AM165:AM170" si="195">SUM(AI165:AL165)</f>
        <v>0</v>
      </c>
      <c r="AO165">
        <f t="shared" ref="AO165:AR170" si="196">Z165*AO$10</f>
        <v>0</v>
      </c>
      <c r="AP165">
        <f t="shared" si="196"/>
        <v>0</v>
      </c>
      <c r="AQ165">
        <f t="shared" si="196"/>
        <v>0</v>
      </c>
      <c r="AR165">
        <f t="shared" si="196"/>
        <v>0</v>
      </c>
      <c r="AS165">
        <f t="shared" ref="AS165:AS170" si="197">SUM(AO165:AR165)</f>
        <v>0</v>
      </c>
      <c r="AU165">
        <f t="shared" ref="AU165:AX170" si="198">AI165*AU$10</f>
        <v>0</v>
      </c>
      <c r="AV165">
        <f t="shared" si="198"/>
        <v>0</v>
      </c>
      <c r="AW165">
        <f t="shared" si="198"/>
        <v>0</v>
      </c>
      <c r="AX165">
        <f t="shared" si="198"/>
        <v>0</v>
      </c>
      <c r="AY165">
        <f t="shared" ref="AY165:AY170" si="199">SUM(AU165:AX165)</f>
        <v>0</v>
      </c>
    </row>
    <row r="166" spans="1:53" ht="15" x14ac:dyDescent="0.25">
      <c r="A166" s="1"/>
      <c r="B166" s="2"/>
      <c r="C166" s="1" t="s">
        <v>9</v>
      </c>
      <c r="D166">
        <v>0</v>
      </c>
      <c r="E166" s="360"/>
      <c r="F166">
        <v>0</v>
      </c>
      <c r="G166">
        <v>0</v>
      </c>
      <c r="H166">
        <v>0</v>
      </c>
      <c r="J166">
        <v>0</v>
      </c>
      <c r="K166" s="14">
        <v>0</v>
      </c>
      <c r="L166">
        <v>0</v>
      </c>
      <c r="M166">
        <v>0</v>
      </c>
      <c r="N166">
        <v>0</v>
      </c>
      <c r="O166" s="20"/>
      <c r="P166" s="20"/>
      <c r="Q166" s="438"/>
      <c r="R166" s="197">
        <v>0.66599999999999993</v>
      </c>
      <c r="S166" s="197">
        <v>4.5549999999999997</v>
      </c>
      <c r="T166" s="197">
        <v>0.60039794540960334</v>
      </c>
      <c r="U166" s="197">
        <v>0.90789473684210531</v>
      </c>
      <c r="V166" s="20">
        <f t="shared" si="190"/>
        <v>0</v>
      </c>
      <c r="W166" s="20">
        <f t="shared" si="190"/>
        <v>0</v>
      </c>
      <c r="X166" s="20">
        <f t="shared" si="190"/>
        <v>0</v>
      </c>
      <c r="Y166" s="20">
        <f t="shared" si="190"/>
        <v>0</v>
      </c>
      <c r="Z166" s="20">
        <f t="shared" si="191"/>
        <v>0</v>
      </c>
      <c r="AA166" s="20">
        <f t="shared" si="191"/>
        <v>0</v>
      </c>
      <c r="AB166" s="20">
        <f t="shared" si="191"/>
        <v>0</v>
      </c>
      <c r="AC166" s="20">
        <f t="shared" si="191"/>
        <v>0</v>
      </c>
      <c r="AD166" s="20">
        <f t="shared" si="192"/>
        <v>0</v>
      </c>
      <c r="AE166" s="20">
        <f t="shared" si="193"/>
        <v>0</v>
      </c>
      <c r="AF166" s="20">
        <f t="shared" si="193"/>
        <v>0</v>
      </c>
      <c r="AG166" s="20">
        <f t="shared" si="193"/>
        <v>0</v>
      </c>
      <c r="AH166" s="20">
        <f t="shared" si="193"/>
        <v>0</v>
      </c>
      <c r="AI166" s="20">
        <f t="shared" si="194"/>
        <v>0</v>
      </c>
      <c r="AJ166" s="20">
        <f t="shared" si="194"/>
        <v>0</v>
      </c>
      <c r="AK166" s="20">
        <f t="shared" si="194"/>
        <v>0</v>
      </c>
      <c r="AL166" s="20">
        <f t="shared" si="194"/>
        <v>0</v>
      </c>
      <c r="AM166" s="20">
        <f t="shared" si="195"/>
        <v>0</v>
      </c>
      <c r="AO166">
        <f t="shared" si="196"/>
        <v>0</v>
      </c>
      <c r="AP166">
        <f t="shared" si="196"/>
        <v>0</v>
      </c>
      <c r="AQ166">
        <f t="shared" si="196"/>
        <v>0</v>
      </c>
      <c r="AR166">
        <f t="shared" si="196"/>
        <v>0</v>
      </c>
      <c r="AS166">
        <f t="shared" si="197"/>
        <v>0</v>
      </c>
      <c r="AU166">
        <f t="shared" si="198"/>
        <v>0</v>
      </c>
      <c r="AV166">
        <f t="shared" si="198"/>
        <v>0</v>
      </c>
      <c r="AW166">
        <f t="shared" si="198"/>
        <v>0</v>
      </c>
      <c r="AX166">
        <f t="shared" si="198"/>
        <v>0</v>
      </c>
      <c r="AY166">
        <f t="shared" si="199"/>
        <v>0</v>
      </c>
    </row>
    <row r="167" spans="1:53" ht="15" x14ac:dyDescent="0.25">
      <c r="A167" s="1"/>
      <c r="B167" s="2"/>
      <c r="C167" s="1" t="s">
        <v>10</v>
      </c>
      <c r="D167">
        <v>0</v>
      </c>
      <c r="E167" s="360"/>
      <c r="F167">
        <v>0</v>
      </c>
      <c r="G167">
        <v>0</v>
      </c>
      <c r="H167">
        <v>0</v>
      </c>
      <c r="J167">
        <v>0</v>
      </c>
      <c r="K167" s="14">
        <v>0</v>
      </c>
      <c r="L167">
        <v>0</v>
      </c>
      <c r="M167">
        <v>0</v>
      </c>
      <c r="N167">
        <v>0</v>
      </c>
      <c r="O167" s="20"/>
      <c r="P167" s="20"/>
      <c r="Q167" s="438"/>
      <c r="R167" s="197">
        <v>0.66599999999999993</v>
      </c>
      <c r="S167" s="197">
        <v>4.5549999999999997</v>
      </c>
      <c r="T167" s="197">
        <v>0.60039794540960334</v>
      </c>
      <c r="U167" s="197">
        <v>0.90789473684210531</v>
      </c>
      <c r="V167" s="20">
        <f t="shared" si="190"/>
        <v>0</v>
      </c>
      <c r="W167" s="20">
        <f t="shared" si="190"/>
        <v>0</v>
      </c>
      <c r="X167" s="20">
        <f t="shared" si="190"/>
        <v>0</v>
      </c>
      <c r="Y167" s="20">
        <f t="shared" si="190"/>
        <v>0</v>
      </c>
      <c r="Z167" s="20">
        <f t="shared" si="191"/>
        <v>0</v>
      </c>
      <c r="AA167" s="20">
        <f t="shared" si="191"/>
        <v>0</v>
      </c>
      <c r="AB167" s="20">
        <f t="shared" si="191"/>
        <v>0</v>
      </c>
      <c r="AC167" s="20">
        <f t="shared" si="191"/>
        <v>0</v>
      </c>
      <c r="AD167" s="20">
        <f t="shared" si="192"/>
        <v>0</v>
      </c>
      <c r="AE167" s="20">
        <f t="shared" si="193"/>
        <v>0</v>
      </c>
      <c r="AF167" s="20">
        <f t="shared" si="193"/>
        <v>0</v>
      </c>
      <c r="AG167" s="20">
        <f t="shared" si="193"/>
        <v>0</v>
      </c>
      <c r="AH167" s="20">
        <f t="shared" si="193"/>
        <v>0</v>
      </c>
      <c r="AI167" s="20">
        <f t="shared" si="194"/>
        <v>0</v>
      </c>
      <c r="AJ167" s="20">
        <f t="shared" si="194"/>
        <v>0</v>
      </c>
      <c r="AK167" s="20">
        <f t="shared" si="194"/>
        <v>0</v>
      </c>
      <c r="AL167" s="20">
        <f t="shared" si="194"/>
        <v>0</v>
      </c>
      <c r="AM167" s="20">
        <f t="shared" si="195"/>
        <v>0</v>
      </c>
      <c r="AO167">
        <f t="shared" si="196"/>
        <v>0</v>
      </c>
      <c r="AP167">
        <f t="shared" si="196"/>
        <v>0</v>
      </c>
      <c r="AQ167">
        <f t="shared" si="196"/>
        <v>0</v>
      </c>
      <c r="AR167">
        <f t="shared" si="196"/>
        <v>0</v>
      </c>
      <c r="AS167">
        <f t="shared" si="197"/>
        <v>0</v>
      </c>
      <c r="AU167">
        <f t="shared" si="198"/>
        <v>0</v>
      </c>
      <c r="AV167">
        <f t="shared" si="198"/>
        <v>0</v>
      </c>
      <c r="AW167">
        <f t="shared" si="198"/>
        <v>0</v>
      </c>
      <c r="AX167">
        <f t="shared" si="198"/>
        <v>0</v>
      </c>
      <c r="AY167">
        <f t="shared" si="199"/>
        <v>0</v>
      </c>
    </row>
    <row r="168" spans="1:53" ht="15" x14ac:dyDescent="0.25">
      <c r="A168" s="1"/>
      <c r="B168" s="2"/>
      <c r="C168" s="1" t="s">
        <v>11</v>
      </c>
      <c r="D168">
        <v>0</v>
      </c>
      <c r="E168" s="360">
        <v>137.8776</v>
      </c>
      <c r="F168">
        <v>0</v>
      </c>
      <c r="G168">
        <v>0</v>
      </c>
      <c r="H168">
        <v>0</v>
      </c>
      <c r="J168">
        <v>0</v>
      </c>
      <c r="K168" s="14">
        <v>6.583568409723739E-5</v>
      </c>
      <c r="L168">
        <v>0</v>
      </c>
      <c r="M168">
        <v>0</v>
      </c>
      <c r="N168">
        <v>0</v>
      </c>
      <c r="O168" s="20"/>
      <c r="P168" s="20"/>
      <c r="Q168" s="438">
        <v>7.840206269656326E-2</v>
      </c>
      <c r="R168" s="197">
        <v>0.66599999999999993</v>
      </c>
      <c r="S168" s="197">
        <v>4.5549999999999997</v>
      </c>
      <c r="T168" s="197">
        <v>0.60039794540960334</v>
      </c>
      <c r="U168" s="197">
        <v>0.90789473684210531</v>
      </c>
      <c r="V168" s="20">
        <f t="shared" si="190"/>
        <v>71.993833941537574</v>
      </c>
      <c r="W168" s="20">
        <f t="shared" si="190"/>
        <v>0</v>
      </c>
      <c r="X168" s="20">
        <f t="shared" si="190"/>
        <v>0</v>
      </c>
      <c r="Y168" s="20">
        <f t="shared" si="190"/>
        <v>0</v>
      </c>
      <c r="Z168" s="20">
        <f t="shared" si="191"/>
        <v>48.475350679481323</v>
      </c>
      <c r="AA168" s="20">
        <f t="shared" si="191"/>
        <v>0</v>
      </c>
      <c r="AB168" s="20">
        <f t="shared" si="191"/>
        <v>0</v>
      </c>
      <c r="AC168" s="20">
        <f t="shared" si="191"/>
        <v>0</v>
      </c>
      <c r="AD168" s="20">
        <f t="shared" si="192"/>
        <v>48.475350679481323</v>
      </c>
      <c r="AE168" s="20">
        <f t="shared" si="193"/>
        <v>492.39031036403981</v>
      </c>
      <c r="AF168" s="20">
        <f t="shared" si="193"/>
        <v>0</v>
      </c>
      <c r="AG168" s="20">
        <f t="shared" si="193"/>
        <v>0</v>
      </c>
      <c r="AH168" s="20">
        <f t="shared" si="193"/>
        <v>0</v>
      </c>
      <c r="AI168" s="20">
        <f t="shared" si="194"/>
        <v>455.31538876915357</v>
      </c>
      <c r="AJ168" s="20">
        <f t="shared" si="194"/>
        <v>0</v>
      </c>
      <c r="AK168" s="20">
        <f t="shared" si="194"/>
        <v>0</v>
      </c>
      <c r="AL168" s="20">
        <f t="shared" si="194"/>
        <v>0</v>
      </c>
      <c r="AM168" s="20">
        <f t="shared" si="195"/>
        <v>455.31538876915357</v>
      </c>
      <c r="AO168">
        <f t="shared" si="196"/>
        <v>40.341186835464363</v>
      </c>
      <c r="AP168">
        <f t="shared" si="196"/>
        <v>0</v>
      </c>
      <c r="AQ168">
        <f t="shared" si="196"/>
        <v>0</v>
      </c>
      <c r="AR168">
        <f t="shared" si="196"/>
        <v>0</v>
      </c>
      <c r="AS168">
        <f t="shared" si="197"/>
        <v>40.341186835464363</v>
      </c>
      <c r="AU168">
        <f t="shared" si="198"/>
        <v>378.91346653368964</v>
      </c>
      <c r="AV168">
        <f t="shared" si="198"/>
        <v>0</v>
      </c>
      <c r="AW168">
        <f t="shared" si="198"/>
        <v>0</v>
      </c>
      <c r="AX168">
        <f t="shared" si="198"/>
        <v>0</v>
      </c>
      <c r="AY168">
        <f t="shared" si="199"/>
        <v>378.91346653368964</v>
      </c>
    </row>
    <row r="169" spans="1:53" ht="15" x14ac:dyDescent="0.25">
      <c r="A169" s="1"/>
      <c r="B169" s="2"/>
      <c r="C169" s="1" t="s">
        <v>12</v>
      </c>
      <c r="D169">
        <v>0</v>
      </c>
      <c r="E169" s="360"/>
      <c r="F169">
        <v>0</v>
      </c>
      <c r="G169">
        <v>0</v>
      </c>
      <c r="H169">
        <v>0</v>
      </c>
      <c r="J169">
        <v>0</v>
      </c>
      <c r="K169" s="14">
        <v>0</v>
      </c>
      <c r="L169">
        <v>0</v>
      </c>
      <c r="M169">
        <v>0</v>
      </c>
      <c r="N169">
        <v>0</v>
      </c>
      <c r="O169" s="20"/>
      <c r="P169" s="20"/>
      <c r="Q169" s="438"/>
      <c r="R169" s="197">
        <v>0.66599999999999993</v>
      </c>
      <c r="S169" s="197">
        <v>4.5549999999999997</v>
      </c>
      <c r="T169" s="197">
        <v>0.60039794540960334</v>
      </c>
      <c r="U169" s="197">
        <v>0.90789473684210531</v>
      </c>
      <c r="V169" s="20">
        <f t="shared" si="190"/>
        <v>0</v>
      </c>
      <c r="W169" s="20">
        <f t="shared" si="190"/>
        <v>0</v>
      </c>
      <c r="X169" s="20">
        <f t="shared" si="190"/>
        <v>0</v>
      </c>
      <c r="Y169" s="20">
        <f t="shared" si="190"/>
        <v>0</v>
      </c>
      <c r="Z169" s="20">
        <f t="shared" si="191"/>
        <v>0</v>
      </c>
      <c r="AA169" s="20">
        <f t="shared" si="191"/>
        <v>0</v>
      </c>
      <c r="AB169" s="20">
        <f t="shared" si="191"/>
        <v>0</v>
      </c>
      <c r="AC169" s="20">
        <f t="shared" si="191"/>
        <v>0</v>
      </c>
      <c r="AD169" s="20">
        <f t="shared" si="192"/>
        <v>0</v>
      </c>
      <c r="AE169" s="20">
        <f t="shared" si="193"/>
        <v>0</v>
      </c>
      <c r="AF169" s="20">
        <f t="shared" si="193"/>
        <v>0</v>
      </c>
      <c r="AG169" s="20">
        <f t="shared" si="193"/>
        <v>0</v>
      </c>
      <c r="AH169" s="20">
        <f t="shared" si="193"/>
        <v>0</v>
      </c>
      <c r="AI169" s="20">
        <f t="shared" si="194"/>
        <v>0</v>
      </c>
      <c r="AJ169" s="20">
        <f t="shared" si="194"/>
        <v>0</v>
      </c>
      <c r="AK169" s="20">
        <f t="shared" si="194"/>
        <v>0</v>
      </c>
      <c r="AL169" s="20">
        <f t="shared" si="194"/>
        <v>0</v>
      </c>
      <c r="AM169" s="20">
        <f t="shared" si="195"/>
        <v>0</v>
      </c>
      <c r="AO169">
        <f t="shared" si="196"/>
        <v>0</v>
      </c>
      <c r="AP169">
        <f t="shared" si="196"/>
        <v>0</v>
      </c>
      <c r="AQ169">
        <f t="shared" si="196"/>
        <v>0</v>
      </c>
      <c r="AR169">
        <f t="shared" si="196"/>
        <v>0</v>
      </c>
      <c r="AS169">
        <f t="shared" si="197"/>
        <v>0</v>
      </c>
      <c r="AU169">
        <f t="shared" si="198"/>
        <v>0</v>
      </c>
      <c r="AV169">
        <f t="shared" si="198"/>
        <v>0</v>
      </c>
      <c r="AW169">
        <f t="shared" si="198"/>
        <v>0</v>
      </c>
      <c r="AX169">
        <f t="shared" si="198"/>
        <v>0</v>
      </c>
      <c r="AY169">
        <f t="shared" si="199"/>
        <v>0</v>
      </c>
    </row>
    <row r="170" spans="1:53" ht="15" x14ac:dyDescent="0.25">
      <c r="A170" s="1"/>
      <c r="B170" s="2"/>
      <c r="C170" s="1" t="s">
        <v>13</v>
      </c>
      <c r="D170">
        <v>0</v>
      </c>
      <c r="E170" s="360"/>
      <c r="F170">
        <v>0</v>
      </c>
      <c r="G170">
        <v>0</v>
      </c>
      <c r="H170">
        <v>0</v>
      </c>
      <c r="J170">
        <v>0</v>
      </c>
      <c r="K170" s="14">
        <v>0</v>
      </c>
      <c r="L170">
        <v>0</v>
      </c>
      <c r="M170">
        <v>0</v>
      </c>
      <c r="N170">
        <v>0</v>
      </c>
      <c r="O170" s="20"/>
      <c r="P170" s="20"/>
      <c r="Q170" s="438"/>
      <c r="R170" s="197">
        <v>0.66599999999999993</v>
      </c>
      <c r="S170" s="197">
        <v>4.5549999999999997</v>
      </c>
      <c r="T170" s="197">
        <v>0.60039794540960334</v>
      </c>
      <c r="U170" s="197">
        <v>0.90789473684210531</v>
      </c>
      <c r="V170" s="20">
        <f t="shared" si="190"/>
        <v>0</v>
      </c>
      <c r="W170" s="20">
        <f t="shared" si="190"/>
        <v>0</v>
      </c>
      <c r="X170" s="20">
        <f t="shared" si="190"/>
        <v>0</v>
      </c>
      <c r="Y170" s="20">
        <f t="shared" si="190"/>
        <v>0</v>
      </c>
      <c r="Z170" s="20">
        <f t="shared" si="191"/>
        <v>0</v>
      </c>
      <c r="AA170" s="20">
        <f t="shared" si="191"/>
        <v>0</v>
      </c>
      <c r="AB170" s="20">
        <f t="shared" si="191"/>
        <v>0</v>
      </c>
      <c r="AC170" s="20">
        <f t="shared" si="191"/>
        <v>0</v>
      </c>
      <c r="AD170" s="20">
        <f t="shared" si="192"/>
        <v>0</v>
      </c>
      <c r="AE170" s="20">
        <f t="shared" si="193"/>
        <v>0</v>
      </c>
      <c r="AF170" s="20">
        <f t="shared" si="193"/>
        <v>0</v>
      </c>
      <c r="AG170" s="20">
        <f t="shared" si="193"/>
        <v>0</v>
      </c>
      <c r="AH170" s="20">
        <f t="shared" si="193"/>
        <v>0</v>
      </c>
      <c r="AI170" s="20">
        <f t="shared" si="194"/>
        <v>0</v>
      </c>
      <c r="AJ170" s="20">
        <f t="shared" si="194"/>
        <v>0</v>
      </c>
      <c r="AK170" s="20">
        <f t="shared" si="194"/>
        <v>0</v>
      </c>
      <c r="AL170" s="20">
        <f t="shared" si="194"/>
        <v>0</v>
      </c>
      <c r="AM170" s="20">
        <f t="shared" si="195"/>
        <v>0</v>
      </c>
      <c r="AO170">
        <f t="shared" si="196"/>
        <v>0</v>
      </c>
      <c r="AP170">
        <f t="shared" si="196"/>
        <v>0</v>
      </c>
      <c r="AQ170">
        <f t="shared" si="196"/>
        <v>0</v>
      </c>
      <c r="AR170">
        <f t="shared" si="196"/>
        <v>0</v>
      </c>
      <c r="AS170">
        <f t="shared" si="197"/>
        <v>0</v>
      </c>
      <c r="AU170">
        <f t="shared" si="198"/>
        <v>0</v>
      </c>
      <c r="AV170">
        <f t="shared" si="198"/>
        <v>0</v>
      </c>
      <c r="AW170">
        <f t="shared" si="198"/>
        <v>0</v>
      </c>
      <c r="AX170">
        <f t="shared" si="198"/>
        <v>0</v>
      </c>
      <c r="AY170">
        <f t="shared" si="199"/>
        <v>0</v>
      </c>
    </row>
    <row r="171" spans="1:53" ht="15" x14ac:dyDescent="0.25">
      <c r="A171" s="7"/>
      <c r="B171" s="8" t="s">
        <v>14</v>
      </c>
      <c r="C171" s="7"/>
      <c r="D171" s="357">
        <f t="shared" ref="D171:H171" si="200">SUM(D165:D170)</f>
        <v>0</v>
      </c>
      <c r="E171" s="363">
        <f>SUM(E165:E170)</f>
        <v>137.8776</v>
      </c>
      <c r="F171" s="357">
        <f t="shared" si="200"/>
        <v>0</v>
      </c>
      <c r="G171" s="357">
        <f t="shared" si="200"/>
        <v>0</v>
      </c>
      <c r="H171" s="357">
        <f t="shared" si="200"/>
        <v>0</v>
      </c>
      <c r="J171">
        <v>0</v>
      </c>
      <c r="K171" s="14">
        <v>6.583568409723739E-5</v>
      </c>
      <c r="L171">
        <v>0</v>
      </c>
      <c r="M171">
        <v>0</v>
      </c>
      <c r="N171">
        <v>0</v>
      </c>
      <c r="O171" s="20"/>
      <c r="P171" s="20"/>
      <c r="Q171" s="438">
        <v>7.840206269656326E-2</v>
      </c>
      <c r="R171" s="20"/>
      <c r="S171" s="20"/>
      <c r="T171" s="20"/>
      <c r="U171" s="20"/>
      <c r="BA171" s="319">
        <f>(E171*10000*Q171*AU$10)</f>
        <v>89959.889930381207</v>
      </c>
    </row>
    <row r="172" spans="1:53" ht="15" x14ac:dyDescent="0.25">
      <c r="A172" s="1"/>
      <c r="B172" s="9" t="s">
        <v>15</v>
      </c>
      <c r="C172" s="5"/>
      <c r="E172" s="363">
        <f>SUM(E171)</f>
        <v>137.8776</v>
      </c>
      <c r="H172" s="358">
        <f>SUM(D171:H171)</f>
        <v>137.8776</v>
      </c>
      <c r="K172" s="14"/>
      <c r="N172">
        <v>0</v>
      </c>
      <c r="O172" s="20"/>
      <c r="P172" s="20"/>
      <c r="Q172" s="438"/>
      <c r="R172" s="20"/>
      <c r="S172" s="20"/>
      <c r="T172" s="20"/>
      <c r="U172" s="20"/>
    </row>
    <row r="173" spans="1:53" ht="15.75" x14ac:dyDescent="0.25">
      <c r="A173" s="1"/>
      <c r="B173" s="2"/>
      <c r="C173" s="1"/>
      <c r="E173" s="361"/>
      <c r="K173" s="14"/>
      <c r="O173" s="20"/>
      <c r="P173" s="20"/>
      <c r="Q173" s="439"/>
      <c r="R173" s="20"/>
      <c r="S173" s="20"/>
      <c r="T173" s="20"/>
      <c r="U173" s="20"/>
    </row>
    <row r="174" spans="1:53" ht="15" x14ac:dyDescent="0.25">
      <c r="A174" s="1">
        <v>19</v>
      </c>
      <c r="B174" s="154" t="s">
        <v>865</v>
      </c>
      <c r="C174" s="1" t="s">
        <v>8</v>
      </c>
      <c r="D174">
        <v>0</v>
      </c>
      <c r="E174" s="360">
        <v>0</v>
      </c>
      <c r="F174">
        <v>0</v>
      </c>
      <c r="G174">
        <v>0</v>
      </c>
      <c r="H174">
        <v>0</v>
      </c>
      <c r="J174">
        <v>0</v>
      </c>
      <c r="K174" s="14">
        <v>0</v>
      </c>
      <c r="L174">
        <v>0</v>
      </c>
      <c r="M174">
        <v>0</v>
      </c>
      <c r="N174">
        <v>0</v>
      </c>
      <c r="O174" s="20"/>
      <c r="P174" s="20"/>
      <c r="Q174" s="438"/>
      <c r="R174" s="20"/>
      <c r="S174" s="20"/>
      <c r="T174" s="20"/>
      <c r="U174" s="20"/>
    </row>
    <row r="175" spans="1:53" ht="15" x14ac:dyDescent="0.25">
      <c r="A175" s="1"/>
      <c r="B175" s="2"/>
      <c r="C175" s="1" t="s">
        <v>9</v>
      </c>
      <c r="D175">
        <v>0</v>
      </c>
      <c r="E175" s="360">
        <v>0</v>
      </c>
      <c r="F175">
        <v>0</v>
      </c>
      <c r="G175">
        <v>0</v>
      </c>
      <c r="H175">
        <v>0</v>
      </c>
      <c r="J175">
        <v>0</v>
      </c>
      <c r="K175" s="14">
        <v>0</v>
      </c>
      <c r="L175">
        <v>0</v>
      </c>
      <c r="M175">
        <v>0</v>
      </c>
      <c r="N175">
        <v>0</v>
      </c>
      <c r="O175" s="20"/>
      <c r="P175" s="20"/>
      <c r="Q175" s="438"/>
      <c r="R175" s="20"/>
      <c r="S175" s="20"/>
      <c r="T175" s="20"/>
      <c r="U175" s="20"/>
    </row>
    <row r="176" spans="1:53" ht="15" x14ac:dyDescent="0.25">
      <c r="A176" s="1"/>
      <c r="B176" s="2"/>
      <c r="C176" s="1" t="s">
        <v>10</v>
      </c>
      <c r="D176">
        <v>0</v>
      </c>
      <c r="E176" s="360">
        <v>0</v>
      </c>
      <c r="F176">
        <v>0</v>
      </c>
      <c r="G176">
        <v>0</v>
      </c>
      <c r="H176">
        <v>0</v>
      </c>
      <c r="J176">
        <v>0</v>
      </c>
      <c r="K176" s="14">
        <v>0</v>
      </c>
      <c r="L176">
        <v>0</v>
      </c>
      <c r="M176">
        <v>0</v>
      </c>
      <c r="N176">
        <v>0</v>
      </c>
      <c r="O176" s="20"/>
      <c r="P176" s="20"/>
      <c r="Q176" s="438"/>
      <c r="R176" s="20"/>
      <c r="S176" s="20"/>
      <c r="T176" s="20"/>
      <c r="U176" s="20"/>
    </row>
    <row r="177" spans="1:53" ht="15" x14ac:dyDescent="0.25">
      <c r="A177" s="1"/>
      <c r="B177" s="2"/>
      <c r="C177" s="1" t="s">
        <v>11</v>
      </c>
      <c r="D177">
        <v>0</v>
      </c>
      <c r="E177" s="360">
        <v>1.3947290000000001</v>
      </c>
      <c r="F177">
        <v>0</v>
      </c>
      <c r="G177">
        <v>0</v>
      </c>
      <c r="H177">
        <v>0</v>
      </c>
      <c r="J177">
        <v>0</v>
      </c>
      <c r="K177" s="14">
        <v>1.3220211001474524E-6</v>
      </c>
      <c r="L177">
        <v>0</v>
      </c>
      <c r="M177">
        <v>0</v>
      </c>
      <c r="N177">
        <v>0</v>
      </c>
      <c r="O177" s="20"/>
      <c r="P177" s="20"/>
      <c r="Q177" s="438">
        <v>0.90000000000000013</v>
      </c>
      <c r="R177" s="20"/>
      <c r="S177" s="20"/>
      <c r="T177" s="20"/>
      <c r="U177" s="20"/>
    </row>
    <row r="178" spans="1:53" ht="15" x14ac:dyDescent="0.25">
      <c r="A178" s="1"/>
      <c r="B178" s="2"/>
      <c r="C178" s="1" t="s">
        <v>12</v>
      </c>
      <c r="D178">
        <v>0</v>
      </c>
      <c r="E178" s="360">
        <v>0</v>
      </c>
      <c r="F178">
        <v>0</v>
      </c>
      <c r="G178">
        <v>0</v>
      </c>
      <c r="H178">
        <v>0</v>
      </c>
      <c r="J178">
        <v>0</v>
      </c>
      <c r="K178" s="14">
        <v>0</v>
      </c>
      <c r="L178">
        <v>0</v>
      </c>
      <c r="M178">
        <v>0</v>
      </c>
      <c r="N178">
        <v>0</v>
      </c>
      <c r="O178" s="20"/>
      <c r="P178" s="20"/>
      <c r="Q178" s="438"/>
      <c r="R178" s="20"/>
      <c r="S178" s="20"/>
      <c r="T178" s="20"/>
      <c r="U178" s="20"/>
    </row>
    <row r="179" spans="1:53" ht="15" x14ac:dyDescent="0.25">
      <c r="A179" s="1"/>
      <c r="B179" s="2"/>
      <c r="C179" s="1" t="s">
        <v>13</v>
      </c>
      <c r="D179">
        <v>0</v>
      </c>
      <c r="E179" s="360">
        <v>99.678190000000001</v>
      </c>
      <c r="F179">
        <v>0</v>
      </c>
      <c r="G179">
        <v>0</v>
      </c>
      <c r="H179">
        <v>0</v>
      </c>
      <c r="J179">
        <v>0</v>
      </c>
      <c r="K179" s="14">
        <v>8.7469220872549158E-5</v>
      </c>
      <c r="L179">
        <v>0</v>
      </c>
      <c r="M179">
        <v>0</v>
      </c>
      <c r="N179">
        <v>0</v>
      </c>
      <c r="O179" s="20"/>
      <c r="P179" s="20"/>
      <c r="Q179" s="438">
        <v>0.90000000000000013</v>
      </c>
      <c r="R179" s="20"/>
      <c r="S179" s="20"/>
      <c r="T179" s="20"/>
      <c r="U179" s="20"/>
    </row>
    <row r="180" spans="1:53" ht="15" x14ac:dyDescent="0.25">
      <c r="A180" s="7"/>
      <c r="B180" s="8" t="s">
        <v>14</v>
      </c>
      <c r="C180" s="7"/>
      <c r="D180" s="357">
        <f t="shared" ref="D180:H180" si="201">SUM(D174:D179)</f>
        <v>0</v>
      </c>
      <c r="E180" s="363">
        <f>SUM(E174:E179)</f>
        <v>101.072919</v>
      </c>
      <c r="F180" s="357">
        <f t="shared" si="201"/>
        <v>0</v>
      </c>
      <c r="G180" s="357">
        <f t="shared" si="201"/>
        <v>0</v>
      </c>
      <c r="H180" s="357">
        <f t="shared" si="201"/>
        <v>0</v>
      </c>
      <c r="J180">
        <v>0</v>
      </c>
      <c r="K180">
        <v>0</v>
      </c>
      <c r="L180">
        <v>0</v>
      </c>
      <c r="M180">
        <v>0</v>
      </c>
      <c r="N180">
        <v>0</v>
      </c>
      <c r="Q180" s="438">
        <v>0.9</v>
      </c>
      <c r="BA180" s="319">
        <f>(E180*10000*Q180*AU$10)</f>
        <v>757015.94872620003</v>
      </c>
    </row>
    <row r="181" spans="1:53" ht="15" x14ac:dyDescent="0.25">
      <c r="A181" s="5"/>
      <c r="B181" s="9" t="s">
        <v>15</v>
      </c>
      <c r="C181" s="5"/>
      <c r="E181" s="363">
        <f>SUM(E180)</f>
        <v>101.072919</v>
      </c>
      <c r="H181" s="358">
        <f>SUM(D180:H180)</f>
        <v>101.072919</v>
      </c>
      <c r="N181">
        <v>0</v>
      </c>
    </row>
    <row r="182" spans="1:53" s="79" customFormat="1" ht="15" x14ac:dyDescent="0.25">
      <c r="A182" s="199"/>
      <c r="B182" s="198" t="s">
        <v>661</v>
      </c>
      <c r="C182" s="199"/>
    </row>
    <row r="183" spans="1:53" x14ac:dyDescent="0.2">
      <c r="E183" s="14">
        <f>SUM(E180,E171,E162,E153,E144,E135,E126,E117,E108,E99,E90,E81,E72,E63,E54,E45,E36,E27,E18,)</f>
        <v>2788.5663690000001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BA183"/>
  <sheetViews>
    <sheetView defaultGridColor="0" colorId="11" zoomScale="80" zoomScaleNormal="80" workbookViewId="0">
      <pane xSplit="3" topLeftCell="D1" activePane="topRight" state="frozen"/>
      <selection activeCell="A11" sqref="A11"/>
      <selection pane="topRight" activeCell="BA180" sqref="BA12:BA180"/>
    </sheetView>
  </sheetViews>
  <sheetFormatPr defaultRowHeight="12.75" x14ac:dyDescent="0.2"/>
  <cols>
    <col min="1" max="1" width="5.140625" customWidth="1"/>
    <col min="2" max="2" width="16" customWidth="1"/>
    <col min="4" max="8" width="10" customWidth="1"/>
    <col min="10" max="14" width="13.5703125" customWidth="1"/>
    <col min="15" max="15" width="12" bestFit="1" customWidth="1"/>
    <col min="17" max="17" width="15.7109375" style="108" bestFit="1" customWidth="1"/>
    <col min="18" max="19" width="12" bestFit="1" customWidth="1"/>
    <col min="20" max="21" width="12" customWidth="1"/>
    <col min="22" max="25" width="11.5703125" customWidth="1"/>
    <col min="26" max="29" width="10.7109375" customWidth="1"/>
    <col min="30" max="30" width="11.42578125" customWidth="1"/>
    <col min="31" max="34" width="13.42578125" customWidth="1"/>
    <col min="35" max="39" width="10.85546875" customWidth="1"/>
    <col min="45" max="45" width="28.140625" customWidth="1"/>
    <col min="51" max="51" width="28.42578125" customWidth="1"/>
  </cols>
  <sheetData>
    <row r="1" spans="1:53" ht="15" x14ac:dyDescent="0.25">
      <c r="A1" s="15"/>
      <c r="B1" s="16">
        <v>2005</v>
      </c>
    </row>
    <row r="2" spans="1:53" ht="15" x14ac:dyDescent="0.25">
      <c r="A2" s="15"/>
      <c r="B2" s="16"/>
      <c r="V2" s="99"/>
      <c r="W2" s="99"/>
      <c r="X2" s="99"/>
      <c r="Y2" s="99"/>
      <c r="Z2" s="26"/>
      <c r="AA2" s="26"/>
      <c r="AB2" s="26"/>
      <c r="AC2" s="26"/>
      <c r="AD2" s="26"/>
      <c r="AE2" s="28"/>
      <c r="AF2" s="28"/>
      <c r="AG2" s="28"/>
      <c r="AH2" s="28"/>
      <c r="AI2" s="124"/>
      <c r="AJ2" s="124"/>
      <c r="AK2" s="124"/>
      <c r="AL2" s="124"/>
      <c r="AM2" s="124"/>
    </row>
    <row r="3" spans="1:53" ht="110.25" x14ac:dyDescent="0.25">
      <c r="B3" s="16"/>
      <c r="D3" s="179" t="s">
        <v>759</v>
      </c>
      <c r="E3" s="179"/>
      <c r="F3" s="179"/>
      <c r="G3" s="179"/>
      <c r="H3" s="179"/>
      <c r="J3" s="181" t="s">
        <v>758</v>
      </c>
      <c r="K3" s="181"/>
      <c r="L3" s="181"/>
      <c r="M3" s="181"/>
      <c r="N3" s="181"/>
      <c r="V3" s="99" t="s">
        <v>534</v>
      </c>
      <c r="W3" s="99"/>
      <c r="X3" s="99"/>
      <c r="Y3" s="99"/>
      <c r="Z3" s="26" t="s">
        <v>535</v>
      </c>
      <c r="AA3" s="26"/>
      <c r="AB3" s="26"/>
      <c r="AC3" s="26"/>
      <c r="AD3" s="125"/>
      <c r="AE3" s="28" t="s">
        <v>536</v>
      </c>
      <c r="AF3" s="28"/>
      <c r="AG3" s="28"/>
      <c r="AH3" s="28"/>
      <c r="AI3" s="124" t="s">
        <v>537</v>
      </c>
      <c r="AJ3" s="131"/>
      <c r="AK3" s="131"/>
      <c r="AL3" s="131"/>
      <c r="AM3" s="131"/>
    </row>
    <row r="4" spans="1:53" ht="15.75" x14ac:dyDescent="0.25">
      <c r="D4" s="180"/>
      <c r="E4" s="180"/>
      <c r="F4" s="180"/>
      <c r="G4" s="180"/>
      <c r="H4" s="180"/>
      <c r="J4" s="182"/>
      <c r="K4" s="182"/>
      <c r="L4" s="182"/>
      <c r="M4" s="182"/>
      <c r="N4" s="182"/>
      <c r="V4" s="101" t="s">
        <v>40</v>
      </c>
      <c r="W4" s="101"/>
      <c r="X4" s="101"/>
      <c r="Y4" s="101"/>
      <c r="Z4" s="27" t="s">
        <v>40</v>
      </c>
      <c r="AA4" s="27"/>
      <c r="AB4" s="27"/>
      <c r="AC4" s="27"/>
      <c r="AD4" s="126"/>
      <c r="AE4" s="30" t="s">
        <v>40</v>
      </c>
      <c r="AF4" s="30"/>
      <c r="AG4" s="30"/>
      <c r="AH4" s="30"/>
      <c r="AI4" s="132" t="s">
        <v>40</v>
      </c>
      <c r="AJ4" s="133"/>
      <c r="AK4" s="133"/>
      <c r="AL4" s="133"/>
      <c r="AM4" s="133"/>
    </row>
    <row r="5" spans="1:53" ht="94.5" x14ac:dyDescent="0.25">
      <c r="A5" s="1"/>
      <c r="B5" s="2"/>
      <c r="C5" s="3"/>
      <c r="D5" s="103"/>
      <c r="E5" s="229"/>
      <c r="F5" s="229"/>
      <c r="G5" s="229"/>
      <c r="H5" s="229"/>
      <c r="J5" s="115"/>
      <c r="K5" s="232"/>
      <c r="L5" s="232"/>
      <c r="M5" s="232"/>
      <c r="N5" s="232"/>
      <c r="V5" s="103"/>
      <c r="W5" s="103"/>
      <c r="X5" s="103"/>
      <c r="Y5" s="103"/>
      <c r="Z5" s="93"/>
      <c r="AA5" s="236"/>
      <c r="AB5" s="236"/>
      <c r="AC5" s="236"/>
      <c r="AD5" s="127"/>
      <c r="AE5" s="90"/>
      <c r="AF5" s="90"/>
      <c r="AG5" s="90"/>
      <c r="AH5" s="90"/>
      <c r="AI5" s="134"/>
      <c r="AJ5" s="135"/>
      <c r="AK5" s="135"/>
      <c r="AL5" s="135"/>
      <c r="AM5" s="135"/>
      <c r="AO5" s="240" t="s">
        <v>727</v>
      </c>
      <c r="AP5" s="241"/>
      <c r="AQ5" s="241"/>
      <c r="AR5" s="241"/>
      <c r="AS5" s="242" t="s">
        <v>727</v>
      </c>
      <c r="AU5" s="244" t="s">
        <v>728</v>
      </c>
      <c r="AV5" s="245"/>
      <c r="AW5" s="245"/>
      <c r="AX5" s="245"/>
      <c r="AY5" s="246" t="s">
        <v>728</v>
      </c>
    </row>
    <row r="6" spans="1:53" ht="39" x14ac:dyDescent="0.25">
      <c r="A6" s="1"/>
      <c r="B6" s="2" t="s">
        <v>0</v>
      </c>
      <c r="C6" s="3"/>
      <c r="D6" s="234"/>
      <c r="E6" s="234" t="s">
        <v>862</v>
      </c>
      <c r="F6" s="234"/>
      <c r="G6" s="234"/>
      <c r="H6" s="234"/>
      <c r="J6" s="117" t="s">
        <v>862</v>
      </c>
      <c r="K6" s="117"/>
      <c r="L6" s="117"/>
      <c r="M6" s="117"/>
      <c r="N6" s="117"/>
      <c r="O6" s="17" t="s">
        <v>35</v>
      </c>
      <c r="P6" s="18"/>
      <c r="Q6" s="359">
        <v>2005</v>
      </c>
      <c r="R6" s="22" t="s">
        <v>38</v>
      </c>
      <c r="S6" s="22" t="s">
        <v>39</v>
      </c>
      <c r="T6" s="196" t="s">
        <v>659</v>
      </c>
      <c r="U6" s="196" t="s">
        <v>660</v>
      </c>
      <c r="V6" s="105" t="s">
        <v>862</v>
      </c>
      <c r="W6" s="105"/>
      <c r="X6" s="105"/>
      <c r="Y6" s="105"/>
      <c r="Z6" s="78" t="s">
        <v>862</v>
      </c>
      <c r="AA6" s="78"/>
      <c r="AB6" s="78"/>
      <c r="AC6" s="78"/>
      <c r="AD6" s="128" t="s">
        <v>42</v>
      </c>
      <c r="AE6" s="72" t="s">
        <v>862</v>
      </c>
      <c r="AF6" s="72"/>
      <c r="AG6" s="72"/>
      <c r="AH6" s="72"/>
      <c r="AI6" s="137" t="s">
        <v>862</v>
      </c>
      <c r="AJ6" s="137"/>
      <c r="AK6" s="137"/>
      <c r="AL6" s="137"/>
      <c r="AM6" s="137"/>
      <c r="AO6" s="118" t="s">
        <v>862</v>
      </c>
      <c r="AP6" s="118"/>
      <c r="AQ6" s="118"/>
      <c r="AR6" s="118"/>
      <c r="AS6" s="129"/>
      <c r="AU6" s="118" t="s">
        <v>862</v>
      </c>
      <c r="AV6" s="118"/>
      <c r="AW6" s="118"/>
      <c r="AX6" s="118"/>
      <c r="AY6" s="247"/>
    </row>
    <row r="7" spans="1:53" ht="26.25" x14ac:dyDescent="0.25">
      <c r="A7" s="1"/>
      <c r="B7" s="2" t="s">
        <v>1</v>
      </c>
      <c r="C7" s="2"/>
      <c r="D7" s="107"/>
      <c r="E7" s="107"/>
      <c r="F7" s="107"/>
      <c r="G7" s="107"/>
      <c r="H7" s="107"/>
      <c r="J7" s="119"/>
      <c r="K7" s="233"/>
      <c r="L7" s="233"/>
      <c r="M7" s="233"/>
      <c r="N7" s="233"/>
      <c r="O7" s="21" t="s">
        <v>36</v>
      </c>
      <c r="P7" s="21" t="s">
        <v>37</v>
      </c>
      <c r="Q7" s="148" t="s">
        <v>538</v>
      </c>
      <c r="R7" s="22"/>
      <c r="S7" s="22"/>
      <c r="T7" s="22"/>
      <c r="U7" s="22"/>
      <c r="V7" s="107"/>
      <c r="W7" s="107"/>
      <c r="X7" s="107"/>
      <c r="Y7" s="107"/>
      <c r="Z7" s="237"/>
      <c r="AA7" s="237"/>
      <c r="AB7" s="237"/>
      <c r="AC7" s="237"/>
      <c r="AD7" s="129"/>
      <c r="AE7" s="91"/>
      <c r="AF7" s="91"/>
      <c r="AG7" s="91"/>
      <c r="AH7" s="91"/>
      <c r="AI7" s="139"/>
      <c r="AJ7" s="139"/>
      <c r="AK7" s="139"/>
      <c r="AL7" s="139"/>
      <c r="AM7" s="139"/>
      <c r="AS7" s="129"/>
      <c r="AY7" s="247"/>
      <c r="BA7" t="s">
        <v>864</v>
      </c>
    </row>
    <row r="8" spans="1:53" ht="15.75" x14ac:dyDescent="0.25">
      <c r="A8" s="1"/>
      <c r="B8" s="2" t="s">
        <v>4</v>
      </c>
      <c r="C8" s="2"/>
      <c r="D8" s="107"/>
      <c r="E8" s="230"/>
      <c r="F8" s="230"/>
      <c r="G8" s="230"/>
      <c r="H8" s="230"/>
      <c r="J8" s="183"/>
      <c r="K8" s="183"/>
      <c r="L8" s="183"/>
      <c r="M8" s="183"/>
      <c r="N8" s="183"/>
      <c r="O8" s="20"/>
      <c r="P8" s="20"/>
      <c r="Q8" s="145"/>
      <c r="R8" s="20"/>
      <c r="S8" s="20"/>
      <c r="T8" s="20"/>
      <c r="U8" s="20"/>
      <c r="V8" s="107"/>
      <c r="W8" s="107"/>
      <c r="X8" s="107"/>
      <c r="Y8" s="107"/>
      <c r="Z8" s="237">
        <v>2903</v>
      </c>
      <c r="AA8" s="237">
        <v>2903</v>
      </c>
      <c r="AB8" s="237">
        <v>2903</v>
      </c>
      <c r="AC8" s="237">
        <v>2903</v>
      </c>
      <c r="AD8" s="129"/>
      <c r="AE8" s="91"/>
      <c r="AF8" s="91"/>
      <c r="AG8" s="91"/>
      <c r="AH8" s="91"/>
      <c r="AI8" s="237">
        <v>2903</v>
      </c>
      <c r="AJ8" s="237">
        <v>2903</v>
      </c>
      <c r="AK8" s="237">
        <v>2903</v>
      </c>
      <c r="AL8" s="237">
        <v>2903</v>
      </c>
      <c r="AM8" s="139"/>
      <c r="AS8" s="129"/>
      <c r="AY8" s="247"/>
    </row>
    <row r="9" spans="1:53" ht="15.75" x14ac:dyDescent="0.25">
      <c r="A9" s="1"/>
      <c r="B9" s="15" t="s">
        <v>558</v>
      </c>
      <c r="C9" s="2"/>
      <c r="D9" s="109"/>
      <c r="E9" s="231"/>
      <c r="F9" s="231"/>
      <c r="G9" s="231"/>
      <c r="H9" s="231"/>
      <c r="J9" s="119"/>
      <c r="K9" s="233"/>
      <c r="L9" s="233"/>
      <c r="M9" s="233"/>
      <c r="N9" s="233"/>
      <c r="O9" s="21"/>
      <c r="P9" s="21"/>
      <c r="Q9" s="145"/>
      <c r="R9" s="20"/>
      <c r="S9" s="20"/>
      <c r="T9" s="20"/>
      <c r="U9" s="20"/>
      <c r="V9" s="109"/>
      <c r="W9" s="109"/>
      <c r="X9" s="109"/>
      <c r="Y9" s="109"/>
      <c r="Z9" s="238"/>
      <c r="AA9" s="238"/>
      <c r="AB9" s="238"/>
      <c r="AC9" s="238"/>
      <c r="AD9" s="129"/>
      <c r="AE9" s="92"/>
      <c r="AF9" s="92"/>
      <c r="AG9" s="92"/>
      <c r="AH9" s="92"/>
      <c r="AI9" s="139"/>
      <c r="AJ9" s="139"/>
      <c r="AK9" s="139"/>
      <c r="AL9" s="139"/>
      <c r="AM9" s="139"/>
      <c r="AO9" s="239">
        <v>2005</v>
      </c>
      <c r="AP9" s="239">
        <v>2005</v>
      </c>
      <c r="AQ9" s="239">
        <v>2005</v>
      </c>
      <c r="AR9" s="239">
        <v>2005</v>
      </c>
      <c r="AS9" s="243">
        <v>2005</v>
      </c>
      <c r="AU9" s="239">
        <v>2005</v>
      </c>
      <c r="AV9" s="239">
        <v>2005</v>
      </c>
      <c r="AW9" s="239">
        <v>2005</v>
      </c>
      <c r="AX9" s="239">
        <v>2005</v>
      </c>
      <c r="AY9" s="248">
        <v>2005</v>
      </c>
    </row>
    <row r="10" spans="1:53" x14ac:dyDescent="0.2">
      <c r="B10" s="15" t="s">
        <v>726</v>
      </c>
      <c r="AO10" s="367">
        <v>1.4259999999999999</v>
      </c>
      <c r="AP10" s="367">
        <v>1.4259999999999999</v>
      </c>
      <c r="AQ10" s="367">
        <v>1.4259999999999999</v>
      </c>
      <c r="AR10" s="367">
        <v>1.4259999999999999</v>
      </c>
      <c r="AU10" s="367">
        <v>1.4259999999999999</v>
      </c>
      <c r="AV10" s="367">
        <v>1.4259999999999999</v>
      </c>
      <c r="AW10" s="367">
        <v>1.4259999999999999</v>
      </c>
      <c r="AX10" s="367">
        <v>1.4259999999999999</v>
      </c>
    </row>
    <row r="11" spans="1:53" ht="27" x14ac:dyDescent="0.25">
      <c r="A11" s="1"/>
      <c r="B11" s="2" t="s">
        <v>5</v>
      </c>
      <c r="C11" s="4" t="s">
        <v>6</v>
      </c>
      <c r="D11" s="107"/>
      <c r="E11" s="230"/>
      <c r="F11" s="230"/>
      <c r="G11" s="230"/>
      <c r="H11" s="230"/>
      <c r="J11" s="183"/>
      <c r="K11" s="183"/>
      <c r="L11" s="183"/>
      <c r="M11" s="183"/>
      <c r="N11" s="183"/>
      <c r="O11" s="20"/>
      <c r="P11" s="20"/>
      <c r="Q11" s="147"/>
      <c r="R11" s="20"/>
      <c r="S11" s="20"/>
      <c r="T11" s="20"/>
      <c r="U11" s="20"/>
      <c r="V11" s="230"/>
      <c r="W11" s="230"/>
      <c r="X11" s="230"/>
      <c r="Y11" s="230"/>
      <c r="Z11" s="130"/>
      <c r="AA11" s="130"/>
      <c r="AB11" s="130"/>
      <c r="AC11" s="130"/>
      <c r="AD11" s="129"/>
      <c r="AE11" s="91"/>
      <c r="AF11" s="91"/>
      <c r="AG11" s="91"/>
      <c r="AH11" s="91"/>
      <c r="AI11" s="139"/>
      <c r="AJ11" s="139"/>
      <c r="AK11" s="139"/>
      <c r="AL11" s="139"/>
      <c r="AM11" s="139"/>
    </row>
    <row r="12" spans="1:53" ht="15" x14ac:dyDescent="0.25">
      <c r="A12" s="1">
        <v>1</v>
      </c>
      <c r="B12" s="2" t="s">
        <v>7</v>
      </c>
      <c r="C12" s="3" t="s">
        <v>8</v>
      </c>
      <c r="D12">
        <v>0</v>
      </c>
      <c r="E12" s="360">
        <v>49.05538</v>
      </c>
      <c r="F12">
        <v>0</v>
      </c>
      <c r="G12">
        <v>0</v>
      </c>
      <c r="H12">
        <v>0</v>
      </c>
      <c r="J12">
        <v>0</v>
      </c>
      <c r="K12" s="14">
        <v>39.279498939624276</v>
      </c>
      <c r="L12">
        <v>0</v>
      </c>
      <c r="M12">
        <v>0</v>
      </c>
      <c r="N12">
        <v>0</v>
      </c>
      <c r="O12" s="20">
        <v>0.36775204520040022</v>
      </c>
      <c r="P12" s="20">
        <v>0.57913019816794442</v>
      </c>
      <c r="Q12" s="438">
        <v>5.4151812411750148E-2</v>
      </c>
      <c r="R12" s="197">
        <v>0.17699999999999999</v>
      </c>
      <c r="S12" s="197">
        <v>1.77</v>
      </c>
      <c r="T12" s="197">
        <v>0.50078889239507718</v>
      </c>
      <c r="U12" s="197">
        <v>0.75268470790377973</v>
      </c>
      <c r="V12" s="20">
        <f t="shared" ref="V12:Y17" si="0">IF(K12&gt;0,((E12-K12)*$Q12*$R12*10)+(K12*$O$12*$Q12*$R12*10),(E12*$Q12*$R12*10))</f>
        <v>2.3215512806139511</v>
      </c>
      <c r="W12" s="20">
        <f t="shared" si="0"/>
        <v>0</v>
      </c>
      <c r="X12" s="20">
        <f t="shared" si="0"/>
        <v>0</v>
      </c>
      <c r="Y12" s="20">
        <f t="shared" si="0"/>
        <v>0</v>
      </c>
      <c r="Z12" s="20">
        <f t="shared" ref="Z12:AC17" si="1">V12*(EXP(1.01-0.34*LN(Z$8))*(1-$T12)+(1*$T12))</f>
        <v>1.3741176060628586</v>
      </c>
      <c r="AA12" s="20">
        <f t="shared" si="1"/>
        <v>0</v>
      </c>
      <c r="AB12" s="20">
        <f t="shared" si="1"/>
        <v>0</v>
      </c>
      <c r="AC12" s="20">
        <f t="shared" si="1"/>
        <v>0</v>
      </c>
      <c r="AD12" s="20">
        <f>SUM(Z12:AC12)</f>
        <v>1.3741176060628586</v>
      </c>
      <c r="AE12" s="20">
        <f t="shared" ref="AE12:AH17" si="2">IF(K12&gt;0,((E12-K12)*$Q12*$S12*10)+(K12*$P$12*$Q12*$S12)*10,(E12*$Q12*$S12*10))</f>
        <v>31.173666107043346</v>
      </c>
      <c r="AF12" s="20">
        <f t="shared" si="2"/>
        <v>0</v>
      </c>
      <c r="AG12" s="20">
        <f t="shared" si="2"/>
        <v>0</v>
      </c>
      <c r="AH12" s="20">
        <f t="shared" si="2"/>
        <v>0</v>
      </c>
      <c r="AI12" s="20">
        <f t="shared" ref="AI12:AL17" si="3">AE12*(EXP(1.01-0.34*LN(AI$8))*(1-$U12)+(1*$U12))</f>
        <v>24.870987731761669</v>
      </c>
      <c r="AJ12" s="20">
        <f t="shared" si="3"/>
        <v>0</v>
      </c>
      <c r="AK12" s="20">
        <f t="shared" si="3"/>
        <v>0</v>
      </c>
      <c r="AL12" s="20">
        <f t="shared" si="3"/>
        <v>0</v>
      </c>
      <c r="AM12" s="20">
        <f t="shared" ref="AM12:AM17" si="4">SUM(AI12:AL12)</f>
        <v>24.870987731761669</v>
      </c>
      <c r="AO12">
        <f t="shared" ref="AO12:AR17" si="5">Z12*AO$10</f>
        <v>1.9594917062456363</v>
      </c>
      <c r="AP12">
        <f t="shared" si="5"/>
        <v>0</v>
      </c>
      <c r="AQ12">
        <f t="shared" si="5"/>
        <v>0</v>
      </c>
      <c r="AR12">
        <f t="shared" si="5"/>
        <v>0</v>
      </c>
      <c r="AS12">
        <f t="shared" ref="AS12:AS17" si="6">SUM(AO12:AR12)</f>
        <v>1.9594917062456363</v>
      </c>
      <c r="AU12">
        <f t="shared" ref="AU12:AX17" si="7">AI12*AU$10</f>
        <v>35.46602850549214</v>
      </c>
      <c r="AV12">
        <f t="shared" si="7"/>
        <v>0</v>
      </c>
      <c r="AW12">
        <f t="shared" si="7"/>
        <v>0</v>
      </c>
      <c r="AX12">
        <f t="shared" si="7"/>
        <v>0</v>
      </c>
      <c r="AY12">
        <f t="shared" ref="AY12:AY17" si="8">SUM(AU12:AX12)</f>
        <v>35.46602850549214</v>
      </c>
    </row>
    <row r="13" spans="1:53" ht="15" x14ac:dyDescent="0.25">
      <c r="A13" s="1"/>
      <c r="B13" s="2"/>
      <c r="C13" s="1" t="s">
        <v>9</v>
      </c>
      <c r="D13">
        <v>0</v>
      </c>
      <c r="E13" s="360">
        <v>6.3624999999999998</v>
      </c>
      <c r="F13">
        <v>0</v>
      </c>
      <c r="G13">
        <v>0</v>
      </c>
      <c r="H13">
        <v>0</v>
      </c>
      <c r="J13">
        <v>0</v>
      </c>
      <c r="K13" s="14">
        <v>4.7318476998009995</v>
      </c>
      <c r="L13">
        <v>0</v>
      </c>
      <c r="M13">
        <v>0</v>
      </c>
      <c r="N13">
        <v>0</v>
      </c>
      <c r="O13" s="20"/>
      <c r="P13" s="20"/>
      <c r="Q13" s="438">
        <v>6.3303624823500299E-2</v>
      </c>
      <c r="R13" s="197">
        <v>0.17699999999999999</v>
      </c>
      <c r="S13" s="197">
        <v>1.77</v>
      </c>
      <c r="T13" s="197">
        <v>0.50078889239507718</v>
      </c>
      <c r="U13" s="197">
        <v>0.75268470790377973</v>
      </c>
      <c r="V13" s="20">
        <f t="shared" si="0"/>
        <v>0.3776893141638733</v>
      </c>
      <c r="W13" s="20">
        <f t="shared" si="0"/>
        <v>0</v>
      </c>
      <c r="X13" s="20">
        <f t="shared" si="0"/>
        <v>0</v>
      </c>
      <c r="Y13" s="20">
        <f t="shared" si="0"/>
        <v>0</v>
      </c>
      <c r="Z13" s="20">
        <f t="shared" si="1"/>
        <v>0.22355290643294942</v>
      </c>
      <c r="AA13" s="20">
        <f t="shared" si="1"/>
        <v>0</v>
      </c>
      <c r="AB13" s="20">
        <f t="shared" si="1"/>
        <v>0</v>
      </c>
      <c r="AC13" s="20">
        <f t="shared" si="1"/>
        <v>0</v>
      </c>
      <c r="AD13" s="20">
        <f t="shared" ref="AD13:AD17" si="9">SUM(Z13:AC13)</f>
        <v>0.22355290643294942</v>
      </c>
      <c r="AE13" s="20">
        <f t="shared" si="2"/>
        <v>4.8976017343581653</v>
      </c>
      <c r="AF13" s="20">
        <f t="shared" si="2"/>
        <v>0</v>
      </c>
      <c r="AG13" s="20">
        <f t="shared" si="2"/>
        <v>0</v>
      </c>
      <c r="AH13" s="20">
        <f t="shared" si="2"/>
        <v>0</v>
      </c>
      <c r="AI13" s="20">
        <f t="shared" si="3"/>
        <v>3.9074067269475048</v>
      </c>
      <c r="AJ13" s="20">
        <f t="shared" si="3"/>
        <v>0</v>
      </c>
      <c r="AK13" s="20">
        <f t="shared" si="3"/>
        <v>0</v>
      </c>
      <c r="AL13" s="20">
        <f t="shared" si="3"/>
        <v>0</v>
      </c>
      <c r="AM13" s="20">
        <f t="shared" si="4"/>
        <v>3.9074067269475048</v>
      </c>
      <c r="AO13">
        <f t="shared" si="5"/>
        <v>0.31878644457338584</v>
      </c>
      <c r="AP13">
        <f t="shared" si="5"/>
        <v>0</v>
      </c>
      <c r="AQ13">
        <f t="shared" si="5"/>
        <v>0</v>
      </c>
      <c r="AR13">
        <f t="shared" si="5"/>
        <v>0</v>
      </c>
      <c r="AS13">
        <f t="shared" si="6"/>
        <v>0.31878644457338584</v>
      </c>
      <c r="AU13">
        <f t="shared" si="7"/>
        <v>5.5719619926271413</v>
      </c>
      <c r="AV13">
        <f t="shared" si="7"/>
        <v>0</v>
      </c>
      <c r="AW13">
        <f t="shared" si="7"/>
        <v>0</v>
      </c>
      <c r="AX13">
        <f t="shared" si="7"/>
        <v>0</v>
      </c>
      <c r="AY13">
        <f t="shared" si="8"/>
        <v>5.5719619926271413</v>
      </c>
    </row>
    <row r="14" spans="1:53" ht="15" x14ac:dyDescent="0.25">
      <c r="A14" s="1"/>
      <c r="B14" s="2"/>
      <c r="C14" s="1" t="s">
        <v>10</v>
      </c>
      <c r="D14">
        <v>0</v>
      </c>
      <c r="E14" s="360">
        <v>1.1967000000000001</v>
      </c>
      <c r="F14">
        <v>0</v>
      </c>
      <c r="G14">
        <v>0</v>
      </c>
      <c r="H14">
        <v>0</v>
      </c>
      <c r="J14">
        <v>0</v>
      </c>
      <c r="K14" s="14">
        <v>-0.89230754213099961</v>
      </c>
      <c r="L14">
        <v>0</v>
      </c>
      <c r="M14">
        <v>0</v>
      </c>
      <c r="N14">
        <v>0</v>
      </c>
      <c r="O14" s="20"/>
      <c r="P14" s="20"/>
      <c r="Q14" s="438">
        <v>7.2455437235250428E-2</v>
      </c>
      <c r="R14" s="197">
        <v>0.17699999999999999</v>
      </c>
      <c r="S14" s="197">
        <v>1.77</v>
      </c>
      <c r="T14" s="197">
        <v>0.50078889239507718</v>
      </c>
      <c r="U14" s="197">
        <v>0.75268470790377973</v>
      </c>
      <c r="V14" s="20">
        <f t="shared" si="0"/>
        <v>0.1534721364787808</v>
      </c>
      <c r="W14" s="20">
        <f t="shared" si="0"/>
        <v>0</v>
      </c>
      <c r="X14" s="20">
        <f t="shared" si="0"/>
        <v>0</v>
      </c>
      <c r="Y14" s="20">
        <f t="shared" si="0"/>
        <v>0</v>
      </c>
      <c r="Z14" s="20">
        <f t="shared" si="1"/>
        <v>9.0839589259386733E-2</v>
      </c>
      <c r="AA14" s="20">
        <f t="shared" si="1"/>
        <v>0</v>
      </c>
      <c r="AB14" s="20">
        <f t="shared" si="1"/>
        <v>0</v>
      </c>
      <c r="AC14" s="20">
        <f t="shared" si="1"/>
        <v>0</v>
      </c>
      <c r="AD14" s="20">
        <f t="shared" si="9"/>
        <v>9.0839589259386733E-2</v>
      </c>
      <c r="AE14" s="20">
        <f t="shared" si="2"/>
        <v>1.5347213647878082</v>
      </c>
      <c r="AF14" s="20">
        <f t="shared" si="2"/>
        <v>0</v>
      </c>
      <c r="AG14" s="20">
        <f t="shared" si="2"/>
        <v>0</v>
      </c>
      <c r="AH14" s="20">
        <f t="shared" si="2"/>
        <v>0</v>
      </c>
      <c r="AI14" s="20">
        <f t="shared" si="3"/>
        <v>1.2244320608375927</v>
      </c>
      <c r="AJ14" s="20">
        <f t="shared" si="3"/>
        <v>0</v>
      </c>
      <c r="AK14" s="20">
        <f t="shared" si="3"/>
        <v>0</v>
      </c>
      <c r="AL14" s="20">
        <f t="shared" si="3"/>
        <v>0</v>
      </c>
      <c r="AM14" s="20">
        <f t="shared" si="4"/>
        <v>1.2244320608375927</v>
      </c>
      <c r="AO14">
        <f t="shared" si="5"/>
        <v>0.12953725428388546</v>
      </c>
      <c r="AP14">
        <f t="shared" si="5"/>
        <v>0</v>
      </c>
      <c r="AQ14">
        <f t="shared" si="5"/>
        <v>0</v>
      </c>
      <c r="AR14">
        <f t="shared" si="5"/>
        <v>0</v>
      </c>
      <c r="AS14">
        <f t="shared" si="6"/>
        <v>0.12953725428388546</v>
      </c>
      <c r="AU14">
        <f t="shared" si="7"/>
        <v>1.746040118754407</v>
      </c>
      <c r="AV14">
        <f t="shared" si="7"/>
        <v>0</v>
      </c>
      <c r="AW14">
        <f t="shared" si="7"/>
        <v>0</v>
      </c>
      <c r="AX14">
        <f t="shared" si="7"/>
        <v>0</v>
      </c>
      <c r="AY14">
        <f t="shared" si="8"/>
        <v>1.746040118754407</v>
      </c>
    </row>
    <row r="15" spans="1:53" ht="15" x14ac:dyDescent="0.25">
      <c r="A15" s="1"/>
      <c r="B15" s="2"/>
      <c r="C15" s="1" t="s">
        <v>11</v>
      </c>
      <c r="D15">
        <v>0</v>
      </c>
      <c r="E15" s="360">
        <v>16.971299999999999</v>
      </c>
      <c r="F15">
        <v>0</v>
      </c>
      <c r="G15">
        <v>0</v>
      </c>
      <c r="H15">
        <v>0</v>
      </c>
      <c r="J15">
        <v>0</v>
      </c>
      <c r="K15" s="14">
        <v>5.2454741905186246</v>
      </c>
      <c r="L15">
        <v>0</v>
      </c>
      <c r="M15">
        <v>0</v>
      </c>
      <c r="N15">
        <v>0</v>
      </c>
      <c r="O15" s="20"/>
      <c r="P15" s="20"/>
      <c r="Q15" s="438">
        <v>8.1607249647000585E-2</v>
      </c>
      <c r="R15" s="197">
        <v>0.17699999999999999</v>
      </c>
      <c r="S15" s="197">
        <v>1.77</v>
      </c>
      <c r="T15" s="197">
        <v>0.50078889239507718</v>
      </c>
      <c r="U15" s="197">
        <v>0.75268470790377973</v>
      </c>
      <c r="V15" s="20">
        <f t="shared" si="0"/>
        <v>1.9723739094699952</v>
      </c>
      <c r="W15" s="20">
        <f t="shared" si="0"/>
        <v>0</v>
      </c>
      <c r="X15" s="20">
        <f t="shared" si="0"/>
        <v>0</v>
      </c>
      <c r="Y15" s="20">
        <f t="shared" si="0"/>
        <v>0</v>
      </c>
      <c r="Z15" s="20">
        <f t="shared" si="1"/>
        <v>1.1674408131208713</v>
      </c>
      <c r="AA15" s="20">
        <f t="shared" si="1"/>
        <v>0</v>
      </c>
      <c r="AB15" s="20">
        <f t="shared" si="1"/>
        <v>0</v>
      </c>
      <c r="AC15" s="20">
        <f t="shared" si="1"/>
        <v>0</v>
      </c>
      <c r="AD15" s="20">
        <f t="shared" si="9"/>
        <v>1.1674408131208713</v>
      </c>
      <c r="AE15" s="20">
        <f t="shared" si="2"/>
        <v>21.325312545538203</v>
      </c>
      <c r="AF15" s="20">
        <f t="shared" si="2"/>
        <v>0</v>
      </c>
      <c r="AG15" s="20">
        <f t="shared" si="2"/>
        <v>0</v>
      </c>
      <c r="AH15" s="20">
        <f t="shared" si="2"/>
        <v>0</v>
      </c>
      <c r="AI15" s="20">
        <f t="shared" si="3"/>
        <v>17.013770047926123</v>
      </c>
      <c r="AJ15" s="20">
        <f t="shared" si="3"/>
        <v>0</v>
      </c>
      <c r="AK15" s="20">
        <f t="shared" si="3"/>
        <v>0</v>
      </c>
      <c r="AL15" s="20">
        <f t="shared" si="3"/>
        <v>0</v>
      </c>
      <c r="AM15" s="20">
        <f t="shared" si="4"/>
        <v>17.013770047926123</v>
      </c>
      <c r="AO15">
        <f t="shared" si="5"/>
        <v>1.6647705995103625</v>
      </c>
      <c r="AP15">
        <f t="shared" si="5"/>
        <v>0</v>
      </c>
      <c r="AQ15">
        <f t="shared" si="5"/>
        <v>0</v>
      </c>
      <c r="AR15">
        <f t="shared" si="5"/>
        <v>0</v>
      </c>
      <c r="AS15">
        <f t="shared" si="6"/>
        <v>1.6647705995103625</v>
      </c>
      <c r="AU15">
        <f t="shared" si="7"/>
        <v>24.261636088342648</v>
      </c>
      <c r="AV15">
        <f t="shared" si="7"/>
        <v>0</v>
      </c>
      <c r="AW15">
        <f t="shared" si="7"/>
        <v>0</v>
      </c>
      <c r="AX15">
        <f t="shared" si="7"/>
        <v>0</v>
      </c>
      <c r="AY15">
        <f t="shared" si="8"/>
        <v>24.261636088342648</v>
      </c>
    </row>
    <row r="16" spans="1:53" ht="15" x14ac:dyDescent="0.25">
      <c r="A16" s="5"/>
      <c r="B16" s="6"/>
      <c r="C16" s="5" t="s">
        <v>12</v>
      </c>
      <c r="D16">
        <v>0</v>
      </c>
      <c r="E16" s="360">
        <v>0</v>
      </c>
      <c r="F16">
        <v>0</v>
      </c>
      <c r="G16">
        <v>0</v>
      </c>
      <c r="H16">
        <v>0</v>
      </c>
      <c r="J16">
        <v>0</v>
      </c>
      <c r="K16" s="14">
        <v>0</v>
      </c>
      <c r="L16">
        <v>0</v>
      </c>
      <c r="M16">
        <v>0</v>
      </c>
      <c r="N16">
        <v>0</v>
      </c>
      <c r="O16" s="20"/>
      <c r="P16" s="20"/>
      <c r="Q16" s="438"/>
      <c r="R16" s="197">
        <v>0.17699999999999999</v>
      </c>
      <c r="S16" s="197">
        <v>1.77</v>
      </c>
      <c r="T16" s="197">
        <v>0.50078889239507718</v>
      </c>
      <c r="U16" s="197">
        <v>0.75268470790377973</v>
      </c>
      <c r="V16" s="20">
        <f t="shared" si="0"/>
        <v>0</v>
      </c>
      <c r="W16" s="20">
        <f t="shared" si="0"/>
        <v>0</v>
      </c>
      <c r="X16" s="20">
        <f t="shared" si="0"/>
        <v>0</v>
      </c>
      <c r="Y16" s="20">
        <f t="shared" si="0"/>
        <v>0</v>
      </c>
      <c r="Z16" s="20">
        <f t="shared" si="1"/>
        <v>0</v>
      </c>
      <c r="AA16" s="20">
        <f t="shared" si="1"/>
        <v>0</v>
      </c>
      <c r="AB16" s="20">
        <f t="shared" si="1"/>
        <v>0</v>
      </c>
      <c r="AC16" s="20">
        <f t="shared" si="1"/>
        <v>0</v>
      </c>
      <c r="AD16" s="20">
        <f t="shared" si="9"/>
        <v>0</v>
      </c>
      <c r="AE16" s="20">
        <f t="shared" si="2"/>
        <v>0</v>
      </c>
      <c r="AF16" s="20">
        <f t="shared" si="2"/>
        <v>0</v>
      </c>
      <c r="AG16" s="20">
        <f t="shared" si="2"/>
        <v>0</v>
      </c>
      <c r="AH16" s="20">
        <f t="shared" si="2"/>
        <v>0</v>
      </c>
      <c r="AI16" s="20">
        <f t="shared" si="3"/>
        <v>0</v>
      </c>
      <c r="AJ16" s="20">
        <f t="shared" si="3"/>
        <v>0</v>
      </c>
      <c r="AK16" s="20">
        <f t="shared" si="3"/>
        <v>0</v>
      </c>
      <c r="AL16" s="20">
        <f t="shared" si="3"/>
        <v>0</v>
      </c>
      <c r="AM16" s="20">
        <f t="shared" si="4"/>
        <v>0</v>
      </c>
      <c r="AO16">
        <f t="shared" si="5"/>
        <v>0</v>
      </c>
      <c r="AP16">
        <f t="shared" si="5"/>
        <v>0</v>
      </c>
      <c r="AQ16">
        <f t="shared" si="5"/>
        <v>0</v>
      </c>
      <c r="AR16">
        <f t="shared" si="5"/>
        <v>0</v>
      </c>
      <c r="AS16">
        <f t="shared" si="6"/>
        <v>0</v>
      </c>
      <c r="AU16">
        <f t="shared" si="7"/>
        <v>0</v>
      </c>
      <c r="AV16">
        <f t="shared" si="7"/>
        <v>0</v>
      </c>
      <c r="AW16">
        <f t="shared" si="7"/>
        <v>0</v>
      </c>
      <c r="AX16">
        <f t="shared" si="7"/>
        <v>0</v>
      </c>
      <c r="AY16">
        <f t="shared" si="8"/>
        <v>0</v>
      </c>
    </row>
    <row r="17" spans="1:53" ht="15" x14ac:dyDescent="0.25">
      <c r="A17" s="5"/>
      <c r="B17" s="6"/>
      <c r="C17" s="5" t="s">
        <v>13</v>
      </c>
      <c r="D17">
        <v>0</v>
      </c>
      <c r="E17" s="360">
        <v>3.8789999999999998E-2</v>
      </c>
      <c r="F17">
        <v>0</v>
      </c>
      <c r="G17">
        <v>0</v>
      </c>
      <c r="H17">
        <v>0</v>
      </c>
      <c r="J17">
        <v>0</v>
      </c>
      <c r="K17" s="14">
        <v>3.8789999999999998E-2</v>
      </c>
      <c r="L17">
        <v>0</v>
      </c>
      <c r="M17">
        <v>0</v>
      </c>
      <c r="N17">
        <v>0</v>
      </c>
      <c r="O17" s="20"/>
      <c r="P17" s="20"/>
      <c r="Q17" s="438">
        <v>8.1607249647000571E-2</v>
      </c>
      <c r="R17" s="197">
        <v>0.17699999999999999</v>
      </c>
      <c r="S17" s="197">
        <v>1.77</v>
      </c>
      <c r="T17" s="197">
        <v>0.50078889239507718</v>
      </c>
      <c r="U17" s="197">
        <v>0.75268470790377973</v>
      </c>
      <c r="V17" s="20">
        <f t="shared" si="0"/>
        <v>2.0605202359968953E-3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1"/>
        <v>1.219614297377634E-3</v>
      </c>
      <c r="AA17" s="20">
        <f t="shared" si="1"/>
        <v>0</v>
      </c>
      <c r="AB17" s="20">
        <f t="shared" si="1"/>
        <v>0</v>
      </c>
      <c r="AC17" s="20">
        <f t="shared" si="1"/>
        <v>0</v>
      </c>
      <c r="AD17" s="20">
        <f t="shared" si="9"/>
        <v>1.219614297377634E-3</v>
      </c>
      <c r="AE17" s="20">
        <f t="shared" si="2"/>
        <v>3.2448752037576516E-2</v>
      </c>
      <c r="AF17" s="20">
        <f t="shared" si="2"/>
        <v>0</v>
      </c>
      <c r="AG17" s="20">
        <f t="shared" si="2"/>
        <v>0</v>
      </c>
      <c r="AH17" s="20">
        <f t="shared" si="2"/>
        <v>0</v>
      </c>
      <c r="AI17" s="20">
        <f t="shared" si="3"/>
        <v>2.5888277338519446E-2</v>
      </c>
      <c r="AJ17" s="20">
        <f t="shared" si="3"/>
        <v>0</v>
      </c>
      <c r="AK17" s="20">
        <f t="shared" si="3"/>
        <v>0</v>
      </c>
      <c r="AL17" s="20">
        <f t="shared" si="3"/>
        <v>0</v>
      </c>
      <c r="AM17" s="20">
        <f t="shared" si="4"/>
        <v>2.5888277338519446E-2</v>
      </c>
      <c r="AO17">
        <f t="shared" si="5"/>
        <v>1.7391699880605059E-3</v>
      </c>
      <c r="AP17">
        <f t="shared" si="5"/>
        <v>0</v>
      </c>
      <c r="AQ17">
        <f t="shared" si="5"/>
        <v>0</v>
      </c>
      <c r="AR17">
        <f t="shared" si="5"/>
        <v>0</v>
      </c>
      <c r="AS17">
        <f t="shared" si="6"/>
        <v>1.7391699880605059E-3</v>
      </c>
      <c r="AU17">
        <f t="shared" si="7"/>
        <v>3.6916683484728728E-2</v>
      </c>
      <c r="AV17">
        <f t="shared" si="7"/>
        <v>0</v>
      </c>
      <c r="AW17">
        <f t="shared" si="7"/>
        <v>0</v>
      </c>
      <c r="AX17">
        <f t="shared" si="7"/>
        <v>0</v>
      </c>
      <c r="AY17">
        <f t="shared" si="8"/>
        <v>3.6916683484728728E-2</v>
      </c>
    </row>
    <row r="18" spans="1:53" ht="15" x14ac:dyDescent="0.25">
      <c r="A18" s="7"/>
      <c r="B18" s="8" t="s">
        <v>14</v>
      </c>
      <c r="C18" s="7"/>
      <c r="D18" s="357">
        <f t="shared" ref="D18:H18" si="10">SUM(D12:D17)</f>
        <v>0</v>
      </c>
      <c r="E18" s="363">
        <f>SUM(E12:E17)</f>
        <v>73.624670000000009</v>
      </c>
      <c r="F18" s="357">
        <f t="shared" si="10"/>
        <v>0</v>
      </c>
      <c r="G18" s="357">
        <f t="shared" si="10"/>
        <v>0</v>
      </c>
      <c r="H18" s="357">
        <f t="shared" si="10"/>
        <v>0</v>
      </c>
      <c r="J18">
        <v>0</v>
      </c>
      <c r="K18" s="14">
        <v>48.403303287812918</v>
      </c>
      <c r="L18">
        <v>0</v>
      </c>
      <c r="M18">
        <v>0</v>
      </c>
      <c r="N18">
        <v>0</v>
      </c>
      <c r="O18" s="20"/>
      <c r="P18" s="20"/>
      <c r="Q18" s="438">
        <v>6.1583449289131113E-2</v>
      </c>
      <c r="R18" s="197"/>
      <c r="S18" s="197"/>
      <c r="T18" s="197"/>
      <c r="U18" s="197"/>
      <c r="BA18" s="319">
        <f>(E18*10000*Q18*AU$10)</f>
        <v>64655.711733393429</v>
      </c>
    </row>
    <row r="19" spans="1:53" ht="15" x14ac:dyDescent="0.25">
      <c r="A19" s="5"/>
      <c r="B19" s="9" t="s">
        <v>15</v>
      </c>
      <c r="C19" s="5"/>
      <c r="E19" s="363">
        <f>SUM(E18)</f>
        <v>73.624670000000009</v>
      </c>
      <c r="H19" s="358">
        <f>SUM(D18:H18)</f>
        <v>73.624670000000009</v>
      </c>
      <c r="K19" s="14"/>
      <c r="N19">
        <v>0</v>
      </c>
      <c r="O19" s="20"/>
      <c r="P19" s="20"/>
      <c r="Q19" s="438"/>
      <c r="R19" s="197"/>
      <c r="S19" s="197"/>
      <c r="T19" s="197"/>
      <c r="U19" s="197"/>
    </row>
    <row r="20" spans="1:53" ht="15.75" x14ac:dyDescent="0.25">
      <c r="A20" s="1"/>
      <c r="B20" s="2"/>
      <c r="C20" s="1"/>
      <c r="E20" s="361"/>
      <c r="K20" s="14"/>
      <c r="O20" s="20"/>
      <c r="P20" s="20"/>
      <c r="Q20" s="439"/>
      <c r="R20" s="197"/>
      <c r="S20" s="197"/>
      <c r="T20" s="197"/>
      <c r="U20" s="197"/>
    </row>
    <row r="21" spans="1:53" s="319" customFormat="1" ht="15" x14ac:dyDescent="0.25">
      <c r="A21" s="384">
        <v>2</v>
      </c>
      <c r="B21" s="376" t="s">
        <v>16</v>
      </c>
      <c r="C21" s="384" t="s">
        <v>8</v>
      </c>
      <c r="D21" s="319">
        <v>0</v>
      </c>
      <c r="E21" s="385">
        <v>16.384799999999998</v>
      </c>
      <c r="F21" s="319">
        <v>0</v>
      </c>
      <c r="G21" s="319">
        <v>0</v>
      </c>
      <c r="H21" s="319">
        <v>0</v>
      </c>
      <c r="J21" s="319">
        <v>0</v>
      </c>
      <c r="K21" s="14">
        <v>-39.910024524594213</v>
      </c>
      <c r="L21" s="319">
        <v>0</v>
      </c>
      <c r="M21" s="319">
        <v>0</v>
      </c>
      <c r="N21" s="319">
        <v>0</v>
      </c>
      <c r="O21" s="372"/>
      <c r="P21" s="372"/>
      <c r="Q21" s="438">
        <v>0.14318846373682906</v>
      </c>
      <c r="R21" s="373">
        <v>0.3</v>
      </c>
      <c r="S21" s="373">
        <v>2.29</v>
      </c>
      <c r="T21" s="373">
        <v>0.50078889239507718</v>
      </c>
      <c r="U21" s="373">
        <v>0.75268470790377973</v>
      </c>
      <c r="V21" s="372">
        <f>IF(K21&gt;0,((E21-K21)*$Q21*$R21*10)+(K21*$O$12*$Q21*$R21*10),(E21*$Q21*$R21*10))</f>
        <v>7.0383430219055896</v>
      </c>
      <c r="W21" s="372">
        <f t="shared" ref="V21:Y26" si="11">IF(L21&gt;0,((F21-L21)*$Q21*$R21*10)+(L21*$O$12*$Q21*$R21*10),(F21*$Q21*$R21*10))</f>
        <v>0</v>
      </c>
      <c r="X21" s="372">
        <f t="shared" si="11"/>
        <v>0</v>
      </c>
      <c r="Y21" s="372">
        <f t="shared" si="11"/>
        <v>0</v>
      </c>
      <c r="Z21" s="372">
        <f t="shared" ref="Z21:AC26" si="12">V21*(EXP(1.01-0.34*LN(Z$8))*(1-$T21)+(1*$T21))</f>
        <v>4.1659691709900262</v>
      </c>
      <c r="AA21" s="372">
        <f t="shared" si="12"/>
        <v>0</v>
      </c>
      <c r="AB21" s="372">
        <f t="shared" si="12"/>
        <v>0</v>
      </c>
      <c r="AC21" s="372">
        <f t="shared" si="12"/>
        <v>0</v>
      </c>
      <c r="AD21" s="372">
        <f t="shared" ref="AD21:AD26" si="13">SUM(Z21:AC21)</f>
        <v>4.1659691709900262</v>
      </c>
      <c r="AE21" s="372">
        <f t="shared" ref="AE21:AH26" si="14">IF(K21&gt;0,((E21-K21)*$Q21*$S21*10)+(K21*$P$12*$Q21*$S21)*10,(E21*$Q21*$S21*10))</f>
        <v>53.726018400546003</v>
      </c>
      <c r="AF21" s="372">
        <f t="shared" si="14"/>
        <v>0</v>
      </c>
      <c r="AG21" s="372">
        <f t="shared" si="14"/>
        <v>0</v>
      </c>
      <c r="AH21" s="372">
        <f t="shared" si="14"/>
        <v>0</v>
      </c>
      <c r="AI21" s="20">
        <f t="shared" ref="AI21:AL26" si="15">AE21*(EXP(1.01-0.34*LN(AI$8))*(1-$U21)+(1*$U21))</f>
        <v>42.86371516035701</v>
      </c>
      <c r="AJ21" s="20">
        <f t="shared" si="15"/>
        <v>0</v>
      </c>
      <c r="AK21" s="20">
        <f t="shared" si="15"/>
        <v>0</v>
      </c>
      <c r="AL21" s="20">
        <f t="shared" si="15"/>
        <v>0</v>
      </c>
      <c r="AM21" s="372">
        <f t="shared" ref="AM21:AM26" si="16">SUM(AI21:AL21)</f>
        <v>42.86371516035701</v>
      </c>
      <c r="AO21" s="319">
        <f t="shared" ref="AO21:AR26" si="17">Z21*AO$10</f>
        <v>5.940672037831777</v>
      </c>
      <c r="AP21" s="319">
        <f t="shared" si="17"/>
        <v>0</v>
      </c>
      <c r="AQ21" s="319">
        <f t="shared" si="17"/>
        <v>0</v>
      </c>
      <c r="AR21" s="319">
        <f t="shared" si="17"/>
        <v>0</v>
      </c>
      <c r="AS21" s="319">
        <f t="shared" ref="AS21:AS26" si="18">SUM(AO21:AR21)</f>
        <v>5.940672037831777</v>
      </c>
      <c r="AU21" s="319">
        <f t="shared" ref="AU21:AX26" si="19">AI21*AU$10</f>
        <v>61.123657818669095</v>
      </c>
      <c r="AV21" s="319">
        <f t="shared" si="19"/>
        <v>0</v>
      </c>
      <c r="AW21" s="319">
        <f t="shared" si="19"/>
        <v>0</v>
      </c>
      <c r="AX21" s="319">
        <f t="shared" si="19"/>
        <v>0</v>
      </c>
      <c r="AY21" s="319">
        <f t="shared" ref="AY21:AY26" si="20">SUM(AU21:AX21)</f>
        <v>61.123657818669095</v>
      </c>
    </row>
    <row r="22" spans="1:53" s="319" customFormat="1" ht="15" x14ac:dyDescent="0.25">
      <c r="A22" s="384"/>
      <c r="B22" s="376"/>
      <c r="C22" s="384" t="s">
        <v>9</v>
      </c>
      <c r="D22" s="319">
        <v>0</v>
      </c>
      <c r="E22" s="385">
        <v>2.0095999999999998</v>
      </c>
      <c r="F22" s="319">
        <v>0</v>
      </c>
      <c r="G22" s="319">
        <v>0</v>
      </c>
      <c r="H22" s="319">
        <v>0</v>
      </c>
      <c r="J22" s="319">
        <v>0</v>
      </c>
      <c r="K22" s="14">
        <v>-0.49104187160940027</v>
      </c>
      <c r="L22" s="319">
        <v>0</v>
      </c>
      <c r="M22" s="319">
        <v>0</v>
      </c>
      <c r="N22" s="319">
        <v>0</v>
      </c>
      <c r="O22" s="372"/>
      <c r="P22" s="372"/>
      <c r="Q22" s="438">
        <v>0.15137692747365816</v>
      </c>
      <c r="R22" s="373">
        <v>0.3</v>
      </c>
      <c r="S22" s="373">
        <v>2.29</v>
      </c>
      <c r="T22" s="373">
        <v>0.50078889239507718</v>
      </c>
      <c r="U22" s="373">
        <v>0.75268470790377973</v>
      </c>
      <c r="V22" s="372">
        <f t="shared" si="11"/>
        <v>0.91262122035319015</v>
      </c>
      <c r="W22" s="372">
        <f t="shared" si="11"/>
        <v>0</v>
      </c>
      <c r="X22" s="372">
        <f t="shared" si="11"/>
        <v>0</v>
      </c>
      <c r="Y22" s="372">
        <f t="shared" si="11"/>
        <v>0</v>
      </c>
      <c r="Z22" s="372">
        <f t="shared" si="12"/>
        <v>0.54017712080098779</v>
      </c>
      <c r="AA22" s="372">
        <f t="shared" si="12"/>
        <v>0</v>
      </c>
      <c r="AB22" s="372">
        <f t="shared" si="12"/>
        <v>0</v>
      </c>
      <c r="AC22" s="372">
        <f t="shared" si="12"/>
        <v>0</v>
      </c>
      <c r="AD22" s="372">
        <f t="shared" si="13"/>
        <v>0.54017712080098779</v>
      </c>
      <c r="AE22" s="372">
        <f t="shared" si="14"/>
        <v>6.966341982029352</v>
      </c>
      <c r="AF22" s="372">
        <f t="shared" si="14"/>
        <v>0</v>
      </c>
      <c r="AG22" s="372">
        <f t="shared" si="14"/>
        <v>0</v>
      </c>
      <c r="AH22" s="372">
        <f t="shared" si="14"/>
        <v>0</v>
      </c>
      <c r="AI22" s="20">
        <f t="shared" si="15"/>
        <v>5.557889963130199</v>
      </c>
      <c r="AJ22" s="20">
        <f t="shared" si="15"/>
        <v>0</v>
      </c>
      <c r="AK22" s="20">
        <f t="shared" si="15"/>
        <v>0</v>
      </c>
      <c r="AL22" s="20">
        <f t="shared" si="15"/>
        <v>0</v>
      </c>
      <c r="AM22" s="372">
        <f t="shared" si="16"/>
        <v>5.557889963130199</v>
      </c>
      <c r="AO22" s="319">
        <f t="shared" si="17"/>
        <v>0.77029257426220854</v>
      </c>
      <c r="AP22" s="319">
        <f t="shared" si="17"/>
        <v>0</v>
      </c>
      <c r="AQ22" s="319">
        <f t="shared" si="17"/>
        <v>0</v>
      </c>
      <c r="AR22" s="319">
        <f t="shared" si="17"/>
        <v>0</v>
      </c>
      <c r="AS22" s="319">
        <f t="shared" si="18"/>
        <v>0.77029257426220854</v>
      </c>
      <c r="AU22" s="319">
        <f t="shared" si="19"/>
        <v>7.9255510874236634</v>
      </c>
      <c r="AV22" s="319">
        <f t="shared" si="19"/>
        <v>0</v>
      </c>
      <c r="AW22" s="319">
        <f t="shared" si="19"/>
        <v>0</v>
      </c>
      <c r="AX22" s="319">
        <f t="shared" si="19"/>
        <v>0</v>
      </c>
      <c r="AY22" s="319">
        <f t="shared" si="20"/>
        <v>7.9255510874236634</v>
      </c>
    </row>
    <row r="23" spans="1:53" s="319" customFormat="1" ht="15" x14ac:dyDescent="0.25">
      <c r="A23" s="384"/>
      <c r="B23" s="376"/>
      <c r="C23" s="384" t="s">
        <v>10</v>
      </c>
      <c r="D23" s="319">
        <v>0</v>
      </c>
      <c r="E23" s="385">
        <v>0</v>
      </c>
      <c r="F23" s="319">
        <v>0</v>
      </c>
      <c r="G23" s="319">
        <v>0</v>
      </c>
      <c r="H23" s="319">
        <v>0</v>
      </c>
      <c r="J23" s="319">
        <v>0</v>
      </c>
      <c r="K23" s="14">
        <v>0</v>
      </c>
      <c r="L23" s="319">
        <v>0</v>
      </c>
      <c r="M23" s="319">
        <v>0</v>
      </c>
      <c r="N23" s="319">
        <v>0</v>
      </c>
      <c r="O23" s="372"/>
      <c r="P23" s="372"/>
      <c r="Q23" s="438"/>
      <c r="R23" s="373">
        <v>0.3</v>
      </c>
      <c r="S23" s="373">
        <v>2.29</v>
      </c>
      <c r="T23" s="373">
        <v>0.50078889239507718</v>
      </c>
      <c r="U23" s="373">
        <v>0.75268470790377973</v>
      </c>
      <c r="V23" s="372">
        <f t="shared" si="11"/>
        <v>0</v>
      </c>
      <c r="W23" s="372">
        <f t="shared" si="11"/>
        <v>0</v>
      </c>
      <c r="X23" s="372">
        <f t="shared" si="11"/>
        <v>0</v>
      </c>
      <c r="Y23" s="372">
        <f t="shared" si="11"/>
        <v>0</v>
      </c>
      <c r="Z23" s="372">
        <f t="shared" si="12"/>
        <v>0</v>
      </c>
      <c r="AA23" s="372">
        <f t="shared" si="12"/>
        <v>0</v>
      </c>
      <c r="AB23" s="372">
        <f t="shared" si="12"/>
        <v>0</v>
      </c>
      <c r="AC23" s="372">
        <f t="shared" si="12"/>
        <v>0</v>
      </c>
      <c r="AD23" s="372">
        <f t="shared" si="13"/>
        <v>0</v>
      </c>
      <c r="AE23" s="372">
        <f t="shared" si="14"/>
        <v>0</v>
      </c>
      <c r="AF23" s="372">
        <f t="shared" si="14"/>
        <v>0</v>
      </c>
      <c r="AG23" s="372">
        <f t="shared" si="14"/>
        <v>0</v>
      </c>
      <c r="AH23" s="372">
        <f t="shared" si="14"/>
        <v>0</v>
      </c>
      <c r="AI23" s="20">
        <f t="shared" si="15"/>
        <v>0</v>
      </c>
      <c r="AJ23" s="20">
        <f t="shared" si="15"/>
        <v>0</v>
      </c>
      <c r="AK23" s="20">
        <f t="shared" si="15"/>
        <v>0</v>
      </c>
      <c r="AL23" s="20">
        <f t="shared" si="15"/>
        <v>0</v>
      </c>
      <c r="AM23" s="372">
        <f t="shared" si="16"/>
        <v>0</v>
      </c>
      <c r="AO23" s="319">
        <f t="shared" si="17"/>
        <v>0</v>
      </c>
      <c r="AP23" s="319">
        <f t="shared" si="17"/>
        <v>0</v>
      </c>
      <c r="AQ23" s="319">
        <f t="shared" si="17"/>
        <v>0</v>
      </c>
      <c r="AR23" s="319">
        <f t="shared" si="17"/>
        <v>0</v>
      </c>
      <c r="AS23" s="319">
        <f t="shared" si="18"/>
        <v>0</v>
      </c>
      <c r="AU23" s="319">
        <f t="shared" si="19"/>
        <v>0</v>
      </c>
      <c r="AV23" s="319">
        <f t="shared" si="19"/>
        <v>0</v>
      </c>
      <c r="AW23" s="319">
        <f t="shared" si="19"/>
        <v>0</v>
      </c>
      <c r="AX23" s="319">
        <f t="shared" si="19"/>
        <v>0</v>
      </c>
      <c r="AY23" s="319">
        <f t="shared" si="20"/>
        <v>0</v>
      </c>
    </row>
    <row r="24" spans="1:53" s="319" customFormat="1" ht="15" x14ac:dyDescent="0.25">
      <c r="A24" s="384"/>
      <c r="B24" s="376"/>
      <c r="C24" s="384" t="s">
        <v>11</v>
      </c>
      <c r="D24" s="319">
        <v>0</v>
      </c>
      <c r="E24" s="385">
        <v>0.63349999999999995</v>
      </c>
      <c r="F24" s="319">
        <v>0</v>
      </c>
      <c r="G24" s="319">
        <v>0</v>
      </c>
      <c r="H24" s="319">
        <v>0</v>
      </c>
      <c r="J24" s="319">
        <v>0</v>
      </c>
      <c r="K24" s="14">
        <v>-9.2556332118376989</v>
      </c>
      <c r="L24" s="319">
        <v>0</v>
      </c>
      <c r="M24" s="319">
        <v>0</v>
      </c>
      <c r="N24" s="319">
        <v>0</v>
      </c>
      <c r="O24" s="372"/>
      <c r="P24" s="372"/>
      <c r="Q24" s="438">
        <v>0.16775385494731632</v>
      </c>
      <c r="R24" s="373">
        <v>0.3</v>
      </c>
      <c r="S24" s="373">
        <v>2.29</v>
      </c>
      <c r="T24" s="373">
        <v>0.50078889239507718</v>
      </c>
      <c r="U24" s="373">
        <v>0.75268470790377973</v>
      </c>
      <c r="V24" s="372">
        <f t="shared" si="11"/>
        <v>0.31881620132737459</v>
      </c>
      <c r="W24" s="372">
        <f t="shared" si="11"/>
        <v>0</v>
      </c>
      <c r="X24" s="372">
        <f t="shared" si="11"/>
        <v>0</v>
      </c>
      <c r="Y24" s="372">
        <f t="shared" si="11"/>
        <v>0</v>
      </c>
      <c r="Z24" s="372">
        <f t="shared" si="12"/>
        <v>0.18870612895794833</v>
      </c>
      <c r="AA24" s="372">
        <f t="shared" si="12"/>
        <v>0</v>
      </c>
      <c r="AB24" s="372">
        <f t="shared" si="12"/>
        <v>0</v>
      </c>
      <c r="AC24" s="372">
        <f t="shared" si="12"/>
        <v>0</v>
      </c>
      <c r="AD24" s="372">
        <f t="shared" si="13"/>
        <v>0.18870612895794833</v>
      </c>
      <c r="AE24" s="372">
        <f t="shared" si="14"/>
        <v>2.4336303367989593</v>
      </c>
      <c r="AF24" s="372">
        <f t="shared" si="14"/>
        <v>0</v>
      </c>
      <c r="AG24" s="372">
        <f t="shared" si="14"/>
        <v>0</v>
      </c>
      <c r="AH24" s="372">
        <f t="shared" si="14"/>
        <v>0</v>
      </c>
      <c r="AI24" s="20">
        <f t="shared" si="15"/>
        <v>1.9416000043862205</v>
      </c>
      <c r="AJ24" s="20">
        <f t="shared" si="15"/>
        <v>0</v>
      </c>
      <c r="AK24" s="20">
        <f t="shared" si="15"/>
        <v>0</v>
      </c>
      <c r="AL24" s="20">
        <f t="shared" si="15"/>
        <v>0</v>
      </c>
      <c r="AM24" s="372">
        <f t="shared" si="16"/>
        <v>1.9416000043862205</v>
      </c>
      <c r="AO24" s="319">
        <f t="shared" si="17"/>
        <v>0.26909493989403432</v>
      </c>
      <c r="AP24" s="319">
        <f t="shared" si="17"/>
        <v>0</v>
      </c>
      <c r="AQ24" s="319">
        <f t="shared" si="17"/>
        <v>0</v>
      </c>
      <c r="AR24" s="319">
        <f t="shared" si="17"/>
        <v>0</v>
      </c>
      <c r="AS24" s="319">
        <f t="shared" si="18"/>
        <v>0.26909493989403432</v>
      </c>
      <c r="AU24" s="319">
        <f t="shared" si="19"/>
        <v>2.7687216062547502</v>
      </c>
      <c r="AV24" s="319">
        <f t="shared" si="19"/>
        <v>0</v>
      </c>
      <c r="AW24" s="319">
        <f t="shared" si="19"/>
        <v>0</v>
      </c>
      <c r="AX24" s="319">
        <f t="shared" si="19"/>
        <v>0</v>
      </c>
      <c r="AY24" s="319">
        <f t="shared" si="20"/>
        <v>2.7687216062547502</v>
      </c>
    </row>
    <row r="25" spans="1:53" s="319" customFormat="1" ht="15" x14ac:dyDescent="0.25">
      <c r="A25" s="384"/>
      <c r="B25" s="376"/>
      <c r="C25" s="384" t="s">
        <v>12</v>
      </c>
      <c r="D25" s="319">
        <v>0</v>
      </c>
      <c r="E25" s="385">
        <v>0</v>
      </c>
      <c r="F25" s="319">
        <v>0</v>
      </c>
      <c r="G25" s="319">
        <v>0</v>
      </c>
      <c r="H25" s="319">
        <v>0</v>
      </c>
      <c r="J25" s="319">
        <v>0</v>
      </c>
      <c r="K25" s="14">
        <v>0</v>
      </c>
      <c r="L25" s="319">
        <v>0</v>
      </c>
      <c r="M25" s="319">
        <v>0</v>
      </c>
      <c r="N25" s="319">
        <v>0</v>
      </c>
      <c r="O25" s="372"/>
      <c r="P25" s="372"/>
      <c r="Q25" s="438"/>
      <c r="R25" s="373">
        <v>0.3</v>
      </c>
      <c r="S25" s="373">
        <v>2.29</v>
      </c>
      <c r="T25" s="373">
        <v>0.50078889239507718</v>
      </c>
      <c r="U25" s="373">
        <v>0.75268470790377973</v>
      </c>
      <c r="V25" s="372">
        <f t="shared" si="11"/>
        <v>0</v>
      </c>
      <c r="W25" s="372">
        <f t="shared" si="11"/>
        <v>0</v>
      </c>
      <c r="X25" s="372">
        <f t="shared" si="11"/>
        <v>0</v>
      </c>
      <c r="Y25" s="372">
        <f t="shared" si="11"/>
        <v>0</v>
      </c>
      <c r="Z25" s="372">
        <f t="shared" si="12"/>
        <v>0</v>
      </c>
      <c r="AA25" s="372">
        <f t="shared" si="12"/>
        <v>0</v>
      </c>
      <c r="AB25" s="372">
        <f t="shared" si="12"/>
        <v>0</v>
      </c>
      <c r="AC25" s="372">
        <f t="shared" si="12"/>
        <v>0</v>
      </c>
      <c r="AD25" s="372">
        <f t="shared" si="13"/>
        <v>0</v>
      </c>
      <c r="AE25" s="372">
        <f t="shared" si="14"/>
        <v>0</v>
      </c>
      <c r="AF25" s="372">
        <f t="shared" si="14"/>
        <v>0</v>
      </c>
      <c r="AG25" s="372">
        <f t="shared" si="14"/>
        <v>0</v>
      </c>
      <c r="AH25" s="372">
        <f t="shared" si="14"/>
        <v>0</v>
      </c>
      <c r="AI25" s="20">
        <f t="shared" si="15"/>
        <v>0</v>
      </c>
      <c r="AJ25" s="20">
        <f t="shared" si="15"/>
        <v>0</v>
      </c>
      <c r="AK25" s="20">
        <f t="shared" si="15"/>
        <v>0</v>
      </c>
      <c r="AL25" s="20">
        <f t="shared" si="15"/>
        <v>0</v>
      </c>
      <c r="AM25" s="372">
        <f t="shared" si="16"/>
        <v>0</v>
      </c>
      <c r="AO25" s="319">
        <f t="shared" si="17"/>
        <v>0</v>
      </c>
      <c r="AP25" s="319">
        <f t="shared" si="17"/>
        <v>0</v>
      </c>
      <c r="AQ25" s="319">
        <f t="shared" si="17"/>
        <v>0</v>
      </c>
      <c r="AR25" s="319">
        <f t="shared" si="17"/>
        <v>0</v>
      </c>
      <c r="AS25" s="319">
        <f t="shared" si="18"/>
        <v>0</v>
      </c>
      <c r="AU25" s="319">
        <f t="shared" si="19"/>
        <v>0</v>
      </c>
      <c r="AV25" s="319">
        <f t="shared" si="19"/>
        <v>0</v>
      </c>
      <c r="AW25" s="319">
        <f t="shared" si="19"/>
        <v>0</v>
      </c>
      <c r="AX25" s="319">
        <f t="shared" si="19"/>
        <v>0</v>
      </c>
      <c r="AY25" s="319">
        <f t="shared" si="20"/>
        <v>0</v>
      </c>
    </row>
    <row r="26" spans="1:53" s="319" customFormat="1" ht="15" x14ac:dyDescent="0.25">
      <c r="A26" s="384"/>
      <c r="B26" s="376"/>
      <c r="C26" s="384" t="s">
        <v>13</v>
      </c>
      <c r="D26" s="319">
        <v>0</v>
      </c>
      <c r="E26" s="385">
        <v>3.5499999999999997E-2</v>
      </c>
      <c r="F26" s="319">
        <v>0</v>
      </c>
      <c r="G26" s="319">
        <v>0</v>
      </c>
      <c r="H26" s="319">
        <v>0</v>
      </c>
      <c r="J26" s="319">
        <v>0</v>
      </c>
      <c r="K26" s="14">
        <v>-1.4578033836145998</v>
      </c>
      <c r="L26" s="319">
        <v>0</v>
      </c>
      <c r="M26" s="319">
        <v>0</v>
      </c>
      <c r="N26" s="319">
        <v>0</v>
      </c>
      <c r="O26" s="372"/>
      <c r="P26" s="372"/>
      <c r="Q26" s="438">
        <v>0.16775385494731629</v>
      </c>
      <c r="R26" s="373">
        <v>0.3</v>
      </c>
      <c r="S26" s="373">
        <v>2.29</v>
      </c>
      <c r="T26" s="373">
        <v>0.50078889239507718</v>
      </c>
      <c r="U26" s="373">
        <v>0.75268470790377973</v>
      </c>
      <c r="V26" s="372">
        <f t="shared" si="11"/>
        <v>1.7865785551889182E-2</v>
      </c>
      <c r="W26" s="372">
        <f t="shared" si="11"/>
        <v>0</v>
      </c>
      <c r="X26" s="372">
        <f t="shared" si="11"/>
        <v>0</v>
      </c>
      <c r="Y26" s="372">
        <f t="shared" si="11"/>
        <v>0</v>
      </c>
      <c r="Z26" s="372">
        <f t="shared" si="12"/>
        <v>1.0574692309403576E-2</v>
      </c>
      <c r="AA26" s="372">
        <f t="shared" si="12"/>
        <v>0</v>
      </c>
      <c r="AB26" s="372">
        <f t="shared" si="12"/>
        <v>0</v>
      </c>
      <c r="AC26" s="372">
        <f t="shared" si="12"/>
        <v>0</v>
      </c>
      <c r="AD26" s="372">
        <f t="shared" si="13"/>
        <v>1.0574692309403576E-2</v>
      </c>
      <c r="AE26" s="372">
        <f t="shared" si="14"/>
        <v>0.13637549637942079</v>
      </c>
      <c r="AF26" s="372">
        <f t="shared" si="14"/>
        <v>0</v>
      </c>
      <c r="AG26" s="372">
        <f t="shared" si="14"/>
        <v>0</v>
      </c>
      <c r="AH26" s="372">
        <f t="shared" si="14"/>
        <v>0</v>
      </c>
      <c r="AI26" s="20">
        <f t="shared" si="15"/>
        <v>0.10880315730972508</v>
      </c>
      <c r="AJ26" s="20">
        <f t="shared" si="15"/>
        <v>0</v>
      </c>
      <c r="AK26" s="20">
        <f t="shared" si="15"/>
        <v>0</v>
      </c>
      <c r="AL26" s="20">
        <f t="shared" si="15"/>
        <v>0</v>
      </c>
      <c r="AM26" s="372">
        <f t="shared" si="16"/>
        <v>0.10880315730972508</v>
      </c>
      <c r="AO26" s="319">
        <f t="shared" si="17"/>
        <v>1.5079511233209499E-2</v>
      </c>
      <c r="AP26" s="319">
        <f t="shared" si="17"/>
        <v>0</v>
      </c>
      <c r="AQ26" s="319">
        <f t="shared" si="17"/>
        <v>0</v>
      </c>
      <c r="AR26" s="319">
        <f t="shared" si="17"/>
        <v>0</v>
      </c>
      <c r="AS26" s="319">
        <f t="shared" si="18"/>
        <v>1.5079511233209499E-2</v>
      </c>
      <c r="AU26" s="319">
        <f t="shared" si="19"/>
        <v>0.15515330232366795</v>
      </c>
      <c r="AV26" s="319">
        <f t="shared" si="19"/>
        <v>0</v>
      </c>
      <c r="AW26" s="319">
        <f t="shared" si="19"/>
        <v>0</v>
      </c>
      <c r="AX26" s="319">
        <f t="shared" si="19"/>
        <v>0</v>
      </c>
      <c r="AY26" s="319">
        <f t="shared" si="20"/>
        <v>0.15515330232366795</v>
      </c>
    </row>
    <row r="27" spans="1:53" ht="15" x14ac:dyDescent="0.25">
      <c r="A27" s="7"/>
      <c r="B27" s="8" t="s">
        <v>14</v>
      </c>
      <c r="C27" s="7"/>
      <c r="D27" s="357">
        <f t="shared" ref="D27:H27" si="21">SUM(D21:D26)</f>
        <v>0</v>
      </c>
      <c r="E27" s="363">
        <f>SUM(E21:E26)</f>
        <v>19.063399999999998</v>
      </c>
      <c r="F27" s="357">
        <f t="shared" si="21"/>
        <v>0</v>
      </c>
      <c r="G27" s="357">
        <f t="shared" si="21"/>
        <v>0</v>
      </c>
      <c r="H27" s="357">
        <f t="shared" si="21"/>
        <v>0</v>
      </c>
      <c r="J27">
        <v>0</v>
      </c>
      <c r="K27" s="14">
        <v>-51.114502991655911</v>
      </c>
      <c r="L27">
        <v>0</v>
      </c>
      <c r="M27">
        <v>0</v>
      </c>
      <c r="N27">
        <v>0</v>
      </c>
      <c r="O27" s="20"/>
      <c r="P27" s="20"/>
      <c r="Q27" s="438">
        <v>0.14491374796972289</v>
      </c>
      <c r="R27" s="197"/>
      <c r="S27" s="197"/>
      <c r="T27" s="197"/>
      <c r="U27" s="197"/>
      <c r="BA27" s="319">
        <f>(E27*10000*Q27*AU$10)</f>
        <v>39393.945075836171</v>
      </c>
    </row>
    <row r="28" spans="1:53" ht="15" x14ac:dyDescent="0.25">
      <c r="A28" s="5"/>
      <c r="B28" s="9" t="s">
        <v>15</v>
      </c>
      <c r="C28" s="5"/>
      <c r="E28" s="363">
        <f>SUM(E27)</f>
        <v>19.063399999999998</v>
      </c>
      <c r="H28" s="358">
        <f>SUM(D27:H27)</f>
        <v>19.063399999999998</v>
      </c>
      <c r="K28" s="14"/>
      <c r="N28">
        <v>0</v>
      </c>
      <c r="O28" s="20"/>
      <c r="P28" s="20"/>
      <c r="Q28" s="438"/>
      <c r="R28" s="197"/>
      <c r="S28" s="197"/>
      <c r="T28" s="197"/>
      <c r="U28" s="197"/>
    </row>
    <row r="29" spans="1:53" ht="15.75" x14ac:dyDescent="0.25">
      <c r="A29" s="1"/>
      <c r="B29" s="2"/>
      <c r="C29" s="1"/>
      <c r="E29" s="361"/>
      <c r="K29" s="14"/>
      <c r="O29" s="20"/>
      <c r="P29" s="20"/>
      <c r="Q29" s="439"/>
      <c r="R29" s="197"/>
      <c r="S29" s="197"/>
      <c r="T29" s="197"/>
      <c r="U29" s="197"/>
    </row>
    <row r="30" spans="1:53" ht="15" x14ac:dyDescent="0.25">
      <c r="A30" s="1">
        <v>3</v>
      </c>
      <c r="B30" s="2" t="s">
        <v>17</v>
      </c>
      <c r="C30" s="1" t="s">
        <v>8</v>
      </c>
      <c r="D30">
        <v>0</v>
      </c>
      <c r="E30" s="360">
        <v>23.123049999999999</v>
      </c>
      <c r="F30">
        <v>0</v>
      </c>
      <c r="G30">
        <v>0</v>
      </c>
      <c r="H30">
        <v>0</v>
      </c>
      <c r="J30">
        <v>0</v>
      </c>
      <c r="K30" s="14">
        <v>3.4634967865729998</v>
      </c>
      <c r="L30">
        <v>0</v>
      </c>
      <c r="M30">
        <v>0</v>
      </c>
      <c r="N30">
        <v>0</v>
      </c>
      <c r="O30" s="20"/>
      <c r="P30" s="20"/>
      <c r="Q30" s="438">
        <v>0.23222511506190802</v>
      </c>
      <c r="R30" s="197">
        <v>0.49</v>
      </c>
      <c r="S30" s="197">
        <v>2.42</v>
      </c>
      <c r="T30" s="197">
        <v>0.50078889239507718</v>
      </c>
      <c r="U30" s="197">
        <v>0.75268470790377973</v>
      </c>
      <c r="V30" s="20">
        <f t="shared" ref="V30:Y35" si="22">IF(K30&gt;0,((E30-K30)*$Q30*$R30*10)+(K30*$O$12*$Q30*$R30*10),(E30*$Q30*$R30*10))</f>
        <v>23.820022100658438</v>
      </c>
      <c r="W30" s="20">
        <f t="shared" si="22"/>
        <v>0</v>
      </c>
      <c r="X30" s="20">
        <f t="shared" si="22"/>
        <v>0</v>
      </c>
      <c r="Y30" s="20">
        <f t="shared" si="22"/>
        <v>0</v>
      </c>
      <c r="Z30" s="20">
        <f t="shared" ref="Z30:AC35" si="23">V30*(EXP(1.01-0.34*LN(Z$8))*(1-$T30)+(1*$T30))</f>
        <v>14.098982873497015</v>
      </c>
      <c r="AA30" s="20">
        <f t="shared" si="23"/>
        <v>0</v>
      </c>
      <c r="AB30" s="20">
        <f t="shared" si="23"/>
        <v>0</v>
      </c>
      <c r="AC30" s="20">
        <f t="shared" si="23"/>
        <v>0</v>
      </c>
      <c r="AD30" s="20">
        <f t="shared" ref="AD30:AD35" si="24">SUM(Z30:AC30)</f>
        <v>14.098982873497015</v>
      </c>
      <c r="AE30" s="20">
        <f t="shared" ref="AE30:AH35" si="25">IF(K30&gt;0,((E30-K30)*$Q30*$S30*10)+(K30*$P$12*$Q30*$S30)*10,(E30*$Q30*$S30*10))</f>
        <v>121.75607481611132</v>
      </c>
      <c r="AF30" s="20">
        <f t="shared" si="25"/>
        <v>0</v>
      </c>
      <c r="AG30" s="20">
        <f t="shared" si="25"/>
        <v>0</v>
      </c>
      <c r="AH30" s="20">
        <f t="shared" si="25"/>
        <v>0</v>
      </c>
      <c r="AI30" s="20">
        <f t="shared" ref="AI30:AL35" si="26">AE30*(EXP(1.01-0.34*LN(AI$8))*(1-$U30)+(1*$U30))</f>
        <v>97.139484095993879</v>
      </c>
      <c r="AJ30" s="20">
        <f t="shared" si="26"/>
        <v>0</v>
      </c>
      <c r="AK30" s="20">
        <f t="shared" si="26"/>
        <v>0</v>
      </c>
      <c r="AL30" s="20">
        <f t="shared" si="26"/>
        <v>0</v>
      </c>
      <c r="AM30" s="20">
        <f t="shared" ref="AM30:AM35" si="27">SUM(AI30:AL30)</f>
        <v>97.139484095993879</v>
      </c>
      <c r="AO30">
        <f t="shared" ref="AO30:AR35" si="28">Z30*AO$10</f>
        <v>20.105149577606742</v>
      </c>
      <c r="AP30">
        <f t="shared" si="28"/>
        <v>0</v>
      </c>
      <c r="AQ30">
        <f t="shared" si="28"/>
        <v>0</v>
      </c>
      <c r="AR30">
        <f t="shared" si="28"/>
        <v>0</v>
      </c>
      <c r="AS30">
        <f t="shared" ref="AS30:AS35" si="29">SUM(AO30:AR30)</f>
        <v>20.105149577606742</v>
      </c>
      <c r="AU30">
        <f t="shared" ref="AU30:AX35" si="30">AI30*AU$10</f>
        <v>138.52090432088727</v>
      </c>
      <c r="AV30">
        <f t="shared" si="30"/>
        <v>0</v>
      </c>
      <c r="AW30">
        <f t="shared" si="30"/>
        <v>0</v>
      </c>
      <c r="AX30">
        <f t="shared" si="30"/>
        <v>0</v>
      </c>
      <c r="AY30">
        <f t="shared" ref="AY30:AY35" si="31">SUM(AU30:AX30)</f>
        <v>138.52090432088727</v>
      </c>
    </row>
    <row r="31" spans="1:53" ht="15" x14ac:dyDescent="0.25">
      <c r="A31" s="1"/>
      <c r="B31" s="2"/>
      <c r="C31" s="1" t="s">
        <v>9</v>
      </c>
      <c r="D31">
        <v>0</v>
      </c>
      <c r="E31" s="360">
        <v>3.0118</v>
      </c>
      <c r="F31">
        <v>0</v>
      </c>
      <c r="G31">
        <v>0</v>
      </c>
      <c r="H31">
        <v>0</v>
      </c>
      <c r="J31">
        <v>0</v>
      </c>
      <c r="K31" s="14">
        <v>3.0118</v>
      </c>
      <c r="L31">
        <v>0</v>
      </c>
      <c r="M31">
        <v>0</v>
      </c>
      <c r="N31">
        <v>0</v>
      </c>
      <c r="O31" s="20"/>
      <c r="P31" s="20"/>
      <c r="Q31" s="438">
        <v>0.23945023012381603</v>
      </c>
      <c r="R31" s="197">
        <v>0.49</v>
      </c>
      <c r="S31" s="197">
        <v>2.42</v>
      </c>
      <c r="T31" s="197">
        <v>0.50078889239507718</v>
      </c>
      <c r="U31" s="197">
        <v>0.75268470790377973</v>
      </c>
      <c r="V31" s="20">
        <f t="shared" si="22"/>
        <v>1.2995487158118428</v>
      </c>
      <c r="W31" s="20">
        <f t="shared" si="22"/>
        <v>0</v>
      </c>
      <c r="X31" s="20">
        <f t="shared" si="22"/>
        <v>0</v>
      </c>
      <c r="Y31" s="20">
        <f t="shared" si="22"/>
        <v>0</v>
      </c>
      <c r="Z31" s="20">
        <f t="shared" si="23"/>
        <v>0.76919807253242389</v>
      </c>
      <c r="AA31" s="20">
        <f t="shared" si="23"/>
        <v>0</v>
      </c>
      <c r="AB31" s="20">
        <f t="shared" si="23"/>
        <v>0</v>
      </c>
      <c r="AC31" s="20">
        <f t="shared" si="23"/>
        <v>0</v>
      </c>
      <c r="AD31" s="20">
        <f t="shared" si="24"/>
        <v>0.76919807253242389</v>
      </c>
      <c r="AE31" s="20">
        <f t="shared" si="25"/>
        <v>10.107249001267002</v>
      </c>
      <c r="AF31" s="20">
        <f t="shared" si="25"/>
        <v>0</v>
      </c>
      <c r="AG31" s="20">
        <f t="shared" si="25"/>
        <v>0</v>
      </c>
      <c r="AH31" s="20">
        <f t="shared" si="25"/>
        <v>0</v>
      </c>
      <c r="AI31" s="20">
        <f t="shared" si="26"/>
        <v>8.0637697551901368</v>
      </c>
      <c r="AJ31" s="20">
        <f t="shared" si="26"/>
        <v>0</v>
      </c>
      <c r="AK31" s="20">
        <f t="shared" si="26"/>
        <v>0</v>
      </c>
      <c r="AL31" s="20">
        <f t="shared" si="26"/>
        <v>0</v>
      </c>
      <c r="AM31" s="20">
        <f t="shared" si="27"/>
        <v>8.0637697551901368</v>
      </c>
      <c r="AO31">
        <f t="shared" si="28"/>
        <v>1.0968764514312364</v>
      </c>
      <c r="AP31">
        <f t="shared" si="28"/>
        <v>0</v>
      </c>
      <c r="AQ31">
        <f t="shared" si="28"/>
        <v>0</v>
      </c>
      <c r="AR31">
        <f t="shared" si="28"/>
        <v>0</v>
      </c>
      <c r="AS31">
        <f t="shared" si="29"/>
        <v>1.0968764514312364</v>
      </c>
      <c r="AU31">
        <f t="shared" si="30"/>
        <v>11.498935670901135</v>
      </c>
      <c r="AV31">
        <f t="shared" si="30"/>
        <v>0</v>
      </c>
      <c r="AW31">
        <f t="shared" si="30"/>
        <v>0</v>
      </c>
      <c r="AX31">
        <f t="shared" si="30"/>
        <v>0</v>
      </c>
      <c r="AY31">
        <f t="shared" si="31"/>
        <v>11.498935670901135</v>
      </c>
    </row>
    <row r="32" spans="1:53" ht="15" x14ac:dyDescent="0.25">
      <c r="A32" s="1"/>
      <c r="B32" s="2"/>
      <c r="C32" s="1" t="s">
        <v>10</v>
      </c>
      <c r="D32">
        <v>0</v>
      </c>
      <c r="E32" s="360">
        <v>1.19706</v>
      </c>
      <c r="F32">
        <v>0</v>
      </c>
      <c r="G32">
        <v>0</v>
      </c>
      <c r="H32">
        <v>0</v>
      </c>
      <c r="J32">
        <v>0</v>
      </c>
      <c r="K32" s="14">
        <v>2.7851047800000472E-3</v>
      </c>
      <c r="L32">
        <v>0</v>
      </c>
      <c r="M32">
        <v>0</v>
      </c>
      <c r="N32">
        <v>0</v>
      </c>
      <c r="O32" s="20"/>
      <c r="P32" s="20"/>
      <c r="Q32" s="438">
        <v>0.24667534518572407</v>
      </c>
      <c r="R32" s="197">
        <v>0.49</v>
      </c>
      <c r="S32" s="197">
        <v>2.42</v>
      </c>
      <c r="T32" s="197">
        <v>0.50078889239507718</v>
      </c>
      <c r="U32" s="197">
        <v>0.75268470790377973</v>
      </c>
      <c r="V32" s="20">
        <f t="shared" si="22"/>
        <v>1.4447690366949328</v>
      </c>
      <c r="W32" s="20">
        <f t="shared" si="22"/>
        <v>0</v>
      </c>
      <c r="X32" s="20">
        <f t="shared" si="22"/>
        <v>0</v>
      </c>
      <c r="Y32" s="20">
        <f t="shared" si="22"/>
        <v>0</v>
      </c>
      <c r="Z32" s="20">
        <f t="shared" si="23"/>
        <v>0.85515344269800542</v>
      </c>
      <c r="AA32" s="20">
        <f t="shared" si="23"/>
        <v>0</v>
      </c>
      <c r="AB32" s="20">
        <f t="shared" si="23"/>
        <v>0</v>
      </c>
      <c r="AC32" s="20">
        <f t="shared" si="23"/>
        <v>0</v>
      </c>
      <c r="AD32" s="20">
        <f t="shared" si="24"/>
        <v>0.85515344269800542</v>
      </c>
      <c r="AE32" s="20">
        <f t="shared" si="25"/>
        <v>7.1389042680137509</v>
      </c>
      <c r="AF32" s="20">
        <f t="shared" si="25"/>
        <v>0</v>
      </c>
      <c r="AG32" s="20">
        <f t="shared" si="25"/>
        <v>0</v>
      </c>
      <c r="AH32" s="20">
        <f t="shared" si="25"/>
        <v>0</v>
      </c>
      <c r="AI32" s="20">
        <f t="shared" si="26"/>
        <v>5.6955636805218486</v>
      </c>
      <c r="AJ32" s="20">
        <f t="shared" si="26"/>
        <v>0</v>
      </c>
      <c r="AK32" s="20">
        <f t="shared" si="26"/>
        <v>0</v>
      </c>
      <c r="AL32" s="20">
        <f t="shared" si="26"/>
        <v>0</v>
      </c>
      <c r="AM32" s="20">
        <f t="shared" si="27"/>
        <v>5.6955636805218486</v>
      </c>
      <c r="AO32">
        <f t="shared" si="28"/>
        <v>1.2194488092873557</v>
      </c>
      <c r="AP32">
        <f t="shared" si="28"/>
        <v>0</v>
      </c>
      <c r="AQ32">
        <f t="shared" si="28"/>
        <v>0</v>
      </c>
      <c r="AR32">
        <f t="shared" si="28"/>
        <v>0</v>
      </c>
      <c r="AS32">
        <f t="shared" si="29"/>
        <v>1.2194488092873557</v>
      </c>
      <c r="AU32">
        <f t="shared" si="30"/>
        <v>8.1218738084241551</v>
      </c>
      <c r="AV32">
        <f t="shared" si="30"/>
        <v>0</v>
      </c>
      <c r="AW32">
        <f t="shared" si="30"/>
        <v>0</v>
      </c>
      <c r="AX32">
        <f t="shared" si="30"/>
        <v>0</v>
      </c>
      <c r="AY32">
        <f t="shared" si="31"/>
        <v>8.1218738084241551</v>
      </c>
    </row>
    <row r="33" spans="1:53" ht="15" x14ac:dyDescent="0.25">
      <c r="A33" s="1"/>
      <c r="B33" s="2"/>
      <c r="C33" s="1" t="s">
        <v>11</v>
      </c>
      <c r="D33">
        <v>0</v>
      </c>
      <c r="E33" s="360">
        <v>6.4028799999999997</v>
      </c>
      <c r="F33">
        <v>0</v>
      </c>
      <c r="G33">
        <v>0</v>
      </c>
      <c r="H33">
        <v>0</v>
      </c>
      <c r="J33">
        <v>0</v>
      </c>
      <c r="K33" s="14">
        <v>6.2604168422762765</v>
      </c>
      <c r="L33">
        <v>0</v>
      </c>
      <c r="M33">
        <v>0</v>
      </c>
      <c r="N33">
        <v>0</v>
      </c>
      <c r="O33" s="20"/>
      <c r="P33" s="20"/>
      <c r="Q33" s="438">
        <v>0.25390046024763202</v>
      </c>
      <c r="R33" s="197">
        <v>0.49</v>
      </c>
      <c r="S33" s="197">
        <v>2.42</v>
      </c>
      <c r="T33" s="197">
        <v>0.50078889239507718</v>
      </c>
      <c r="U33" s="197">
        <v>0.75268470790377973</v>
      </c>
      <c r="V33" s="20">
        <f t="shared" si="22"/>
        <v>3.0415362888537292</v>
      </c>
      <c r="W33" s="20">
        <f t="shared" si="22"/>
        <v>0</v>
      </c>
      <c r="X33" s="20">
        <f t="shared" si="22"/>
        <v>0</v>
      </c>
      <c r="Y33" s="20">
        <f t="shared" si="22"/>
        <v>0</v>
      </c>
      <c r="Z33" s="20">
        <f t="shared" si="23"/>
        <v>1.8002740662647423</v>
      </c>
      <c r="AA33" s="20">
        <f t="shared" si="23"/>
        <v>0</v>
      </c>
      <c r="AB33" s="20">
        <f t="shared" si="23"/>
        <v>0</v>
      </c>
      <c r="AC33" s="20">
        <f t="shared" si="23"/>
        <v>0</v>
      </c>
      <c r="AD33" s="20">
        <f t="shared" si="24"/>
        <v>1.8002740662647423</v>
      </c>
      <c r="AE33" s="20">
        <f t="shared" si="25"/>
        <v>23.152432039506202</v>
      </c>
      <c r="AF33" s="20">
        <f t="shared" si="25"/>
        <v>0</v>
      </c>
      <c r="AG33" s="20">
        <f t="shared" si="25"/>
        <v>0</v>
      </c>
      <c r="AH33" s="20">
        <f t="shared" si="25"/>
        <v>0</v>
      </c>
      <c r="AI33" s="20">
        <f t="shared" si="26"/>
        <v>18.471483310232269</v>
      </c>
      <c r="AJ33" s="20">
        <f t="shared" si="26"/>
        <v>0</v>
      </c>
      <c r="AK33" s="20">
        <f t="shared" si="26"/>
        <v>0</v>
      </c>
      <c r="AL33" s="20">
        <f t="shared" si="26"/>
        <v>0</v>
      </c>
      <c r="AM33" s="20">
        <f t="shared" si="27"/>
        <v>18.471483310232269</v>
      </c>
      <c r="AO33">
        <f t="shared" si="28"/>
        <v>2.5671908184935224</v>
      </c>
      <c r="AP33">
        <f t="shared" si="28"/>
        <v>0</v>
      </c>
      <c r="AQ33">
        <f t="shared" si="28"/>
        <v>0</v>
      </c>
      <c r="AR33">
        <f t="shared" si="28"/>
        <v>0</v>
      </c>
      <c r="AS33">
        <f t="shared" si="29"/>
        <v>2.5671908184935224</v>
      </c>
      <c r="AU33">
        <f t="shared" si="30"/>
        <v>26.340335200391216</v>
      </c>
      <c r="AV33">
        <f t="shared" si="30"/>
        <v>0</v>
      </c>
      <c r="AW33">
        <f t="shared" si="30"/>
        <v>0</v>
      </c>
      <c r="AX33">
        <f t="shared" si="30"/>
        <v>0</v>
      </c>
      <c r="AY33">
        <f t="shared" si="31"/>
        <v>26.340335200391216</v>
      </c>
    </row>
    <row r="34" spans="1:53" ht="15" x14ac:dyDescent="0.25">
      <c r="A34" s="1"/>
      <c r="B34" s="2"/>
      <c r="C34" s="1" t="s">
        <v>12</v>
      </c>
      <c r="D34">
        <v>0</v>
      </c>
      <c r="E34" s="360">
        <v>0</v>
      </c>
      <c r="F34">
        <v>0</v>
      </c>
      <c r="G34">
        <v>0</v>
      </c>
      <c r="H34">
        <v>0</v>
      </c>
      <c r="J34">
        <v>0</v>
      </c>
      <c r="K34" s="14">
        <v>0</v>
      </c>
      <c r="L34">
        <v>0</v>
      </c>
      <c r="M34">
        <v>0</v>
      </c>
      <c r="N34">
        <v>0</v>
      </c>
      <c r="O34" s="20"/>
      <c r="P34" s="20"/>
      <c r="Q34" s="438"/>
      <c r="R34" s="197">
        <v>0.49</v>
      </c>
      <c r="S34" s="197">
        <v>2.42</v>
      </c>
      <c r="T34" s="197">
        <v>0.50078889239507718</v>
      </c>
      <c r="U34" s="197">
        <v>0.75268470790377973</v>
      </c>
      <c r="V34" s="20">
        <f t="shared" si="22"/>
        <v>0</v>
      </c>
      <c r="W34" s="20">
        <f t="shared" si="22"/>
        <v>0</v>
      </c>
      <c r="X34" s="20">
        <f t="shared" si="22"/>
        <v>0</v>
      </c>
      <c r="Y34" s="20">
        <f t="shared" si="22"/>
        <v>0</v>
      </c>
      <c r="Z34" s="20">
        <f t="shared" si="23"/>
        <v>0</v>
      </c>
      <c r="AA34" s="20">
        <f t="shared" si="23"/>
        <v>0</v>
      </c>
      <c r="AB34" s="20">
        <f t="shared" si="23"/>
        <v>0</v>
      </c>
      <c r="AC34" s="20">
        <f t="shared" si="23"/>
        <v>0</v>
      </c>
      <c r="AD34" s="20">
        <f t="shared" si="24"/>
        <v>0</v>
      </c>
      <c r="AE34" s="20">
        <f t="shared" si="25"/>
        <v>0</v>
      </c>
      <c r="AF34" s="20">
        <f t="shared" si="25"/>
        <v>0</v>
      </c>
      <c r="AG34" s="20">
        <f t="shared" si="25"/>
        <v>0</v>
      </c>
      <c r="AH34" s="20">
        <f t="shared" si="25"/>
        <v>0</v>
      </c>
      <c r="AI34" s="20">
        <f t="shared" si="26"/>
        <v>0</v>
      </c>
      <c r="AJ34" s="20">
        <f t="shared" si="26"/>
        <v>0</v>
      </c>
      <c r="AK34" s="20">
        <f t="shared" si="26"/>
        <v>0</v>
      </c>
      <c r="AL34" s="20">
        <f t="shared" si="26"/>
        <v>0</v>
      </c>
      <c r="AM34" s="20">
        <f t="shared" si="27"/>
        <v>0</v>
      </c>
      <c r="AO34">
        <f t="shared" si="28"/>
        <v>0</v>
      </c>
      <c r="AP34">
        <f t="shared" si="28"/>
        <v>0</v>
      </c>
      <c r="AQ34">
        <f t="shared" si="28"/>
        <v>0</v>
      </c>
      <c r="AR34">
        <f t="shared" si="28"/>
        <v>0</v>
      </c>
      <c r="AS34">
        <f t="shared" si="29"/>
        <v>0</v>
      </c>
      <c r="AU34">
        <f t="shared" si="30"/>
        <v>0</v>
      </c>
      <c r="AV34">
        <f t="shared" si="30"/>
        <v>0</v>
      </c>
      <c r="AW34">
        <f t="shared" si="30"/>
        <v>0</v>
      </c>
      <c r="AX34">
        <f t="shared" si="30"/>
        <v>0</v>
      </c>
      <c r="AY34">
        <f t="shared" si="31"/>
        <v>0</v>
      </c>
    </row>
    <row r="35" spans="1:53" ht="15" x14ac:dyDescent="0.25">
      <c r="A35" s="1"/>
      <c r="B35" s="2"/>
      <c r="C35" s="1" t="s">
        <v>13</v>
      </c>
      <c r="D35">
        <v>0</v>
      </c>
      <c r="E35" s="360">
        <v>4.8399999999999999E-2</v>
      </c>
      <c r="F35">
        <v>0</v>
      </c>
      <c r="G35">
        <v>0</v>
      </c>
      <c r="H35">
        <v>0</v>
      </c>
      <c r="J35">
        <v>0</v>
      </c>
      <c r="K35" s="14">
        <v>-0.1467011429</v>
      </c>
      <c r="L35">
        <v>0</v>
      </c>
      <c r="M35">
        <v>0</v>
      </c>
      <c r="N35">
        <v>0</v>
      </c>
      <c r="O35" s="20"/>
      <c r="P35" s="20"/>
      <c r="Q35" s="438">
        <v>0.25390046024763202</v>
      </c>
      <c r="R35" s="197">
        <v>0.49</v>
      </c>
      <c r="S35" s="197">
        <v>2.42</v>
      </c>
      <c r="T35" s="197">
        <v>0.50078889239507718</v>
      </c>
      <c r="U35" s="197">
        <v>0.75268470790377973</v>
      </c>
      <c r="V35" s="20">
        <f t="shared" si="22"/>
        <v>6.0215033152328408E-2</v>
      </c>
      <c r="W35" s="20">
        <f t="shared" si="22"/>
        <v>0</v>
      </c>
      <c r="X35" s="20">
        <f t="shared" si="22"/>
        <v>0</v>
      </c>
      <c r="Y35" s="20">
        <f t="shared" si="22"/>
        <v>0</v>
      </c>
      <c r="Z35" s="20">
        <f t="shared" si="23"/>
        <v>3.5641055140677884E-2</v>
      </c>
      <c r="AA35" s="20">
        <f t="shared" si="23"/>
        <v>0</v>
      </c>
      <c r="AB35" s="20">
        <f t="shared" si="23"/>
        <v>0</v>
      </c>
      <c r="AC35" s="20">
        <f t="shared" si="23"/>
        <v>0</v>
      </c>
      <c r="AD35" s="20">
        <f t="shared" si="24"/>
        <v>3.5641055140677884E-2</v>
      </c>
      <c r="AE35" s="20">
        <f t="shared" si="25"/>
        <v>0.29738853107884644</v>
      </c>
      <c r="AF35" s="20">
        <f t="shared" si="25"/>
        <v>0</v>
      </c>
      <c r="AG35" s="20">
        <f t="shared" si="25"/>
        <v>0</v>
      </c>
      <c r="AH35" s="20">
        <f t="shared" si="25"/>
        <v>0</v>
      </c>
      <c r="AI35" s="20">
        <f t="shared" si="26"/>
        <v>0.23726264606258457</v>
      </c>
      <c r="AJ35" s="20">
        <f t="shared" si="26"/>
        <v>0</v>
      </c>
      <c r="AK35" s="20">
        <f t="shared" si="26"/>
        <v>0</v>
      </c>
      <c r="AL35" s="20">
        <f t="shared" si="26"/>
        <v>0</v>
      </c>
      <c r="AM35" s="20">
        <f t="shared" si="27"/>
        <v>0.23726264606258457</v>
      </c>
      <c r="AO35">
        <f t="shared" si="28"/>
        <v>5.0824144630606659E-2</v>
      </c>
      <c r="AP35">
        <f t="shared" si="28"/>
        <v>0</v>
      </c>
      <c r="AQ35">
        <f t="shared" si="28"/>
        <v>0</v>
      </c>
      <c r="AR35">
        <f t="shared" si="28"/>
        <v>0</v>
      </c>
      <c r="AS35">
        <f t="shared" si="29"/>
        <v>5.0824144630606659E-2</v>
      </c>
      <c r="AU35">
        <f t="shared" si="30"/>
        <v>0.3383365332852456</v>
      </c>
      <c r="AV35">
        <f t="shared" si="30"/>
        <v>0</v>
      </c>
      <c r="AW35">
        <f t="shared" si="30"/>
        <v>0</v>
      </c>
      <c r="AX35">
        <f t="shared" si="30"/>
        <v>0</v>
      </c>
      <c r="AY35">
        <f t="shared" si="31"/>
        <v>0.3383365332852456</v>
      </c>
    </row>
    <row r="36" spans="1:53" ht="15" x14ac:dyDescent="0.25">
      <c r="A36" s="7"/>
      <c r="B36" s="8" t="s">
        <v>14</v>
      </c>
      <c r="C36" s="7"/>
      <c r="D36" s="357">
        <f t="shared" ref="D36:H36" si="32">SUM(D30:D35)</f>
        <v>0</v>
      </c>
      <c r="E36" s="363">
        <f>SUM(E30:E35)</f>
        <v>33.783190000000005</v>
      </c>
      <c r="F36" s="357">
        <f t="shared" si="32"/>
        <v>0</v>
      </c>
      <c r="G36" s="357">
        <f t="shared" si="32"/>
        <v>0</v>
      </c>
      <c r="H36" s="357">
        <f t="shared" si="32"/>
        <v>0</v>
      </c>
      <c r="J36">
        <v>0</v>
      </c>
      <c r="K36" s="14">
        <v>12.591797590729282</v>
      </c>
      <c r="L36">
        <v>0</v>
      </c>
      <c r="M36">
        <v>0</v>
      </c>
      <c r="N36">
        <v>0</v>
      </c>
      <c r="O36" s="20"/>
      <c r="P36" s="20"/>
      <c r="Q36" s="438">
        <v>0.23752041473328975</v>
      </c>
      <c r="R36" s="197"/>
      <c r="S36" s="197"/>
      <c r="T36" s="197"/>
      <c r="U36" s="197"/>
      <c r="BA36" s="319">
        <f>(E36*10000*Q36*AU$10)</f>
        <v>114425.05349534089</v>
      </c>
    </row>
    <row r="37" spans="1:53" ht="15" x14ac:dyDescent="0.25">
      <c r="A37" s="5"/>
      <c r="B37" s="9" t="s">
        <v>15</v>
      </c>
      <c r="C37" s="5"/>
      <c r="E37" s="363">
        <f>SUM(E36)</f>
        <v>33.783190000000005</v>
      </c>
      <c r="H37" s="358">
        <f>SUM(D36:H36)</f>
        <v>33.783190000000005</v>
      </c>
      <c r="K37" s="14"/>
      <c r="N37">
        <v>0</v>
      </c>
      <c r="O37" s="20"/>
      <c r="P37" s="20"/>
      <c r="Q37" s="438"/>
      <c r="R37" s="197"/>
      <c r="S37" s="197"/>
      <c r="T37" s="197"/>
      <c r="U37" s="197"/>
    </row>
    <row r="38" spans="1:53" ht="15.75" x14ac:dyDescent="0.25">
      <c r="A38" s="1"/>
      <c r="B38" s="2"/>
      <c r="C38" s="1"/>
      <c r="E38" s="362"/>
      <c r="K38" s="14"/>
      <c r="O38" s="20"/>
      <c r="P38" s="20"/>
      <c r="Q38" s="439"/>
      <c r="R38" s="197"/>
      <c r="S38" s="197"/>
      <c r="T38" s="197"/>
      <c r="U38" s="197"/>
    </row>
    <row r="39" spans="1:53" ht="15" x14ac:dyDescent="0.25">
      <c r="A39" s="1">
        <v>4</v>
      </c>
      <c r="B39" s="2" t="s">
        <v>18</v>
      </c>
      <c r="C39" s="1" t="s">
        <v>8</v>
      </c>
      <c r="D39">
        <v>0</v>
      </c>
      <c r="E39" s="360">
        <v>45.117100000000001</v>
      </c>
      <c r="F39">
        <v>0</v>
      </c>
      <c r="G39">
        <v>0</v>
      </c>
      <c r="H39">
        <v>0</v>
      </c>
      <c r="J39">
        <v>0</v>
      </c>
      <c r="K39" s="14">
        <v>42.497645392392101</v>
      </c>
      <c r="L39">
        <v>0</v>
      </c>
      <c r="M39">
        <v>0</v>
      </c>
      <c r="N39">
        <v>0</v>
      </c>
      <c r="O39" s="20"/>
      <c r="P39" s="20"/>
      <c r="Q39" s="438">
        <v>0.36578009204952644</v>
      </c>
      <c r="R39" s="197">
        <v>0.19500000000000001</v>
      </c>
      <c r="S39" s="197">
        <v>1.22</v>
      </c>
      <c r="T39" s="197">
        <v>0.4144562334217507</v>
      </c>
      <c r="U39" s="197">
        <v>0.6566321730950142</v>
      </c>
      <c r="V39" s="20">
        <f t="shared" ref="V39:Y44" si="33">IF(K39&gt;0,((E39-K39)*$Q39*$R39*10)+(K39*$O$12*$Q39*$R39*10),(E39*$Q39*$R39*10))</f>
        <v>13.015808587002002</v>
      </c>
      <c r="W39" s="20">
        <f t="shared" si="33"/>
        <v>0</v>
      </c>
      <c r="X39" s="20">
        <f t="shared" si="33"/>
        <v>0</v>
      </c>
      <c r="Y39" s="20">
        <f t="shared" si="33"/>
        <v>0</v>
      </c>
      <c r="Z39" s="20">
        <f t="shared" ref="Z39:AC44" si="34">V39*(EXP(1.01-0.34*LN(Z$8))*(1-$T39)+(1*$T39))</f>
        <v>6.7853959491160554</v>
      </c>
      <c r="AA39" s="20">
        <f t="shared" si="34"/>
        <v>0</v>
      </c>
      <c r="AB39" s="20">
        <f t="shared" si="34"/>
        <v>0</v>
      </c>
      <c r="AC39" s="20">
        <f t="shared" si="34"/>
        <v>0</v>
      </c>
      <c r="AD39" s="20">
        <f t="shared" ref="AD39:AD44" si="35">SUM(Z39:AC39)</f>
        <v>6.7853959491160554</v>
      </c>
      <c r="AE39" s="20">
        <f t="shared" ref="AE39:AH44" si="36">IF(K39&gt;0,((E39-K39)*$Q39*$S39*10)+(K39*$P$12*$Q39*$S39)*10,(E39*$Q39*$S39*10))</f>
        <v>121.51935893764397</v>
      </c>
      <c r="AF39" s="20">
        <f t="shared" si="36"/>
        <v>0</v>
      </c>
      <c r="AG39" s="20">
        <f t="shared" si="36"/>
        <v>0</v>
      </c>
      <c r="AH39" s="20">
        <f t="shared" si="36"/>
        <v>0</v>
      </c>
      <c r="AI39" s="20">
        <f t="shared" ref="AI39:AL44" si="37">AE39*(EXP(1.01-0.34*LN(AI$8))*(1-$U39)+(1*$U39))</f>
        <v>87.408601330180858</v>
      </c>
      <c r="AJ39" s="20">
        <f t="shared" si="37"/>
        <v>0</v>
      </c>
      <c r="AK39" s="20">
        <f t="shared" si="37"/>
        <v>0</v>
      </c>
      <c r="AL39" s="20">
        <f t="shared" si="37"/>
        <v>0</v>
      </c>
      <c r="AM39" s="20">
        <f t="shared" ref="AM39:AM44" si="38">SUM(AI39:AL39)</f>
        <v>87.408601330180858</v>
      </c>
      <c r="AO39">
        <f t="shared" ref="AO39:AR44" si="39">Z39*AO$10</f>
        <v>9.6759746234394939</v>
      </c>
      <c r="AP39">
        <f t="shared" si="39"/>
        <v>0</v>
      </c>
      <c r="AQ39">
        <f t="shared" si="39"/>
        <v>0</v>
      </c>
      <c r="AR39">
        <f t="shared" si="39"/>
        <v>0</v>
      </c>
      <c r="AS39">
        <f t="shared" ref="AS39:AS44" si="40">SUM(AO39:AR39)</f>
        <v>9.6759746234394939</v>
      </c>
      <c r="AU39">
        <f t="shared" ref="AU39:AX44" si="41">AI39*AU$10</f>
        <v>124.6446654968379</v>
      </c>
      <c r="AV39">
        <f t="shared" si="41"/>
        <v>0</v>
      </c>
      <c r="AW39">
        <f t="shared" si="41"/>
        <v>0</v>
      </c>
      <c r="AX39">
        <f t="shared" si="41"/>
        <v>0</v>
      </c>
      <c r="AY39">
        <f t="shared" ref="AY39:AY44" si="42">SUM(AU39:AX39)</f>
        <v>124.6446654968379</v>
      </c>
    </row>
    <row r="40" spans="1:53" ht="15" x14ac:dyDescent="0.25">
      <c r="A40" s="1"/>
      <c r="B40" s="2"/>
      <c r="C40" s="1" t="s">
        <v>9</v>
      </c>
      <c r="D40">
        <v>0</v>
      </c>
      <c r="E40" s="360">
        <v>26.16705</v>
      </c>
      <c r="F40">
        <v>0</v>
      </c>
      <c r="G40">
        <v>0</v>
      </c>
      <c r="H40">
        <v>0</v>
      </c>
      <c r="J40">
        <v>0</v>
      </c>
      <c r="K40" s="14">
        <v>26.16705</v>
      </c>
      <c r="L40">
        <v>0</v>
      </c>
      <c r="M40">
        <v>0</v>
      </c>
      <c r="N40">
        <v>0</v>
      </c>
      <c r="O40" s="20"/>
      <c r="P40" s="20"/>
      <c r="Q40" s="438">
        <v>0.37156018409905278</v>
      </c>
      <c r="R40" s="197">
        <v>0.19500000000000001</v>
      </c>
      <c r="S40" s="197">
        <v>1.22</v>
      </c>
      <c r="T40" s="197">
        <v>0.4144562334217507</v>
      </c>
      <c r="U40" s="197">
        <v>0.6566321730950142</v>
      </c>
      <c r="V40" s="20">
        <f t="shared" si="33"/>
        <v>6.9722610888392644</v>
      </c>
      <c r="W40" s="20">
        <f t="shared" si="33"/>
        <v>0</v>
      </c>
      <c r="X40" s="20">
        <f t="shared" si="33"/>
        <v>0</v>
      </c>
      <c r="Y40" s="20">
        <f t="shared" si="33"/>
        <v>0</v>
      </c>
      <c r="Z40" s="20">
        <f t="shared" si="34"/>
        <v>3.6347762670414694</v>
      </c>
      <c r="AA40" s="20">
        <f t="shared" si="34"/>
        <v>0</v>
      </c>
      <c r="AB40" s="20">
        <f t="shared" si="34"/>
        <v>0</v>
      </c>
      <c r="AC40" s="20">
        <f t="shared" si="34"/>
        <v>0</v>
      </c>
      <c r="AD40" s="20">
        <f t="shared" si="35"/>
        <v>3.6347762670414694</v>
      </c>
      <c r="AE40" s="20">
        <f t="shared" si="36"/>
        <v>68.694185054406944</v>
      </c>
      <c r="AF40" s="20">
        <f t="shared" si="36"/>
        <v>0</v>
      </c>
      <c r="AG40" s="20">
        <f t="shared" si="36"/>
        <v>0</v>
      </c>
      <c r="AH40" s="20">
        <f t="shared" si="36"/>
        <v>0</v>
      </c>
      <c r="AI40" s="20">
        <f t="shared" si="37"/>
        <v>49.411572671342299</v>
      </c>
      <c r="AJ40" s="20">
        <f t="shared" si="37"/>
        <v>0</v>
      </c>
      <c r="AK40" s="20">
        <f t="shared" si="37"/>
        <v>0</v>
      </c>
      <c r="AL40" s="20">
        <f t="shared" si="37"/>
        <v>0</v>
      </c>
      <c r="AM40" s="20">
        <f t="shared" si="38"/>
        <v>49.411572671342299</v>
      </c>
      <c r="AO40">
        <f t="shared" si="39"/>
        <v>5.183190956801135</v>
      </c>
      <c r="AP40">
        <f t="shared" si="39"/>
        <v>0</v>
      </c>
      <c r="AQ40">
        <f t="shared" si="39"/>
        <v>0</v>
      </c>
      <c r="AR40">
        <f t="shared" si="39"/>
        <v>0</v>
      </c>
      <c r="AS40">
        <f t="shared" si="40"/>
        <v>5.183190956801135</v>
      </c>
      <c r="AU40">
        <f t="shared" si="41"/>
        <v>70.460902629334115</v>
      </c>
      <c r="AV40">
        <f t="shared" si="41"/>
        <v>0</v>
      </c>
      <c r="AW40">
        <f t="shared" si="41"/>
        <v>0</v>
      </c>
      <c r="AX40">
        <f t="shared" si="41"/>
        <v>0</v>
      </c>
      <c r="AY40">
        <f t="shared" si="42"/>
        <v>70.460902629334115</v>
      </c>
    </row>
    <row r="41" spans="1:53" ht="15" x14ac:dyDescent="0.25">
      <c r="A41" s="1"/>
      <c r="B41" s="2"/>
      <c r="C41" s="1" t="s">
        <v>10</v>
      </c>
      <c r="D41">
        <v>0</v>
      </c>
      <c r="E41" s="360">
        <v>0</v>
      </c>
      <c r="F41">
        <v>0</v>
      </c>
      <c r="G41">
        <v>0</v>
      </c>
      <c r="H41">
        <v>0</v>
      </c>
      <c r="J41">
        <v>0</v>
      </c>
      <c r="K41" s="14">
        <v>0</v>
      </c>
      <c r="L41">
        <v>0</v>
      </c>
      <c r="M41">
        <v>0</v>
      </c>
      <c r="N41">
        <v>0</v>
      </c>
      <c r="O41" s="20"/>
      <c r="P41" s="20"/>
      <c r="Q41" s="438"/>
      <c r="R41" s="197">
        <v>0.19500000000000001</v>
      </c>
      <c r="S41" s="197">
        <v>1.22</v>
      </c>
      <c r="T41" s="197">
        <v>0.4144562334217507</v>
      </c>
      <c r="U41" s="197">
        <v>0.6566321730950142</v>
      </c>
      <c r="V41" s="20">
        <f t="shared" si="33"/>
        <v>0</v>
      </c>
      <c r="W41" s="20">
        <f t="shared" si="33"/>
        <v>0</v>
      </c>
      <c r="X41" s="20">
        <f t="shared" si="33"/>
        <v>0</v>
      </c>
      <c r="Y41" s="20">
        <f t="shared" si="33"/>
        <v>0</v>
      </c>
      <c r="Z41" s="20">
        <f t="shared" si="34"/>
        <v>0</v>
      </c>
      <c r="AA41" s="20">
        <f t="shared" si="34"/>
        <v>0</v>
      </c>
      <c r="AB41" s="20">
        <f t="shared" si="34"/>
        <v>0</v>
      </c>
      <c r="AC41" s="20">
        <f t="shared" si="34"/>
        <v>0</v>
      </c>
      <c r="AD41" s="20">
        <f t="shared" si="35"/>
        <v>0</v>
      </c>
      <c r="AE41" s="20">
        <f t="shared" si="36"/>
        <v>0</v>
      </c>
      <c r="AF41" s="20">
        <f t="shared" si="36"/>
        <v>0</v>
      </c>
      <c r="AG41" s="20">
        <f t="shared" si="36"/>
        <v>0</v>
      </c>
      <c r="AH41" s="20">
        <f t="shared" si="36"/>
        <v>0</v>
      </c>
      <c r="AI41" s="20">
        <f t="shared" si="37"/>
        <v>0</v>
      </c>
      <c r="AJ41" s="20">
        <f t="shared" si="37"/>
        <v>0</v>
      </c>
      <c r="AK41" s="20">
        <f t="shared" si="37"/>
        <v>0</v>
      </c>
      <c r="AL41" s="20">
        <f t="shared" si="37"/>
        <v>0</v>
      </c>
      <c r="AM41" s="20">
        <f t="shared" si="38"/>
        <v>0</v>
      </c>
      <c r="AO41">
        <f t="shared" si="39"/>
        <v>0</v>
      </c>
      <c r="AP41">
        <f t="shared" si="39"/>
        <v>0</v>
      </c>
      <c r="AQ41">
        <f t="shared" si="39"/>
        <v>0</v>
      </c>
      <c r="AR41">
        <f t="shared" si="39"/>
        <v>0</v>
      </c>
      <c r="AS41">
        <f t="shared" si="40"/>
        <v>0</v>
      </c>
      <c r="AU41">
        <f t="shared" si="41"/>
        <v>0</v>
      </c>
      <c r="AV41">
        <f t="shared" si="41"/>
        <v>0</v>
      </c>
      <c r="AW41">
        <f t="shared" si="41"/>
        <v>0</v>
      </c>
      <c r="AX41">
        <f t="shared" si="41"/>
        <v>0</v>
      </c>
      <c r="AY41">
        <f t="shared" si="42"/>
        <v>0</v>
      </c>
    </row>
    <row r="42" spans="1:53" ht="15" x14ac:dyDescent="0.25">
      <c r="A42" s="1"/>
      <c r="B42" s="2"/>
      <c r="C42" s="1" t="s">
        <v>11</v>
      </c>
      <c r="D42">
        <v>0</v>
      </c>
      <c r="E42" s="360">
        <v>3.6983999999999999</v>
      </c>
      <c r="F42">
        <v>0</v>
      </c>
      <c r="G42">
        <v>0</v>
      </c>
      <c r="H42">
        <v>0</v>
      </c>
      <c r="J42">
        <v>0</v>
      </c>
      <c r="K42" s="14">
        <v>3.6943102895907001</v>
      </c>
      <c r="L42">
        <v>0</v>
      </c>
      <c r="M42">
        <v>0</v>
      </c>
      <c r="N42">
        <v>0</v>
      </c>
      <c r="O42" s="20"/>
      <c r="P42" s="20"/>
      <c r="Q42" s="438">
        <v>0.38312036819810563</v>
      </c>
      <c r="R42" s="197">
        <v>0.19500000000000001</v>
      </c>
      <c r="S42" s="197">
        <v>1.22</v>
      </c>
      <c r="T42" s="197">
        <v>0.4144562334217507</v>
      </c>
      <c r="U42" s="197">
        <v>0.6566321730950142</v>
      </c>
      <c r="V42" s="20">
        <f t="shared" si="33"/>
        <v>1.0180373101283291</v>
      </c>
      <c r="W42" s="20">
        <f t="shared" si="33"/>
        <v>0</v>
      </c>
      <c r="X42" s="20">
        <f t="shared" si="33"/>
        <v>0</v>
      </c>
      <c r="Y42" s="20">
        <f t="shared" si="33"/>
        <v>0</v>
      </c>
      <c r="Z42" s="20">
        <f t="shared" si="34"/>
        <v>0.53072278944637397</v>
      </c>
      <c r="AA42" s="20">
        <f t="shared" si="34"/>
        <v>0</v>
      </c>
      <c r="AB42" s="20">
        <f t="shared" si="34"/>
        <v>0</v>
      </c>
      <c r="AC42" s="20">
        <f t="shared" si="34"/>
        <v>0</v>
      </c>
      <c r="AD42" s="20">
        <f t="shared" si="35"/>
        <v>0.53072278944637397</v>
      </c>
      <c r="AE42" s="20">
        <f t="shared" si="36"/>
        <v>10.019222726909964</v>
      </c>
      <c r="AF42" s="20">
        <f t="shared" si="36"/>
        <v>0</v>
      </c>
      <c r="AG42" s="20">
        <f t="shared" si="36"/>
        <v>0</v>
      </c>
      <c r="AH42" s="20">
        <f t="shared" si="36"/>
        <v>0</v>
      </c>
      <c r="AI42" s="20">
        <f t="shared" si="37"/>
        <v>7.2068043530755315</v>
      </c>
      <c r="AJ42" s="20">
        <f t="shared" si="37"/>
        <v>0</v>
      </c>
      <c r="AK42" s="20">
        <f t="shared" si="37"/>
        <v>0</v>
      </c>
      <c r="AL42" s="20">
        <f t="shared" si="37"/>
        <v>0</v>
      </c>
      <c r="AM42" s="20">
        <f t="shared" si="38"/>
        <v>7.2068043530755315</v>
      </c>
      <c r="AO42">
        <f t="shared" si="39"/>
        <v>0.75681069775052923</v>
      </c>
      <c r="AP42">
        <f t="shared" si="39"/>
        <v>0</v>
      </c>
      <c r="AQ42">
        <f t="shared" si="39"/>
        <v>0</v>
      </c>
      <c r="AR42">
        <f t="shared" si="39"/>
        <v>0</v>
      </c>
      <c r="AS42">
        <f t="shared" si="40"/>
        <v>0.75681069775052923</v>
      </c>
      <c r="AU42">
        <f t="shared" si="41"/>
        <v>10.276903007485707</v>
      </c>
      <c r="AV42">
        <f t="shared" si="41"/>
        <v>0</v>
      </c>
      <c r="AW42">
        <f t="shared" si="41"/>
        <v>0</v>
      </c>
      <c r="AX42">
        <f t="shared" si="41"/>
        <v>0</v>
      </c>
      <c r="AY42">
        <f t="shared" si="42"/>
        <v>10.276903007485707</v>
      </c>
    </row>
    <row r="43" spans="1:53" ht="15" x14ac:dyDescent="0.25">
      <c r="A43" s="1"/>
      <c r="B43" s="2"/>
      <c r="C43" s="1" t="s">
        <v>12</v>
      </c>
      <c r="D43">
        <v>0</v>
      </c>
      <c r="E43" s="360">
        <v>0</v>
      </c>
      <c r="F43">
        <v>0</v>
      </c>
      <c r="G43">
        <v>0</v>
      </c>
      <c r="H43">
        <v>0</v>
      </c>
      <c r="J43">
        <v>0</v>
      </c>
      <c r="K43" s="14">
        <v>0</v>
      </c>
      <c r="L43">
        <v>0</v>
      </c>
      <c r="M43">
        <v>0</v>
      </c>
      <c r="N43">
        <v>0</v>
      </c>
      <c r="O43" s="20"/>
      <c r="P43" s="20"/>
      <c r="Q43" s="438"/>
      <c r="R43" s="197">
        <v>0.19500000000000001</v>
      </c>
      <c r="S43" s="197">
        <v>1.22</v>
      </c>
      <c r="T43" s="197">
        <v>0.4144562334217507</v>
      </c>
      <c r="U43" s="197">
        <v>0.6566321730950142</v>
      </c>
      <c r="V43" s="20">
        <f t="shared" si="33"/>
        <v>0</v>
      </c>
      <c r="W43" s="20">
        <f t="shared" si="33"/>
        <v>0</v>
      </c>
      <c r="X43" s="20">
        <f t="shared" si="33"/>
        <v>0</v>
      </c>
      <c r="Y43" s="20">
        <f t="shared" si="33"/>
        <v>0</v>
      </c>
      <c r="Z43" s="20">
        <f t="shared" si="34"/>
        <v>0</v>
      </c>
      <c r="AA43" s="20">
        <f t="shared" si="34"/>
        <v>0</v>
      </c>
      <c r="AB43" s="20">
        <f t="shared" si="34"/>
        <v>0</v>
      </c>
      <c r="AC43" s="20">
        <f t="shared" si="34"/>
        <v>0</v>
      </c>
      <c r="AD43" s="20">
        <f t="shared" si="35"/>
        <v>0</v>
      </c>
      <c r="AE43" s="20">
        <f t="shared" si="36"/>
        <v>0</v>
      </c>
      <c r="AF43" s="20">
        <f t="shared" si="36"/>
        <v>0</v>
      </c>
      <c r="AG43" s="20">
        <f t="shared" si="36"/>
        <v>0</v>
      </c>
      <c r="AH43" s="20">
        <f t="shared" si="36"/>
        <v>0</v>
      </c>
      <c r="AI43" s="20">
        <f t="shared" si="37"/>
        <v>0</v>
      </c>
      <c r="AJ43" s="20">
        <f t="shared" si="37"/>
        <v>0</v>
      </c>
      <c r="AK43" s="20">
        <f t="shared" si="37"/>
        <v>0</v>
      </c>
      <c r="AL43" s="20">
        <f t="shared" si="37"/>
        <v>0</v>
      </c>
      <c r="AM43" s="20">
        <f t="shared" si="38"/>
        <v>0</v>
      </c>
      <c r="AO43">
        <f t="shared" si="39"/>
        <v>0</v>
      </c>
      <c r="AP43">
        <f t="shared" si="39"/>
        <v>0</v>
      </c>
      <c r="AQ43">
        <f t="shared" si="39"/>
        <v>0</v>
      </c>
      <c r="AR43">
        <f t="shared" si="39"/>
        <v>0</v>
      </c>
      <c r="AS43">
        <f t="shared" si="40"/>
        <v>0</v>
      </c>
      <c r="AU43">
        <f t="shared" si="41"/>
        <v>0</v>
      </c>
      <c r="AV43">
        <f t="shared" si="41"/>
        <v>0</v>
      </c>
      <c r="AW43">
        <f t="shared" si="41"/>
        <v>0</v>
      </c>
      <c r="AX43">
        <f t="shared" si="41"/>
        <v>0</v>
      </c>
      <c r="AY43">
        <f t="shared" si="42"/>
        <v>0</v>
      </c>
    </row>
    <row r="44" spans="1:53" ht="15" x14ac:dyDescent="0.25">
      <c r="A44" s="1"/>
      <c r="B44" s="2"/>
      <c r="C44" s="1" t="s">
        <v>13</v>
      </c>
      <c r="D44">
        <v>0</v>
      </c>
      <c r="E44" s="360">
        <v>2.7449999999999999E-2</v>
      </c>
      <c r="F44">
        <v>0</v>
      </c>
      <c r="G44">
        <v>0</v>
      </c>
      <c r="H44">
        <v>0</v>
      </c>
      <c r="J44">
        <v>0</v>
      </c>
      <c r="K44" s="14">
        <v>2.7449999999999999E-2</v>
      </c>
      <c r="L44">
        <v>0</v>
      </c>
      <c r="M44">
        <v>0</v>
      </c>
      <c r="N44">
        <v>0</v>
      </c>
      <c r="O44" s="20"/>
      <c r="P44" s="20"/>
      <c r="Q44" s="438">
        <v>0.38312036819810569</v>
      </c>
      <c r="R44" s="197">
        <v>0.19500000000000001</v>
      </c>
      <c r="S44" s="197">
        <v>1.22</v>
      </c>
      <c r="T44" s="197">
        <v>0.4144562334217507</v>
      </c>
      <c r="U44" s="197">
        <v>0.6566321730950142</v>
      </c>
      <c r="V44" s="20">
        <f t="shared" si="33"/>
        <v>7.5416660602304082E-3</v>
      </c>
      <c r="W44" s="20">
        <f t="shared" si="33"/>
        <v>0</v>
      </c>
      <c r="X44" s="20">
        <f t="shared" si="33"/>
        <v>0</v>
      </c>
      <c r="Y44" s="20">
        <f t="shared" si="33"/>
        <v>0</v>
      </c>
      <c r="Z44" s="20">
        <f t="shared" si="34"/>
        <v>3.9316182312158932E-3</v>
      </c>
      <c r="AA44" s="20">
        <f t="shared" si="34"/>
        <v>0</v>
      </c>
      <c r="AB44" s="20">
        <f t="shared" si="34"/>
        <v>0</v>
      </c>
      <c r="AC44" s="20">
        <f t="shared" si="34"/>
        <v>0</v>
      </c>
      <c r="AD44" s="20">
        <f t="shared" si="35"/>
        <v>3.9316182312158932E-3</v>
      </c>
      <c r="AE44" s="20">
        <f t="shared" si="36"/>
        <v>7.4304246120286258E-2</v>
      </c>
      <c r="AF44" s="20">
        <f t="shared" si="36"/>
        <v>0</v>
      </c>
      <c r="AG44" s="20">
        <f t="shared" si="36"/>
        <v>0</v>
      </c>
      <c r="AH44" s="20">
        <f t="shared" si="36"/>
        <v>0</v>
      </c>
      <c r="AI44" s="20">
        <f t="shared" si="37"/>
        <v>5.3446876967154458E-2</v>
      </c>
      <c r="AJ44" s="20">
        <f t="shared" si="37"/>
        <v>0</v>
      </c>
      <c r="AK44" s="20">
        <f t="shared" si="37"/>
        <v>0</v>
      </c>
      <c r="AL44" s="20">
        <f t="shared" si="37"/>
        <v>0</v>
      </c>
      <c r="AM44" s="20">
        <f t="shared" si="38"/>
        <v>5.3446876967154458E-2</v>
      </c>
      <c r="AO44">
        <f t="shared" si="39"/>
        <v>5.6064875977138631E-3</v>
      </c>
      <c r="AP44">
        <f t="shared" si="39"/>
        <v>0</v>
      </c>
      <c r="AQ44">
        <f t="shared" si="39"/>
        <v>0</v>
      </c>
      <c r="AR44">
        <f t="shared" si="39"/>
        <v>0</v>
      </c>
      <c r="AS44">
        <f t="shared" si="40"/>
        <v>5.6064875977138631E-3</v>
      </c>
      <c r="AU44">
        <f t="shared" si="41"/>
        <v>7.621524655516225E-2</v>
      </c>
      <c r="AV44">
        <f t="shared" si="41"/>
        <v>0</v>
      </c>
      <c r="AW44">
        <f t="shared" si="41"/>
        <v>0</v>
      </c>
      <c r="AX44">
        <f t="shared" si="41"/>
        <v>0</v>
      </c>
      <c r="AY44">
        <f t="shared" si="42"/>
        <v>7.621524655516225E-2</v>
      </c>
    </row>
    <row r="45" spans="1:53" ht="15" x14ac:dyDescent="0.25">
      <c r="A45" s="7"/>
      <c r="B45" s="8" t="s">
        <v>14</v>
      </c>
      <c r="C45" s="7"/>
      <c r="D45" s="357">
        <f t="shared" ref="D45:H45" si="43">SUM(D39:D44)</f>
        <v>0</v>
      </c>
      <c r="E45" s="363">
        <f>SUM(E39:E44)</f>
        <v>75.010000000000005</v>
      </c>
      <c r="F45" s="357">
        <f t="shared" si="43"/>
        <v>0</v>
      </c>
      <c r="G45" s="357">
        <f t="shared" si="43"/>
        <v>0</v>
      </c>
      <c r="H45" s="357">
        <f t="shared" si="43"/>
        <v>0</v>
      </c>
      <c r="J45">
        <v>0</v>
      </c>
      <c r="K45" s="14">
        <v>72.38645568198281</v>
      </c>
      <c r="L45">
        <v>0</v>
      </c>
      <c r="M45">
        <v>0</v>
      </c>
      <c r="N45">
        <v>0</v>
      </c>
      <c r="O45" s="20"/>
      <c r="P45" s="20"/>
      <c r="Q45" s="438">
        <v>0.36865777803209865</v>
      </c>
      <c r="R45" s="197"/>
      <c r="S45" s="197"/>
      <c r="T45" s="197"/>
      <c r="U45" s="197"/>
      <c r="BA45" s="319">
        <f>(E45*10000*Q45*AU$10)</f>
        <v>394332.06420447683</v>
      </c>
    </row>
    <row r="46" spans="1:53" ht="15" x14ac:dyDescent="0.25">
      <c r="A46" s="10"/>
      <c r="B46" s="9" t="s">
        <v>15</v>
      </c>
      <c r="C46" s="5"/>
      <c r="E46" s="363">
        <f>SUM(E45)</f>
        <v>75.010000000000005</v>
      </c>
      <c r="H46" s="358">
        <f>SUM(D45:H45)</f>
        <v>75.010000000000005</v>
      </c>
      <c r="K46" s="14"/>
      <c r="N46">
        <v>0</v>
      </c>
      <c r="O46" s="20"/>
      <c r="P46" s="20"/>
      <c r="Q46" s="438"/>
      <c r="R46" s="197"/>
      <c r="S46" s="197"/>
      <c r="T46" s="197"/>
      <c r="U46" s="197"/>
    </row>
    <row r="47" spans="1:53" ht="15.75" x14ac:dyDescent="0.25">
      <c r="A47" s="1"/>
      <c r="B47" s="2"/>
      <c r="C47" s="1"/>
      <c r="E47" s="361"/>
      <c r="K47" s="14"/>
      <c r="O47" s="20"/>
      <c r="P47" s="20"/>
      <c r="Q47" s="439"/>
      <c r="R47" s="197"/>
      <c r="S47" s="197"/>
      <c r="T47" s="197"/>
      <c r="U47" s="197"/>
    </row>
    <row r="48" spans="1:53" ht="15" x14ac:dyDescent="0.25">
      <c r="A48" s="1">
        <v>5</v>
      </c>
      <c r="B48" s="2" t="s">
        <v>19</v>
      </c>
      <c r="C48" s="1" t="s">
        <v>8</v>
      </c>
      <c r="D48">
        <v>0</v>
      </c>
      <c r="E48" s="360">
        <v>38.547699999999999</v>
      </c>
      <c r="F48">
        <v>0</v>
      </c>
      <c r="G48">
        <v>0</v>
      </c>
      <c r="H48">
        <v>0</v>
      </c>
      <c r="J48">
        <v>0</v>
      </c>
      <c r="K48" s="14">
        <v>26.9039327586814</v>
      </c>
      <c r="L48">
        <v>0</v>
      </c>
      <c r="M48">
        <v>0</v>
      </c>
      <c r="N48">
        <v>0</v>
      </c>
      <c r="O48" s="20"/>
      <c r="P48" s="20"/>
      <c r="Q48" s="438">
        <v>0.41029841771206582</v>
      </c>
      <c r="R48" s="197">
        <v>0.43</v>
      </c>
      <c r="S48" s="197">
        <v>2.83</v>
      </c>
      <c r="T48" s="197">
        <v>0.76744186046511631</v>
      </c>
      <c r="U48" s="197">
        <v>0.76744186046511631</v>
      </c>
      <c r="V48" s="20">
        <f t="shared" ref="V48:Y53" si="44">IF(K48&gt;0,((E48-K48)*$Q48*$R48*10)+(K48*$O$12*$Q48*$R48*10),(E48*$Q48*$R48*10))</f>
        <v>37.998679006028006</v>
      </c>
      <c r="W48" s="20">
        <f t="shared" si="44"/>
        <v>0</v>
      </c>
      <c r="X48" s="20">
        <f t="shared" si="44"/>
        <v>0</v>
      </c>
      <c r="Y48" s="20">
        <f t="shared" si="44"/>
        <v>0</v>
      </c>
      <c r="Z48" s="20">
        <f t="shared" ref="Z48:AC53" si="45">V48*(EXP(1.01-0.34*LN(Z$8))*(1-$T48)+(1*$T48))</f>
        <v>30.774535925650326</v>
      </c>
      <c r="AA48" s="20">
        <f t="shared" si="45"/>
        <v>0</v>
      </c>
      <c r="AB48" s="20">
        <f t="shared" si="45"/>
        <v>0</v>
      </c>
      <c r="AC48" s="20">
        <f t="shared" si="45"/>
        <v>0</v>
      </c>
      <c r="AD48" s="20">
        <f t="shared" ref="AD48:AD53" si="46">SUM(Z48:AC48)</f>
        <v>30.774535925650326</v>
      </c>
      <c r="AE48" s="20">
        <f t="shared" ref="AE48:AH53" si="47">IF(K48&gt;0,((E48-K48)*$Q48*$S48*10)+(K48*$P$12*$Q48*$S48)*10,(E48*$Q48*$S48*10))</f>
        <v>316.11749906580962</v>
      </c>
      <c r="AF48" s="20">
        <f t="shared" si="47"/>
        <v>0</v>
      </c>
      <c r="AG48" s="20">
        <f t="shared" si="47"/>
        <v>0</v>
      </c>
      <c r="AH48" s="20">
        <f t="shared" si="47"/>
        <v>0</v>
      </c>
      <c r="AI48" s="20">
        <f t="shared" ref="AI48:AL53" si="48">AE48*(EXP(1.01-0.34*LN(AI$8))*(1-$U48)+(1*$U48))</f>
        <v>256.01861923105827</v>
      </c>
      <c r="AJ48" s="20">
        <f t="shared" si="48"/>
        <v>0</v>
      </c>
      <c r="AK48" s="20">
        <f t="shared" si="48"/>
        <v>0</v>
      </c>
      <c r="AL48" s="20">
        <f t="shared" si="48"/>
        <v>0</v>
      </c>
      <c r="AM48" s="20">
        <f t="shared" ref="AM48:AM53" si="49">SUM(AI48:AL48)</f>
        <v>256.01861923105827</v>
      </c>
      <c r="AO48">
        <f t="shared" ref="AO48:AR53" si="50">Z48*AO$10</f>
        <v>43.884488229977364</v>
      </c>
      <c r="AP48">
        <f t="shared" si="50"/>
        <v>0</v>
      </c>
      <c r="AQ48">
        <f t="shared" si="50"/>
        <v>0</v>
      </c>
      <c r="AR48">
        <f t="shared" si="50"/>
        <v>0</v>
      </c>
      <c r="AS48">
        <f t="shared" ref="AS48:AS53" si="51">SUM(AO48:AR48)</f>
        <v>43.884488229977364</v>
      </c>
      <c r="AU48">
        <f t="shared" ref="AU48:AX53" si="52">AI48*AU$10</f>
        <v>365.08255102348909</v>
      </c>
      <c r="AV48">
        <f t="shared" si="52"/>
        <v>0</v>
      </c>
      <c r="AW48">
        <f t="shared" si="52"/>
        <v>0</v>
      </c>
      <c r="AX48">
        <f t="shared" si="52"/>
        <v>0</v>
      </c>
      <c r="AY48">
        <f t="shared" ref="AY48:AY53" si="53">SUM(AU48:AX48)</f>
        <v>365.08255102348909</v>
      </c>
    </row>
    <row r="49" spans="1:53" ht="15" x14ac:dyDescent="0.25">
      <c r="A49" s="1"/>
      <c r="B49" s="2"/>
      <c r="C49" s="1" t="s">
        <v>9</v>
      </c>
      <c r="D49">
        <v>0</v>
      </c>
      <c r="E49" s="360">
        <v>14.5405</v>
      </c>
      <c r="F49">
        <v>0</v>
      </c>
      <c r="G49">
        <v>0</v>
      </c>
      <c r="H49">
        <v>0</v>
      </c>
      <c r="J49">
        <v>0</v>
      </c>
      <c r="K49" s="14">
        <v>2.7821109557028958</v>
      </c>
      <c r="L49">
        <v>0</v>
      </c>
      <c r="M49">
        <v>0</v>
      </c>
      <c r="N49">
        <v>0</v>
      </c>
      <c r="O49" s="20"/>
      <c r="P49" s="20"/>
      <c r="Q49" s="438">
        <v>0.41559683542413173</v>
      </c>
      <c r="R49" s="197">
        <v>0.43</v>
      </c>
      <c r="S49" s="197">
        <v>2.83</v>
      </c>
      <c r="T49" s="197">
        <v>0.76744186046511631</v>
      </c>
      <c r="U49" s="197">
        <v>0.76744186046511631</v>
      </c>
      <c r="V49" s="20">
        <f t="shared" si="44"/>
        <v>22.841417754870342</v>
      </c>
      <c r="W49" s="20">
        <f t="shared" si="44"/>
        <v>0</v>
      </c>
      <c r="X49" s="20">
        <f t="shared" si="44"/>
        <v>0</v>
      </c>
      <c r="Y49" s="20">
        <f t="shared" si="44"/>
        <v>0</v>
      </c>
      <c r="Z49" s="20">
        <f t="shared" si="45"/>
        <v>18.498907058809415</v>
      </c>
      <c r="AA49" s="20">
        <f t="shared" si="45"/>
        <v>0</v>
      </c>
      <c r="AB49" s="20">
        <f t="shared" si="45"/>
        <v>0</v>
      </c>
      <c r="AC49" s="20">
        <f t="shared" si="45"/>
        <v>0</v>
      </c>
      <c r="AD49" s="20">
        <f t="shared" si="46"/>
        <v>18.498907058809415</v>
      </c>
      <c r="AE49" s="20">
        <f t="shared" si="47"/>
        <v>157.24500936863464</v>
      </c>
      <c r="AF49" s="20">
        <f t="shared" si="47"/>
        <v>0</v>
      </c>
      <c r="AG49" s="20">
        <f t="shared" si="47"/>
        <v>0</v>
      </c>
      <c r="AH49" s="20">
        <f t="shared" si="47"/>
        <v>0</v>
      </c>
      <c r="AI49" s="20">
        <f t="shared" si="48"/>
        <v>127.35027418128406</v>
      </c>
      <c r="AJ49" s="20">
        <f t="shared" si="48"/>
        <v>0</v>
      </c>
      <c r="AK49" s="20">
        <f t="shared" si="48"/>
        <v>0</v>
      </c>
      <c r="AL49" s="20">
        <f t="shared" si="48"/>
        <v>0</v>
      </c>
      <c r="AM49" s="20">
        <f t="shared" si="49"/>
        <v>127.35027418128406</v>
      </c>
      <c r="AO49">
        <f t="shared" si="50"/>
        <v>26.379441465862225</v>
      </c>
      <c r="AP49">
        <f t="shared" si="50"/>
        <v>0</v>
      </c>
      <c r="AQ49">
        <f t="shared" si="50"/>
        <v>0</v>
      </c>
      <c r="AR49">
        <f t="shared" si="50"/>
        <v>0</v>
      </c>
      <c r="AS49">
        <f t="shared" si="51"/>
        <v>26.379441465862225</v>
      </c>
      <c r="AU49">
        <f t="shared" si="52"/>
        <v>181.60149098251108</v>
      </c>
      <c r="AV49">
        <f t="shared" si="52"/>
        <v>0</v>
      </c>
      <c r="AW49">
        <f t="shared" si="52"/>
        <v>0</v>
      </c>
      <c r="AX49">
        <f t="shared" si="52"/>
        <v>0</v>
      </c>
      <c r="AY49">
        <f t="shared" si="53"/>
        <v>181.60149098251108</v>
      </c>
    </row>
    <row r="50" spans="1:53" ht="15" x14ac:dyDescent="0.25">
      <c r="A50" s="1"/>
      <c r="B50" s="2"/>
      <c r="C50" s="1" t="s">
        <v>10</v>
      </c>
      <c r="D50">
        <v>0</v>
      </c>
      <c r="E50" s="360">
        <v>1.9340999999999999</v>
      </c>
      <c r="F50">
        <v>0</v>
      </c>
      <c r="G50">
        <v>0</v>
      </c>
      <c r="H50">
        <v>0</v>
      </c>
      <c r="J50">
        <v>0</v>
      </c>
      <c r="K50" s="14">
        <v>0.76237952362999994</v>
      </c>
      <c r="L50">
        <v>0</v>
      </c>
      <c r="M50">
        <v>0</v>
      </c>
      <c r="N50">
        <v>0</v>
      </c>
      <c r="O50" s="20"/>
      <c r="P50" s="20"/>
      <c r="Q50" s="438">
        <v>0.42089525313619763</v>
      </c>
      <c r="R50" s="197">
        <v>0.43</v>
      </c>
      <c r="S50" s="197">
        <v>2.83</v>
      </c>
      <c r="T50" s="197">
        <v>0.76744186046511631</v>
      </c>
      <c r="U50" s="197">
        <v>0.76744186046511631</v>
      </c>
      <c r="V50" s="20">
        <f t="shared" si="44"/>
        <v>2.6280592501604572</v>
      </c>
      <c r="W50" s="20">
        <f t="shared" si="44"/>
        <v>0</v>
      </c>
      <c r="X50" s="20">
        <f t="shared" si="44"/>
        <v>0</v>
      </c>
      <c r="Y50" s="20">
        <f t="shared" si="44"/>
        <v>0</v>
      </c>
      <c r="Z50" s="20">
        <f t="shared" si="45"/>
        <v>2.12842409063669</v>
      </c>
      <c r="AA50" s="20">
        <f t="shared" si="45"/>
        <v>0</v>
      </c>
      <c r="AB50" s="20">
        <f t="shared" si="45"/>
        <v>0</v>
      </c>
      <c r="AC50" s="20">
        <f t="shared" si="45"/>
        <v>0</v>
      </c>
      <c r="AD50" s="20">
        <f t="shared" si="46"/>
        <v>2.12842409063669</v>
      </c>
      <c r="AE50" s="20">
        <f t="shared" si="47"/>
        <v>19.215813141171644</v>
      </c>
      <c r="AF50" s="20">
        <f t="shared" si="47"/>
        <v>0</v>
      </c>
      <c r="AG50" s="20">
        <f t="shared" si="47"/>
        <v>0</v>
      </c>
      <c r="AH50" s="20">
        <f t="shared" si="47"/>
        <v>0</v>
      </c>
      <c r="AI50" s="20">
        <f t="shared" si="48"/>
        <v>15.562586577279674</v>
      </c>
      <c r="AJ50" s="20">
        <f t="shared" si="48"/>
        <v>0</v>
      </c>
      <c r="AK50" s="20">
        <f t="shared" si="48"/>
        <v>0</v>
      </c>
      <c r="AL50" s="20">
        <f t="shared" si="48"/>
        <v>0</v>
      </c>
      <c r="AM50" s="20">
        <f t="shared" si="49"/>
        <v>15.562586577279674</v>
      </c>
      <c r="AO50">
        <f t="shared" si="50"/>
        <v>3.03513275324792</v>
      </c>
      <c r="AP50">
        <f t="shared" si="50"/>
        <v>0</v>
      </c>
      <c r="AQ50">
        <f t="shared" si="50"/>
        <v>0</v>
      </c>
      <c r="AR50">
        <f t="shared" si="50"/>
        <v>0</v>
      </c>
      <c r="AS50">
        <f t="shared" si="51"/>
        <v>3.03513275324792</v>
      </c>
      <c r="AU50">
        <f t="shared" si="52"/>
        <v>22.192248459200815</v>
      </c>
      <c r="AV50">
        <f t="shared" si="52"/>
        <v>0</v>
      </c>
      <c r="AW50">
        <f t="shared" si="52"/>
        <v>0</v>
      </c>
      <c r="AX50">
        <f t="shared" si="52"/>
        <v>0</v>
      </c>
      <c r="AY50">
        <f t="shared" si="53"/>
        <v>22.192248459200815</v>
      </c>
    </row>
    <row r="51" spans="1:53" ht="15" x14ac:dyDescent="0.25">
      <c r="A51" s="1"/>
      <c r="B51" s="2"/>
      <c r="C51" s="1" t="s">
        <v>11</v>
      </c>
      <c r="D51">
        <v>0</v>
      </c>
      <c r="E51" s="360">
        <v>31.224499999999999</v>
      </c>
      <c r="F51">
        <v>0</v>
      </c>
      <c r="G51">
        <v>0</v>
      </c>
      <c r="H51">
        <v>0</v>
      </c>
      <c r="J51">
        <v>0</v>
      </c>
      <c r="K51" s="14">
        <v>23.721428580574699</v>
      </c>
      <c r="L51">
        <v>0</v>
      </c>
      <c r="M51">
        <v>0</v>
      </c>
      <c r="N51">
        <v>0</v>
      </c>
      <c r="O51" s="20"/>
      <c r="P51" s="20"/>
      <c r="Q51" s="438">
        <v>0.42619367084826348</v>
      </c>
      <c r="R51" s="197">
        <v>0.43</v>
      </c>
      <c r="S51" s="197">
        <v>2.83</v>
      </c>
      <c r="T51" s="197">
        <v>0.76744186046511631</v>
      </c>
      <c r="U51" s="197">
        <v>0.76744186046511631</v>
      </c>
      <c r="V51" s="20">
        <f t="shared" si="44"/>
        <v>29.737537131459774</v>
      </c>
      <c r="W51" s="20">
        <f t="shared" si="44"/>
        <v>0</v>
      </c>
      <c r="X51" s="20">
        <f t="shared" si="44"/>
        <v>0</v>
      </c>
      <c r="Y51" s="20">
        <f t="shared" si="44"/>
        <v>0</v>
      </c>
      <c r="Z51" s="20">
        <f t="shared" si="45"/>
        <v>24.083966304388927</v>
      </c>
      <c r="AA51" s="20">
        <f t="shared" si="45"/>
        <v>0</v>
      </c>
      <c r="AB51" s="20">
        <f t="shared" si="45"/>
        <v>0</v>
      </c>
      <c r="AC51" s="20">
        <f t="shared" si="45"/>
        <v>0</v>
      </c>
      <c r="AD51" s="20">
        <f t="shared" si="46"/>
        <v>24.083966304388927</v>
      </c>
      <c r="AE51" s="20">
        <f t="shared" si="47"/>
        <v>256.1920637808114</v>
      </c>
      <c r="AF51" s="20">
        <f t="shared" si="47"/>
        <v>0</v>
      </c>
      <c r="AG51" s="20">
        <f t="shared" si="47"/>
        <v>0</v>
      </c>
      <c r="AH51" s="20">
        <f t="shared" si="47"/>
        <v>0</v>
      </c>
      <c r="AI51" s="20">
        <f t="shared" si="48"/>
        <v>207.48594627298368</v>
      </c>
      <c r="AJ51" s="20">
        <f t="shared" si="48"/>
        <v>0</v>
      </c>
      <c r="AK51" s="20">
        <f t="shared" si="48"/>
        <v>0</v>
      </c>
      <c r="AL51" s="20">
        <f t="shared" si="48"/>
        <v>0</v>
      </c>
      <c r="AM51" s="20">
        <f t="shared" si="49"/>
        <v>207.48594627298368</v>
      </c>
      <c r="AO51">
        <f t="shared" si="50"/>
        <v>34.343735950058608</v>
      </c>
      <c r="AP51">
        <f t="shared" si="50"/>
        <v>0</v>
      </c>
      <c r="AQ51">
        <f t="shared" si="50"/>
        <v>0</v>
      </c>
      <c r="AR51">
        <f t="shared" si="50"/>
        <v>0</v>
      </c>
      <c r="AS51">
        <f t="shared" si="51"/>
        <v>34.343735950058608</v>
      </c>
      <c r="AU51">
        <f t="shared" si="52"/>
        <v>295.87495938527474</v>
      </c>
      <c r="AV51">
        <f t="shared" si="52"/>
        <v>0</v>
      </c>
      <c r="AW51">
        <f t="shared" si="52"/>
        <v>0</v>
      </c>
      <c r="AX51">
        <f t="shared" si="52"/>
        <v>0</v>
      </c>
      <c r="AY51">
        <f t="shared" si="53"/>
        <v>295.87495938527474</v>
      </c>
    </row>
    <row r="52" spans="1:53" ht="15" x14ac:dyDescent="0.25">
      <c r="A52" s="1"/>
      <c r="B52" s="2"/>
      <c r="C52" s="1" t="s">
        <v>12</v>
      </c>
      <c r="D52">
        <v>0</v>
      </c>
      <c r="E52" s="360">
        <v>0</v>
      </c>
      <c r="F52">
        <v>0</v>
      </c>
      <c r="G52">
        <v>0</v>
      </c>
      <c r="H52">
        <v>0</v>
      </c>
      <c r="J52">
        <v>0</v>
      </c>
      <c r="K52" s="14">
        <v>0</v>
      </c>
      <c r="L52">
        <v>0</v>
      </c>
      <c r="M52">
        <v>0</v>
      </c>
      <c r="N52">
        <v>0</v>
      </c>
      <c r="O52" s="20"/>
      <c r="P52" s="20"/>
      <c r="Q52" s="438"/>
      <c r="R52" s="197">
        <v>0.43</v>
      </c>
      <c r="S52" s="197">
        <v>2.83</v>
      </c>
      <c r="T52" s="197">
        <v>0.76744186046511631</v>
      </c>
      <c r="U52" s="197">
        <v>0.76744186046511631</v>
      </c>
      <c r="V52" s="20">
        <f t="shared" si="44"/>
        <v>0</v>
      </c>
      <c r="W52" s="20">
        <f t="shared" si="44"/>
        <v>0</v>
      </c>
      <c r="X52" s="20">
        <f t="shared" si="44"/>
        <v>0</v>
      </c>
      <c r="Y52" s="20">
        <f t="shared" si="44"/>
        <v>0</v>
      </c>
      <c r="Z52" s="20">
        <f t="shared" si="45"/>
        <v>0</v>
      </c>
      <c r="AA52" s="20">
        <f t="shared" si="45"/>
        <v>0</v>
      </c>
      <c r="AB52" s="20">
        <f t="shared" si="45"/>
        <v>0</v>
      </c>
      <c r="AC52" s="20">
        <f t="shared" si="45"/>
        <v>0</v>
      </c>
      <c r="AD52" s="20">
        <f t="shared" si="46"/>
        <v>0</v>
      </c>
      <c r="AE52" s="20">
        <f t="shared" si="47"/>
        <v>0</v>
      </c>
      <c r="AF52" s="20">
        <f t="shared" si="47"/>
        <v>0</v>
      </c>
      <c r="AG52" s="20">
        <f t="shared" si="47"/>
        <v>0</v>
      </c>
      <c r="AH52" s="20">
        <f t="shared" si="47"/>
        <v>0</v>
      </c>
      <c r="AI52" s="20">
        <f t="shared" si="48"/>
        <v>0</v>
      </c>
      <c r="AJ52" s="20">
        <f t="shared" si="48"/>
        <v>0</v>
      </c>
      <c r="AK52" s="20">
        <f t="shared" si="48"/>
        <v>0</v>
      </c>
      <c r="AL52" s="20">
        <f t="shared" si="48"/>
        <v>0</v>
      </c>
      <c r="AM52" s="20">
        <f t="shared" si="49"/>
        <v>0</v>
      </c>
      <c r="AO52">
        <f t="shared" si="50"/>
        <v>0</v>
      </c>
      <c r="AP52">
        <f t="shared" si="50"/>
        <v>0</v>
      </c>
      <c r="AQ52">
        <f t="shared" si="50"/>
        <v>0</v>
      </c>
      <c r="AR52">
        <f t="shared" si="50"/>
        <v>0</v>
      </c>
      <c r="AS52">
        <f t="shared" si="51"/>
        <v>0</v>
      </c>
      <c r="AU52">
        <f t="shared" si="52"/>
        <v>0</v>
      </c>
      <c r="AV52">
        <f t="shared" si="52"/>
        <v>0</v>
      </c>
      <c r="AW52">
        <f t="shared" si="52"/>
        <v>0</v>
      </c>
      <c r="AX52">
        <f t="shared" si="52"/>
        <v>0</v>
      </c>
      <c r="AY52">
        <f t="shared" si="53"/>
        <v>0</v>
      </c>
    </row>
    <row r="53" spans="1:53" ht="15" x14ac:dyDescent="0.25">
      <c r="A53" s="1"/>
      <c r="B53" s="2"/>
      <c r="C53" s="1" t="s">
        <v>13</v>
      </c>
      <c r="D53">
        <v>0</v>
      </c>
      <c r="E53" s="360">
        <v>7.3499999999999996E-2</v>
      </c>
      <c r="F53">
        <v>0</v>
      </c>
      <c r="G53">
        <v>0</v>
      </c>
      <c r="H53">
        <v>0</v>
      </c>
      <c r="J53">
        <v>0</v>
      </c>
      <c r="K53" s="14">
        <v>5.4110147222699995E-2</v>
      </c>
      <c r="L53">
        <v>0</v>
      </c>
      <c r="M53">
        <v>0</v>
      </c>
      <c r="N53">
        <v>0</v>
      </c>
      <c r="O53" s="20"/>
      <c r="P53" s="20"/>
      <c r="Q53" s="438">
        <v>0.42619367084826354</v>
      </c>
      <c r="R53" s="197">
        <v>0.43</v>
      </c>
      <c r="S53" s="197">
        <v>2.83</v>
      </c>
      <c r="T53" s="197">
        <v>0.76744186046511631</v>
      </c>
      <c r="U53" s="197">
        <v>0.76744186046511631</v>
      </c>
      <c r="V53" s="20">
        <f t="shared" si="44"/>
        <v>7.2002254651969078E-2</v>
      </c>
      <c r="W53" s="20">
        <f t="shared" si="44"/>
        <v>0</v>
      </c>
      <c r="X53" s="20">
        <f t="shared" si="44"/>
        <v>0</v>
      </c>
      <c r="Y53" s="20">
        <f t="shared" si="44"/>
        <v>0</v>
      </c>
      <c r="Z53" s="20">
        <f t="shared" si="45"/>
        <v>5.8313500113078447E-2</v>
      </c>
      <c r="AA53" s="20">
        <f t="shared" si="45"/>
        <v>0</v>
      </c>
      <c r="AB53" s="20">
        <f t="shared" si="45"/>
        <v>0</v>
      </c>
      <c r="AC53" s="20">
        <f t="shared" si="45"/>
        <v>0</v>
      </c>
      <c r="AD53" s="20">
        <f t="shared" si="46"/>
        <v>5.8313500113078447E-2</v>
      </c>
      <c r="AE53" s="20">
        <f t="shared" si="47"/>
        <v>0.61182865215394477</v>
      </c>
      <c r="AF53" s="20">
        <f t="shared" si="47"/>
        <v>0</v>
      </c>
      <c r="AG53" s="20">
        <f t="shared" si="47"/>
        <v>0</v>
      </c>
      <c r="AH53" s="20">
        <f t="shared" si="47"/>
        <v>0</v>
      </c>
      <c r="AI53" s="20">
        <f t="shared" si="48"/>
        <v>0.49551045795741611</v>
      </c>
      <c r="AJ53" s="20">
        <f t="shared" si="48"/>
        <v>0</v>
      </c>
      <c r="AK53" s="20">
        <f t="shared" si="48"/>
        <v>0</v>
      </c>
      <c r="AL53" s="20">
        <f t="shared" si="48"/>
        <v>0</v>
      </c>
      <c r="AM53" s="20">
        <f t="shared" si="49"/>
        <v>0.49551045795741611</v>
      </c>
      <c r="AO53">
        <f t="shared" si="50"/>
        <v>8.3155051161249854E-2</v>
      </c>
      <c r="AP53">
        <f t="shared" si="50"/>
        <v>0</v>
      </c>
      <c r="AQ53">
        <f t="shared" si="50"/>
        <v>0</v>
      </c>
      <c r="AR53">
        <f t="shared" si="50"/>
        <v>0</v>
      </c>
      <c r="AS53">
        <f t="shared" si="51"/>
        <v>8.3155051161249854E-2</v>
      </c>
      <c r="AU53">
        <f t="shared" si="52"/>
        <v>0.70659791304727537</v>
      </c>
      <c r="AV53">
        <f t="shared" si="52"/>
        <v>0</v>
      </c>
      <c r="AW53">
        <f t="shared" si="52"/>
        <v>0</v>
      </c>
      <c r="AX53">
        <f t="shared" si="52"/>
        <v>0</v>
      </c>
      <c r="AY53">
        <f t="shared" si="53"/>
        <v>0.70659791304727537</v>
      </c>
    </row>
    <row r="54" spans="1:53" ht="15" x14ac:dyDescent="0.25">
      <c r="A54" s="7"/>
      <c r="B54" s="8" t="s">
        <v>14</v>
      </c>
      <c r="C54" s="7"/>
      <c r="D54" s="357">
        <f t="shared" ref="D54:H54" si="54">SUM(D48:D53)</f>
        <v>0</v>
      </c>
      <c r="E54" s="363">
        <f>SUM(E48:E53)</f>
        <v>86.320300000000003</v>
      </c>
      <c r="F54" s="357">
        <f t="shared" si="54"/>
        <v>0</v>
      </c>
      <c r="G54" s="357">
        <f t="shared" si="54"/>
        <v>0</v>
      </c>
      <c r="H54" s="357">
        <f t="shared" si="54"/>
        <v>0</v>
      </c>
      <c r="J54">
        <v>0</v>
      </c>
      <c r="K54" s="14">
        <v>54.223961965811704</v>
      </c>
      <c r="L54">
        <v>0</v>
      </c>
      <c r="M54">
        <v>0</v>
      </c>
      <c r="N54">
        <v>0</v>
      </c>
      <c r="O54" s="20"/>
      <c r="P54" s="20"/>
      <c r="Q54" s="438">
        <v>0.41719165852324019</v>
      </c>
      <c r="R54" s="197"/>
      <c r="S54" s="197"/>
      <c r="T54" s="197"/>
      <c r="U54" s="197"/>
      <c r="BA54" s="319">
        <f>(E54*10000*Q54*AU$10)</f>
        <v>513532.67606864922</v>
      </c>
    </row>
    <row r="55" spans="1:53" ht="15" x14ac:dyDescent="0.25">
      <c r="A55" s="10"/>
      <c r="B55" s="9" t="s">
        <v>15</v>
      </c>
      <c r="C55" s="5"/>
      <c r="E55" s="363">
        <f>SUM(E54)</f>
        <v>86.320300000000003</v>
      </c>
      <c r="H55" s="358">
        <f>SUM(D54:H54)</f>
        <v>86.320300000000003</v>
      </c>
      <c r="K55" s="14">
        <v>54.223961965811704</v>
      </c>
      <c r="N55">
        <v>0</v>
      </c>
      <c r="O55" s="20"/>
      <c r="P55" s="20"/>
      <c r="Q55" s="438"/>
      <c r="R55" s="197"/>
      <c r="S55" s="197"/>
      <c r="T55" s="197"/>
      <c r="U55" s="197"/>
    </row>
    <row r="56" spans="1:53" ht="15.75" x14ac:dyDescent="0.25">
      <c r="A56" s="1"/>
      <c r="B56" s="2"/>
      <c r="C56" s="1"/>
      <c r="E56" s="361"/>
      <c r="K56" s="14"/>
      <c r="O56" s="20"/>
      <c r="P56" s="20"/>
      <c r="Q56" s="439"/>
      <c r="R56" s="197"/>
      <c r="S56" s="197"/>
      <c r="T56" s="197"/>
      <c r="U56" s="197"/>
    </row>
    <row r="57" spans="1:53" ht="15" x14ac:dyDescent="0.25">
      <c r="A57" s="1">
        <v>6</v>
      </c>
      <c r="B57" s="2" t="s">
        <v>20</v>
      </c>
      <c r="C57" s="1" t="s">
        <v>8</v>
      </c>
      <c r="D57">
        <v>0</v>
      </c>
      <c r="E57" s="360">
        <v>11.9978</v>
      </c>
      <c r="F57">
        <v>0</v>
      </c>
      <c r="G57">
        <v>0</v>
      </c>
      <c r="H57">
        <v>0</v>
      </c>
      <c r="J57">
        <v>0</v>
      </c>
      <c r="K57" s="14">
        <v>11.908647118760999</v>
      </c>
      <c r="L57">
        <v>0</v>
      </c>
      <c r="M57">
        <v>0</v>
      </c>
      <c r="N57">
        <v>0</v>
      </c>
      <c r="O57" s="20"/>
      <c r="P57" s="20"/>
      <c r="Q57" s="438">
        <v>0.45481674337460531</v>
      </c>
      <c r="R57" s="197">
        <v>0.33900000000000002</v>
      </c>
      <c r="S57" s="197">
        <v>1.9830000000000001</v>
      </c>
      <c r="T57" s="197">
        <v>0.76146788990825687</v>
      </c>
      <c r="U57" s="197">
        <v>0.76146788990825687</v>
      </c>
      <c r="V57" s="20">
        <f t="shared" ref="V57:Y62" si="55">IF(K57&gt;0,((E57-K57)*$Q57*$R57*10)+(K57*$O$12*$Q57*$R57*10),(E57*$Q57*$R57*10))</f>
        <v>6.8897885752785122</v>
      </c>
      <c r="W57" s="20">
        <f t="shared" si="55"/>
        <v>0</v>
      </c>
      <c r="X57" s="20">
        <f t="shared" si="55"/>
        <v>0</v>
      </c>
      <c r="Y57" s="20">
        <f t="shared" si="55"/>
        <v>0</v>
      </c>
      <c r="Z57" s="20">
        <f t="shared" ref="Z57:AC62" si="56">V57*(EXP(1.01-0.34*LN(Z$8))*(1-$T57)+(1*$T57))</f>
        <v>5.5462843374877409</v>
      </c>
      <c r="AA57" s="20">
        <f t="shared" si="56"/>
        <v>0</v>
      </c>
      <c r="AB57" s="20">
        <f t="shared" si="56"/>
        <v>0</v>
      </c>
      <c r="AC57" s="20">
        <f t="shared" si="56"/>
        <v>0</v>
      </c>
      <c r="AD57" s="20">
        <f t="shared" ref="AD57:AD62" si="57">SUM(Z57:AC57)</f>
        <v>5.5462843374877409</v>
      </c>
      <c r="AE57" s="20">
        <f t="shared" ref="AE57:AH62" si="58">IF(K57&gt;0,((E57-K57)*$Q57*$S57*10)+(K57*$P$12*$Q57*$S57)*10,(E57*$Q57*$S57*10))</f>
        <v>63.005132734736392</v>
      </c>
      <c r="AF57" s="20">
        <f t="shared" si="58"/>
        <v>0</v>
      </c>
      <c r="AG57" s="20">
        <f t="shared" si="58"/>
        <v>0</v>
      </c>
      <c r="AH57" s="20">
        <f t="shared" si="58"/>
        <v>0</v>
      </c>
      <c r="AI57" s="20">
        <f t="shared" ref="AI57:AL62" si="59">AE57*(EXP(1.01-0.34*LN(AI$8))*(1-$U57)+(1*$U57))</f>
        <v>50.719173317140388</v>
      </c>
      <c r="AJ57" s="20">
        <f t="shared" si="59"/>
        <v>0</v>
      </c>
      <c r="AK57" s="20">
        <f t="shared" si="59"/>
        <v>0</v>
      </c>
      <c r="AL57" s="20">
        <f t="shared" si="59"/>
        <v>0</v>
      </c>
      <c r="AM57" s="20">
        <f t="shared" ref="AM57:AM62" si="60">SUM(AI57:AL57)</f>
        <v>50.719173317140388</v>
      </c>
      <c r="AO57">
        <f t="shared" ref="AO57:AR62" si="61">Z57*AO$10</f>
        <v>7.9090014652575178</v>
      </c>
      <c r="AP57">
        <f t="shared" si="61"/>
        <v>0</v>
      </c>
      <c r="AQ57">
        <f t="shared" si="61"/>
        <v>0</v>
      </c>
      <c r="AR57">
        <f t="shared" si="61"/>
        <v>0</v>
      </c>
      <c r="AS57">
        <f t="shared" ref="AS57:AS62" si="62">SUM(AO57:AR57)</f>
        <v>7.9090014652575178</v>
      </c>
      <c r="AU57">
        <f t="shared" ref="AU57:AX62" si="63">AI57*AU$10</f>
        <v>72.325541150242188</v>
      </c>
      <c r="AV57">
        <f t="shared" si="63"/>
        <v>0</v>
      </c>
      <c r="AW57">
        <f t="shared" si="63"/>
        <v>0</v>
      </c>
      <c r="AX57">
        <f t="shared" si="63"/>
        <v>0</v>
      </c>
      <c r="AY57">
        <f t="shared" ref="AY57:AY62" si="64">SUM(AU57:AX57)</f>
        <v>72.325541150242188</v>
      </c>
    </row>
    <row r="58" spans="1:53" ht="15" x14ac:dyDescent="0.25">
      <c r="A58" s="1"/>
      <c r="B58" s="2"/>
      <c r="C58" s="1" t="s">
        <v>9</v>
      </c>
      <c r="D58">
        <v>0</v>
      </c>
      <c r="E58" s="360">
        <v>3.8092000000000001</v>
      </c>
      <c r="F58">
        <v>0</v>
      </c>
      <c r="G58">
        <v>0</v>
      </c>
      <c r="H58">
        <v>0</v>
      </c>
      <c r="J58">
        <v>0</v>
      </c>
      <c r="K58" s="14">
        <v>2.2897921524700005</v>
      </c>
      <c r="L58">
        <v>0</v>
      </c>
      <c r="M58">
        <v>0</v>
      </c>
      <c r="N58">
        <v>0</v>
      </c>
      <c r="O58" s="20"/>
      <c r="P58" s="20"/>
      <c r="Q58" s="438">
        <v>0.45963348674921067</v>
      </c>
      <c r="R58" s="197">
        <v>0.33900000000000002</v>
      </c>
      <c r="S58" s="197">
        <v>1.9830000000000001</v>
      </c>
      <c r="T58" s="197">
        <v>0.76146788990825687</v>
      </c>
      <c r="U58" s="197">
        <v>0.76146788990825687</v>
      </c>
      <c r="V58" s="20">
        <f t="shared" si="55"/>
        <v>3.6795634216030533</v>
      </c>
      <c r="W58" s="20">
        <f t="shared" si="55"/>
        <v>0</v>
      </c>
      <c r="X58" s="20">
        <f t="shared" si="55"/>
        <v>0</v>
      </c>
      <c r="Y58" s="20">
        <f t="shared" si="55"/>
        <v>0</v>
      </c>
      <c r="Z58" s="20">
        <f t="shared" si="56"/>
        <v>2.9620509760279323</v>
      </c>
      <c r="AA58" s="20">
        <f t="shared" si="56"/>
        <v>0</v>
      </c>
      <c r="AB58" s="20">
        <f t="shared" si="56"/>
        <v>0</v>
      </c>
      <c r="AC58" s="20">
        <f t="shared" si="56"/>
        <v>0</v>
      </c>
      <c r="AD58" s="20">
        <f t="shared" si="57"/>
        <v>2.9620509760279323</v>
      </c>
      <c r="AE58" s="20">
        <f t="shared" si="58"/>
        <v>25.935361100723497</v>
      </c>
      <c r="AF58" s="20">
        <f t="shared" si="58"/>
        <v>0</v>
      </c>
      <c r="AG58" s="20">
        <f t="shared" si="58"/>
        <v>0</v>
      </c>
      <c r="AH58" s="20">
        <f t="shared" si="58"/>
        <v>0</v>
      </c>
      <c r="AI58" s="20">
        <f t="shared" si="59"/>
        <v>20.877982754966727</v>
      </c>
      <c r="AJ58" s="20">
        <f t="shared" si="59"/>
        <v>0</v>
      </c>
      <c r="AK58" s="20">
        <f t="shared" si="59"/>
        <v>0</v>
      </c>
      <c r="AL58" s="20">
        <f t="shared" si="59"/>
        <v>0</v>
      </c>
      <c r="AM58" s="20">
        <f t="shared" si="60"/>
        <v>20.877982754966727</v>
      </c>
      <c r="AO58">
        <f t="shared" si="61"/>
        <v>4.2238846918158313</v>
      </c>
      <c r="AP58">
        <f t="shared" si="61"/>
        <v>0</v>
      </c>
      <c r="AQ58">
        <f t="shared" si="61"/>
        <v>0</v>
      </c>
      <c r="AR58">
        <f t="shared" si="61"/>
        <v>0</v>
      </c>
      <c r="AS58">
        <f t="shared" si="62"/>
        <v>4.2238846918158313</v>
      </c>
      <c r="AU58">
        <f t="shared" si="63"/>
        <v>29.772003408582552</v>
      </c>
      <c r="AV58">
        <f t="shared" si="63"/>
        <v>0</v>
      </c>
      <c r="AW58">
        <f t="shared" si="63"/>
        <v>0</v>
      </c>
      <c r="AX58">
        <f t="shared" si="63"/>
        <v>0</v>
      </c>
      <c r="AY58">
        <f t="shared" si="64"/>
        <v>29.772003408582552</v>
      </c>
    </row>
    <row r="59" spans="1:53" ht="15" x14ac:dyDescent="0.25">
      <c r="A59" s="1"/>
      <c r="B59" s="2"/>
      <c r="C59" s="1" t="s">
        <v>10</v>
      </c>
      <c r="D59">
        <v>0</v>
      </c>
      <c r="E59" s="360">
        <v>0.1384</v>
      </c>
      <c r="F59">
        <v>0</v>
      </c>
      <c r="G59">
        <v>0</v>
      </c>
      <c r="H59">
        <v>0</v>
      </c>
      <c r="J59">
        <v>0</v>
      </c>
      <c r="K59" s="14">
        <v>-8.809080921500001E-2</v>
      </c>
      <c r="L59">
        <v>0</v>
      </c>
      <c r="M59">
        <v>0</v>
      </c>
      <c r="N59">
        <v>0</v>
      </c>
      <c r="O59" s="20"/>
      <c r="P59" s="20"/>
      <c r="Q59" s="438">
        <v>0.46445023012381609</v>
      </c>
      <c r="R59" s="197">
        <v>0.33900000000000002</v>
      </c>
      <c r="S59" s="197">
        <v>1.9830000000000001</v>
      </c>
      <c r="T59" s="197">
        <v>0.76146788990825687</v>
      </c>
      <c r="U59" s="197">
        <v>0.76146788990825687</v>
      </c>
      <c r="V59" s="20">
        <f t="shared" si="55"/>
        <v>0.21790890116857156</v>
      </c>
      <c r="W59" s="20">
        <f t="shared" si="55"/>
        <v>0</v>
      </c>
      <c r="X59" s="20">
        <f t="shared" si="55"/>
        <v>0</v>
      </c>
      <c r="Y59" s="20">
        <f t="shared" si="55"/>
        <v>0</v>
      </c>
      <c r="Z59" s="20">
        <f t="shared" si="56"/>
        <v>0.17541680885346422</v>
      </c>
      <c r="AA59" s="20">
        <f t="shared" si="56"/>
        <v>0</v>
      </c>
      <c r="AB59" s="20">
        <f t="shared" si="56"/>
        <v>0</v>
      </c>
      <c r="AC59" s="20">
        <f t="shared" si="56"/>
        <v>0</v>
      </c>
      <c r="AD59" s="20">
        <f t="shared" si="57"/>
        <v>0.17541680885346422</v>
      </c>
      <c r="AE59" s="20">
        <f t="shared" si="58"/>
        <v>1.2746706519683699</v>
      </c>
      <c r="AF59" s="20">
        <f t="shared" si="58"/>
        <v>0</v>
      </c>
      <c r="AG59" s="20">
        <f t="shared" si="58"/>
        <v>0</v>
      </c>
      <c r="AH59" s="20">
        <f t="shared" si="58"/>
        <v>0</v>
      </c>
      <c r="AI59" s="20">
        <f t="shared" si="59"/>
        <v>1.026110713735751</v>
      </c>
      <c r="AJ59" s="20">
        <f t="shared" si="59"/>
        <v>0</v>
      </c>
      <c r="AK59" s="20">
        <f t="shared" si="59"/>
        <v>0</v>
      </c>
      <c r="AL59" s="20">
        <f t="shared" si="59"/>
        <v>0</v>
      </c>
      <c r="AM59" s="20">
        <f t="shared" si="60"/>
        <v>1.026110713735751</v>
      </c>
      <c r="AO59">
        <f t="shared" si="61"/>
        <v>0.25014436942503998</v>
      </c>
      <c r="AP59">
        <f t="shared" si="61"/>
        <v>0</v>
      </c>
      <c r="AQ59">
        <f t="shared" si="61"/>
        <v>0</v>
      </c>
      <c r="AR59">
        <f t="shared" si="61"/>
        <v>0</v>
      </c>
      <c r="AS59">
        <f t="shared" si="62"/>
        <v>0.25014436942503998</v>
      </c>
      <c r="AU59">
        <f t="shared" si="63"/>
        <v>1.4632338777871809</v>
      </c>
      <c r="AV59">
        <f t="shared" si="63"/>
        <v>0</v>
      </c>
      <c r="AW59">
        <f t="shared" si="63"/>
        <v>0</v>
      </c>
      <c r="AX59">
        <f t="shared" si="63"/>
        <v>0</v>
      </c>
      <c r="AY59">
        <f t="shared" si="64"/>
        <v>1.4632338777871809</v>
      </c>
    </row>
    <row r="60" spans="1:53" ht="15" x14ac:dyDescent="0.25">
      <c r="A60" s="1"/>
      <c r="B60" s="2"/>
      <c r="C60" s="1" t="s">
        <v>11</v>
      </c>
      <c r="D60">
        <v>0</v>
      </c>
      <c r="E60" s="360">
        <v>2.6183000000000001</v>
      </c>
      <c r="F60">
        <v>0</v>
      </c>
      <c r="G60">
        <v>0</v>
      </c>
      <c r="H60">
        <v>0</v>
      </c>
      <c r="J60">
        <v>0</v>
      </c>
      <c r="K60" s="14">
        <v>2.1201244640930001</v>
      </c>
      <c r="L60">
        <v>0</v>
      </c>
      <c r="M60">
        <v>0</v>
      </c>
      <c r="N60">
        <v>0</v>
      </c>
      <c r="O60" s="20"/>
      <c r="P60" s="20"/>
      <c r="Q60" s="438">
        <v>0.46926697349842139</v>
      </c>
      <c r="R60" s="197">
        <v>0.33900000000000002</v>
      </c>
      <c r="S60" s="197">
        <v>1.9830000000000001</v>
      </c>
      <c r="T60" s="197">
        <v>0.76146788990825687</v>
      </c>
      <c r="U60" s="197">
        <v>0.76146788990825687</v>
      </c>
      <c r="V60" s="20">
        <f t="shared" si="55"/>
        <v>2.0328319770818131</v>
      </c>
      <c r="W60" s="20">
        <f t="shared" si="55"/>
        <v>0</v>
      </c>
      <c r="X60" s="20">
        <f t="shared" si="55"/>
        <v>0</v>
      </c>
      <c r="Y60" s="20">
        <f t="shared" si="55"/>
        <v>0</v>
      </c>
      <c r="Z60" s="20">
        <f t="shared" si="56"/>
        <v>1.6364310794221042</v>
      </c>
      <c r="AA60" s="20">
        <f t="shared" si="56"/>
        <v>0</v>
      </c>
      <c r="AB60" s="20">
        <f t="shared" si="56"/>
        <v>0</v>
      </c>
      <c r="AC60" s="20">
        <f t="shared" si="56"/>
        <v>0</v>
      </c>
      <c r="AD60" s="20">
        <f t="shared" si="57"/>
        <v>1.6364310794221042</v>
      </c>
      <c r="AE60" s="20">
        <f t="shared" si="58"/>
        <v>16.061437453560174</v>
      </c>
      <c r="AF60" s="20">
        <f t="shared" si="58"/>
        <v>0</v>
      </c>
      <c r="AG60" s="20">
        <f t="shared" si="58"/>
        <v>0</v>
      </c>
      <c r="AH60" s="20">
        <f t="shared" si="58"/>
        <v>0</v>
      </c>
      <c r="AI60" s="20">
        <f t="shared" si="59"/>
        <v>12.929467720657707</v>
      </c>
      <c r="AJ60" s="20">
        <f t="shared" si="59"/>
        <v>0</v>
      </c>
      <c r="AK60" s="20">
        <f t="shared" si="59"/>
        <v>0</v>
      </c>
      <c r="AL60" s="20">
        <f t="shared" si="59"/>
        <v>0</v>
      </c>
      <c r="AM60" s="20">
        <f t="shared" si="60"/>
        <v>12.929467720657707</v>
      </c>
      <c r="AO60">
        <f t="shared" si="61"/>
        <v>2.3335507192559204</v>
      </c>
      <c r="AP60">
        <f t="shared" si="61"/>
        <v>0</v>
      </c>
      <c r="AQ60">
        <f t="shared" si="61"/>
        <v>0</v>
      </c>
      <c r="AR60">
        <f t="shared" si="61"/>
        <v>0</v>
      </c>
      <c r="AS60">
        <f t="shared" si="62"/>
        <v>2.3335507192559204</v>
      </c>
      <c r="AU60">
        <f t="shared" si="63"/>
        <v>18.437420969657889</v>
      </c>
      <c r="AV60">
        <f t="shared" si="63"/>
        <v>0</v>
      </c>
      <c r="AW60">
        <f t="shared" si="63"/>
        <v>0</v>
      </c>
      <c r="AX60">
        <f t="shared" si="63"/>
        <v>0</v>
      </c>
      <c r="AY60">
        <f t="shared" si="64"/>
        <v>18.437420969657889</v>
      </c>
    </row>
    <row r="61" spans="1:53" ht="15" x14ac:dyDescent="0.25">
      <c r="A61" s="1"/>
      <c r="B61" s="2"/>
      <c r="C61" s="1" t="s">
        <v>12</v>
      </c>
      <c r="D61">
        <v>0</v>
      </c>
      <c r="E61" s="360">
        <v>0</v>
      </c>
      <c r="F61">
        <v>0</v>
      </c>
      <c r="G61">
        <v>0</v>
      </c>
      <c r="H61">
        <v>0</v>
      </c>
      <c r="J61">
        <v>0</v>
      </c>
      <c r="K61" s="14">
        <v>0</v>
      </c>
      <c r="L61">
        <v>0</v>
      </c>
      <c r="M61">
        <v>0</v>
      </c>
      <c r="N61">
        <v>0</v>
      </c>
      <c r="O61" s="20"/>
      <c r="P61" s="20"/>
      <c r="Q61" s="438"/>
      <c r="R61" s="197">
        <v>0.33900000000000002</v>
      </c>
      <c r="S61" s="197">
        <v>1.9830000000000001</v>
      </c>
      <c r="T61" s="197">
        <v>0.76146788990825687</v>
      </c>
      <c r="U61" s="197">
        <v>0.76146788990825687</v>
      </c>
      <c r="V61" s="20">
        <f t="shared" si="55"/>
        <v>0</v>
      </c>
      <c r="W61" s="20">
        <f t="shared" si="55"/>
        <v>0</v>
      </c>
      <c r="X61" s="20">
        <f t="shared" si="55"/>
        <v>0</v>
      </c>
      <c r="Y61" s="20">
        <f t="shared" si="55"/>
        <v>0</v>
      </c>
      <c r="Z61" s="20">
        <f t="shared" si="56"/>
        <v>0</v>
      </c>
      <c r="AA61" s="20">
        <f t="shared" si="56"/>
        <v>0</v>
      </c>
      <c r="AB61" s="20">
        <f t="shared" si="56"/>
        <v>0</v>
      </c>
      <c r="AC61" s="20">
        <f t="shared" si="56"/>
        <v>0</v>
      </c>
      <c r="AD61" s="20">
        <f t="shared" si="57"/>
        <v>0</v>
      </c>
      <c r="AE61" s="20">
        <f t="shared" si="58"/>
        <v>0</v>
      </c>
      <c r="AF61" s="20">
        <f t="shared" si="58"/>
        <v>0</v>
      </c>
      <c r="AG61" s="20">
        <f t="shared" si="58"/>
        <v>0</v>
      </c>
      <c r="AH61" s="20">
        <f t="shared" si="58"/>
        <v>0</v>
      </c>
      <c r="AI61" s="20">
        <f t="shared" si="59"/>
        <v>0</v>
      </c>
      <c r="AJ61" s="20">
        <f t="shared" si="59"/>
        <v>0</v>
      </c>
      <c r="AK61" s="20">
        <f t="shared" si="59"/>
        <v>0</v>
      </c>
      <c r="AL61" s="20">
        <f t="shared" si="59"/>
        <v>0</v>
      </c>
      <c r="AM61" s="20">
        <f t="shared" si="60"/>
        <v>0</v>
      </c>
      <c r="AO61">
        <f t="shared" si="61"/>
        <v>0</v>
      </c>
      <c r="AP61">
        <f t="shared" si="61"/>
        <v>0</v>
      </c>
      <c r="AQ61">
        <f t="shared" si="61"/>
        <v>0</v>
      </c>
      <c r="AR61">
        <f t="shared" si="61"/>
        <v>0</v>
      </c>
      <c r="AS61">
        <f t="shared" si="62"/>
        <v>0</v>
      </c>
      <c r="AU61">
        <f t="shared" si="63"/>
        <v>0</v>
      </c>
      <c r="AV61">
        <f t="shared" si="63"/>
        <v>0</v>
      </c>
      <c r="AW61">
        <f t="shared" si="63"/>
        <v>0</v>
      </c>
      <c r="AX61">
        <f t="shared" si="63"/>
        <v>0</v>
      </c>
      <c r="AY61">
        <f t="shared" si="64"/>
        <v>0</v>
      </c>
    </row>
    <row r="62" spans="1:53" ht="15" x14ac:dyDescent="0.25">
      <c r="A62" s="1"/>
      <c r="B62" s="2"/>
      <c r="C62" s="1" t="s">
        <v>13</v>
      </c>
      <c r="D62">
        <v>0</v>
      </c>
      <c r="E62" s="360">
        <v>1.4E-3</v>
      </c>
      <c r="F62">
        <v>0</v>
      </c>
      <c r="G62">
        <v>0</v>
      </c>
      <c r="H62">
        <v>0</v>
      </c>
      <c r="J62">
        <v>0</v>
      </c>
      <c r="K62" s="14">
        <v>1.4E-3</v>
      </c>
      <c r="L62">
        <v>0</v>
      </c>
      <c r="M62">
        <v>0</v>
      </c>
      <c r="N62">
        <v>0</v>
      </c>
      <c r="O62" s="20"/>
      <c r="P62" s="20"/>
      <c r="Q62" s="438">
        <v>0.46926697349842139</v>
      </c>
      <c r="R62" s="197">
        <v>0.33900000000000002</v>
      </c>
      <c r="S62" s="197">
        <v>1.9830000000000001</v>
      </c>
      <c r="T62" s="197">
        <v>0.76146788990825687</v>
      </c>
      <c r="U62" s="197">
        <v>0.76146788990825687</v>
      </c>
      <c r="V62" s="20">
        <f t="shared" si="55"/>
        <v>8.1903567837597461E-4</v>
      </c>
      <c r="W62" s="20">
        <f t="shared" si="55"/>
        <v>0</v>
      </c>
      <c r="X62" s="20">
        <f t="shared" si="55"/>
        <v>0</v>
      </c>
      <c r="Y62" s="20">
        <f t="shared" si="55"/>
        <v>0</v>
      </c>
      <c r="Z62" s="20">
        <f t="shared" si="56"/>
        <v>6.5932426012603506E-4</v>
      </c>
      <c r="AA62" s="20">
        <f t="shared" si="56"/>
        <v>0</v>
      </c>
      <c r="AB62" s="20">
        <f t="shared" si="56"/>
        <v>0</v>
      </c>
      <c r="AC62" s="20">
        <f t="shared" si="56"/>
        <v>0</v>
      </c>
      <c r="AD62" s="20">
        <f t="shared" si="57"/>
        <v>6.5932426012603506E-4</v>
      </c>
      <c r="AE62" s="20">
        <f t="shared" si="58"/>
        <v>7.5447864412280623E-3</v>
      </c>
      <c r="AF62" s="20">
        <f t="shared" si="58"/>
        <v>0</v>
      </c>
      <c r="AG62" s="20">
        <f t="shared" si="58"/>
        <v>0</v>
      </c>
      <c r="AH62" s="20">
        <f t="shared" si="58"/>
        <v>0</v>
      </c>
      <c r="AI62" s="20">
        <f t="shared" si="59"/>
        <v>6.0735580506520127E-3</v>
      </c>
      <c r="AJ62" s="20">
        <f t="shared" si="59"/>
        <v>0</v>
      </c>
      <c r="AK62" s="20">
        <f t="shared" si="59"/>
        <v>0</v>
      </c>
      <c r="AL62" s="20">
        <f t="shared" si="59"/>
        <v>0</v>
      </c>
      <c r="AM62" s="20">
        <f t="shared" si="60"/>
        <v>6.0735580506520127E-3</v>
      </c>
      <c r="AO62">
        <f t="shared" si="61"/>
        <v>9.4019639493972591E-4</v>
      </c>
      <c r="AP62">
        <f t="shared" si="61"/>
        <v>0</v>
      </c>
      <c r="AQ62">
        <f t="shared" si="61"/>
        <v>0</v>
      </c>
      <c r="AR62">
        <f t="shared" si="61"/>
        <v>0</v>
      </c>
      <c r="AS62">
        <f t="shared" si="62"/>
        <v>9.4019639493972591E-4</v>
      </c>
      <c r="AU62">
        <f t="shared" si="63"/>
        <v>8.6608937802297691E-3</v>
      </c>
      <c r="AV62">
        <f t="shared" si="63"/>
        <v>0</v>
      </c>
      <c r="AW62">
        <f t="shared" si="63"/>
        <v>0</v>
      </c>
      <c r="AX62">
        <f t="shared" si="63"/>
        <v>0</v>
      </c>
      <c r="AY62">
        <f t="shared" si="64"/>
        <v>8.6608937802297691E-3</v>
      </c>
    </row>
    <row r="63" spans="1:53" ht="15" x14ac:dyDescent="0.25">
      <c r="A63" s="7"/>
      <c r="B63" s="8" t="s">
        <v>14</v>
      </c>
      <c r="C63" s="7"/>
      <c r="D63" s="357">
        <f t="shared" ref="D63:H63" si="65">SUM(D57:D62)</f>
        <v>0</v>
      </c>
      <c r="E63" s="363">
        <f>SUM(E57:E62)</f>
        <v>18.565100000000001</v>
      </c>
      <c r="F63" s="357">
        <f t="shared" si="65"/>
        <v>0</v>
      </c>
      <c r="G63" s="357">
        <f t="shared" si="65"/>
        <v>0</v>
      </c>
      <c r="H63" s="357">
        <f t="shared" si="65"/>
        <v>0</v>
      </c>
      <c r="J63">
        <v>0</v>
      </c>
      <c r="K63" s="14">
        <v>16.231872926109002</v>
      </c>
      <c r="L63">
        <v>0</v>
      </c>
      <c r="M63">
        <v>0</v>
      </c>
      <c r="N63">
        <v>0</v>
      </c>
      <c r="O63" s="20"/>
      <c r="P63" s="20"/>
      <c r="Q63" s="438">
        <v>0.45791591770084089</v>
      </c>
      <c r="R63" s="197"/>
      <c r="S63" s="197"/>
      <c r="T63" s="197"/>
      <c r="U63" s="197"/>
      <c r="BA63" s="319">
        <f>(E63*10000*Q63*AU$10)</f>
        <v>121227.89350087439</v>
      </c>
    </row>
    <row r="64" spans="1:53" ht="15" x14ac:dyDescent="0.25">
      <c r="A64" s="10"/>
      <c r="B64" s="9" t="s">
        <v>15</v>
      </c>
      <c r="C64" s="5"/>
      <c r="E64" s="363">
        <f>SUM(E63)</f>
        <v>18.565100000000001</v>
      </c>
      <c r="H64" s="358">
        <f>SUM(D63:H63)</f>
        <v>18.565100000000001</v>
      </c>
      <c r="K64" s="14"/>
      <c r="N64">
        <v>0</v>
      </c>
      <c r="O64" s="20"/>
      <c r="P64" s="20"/>
      <c r="Q64" s="438"/>
      <c r="R64" s="197"/>
      <c r="S64" s="197"/>
      <c r="T64" s="197"/>
      <c r="U64" s="197"/>
    </row>
    <row r="65" spans="1:53" ht="15.75" x14ac:dyDescent="0.25">
      <c r="A65" s="3"/>
      <c r="B65" s="11"/>
      <c r="C65" s="3"/>
      <c r="E65" s="361"/>
      <c r="K65" s="14"/>
      <c r="O65" s="20"/>
      <c r="P65" s="20"/>
      <c r="Q65" s="439"/>
      <c r="R65" s="197"/>
      <c r="S65" s="197"/>
      <c r="T65" s="197"/>
      <c r="U65" s="197"/>
    </row>
    <row r="66" spans="1:53" ht="15" x14ac:dyDescent="0.25">
      <c r="A66" s="3">
        <v>7</v>
      </c>
      <c r="B66" s="11" t="s">
        <v>21</v>
      </c>
      <c r="C66" s="3" t="s">
        <v>8</v>
      </c>
      <c r="D66">
        <v>0</v>
      </c>
      <c r="E66" s="360">
        <v>3.6787999999999998</v>
      </c>
      <c r="F66">
        <v>0</v>
      </c>
      <c r="G66">
        <v>0</v>
      </c>
      <c r="H66">
        <v>0</v>
      </c>
      <c r="J66">
        <v>0</v>
      </c>
      <c r="K66" s="14">
        <v>0.48486916860059948</v>
      </c>
      <c r="L66">
        <v>0</v>
      </c>
      <c r="M66">
        <v>0</v>
      </c>
      <c r="N66">
        <v>0</v>
      </c>
      <c r="O66" s="20"/>
      <c r="P66" s="20"/>
      <c r="Q66" s="438">
        <v>1.8537151881718571E-2</v>
      </c>
      <c r="R66" s="197">
        <v>0.15</v>
      </c>
      <c r="S66" s="197">
        <v>1.18</v>
      </c>
      <c r="T66" s="197">
        <v>0.46666666666666673</v>
      </c>
      <c r="U66" s="197">
        <v>0.6566321730950142</v>
      </c>
      <c r="V66" s="20">
        <f t="shared" ref="V66:Y71" si="66">IF(K66&gt;0,((E66-K66)*$Q66*$R66*10)+(K66*$O$12*$Q66*$R66*10),(E66*$Q66*$R66*10))</f>
        <v>9.3767655989130796E-2</v>
      </c>
      <c r="W66" s="20">
        <f t="shared" si="66"/>
        <v>0</v>
      </c>
      <c r="X66" s="20">
        <f t="shared" si="66"/>
        <v>0</v>
      </c>
      <c r="Y66" s="20">
        <f t="shared" si="66"/>
        <v>0</v>
      </c>
      <c r="Z66" s="20">
        <f t="shared" ref="Z66:AC71" si="67">V66*(EXP(1.01-0.34*LN(Z$8))*(1-$T66)+(1*$T66))</f>
        <v>5.2885095958388487E-2</v>
      </c>
      <c r="AA66" s="20">
        <f t="shared" si="67"/>
        <v>0</v>
      </c>
      <c r="AB66" s="20">
        <f t="shared" si="67"/>
        <v>0</v>
      </c>
      <c r="AC66" s="20">
        <f t="shared" si="67"/>
        <v>0</v>
      </c>
      <c r="AD66" s="20">
        <f t="shared" ref="AD66:AD71" si="68">SUM(Z66:AC66)</f>
        <v>5.2885095958388487E-2</v>
      </c>
      <c r="AE66" s="20">
        <f t="shared" ref="AE66:AH71" si="69">IF(K66&gt;0,((E66-K66)*$Q66*$S66*10)+(K66*$P$12*$Q66*$S66)*10,(E66*$Q66*$S66*10))</f>
        <v>0.76005755549660381</v>
      </c>
      <c r="AF66" s="20">
        <f t="shared" si="69"/>
        <v>0</v>
      </c>
      <c r="AG66" s="20">
        <f t="shared" si="69"/>
        <v>0</v>
      </c>
      <c r="AH66" s="20">
        <f t="shared" si="69"/>
        <v>0</v>
      </c>
      <c r="AI66" s="20">
        <f t="shared" ref="AI66:AL71" si="70">AE66*(EXP(1.01-0.34*LN(AI$8))*(1-$U66)+(1*$U66))</f>
        <v>0.54670768869415265</v>
      </c>
      <c r="AJ66" s="20">
        <f t="shared" si="70"/>
        <v>0</v>
      </c>
      <c r="AK66" s="20">
        <f t="shared" si="70"/>
        <v>0</v>
      </c>
      <c r="AL66" s="20">
        <f t="shared" si="70"/>
        <v>0</v>
      </c>
      <c r="AM66" s="20">
        <f t="shared" ref="AM66:AM71" si="71">SUM(AI66:AL66)</f>
        <v>0.54670768869415265</v>
      </c>
      <c r="AO66">
        <f t="shared" ref="AO66:AR71" si="72">Z66*AO$10</f>
        <v>7.5414146836661977E-2</v>
      </c>
      <c r="AP66">
        <f t="shared" si="72"/>
        <v>0</v>
      </c>
      <c r="AQ66">
        <f t="shared" si="72"/>
        <v>0</v>
      </c>
      <c r="AR66">
        <f t="shared" si="72"/>
        <v>0</v>
      </c>
      <c r="AS66">
        <f t="shared" ref="AS66:AS71" si="73">SUM(AO66:AR66)</f>
        <v>7.5414146836661977E-2</v>
      </c>
      <c r="AU66">
        <f t="shared" ref="AU66:AX71" si="74">AI66*AU$10</f>
        <v>0.77960516407786162</v>
      </c>
      <c r="AV66">
        <f t="shared" si="74"/>
        <v>0</v>
      </c>
      <c r="AW66">
        <f t="shared" si="74"/>
        <v>0</v>
      </c>
      <c r="AX66">
        <f t="shared" si="74"/>
        <v>0</v>
      </c>
      <c r="AY66">
        <f t="shared" ref="AY66:AY71" si="75">SUM(AU66:AX66)</f>
        <v>0.77960516407786162</v>
      </c>
    </row>
    <row r="67" spans="1:53" ht="15" x14ac:dyDescent="0.25">
      <c r="A67" s="3"/>
      <c r="B67" s="11"/>
      <c r="C67" s="3" t="s">
        <v>9</v>
      </c>
      <c r="D67">
        <v>0</v>
      </c>
      <c r="E67" s="360">
        <v>4.2149000000000001</v>
      </c>
      <c r="F67">
        <v>0</v>
      </c>
      <c r="G67">
        <v>0</v>
      </c>
      <c r="H67">
        <v>0</v>
      </c>
      <c r="J67">
        <v>0</v>
      </c>
      <c r="K67" s="14">
        <v>-24.0944119095</v>
      </c>
      <c r="L67">
        <v>0</v>
      </c>
      <c r="M67">
        <v>0</v>
      </c>
      <c r="N67">
        <v>0</v>
      </c>
      <c r="O67" s="20"/>
      <c r="P67" s="20"/>
      <c r="Q67" s="438">
        <v>2.8074303763437145E-2</v>
      </c>
      <c r="R67" s="197">
        <v>0.15</v>
      </c>
      <c r="S67" s="197">
        <v>1.18</v>
      </c>
      <c r="T67" s="197">
        <v>0.46666666666666673</v>
      </c>
      <c r="U67" s="197">
        <v>0.6566321730950142</v>
      </c>
      <c r="V67" s="20">
        <f t="shared" si="66"/>
        <v>0.17749557439876684</v>
      </c>
      <c r="W67" s="20">
        <f t="shared" si="66"/>
        <v>0</v>
      </c>
      <c r="X67" s="20">
        <f t="shared" si="66"/>
        <v>0</v>
      </c>
      <c r="Y67" s="20">
        <f t="shared" si="66"/>
        <v>0</v>
      </c>
      <c r="Z67" s="20">
        <f t="shared" si="67"/>
        <v>0.1001077651483168</v>
      </c>
      <c r="AA67" s="20">
        <f t="shared" si="67"/>
        <v>0</v>
      </c>
      <c r="AB67" s="20">
        <f t="shared" si="67"/>
        <v>0</v>
      </c>
      <c r="AC67" s="20">
        <f t="shared" si="67"/>
        <v>0</v>
      </c>
      <c r="AD67" s="20">
        <f t="shared" si="68"/>
        <v>0.1001077651483168</v>
      </c>
      <c r="AE67" s="20">
        <f t="shared" si="69"/>
        <v>1.3962985186036325</v>
      </c>
      <c r="AF67" s="20">
        <f t="shared" si="69"/>
        <v>0</v>
      </c>
      <c r="AG67" s="20">
        <f t="shared" si="69"/>
        <v>0</v>
      </c>
      <c r="AH67" s="20">
        <f t="shared" si="69"/>
        <v>0</v>
      </c>
      <c r="AI67" s="20">
        <f t="shared" si="70"/>
        <v>1.0043543812074798</v>
      </c>
      <c r="AJ67" s="20">
        <f t="shared" si="70"/>
        <v>0</v>
      </c>
      <c r="AK67" s="20">
        <f t="shared" si="70"/>
        <v>0</v>
      </c>
      <c r="AL67" s="20">
        <f t="shared" si="70"/>
        <v>0</v>
      </c>
      <c r="AM67" s="20">
        <f t="shared" si="71"/>
        <v>1.0043543812074798</v>
      </c>
      <c r="AO67">
        <f t="shared" si="72"/>
        <v>0.14275367310149975</v>
      </c>
      <c r="AP67">
        <f t="shared" si="72"/>
        <v>0</v>
      </c>
      <c r="AQ67">
        <f t="shared" si="72"/>
        <v>0</v>
      </c>
      <c r="AR67">
        <f t="shared" si="72"/>
        <v>0</v>
      </c>
      <c r="AS67">
        <f t="shared" si="73"/>
        <v>0.14275367310149975</v>
      </c>
      <c r="AU67">
        <f t="shared" si="74"/>
        <v>1.432209347601866</v>
      </c>
      <c r="AV67">
        <f t="shared" si="74"/>
        <v>0</v>
      </c>
      <c r="AW67">
        <f t="shared" si="74"/>
        <v>0</v>
      </c>
      <c r="AX67">
        <f t="shared" si="74"/>
        <v>0</v>
      </c>
      <c r="AY67">
        <f t="shared" si="75"/>
        <v>1.432209347601866</v>
      </c>
    </row>
    <row r="68" spans="1:53" ht="15" x14ac:dyDescent="0.25">
      <c r="A68" s="3"/>
      <c r="B68" s="11"/>
      <c r="C68" s="3" t="s">
        <v>10</v>
      </c>
      <c r="D68">
        <v>0</v>
      </c>
      <c r="E68" s="360">
        <v>0</v>
      </c>
      <c r="F68">
        <v>0</v>
      </c>
      <c r="G68">
        <v>0</v>
      </c>
      <c r="H68">
        <v>0</v>
      </c>
      <c r="J68">
        <v>0</v>
      </c>
      <c r="K68" s="14">
        <v>0</v>
      </c>
      <c r="L68">
        <v>0</v>
      </c>
      <c r="M68">
        <v>0</v>
      </c>
      <c r="N68">
        <v>0</v>
      </c>
      <c r="O68" s="20"/>
      <c r="P68" s="20"/>
      <c r="Q68" s="438"/>
      <c r="R68" s="197">
        <v>0.15</v>
      </c>
      <c r="S68" s="197">
        <v>1.18</v>
      </c>
      <c r="T68" s="197">
        <v>0.46666666666666673</v>
      </c>
      <c r="U68" s="197">
        <v>0.6566321730950142</v>
      </c>
      <c r="V68" s="20">
        <f t="shared" si="66"/>
        <v>0</v>
      </c>
      <c r="W68" s="20">
        <f t="shared" si="66"/>
        <v>0</v>
      </c>
      <c r="X68" s="20">
        <f t="shared" si="66"/>
        <v>0</v>
      </c>
      <c r="Y68" s="20">
        <f t="shared" si="66"/>
        <v>0</v>
      </c>
      <c r="Z68" s="20">
        <f t="shared" si="67"/>
        <v>0</v>
      </c>
      <c r="AA68" s="20">
        <f t="shared" si="67"/>
        <v>0</v>
      </c>
      <c r="AB68" s="20">
        <f t="shared" si="67"/>
        <v>0</v>
      </c>
      <c r="AC68" s="20">
        <f t="shared" si="67"/>
        <v>0</v>
      </c>
      <c r="AD68" s="20">
        <f t="shared" si="68"/>
        <v>0</v>
      </c>
      <c r="AE68" s="20">
        <f t="shared" si="69"/>
        <v>0</v>
      </c>
      <c r="AF68" s="20">
        <f t="shared" si="69"/>
        <v>0</v>
      </c>
      <c r="AG68" s="20">
        <f t="shared" si="69"/>
        <v>0</v>
      </c>
      <c r="AH68" s="20">
        <f t="shared" si="69"/>
        <v>0</v>
      </c>
      <c r="AI68" s="20">
        <f t="shared" si="70"/>
        <v>0</v>
      </c>
      <c r="AJ68" s="20">
        <f t="shared" si="70"/>
        <v>0</v>
      </c>
      <c r="AK68" s="20">
        <f t="shared" si="70"/>
        <v>0</v>
      </c>
      <c r="AL68" s="20">
        <f t="shared" si="70"/>
        <v>0</v>
      </c>
      <c r="AM68" s="20">
        <f t="shared" si="71"/>
        <v>0</v>
      </c>
      <c r="AO68">
        <f t="shared" si="72"/>
        <v>0</v>
      </c>
      <c r="AP68">
        <f t="shared" si="72"/>
        <v>0</v>
      </c>
      <c r="AQ68">
        <f t="shared" si="72"/>
        <v>0</v>
      </c>
      <c r="AR68">
        <f t="shared" si="72"/>
        <v>0</v>
      </c>
      <c r="AS68">
        <f t="shared" si="73"/>
        <v>0</v>
      </c>
      <c r="AU68">
        <f t="shared" si="74"/>
        <v>0</v>
      </c>
      <c r="AV68">
        <f t="shared" si="74"/>
        <v>0</v>
      </c>
      <c r="AW68">
        <f t="shared" si="74"/>
        <v>0</v>
      </c>
      <c r="AX68">
        <f t="shared" si="74"/>
        <v>0</v>
      </c>
      <c r="AY68">
        <f t="shared" si="75"/>
        <v>0</v>
      </c>
    </row>
    <row r="69" spans="1:53" ht="15" x14ac:dyDescent="0.25">
      <c r="A69" s="3"/>
      <c r="B69" s="11"/>
      <c r="C69" s="3" t="s">
        <v>11</v>
      </c>
      <c r="D69">
        <v>0</v>
      </c>
      <c r="E69" s="360">
        <v>0.18565999999999999</v>
      </c>
      <c r="F69">
        <v>0</v>
      </c>
      <c r="G69">
        <v>0</v>
      </c>
      <c r="H69">
        <v>0</v>
      </c>
      <c r="J69">
        <v>0</v>
      </c>
      <c r="K69" s="14">
        <v>-0.24479512371430001</v>
      </c>
      <c r="L69">
        <v>0</v>
      </c>
      <c r="M69">
        <v>0</v>
      </c>
      <c r="N69">
        <v>0</v>
      </c>
      <c r="O69" s="20"/>
      <c r="P69" s="20"/>
      <c r="Q69" s="438">
        <v>4.7148607526874289E-2</v>
      </c>
      <c r="R69" s="197">
        <v>0.15</v>
      </c>
      <c r="S69" s="197">
        <v>1.18</v>
      </c>
      <c r="T69" s="197">
        <v>0.46666666666666673</v>
      </c>
      <c r="U69" s="197">
        <v>0.6566321730950142</v>
      </c>
      <c r="V69" s="20">
        <f t="shared" si="66"/>
        <v>1.3130415710159221E-2</v>
      </c>
      <c r="W69" s="20">
        <f t="shared" si="66"/>
        <v>0</v>
      </c>
      <c r="X69" s="20">
        <f t="shared" si="66"/>
        <v>0</v>
      </c>
      <c r="Y69" s="20">
        <f t="shared" si="66"/>
        <v>0</v>
      </c>
      <c r="Z69" s="20">
        <f t="shared" si="67"/>
        <v>7.4055737821343724E-3</v>
      </c>
      <c r="AA69" s="20">
        <f t="shared" si="67"/>
        <v>0</v>
      </c>
      <c r="AB69" s="20">
        <f t="shared" si="67"/>
        <v>0</v>
      </c>
      <c r="AC69" s="20">
        <f t="shared" si="67"/>
        <v>0</v>
      </c>
      <c r="AD69" s="20">
        <f t="shared" si="68"/>
        <v>7.4055737821343724E-3</v>
      </c>
      <c r="AE69" s="20">
        <f t="shared" si="69"/>
        <v>0.10329260358658587</v>
      </c>
      <c r="AF69" s="20">
        <f t="shared" si="69"/>
        <v>0</v>
      </c>
      <c r="AG69" s="20">
        <f t="shared" si="69"/>
        <v>0</v>
      </c>
      <c r="AH69" s="20">
        <f t="shared" si="69"/>
        <v>0</v>
      </c>
      <c r="AI69" s="20">
        <f t="shared" si="70"/>
        <v>7.4298137236629355E-2</v>
      </c>
      <c r="AJ69" s="20">
        <f t="shared" si="70"/>
        <v>0</v>
      </c>
      <c r="AK69" s="20">
        <f t="shared" si="70"/>
        <v>0</v>
      </c>
      <c r="AL69" s="20">
        <f t="shared" si="70"/>
        <v>0</v>
      </c>
      <c r="AM69" s="20">
        <f t="shared" si="71"/>
        <v>7.4298137236629355E-2</v>
      </c>
      <c r="AO69">
        <f t="shared" si="72"/>
        <v>1.0560348213323615E-2</v>
      </c>
      <c r="AP69">
        <f t="shared" si="72"/>
        <v>0</v>
      </c>
      <c r="AQ69">
        <f t="shared" si="72"/>
        <v>0</v>
      </c>
      <c r="AR69">
        <f t="shared" si="72"/>
        <v>0</v>
      </c>
      <c r="AS69">
        <f t="shared" si="73"/>
        <v>1.0560348213323615E-2</v>
      </c>
      <c r="AU69">
        <f t="shared" si="74"/>
        <v>0.10594914369943345</v>
      </c>
      <c r="AV69">
        <f t="shared" si="74"/>
        <v>0</v>
      </c>
      <c r="AW69">
        <f t="shared" si="74"/>
        <v>0</v>
      </c>
      <c r="AX69">
        <f t="shared" si="74"/>
        <v>0</v>
      </c>
      <c r="AY69">
        <f t="shared" si="75"/>
        <v>0.10594914369943345</v>
      </c>
    </row>
    <row r="70" spans="1:53" ht="15" x14ac:dyDescent="0.25">
      <c r="A70" s="3"/>
      <c r="B70" s="12"/>
      <c r="C70" s="3" t="s">
        <v>12</v>
      </c>
      <c r="D70">
        <v>0</v>
      </c>
      <c r="E70" s="360">
        <v>0</v>
      </c>
      <c r="F70">
        <v>0</v>
      </c>
      <c r="G70">
        <v>0</v>
      </c>
      <c r="H70">
        <v>0</v>
      </c>
      <c r="J70">
        <v>0</v>
      </c>
      <c r="K70" s="14">
        <v>0</v>
      </c>
      <c r="L70">
        <v>0</v>
      </c>
      <c r="M70">
        <v>0</v>
      </c>
      <c r="N70">
        <v>0</v>
      </c>
      <c r="O70" s="20"/>
      <c r="P70" s="20"/>
      <c r="Q70" s="438"/>
      <c r="R70" s="197">
        <v>0.15</v>
      </c>
      <c r="S70" s="197">
        <v>1.18</v>
      </c>
      <c r="T70" s="197">
        <v>0.46666666666666673</v>
      </c>
      <c r="U70" s="197">
        <v>0.6566321730950142</v>
      </c>
      <c r="V70" s="20">
        <f t="shared" si="66"/>
        <v>0</v>
      </c>
      <c r="W70" s="20">
        <f t="shared" si="66"/>
        <v>0</v>
      </c>
      <c r="X70" s="20">
        <f t="shared" si="66"/>
        <v>0</v>
      </c>
      <c r="Y70" s="20">
        <f t="shared" si="66"/>
        <v>0</v>
      </c>
      <c r="Z70" s="20">
        <f t="shared" si="67"/>
        <v>0</v>
      </c>
      <c r="AA70" s="20">
        <f t="shared" si="67"/>
        <v>0</v>
      </c>
      <c r="AB70" s="20">
        <f t="shared" si="67"/>
        <v>0</v>
      </c>
      <c r="AC70" s="20">
        <f t="shared" si="67"/>
        <v>0</v>
      </c>
      <c r="AD70" s="20">
        <f t="shared" si="68"/>
        <v>0</v>
      </c>
      <c r="AE70" s="20">
        <f t="shared" si="69"/>
        <v>0</v>
      </c>
      <c r="AF70" s="20">
        <f t="shared" si="69"/>
        <v>0</v>
      </c>
      <c r="AG70" s="20">
        <f t="shared" si="69"/>
        <v>0</v>
      </c>
      <c r="AH70" s="20">
        <f t="shared" si="69"/>
        <v>0</v>
      </c>
      <c r="AI70" s="20">
        <f t="shared" si="70"/>
        <v>0</v>
      </c>
      <c r="AJ70" s="20">
        <f t="shared" si="70"/>
        <v>0</v>
      </c>
      <c r="AK70" s="20">
        <f t="shared" si="70"/>
        <v>0</v>
      </c>
      <c r="AL70" s="20">
        <f t="shared" si="70"/>
        <v>0</v>
      </c>
      <c r="AM70" s="20">
        <f t="shared" si="71"/>
        <v>0</v>
      </c>
      <c r="AO70">
        <f t="shared" si="72"/>
        <v>0</v>
      </c>
      <c r="AP70">
        <f t="shared" si="72"/>
        <v>0</v>
      </c>
      <c r="AQ70">
        <f t="shared" si="72"/>
        <v>0</v>
      </c>
      <c r="AR70">
        <f t="shared" si="72"/>
        <v>0</v>
      </c>
      <c r="AS70">
        <f t="shared" si="73"/>
        <v>0</v>
      </c>
      <c r="AU70">
        <f t="shared" si="74"/>
        <v>0</v>
      </c>
      <c r="AV70">
        <f t="shared" si="74"/>
        <v>0</v>
      </c>
      <c r="AW70">
        <f t="shared" si="74"/>
        <v>0</v>
      </c>
      <c r="AX70">
        <f t="shared" si="74"/>
        <v>0</v>
      </c>
      <c r="AY70">
        <f t="shared" si="75"/>
        <v>0</v>
      </c>
    </row>
    <row r="71" spans="1:53" ht="15" x14ac:dyDescent="0.25">
      <c r="A71" s="3"/>
      <c r="B71" s="12"/>
      <c r="C71" s="3" t="s">
        <v>13</v>
      </c>
      <c r="D71">
        <v>0</v>
      </c>
      <c r="E71" s="360">
        <v>0</v>
      </c>
      <c r="F71">
        <v>0</v>
      </c>
      <c r="G71">
        <v>0</v>
      </c>
      <c r="H71">
        <v>0</v>
      </c>
      <c r="J71">
        <v>0</v>
      </c>
      <c r="K71" s="14">
        <v>-3.8476341248699999</v>
      </c>
      <c r="L71">
        <v>0</v>
      </c>
      <c r="M71">
        <v>0</v>
      </c>
      <c r="N71">
        <v>0</v>
      </c>
      <c r="O71" s="20"/>
      <c r="P71" s="20"/>
      <c r="Q71" s="438"/>
      <c r="R71" s="197">
        <v>0.15</v>
      </c>
      <c r="S71" s="197">
        <v>1.18</v>
      </c>
      <c r="T71" s="197">
        <v>0.46666666666666673</v>
      </c>
      <c r="U71" s="197">
        <v>0.6566321730950142</v>
      </c>
      <c r="V71" s="20">
        <f t="shared" si="66"/>
        <v>0</v>
      </c>
      <c r="W71" s="20">
        <f t="shared" si="66"/>
        <v>0</v>
      </c>
      <c r="X71" s="20">
        <f t="shared" si="66"/>
        <v>0</v>
      </c>
      <c r="Y71" s="20">
        <f t="shared" si="66"/>
        <v>0</v>
      </c>
      <c r="Z71" s="20">
        <f t="shared" si="67"/>
        <v>0</v>
      </c>
      <c r="AA71" s="20">
        <f t="shared" si="67"/>
        <v>0</v>
      </c>
      <c r="AB71" s="20">
        <f t="shared" si="67"/>
        <v>0</v>
      </c>
      <c r="AC71" s="20">
        <f t="shared" si="67"/>
        <v>0</v>
      </c>
      <c r="AD71" s="20">
        <f t="shared" si="68"/>
        <v>0</v>
      </c>
      <c r="AE71" s="20">
        <f t="shared" si="69"/>
        <v>0</v>
      </c>
      <c r="AF71" s="20">
        <f t="shared" si="69"/>
        <v>0</v>
      </c>
      <c r="AG71" s="20">
        <f t="shared" si="69"/>
        <v>0</v>
      </c>
      <c r="AH71" s="20">
        <f t="shared" si="69"/>
        <v>0</v>
      </c>
      <c r="AI71" s="20">
        <f t="shared" si="70"/>
        <v>0</v>
      </c>
      <c r="AJ71" s="20">
        <f t="shared" si="70"/>
        <v>0</v>
      </c>
      <c r="AK71" s="20">
        <f t="shared" si="70"/>
        <v>0</v>
      </c>
      <c r="AL71" s="20">
        <f t="shared" si="70"/>
        <v>0</v>
      </c>
      <c r="AM71" s="20">
        <f t="shared" si="71"/>
        <v>0</v>
      </c>
      <c r="AO71">
        <f t="shared" si="72"/>
        <v>0</v>
      </c>
      <c r="AP71">
        <f t="shared" si="72"/>
        <v>0</v>
      </c>
      <c r="AQ71">
        <f t="shared" si="72"/>
        <v>0</v>
      </c>
      <c r="AR71">
        <f t="shared" si="72"/>
        <v>0</v>
      </c>
      <c r="AS71">
        <f t="shared" si="73"/>
        <v>0</v>
      </c>
      <c r="AU71">
        <f t="shared" si="74"/>
        <v>0</v>
      </c>
      <c r="AV71">
        <f t="shared" si="74"/>
        <v>0</v>
      </c>
      <c r="AW71">
        <f t="shared" si="74"/>
        <v>0</v>
      </c>
      <c r="AX71">
        <f t="shared" si="74"/>
        <v>0</v>
      </c>
      <c r="AY71">
        <f t="shared" si="75"/>
        <v>0</v>
      </c>
    </row>
    <row r="72" spans="1:53" ht="15" x14ac:dyDescent="0.25">
      <c r="A72" s="7"/>
      <c r="B72" s="8" t="s">
        <v>14</v>
      </c>
      <c r="C72" s="7"/>
      <c r="D72" s="357">
        <f t="shared" ref="D72:H72" si="76">SUM(D66:D71)</f>
        <v>0</v>
      </c>
      <c r="E72" s="363">
        <f>SUM(E66:E71)</f>
        <v>8.0793599999999994</v>
      </c>
      <c r="F72" s="357">
        <f t="shared" si="76"/>
        <v>0</v>
      </c>
      <c r="G72" s="357">
        <f t="shared" si="76"/>
        <v>0</v>
      </c>
      <c r="H72" s="357">
        <f t="shared" si="76"/>
        <v>0</v>
      </c>
      <c r="J72">
        <v>0</v>
      </c>
      <c r="K72" s="14">
        <v>-27.701971989483695</v>
      </c>
      <c r="L72">
        <v>0</v>
      </c>
      <c r="M72">
        <v>0</v>
      </c>
      <c r="N72">
        <v>0</v>
      </c>
      <c r="O72" s="20"/>
      <c r="P72" s="20"/>
      <c r="Q72" s="438">
        <v>2.4170041655331237E-2</v>
      </c>
      <c r="R72" s="197"/>
      <c r="S72" s="197"/>
      <c r="T72" s="197"/>
      <c r="U72" s="197"/>
      <c r="BA72" s="319">
        <f>(E72*10000*Q72*AU$10)</f>
        <v>2784.6709500924258</v>
      </c>
    </row>
    <row r="73" spans="1:53" ht="15" x14ac:dyDescent="0.25">
      <c r="A73" s="10"/>
      <c r="B73" s="9" t="s">
        <v>15</v>
      </c>
      <c r="C73" s="5"/>
      <c r="E73" s="363">
        <f>SUM(E72)</f>
        <v>8.0793599999999994</v>
      </c>
      <c r="H73" s="358">
        <f>SUM(D72:H72)</f>
        <v>8.0793599999999994</v>
      </c>
      <c r="K73" s="14"/>
      <c r="N73">
        <v>0</v>
      </c>
      <c r="O73" s="20"/>
      <c r="P73" s="20"/>
      <c r="Q73" s="438"/>
      <c r="R73" s="197"/>
      <c r="S73" s="197"/>
      <c r="T73" s="197"/>
      <c r="U73" s="197"/>
    </row>
    <row r="74" spans="1:53" ht="15.75" x14ac:dyDescent="0.25">
      <c r="A74" s="1"/>
      <c r="B74" s="2"/>
      <c r="C74" s="1"/>
      <c r="E74" s="361"/>
      <c r="K74" s="14"/>
      <c r="O74" s="20"/>
      <c r="P74" s="20"/>
      <c r="Q74" s="439"/>
      <c r="R74" s="197"/>
      <c r="S74" s="197"/>
      <c r="T74" s="197"/>
      <c r="U74" s="197"/>
    </row>
    <row r="75" spans="1:53" ht="15" x14ac:dyDescent="0.25">
      <c r="A75" s="1">
        <v>8</v>
      </c>
      <c r="B75" s="2" t="s">
        <v>22</v>
      </c>
      <c r="C75" s="1" t="s">
        <v>8</v>
      </c>
      <c r="D75">
        <v>0</v>
      </c>
      <c r="E75" s="360">
        <v>0</v>
      </c>
      <c r="F75">
        <v>0</v>
      </c>
      <c r="G75">
        <v>0</v>
      </c>
      <c r="H75">
        <v>0</v>
      </c>
      <c r="J75">
        <v>0</v>
      </c>
      <c r="K75">
        <v>0</v>
      </c>
      <c r="L75">
        <v>0</v>
      </c>
      <c r="M75">
        <v>0</v>
      </c>
      <c r="N75">
        <v>0</v>
      </c>
      <c r="O75" s="20"/>
      <c r="P75" s="20"/>
      <c r="Q75" s="438"/>
      <c r="R75" s="197">
        <v>5.6499999999999995E-2</v>
      </c>
      <c r="S75" s="197">
        <v>1.25</v>
      </c>
      <c r="T75" s="197">
        <v>0.50078889239507718</v>
      </c>
      <c r="U75" s="197">
        <v>0.75268470790377973</v>
      </c>
      <c r="V75" s="20">
        <f t="shared" ref="V75:Y80" si="77">IF(K75&gt;0,((E75-K75)*$Q75*$R75*10)+(K75*$O$12*$Q75*$R75*10),(E75*$Q75*$R75*10))</f>
        <v>0</v>
      </c>
      <c r="W75" s="20">
        <f t="shared" si="77"/>
        <v>0</v>
      </c>
      <c r="X75" s="20">
        <f t="shared" si="77"/>
        <v>0</v>
      </c>
      <c r="Y75" s="20">
        <f t="shared" si="77"/>
        <v>0</v>
      </c>
      <c r="Z75" s="20">
        <f t="shared" ref="Z75:AC80" si="78">V75*(EXP(1.01-0.34*LN(Z$8))*(1-$T75)+(1*$T75))</f>
        <v>0</v>
      </c>
      <c r="AA75" s="20">
        <f t="shared" si="78"/>
        <v>0</v>
      </c>
      <c r="AB75" s="20">
        <f t="shared" si="78"/>
        <v>0</v>
      </c>
      <c r="AC75" s="20">
        <f t="shared" si="78"/>
        <v>0</v>
      </c>
      <c r="AD75" s="20">
        <f t="shared" ref="AD75:AD80" si="79">SUM(Z75:AC75)</f>
        <v>0</v>
      </c>
      <c r="AE75" s="20">
        <f t="shared" ref="AE75:AH80" si="80">IF(K75&gt;0,((E75-K75)*$Q75*$S75*10)+(K75*$P$12*$Q75*$S75)*10,(E75*$Q75*$S75*10))</f>
        <v>0</v>
      </c>
      <c r="AF75" s="20">
        <f t="shared" si="80"/>
        <v>0</v>
      </c>
      <c r="AG75" s="20">
        <f t="shared" si="80"/>
        <v>0</v>
      </c>
      <c r="AH75" s="20">
        <f t="shared" si="80"/>
        <v>0</v>
      </c>
      <c r="AI75" s="20">
        <f t="shared" ref="AI75:AL80" si="81">AE75*(EXP(1.01-0.34*LN(AI$8))*(1-$U75)+(1*$U75))</f>
        <v>0</v>
      </c>
      <c r="AJ75" s="20">
        <f t="shared" si="81"/>
        <v>0</v>
      </c>
      <c r="AK75" s="20">
        <f t="shared" si="81"/>
        <v>0</v>
      </c>
      <c r="AL75" s="20">
        <f t="shared" si="81"/>
        <v>0</v>
      </c>
      <c r="AM75" s="20">
        <f t="shared" ref="AM75:AM80" si="82">SUM(AI75:AL75)</f>
        <v>0</v>
      </c>
      <c r="AO75">
        <f t="shared" ref="AO75:AR80" si="83">Z75*AO$10</f>
        <v>0</v>
      </c>
      <c r="AP75">
        <f t="shared" si="83"/>
        <v>0</v>
      </c>
      <c r="AQ75">
        <f t="shared" si="83"/>
        <v>0</v>
      </c>
      <c r="AR75">
        <f t="shared" si="83"/>
        <v>0</v>
      </c>
      <c r="AS75">
        <f t="shared" ref="AS75:AS80" si="84">SUM(AO75:AR75)</f>
        <v>0</v>
      </c>
      <c r="AU75">
        <f t="shared" ref="AU75:AX80" si="85">AI75*AU$10</f>
        <v>0</v>
      </c>
      <c r="AV75">
        <f t="shared" si="85"/>
        <v>0</v>
      </c>
      <c r="AW75">
        <f t="shared" si="85"/>
        <v>0</v>
      </c>
      <c r="AX75">
        <f t="shared" si="85"/>
        <v>0</v>
      </c>
      <c r="AY75">
        <f t="shared" ref="AY75:AY80" si="86">SUM(AU75:AX75)</f>
        <v>0</v>
      </c>
    </row>
    <row r="76" spans="1:53" ht="15" x14ac:dyDescent="0.25">
      <c r="A76" s="1"/>
      <c r="B76" s="2"/>
      <c r="C76" s="1" t="s">
        <v>9</v>
      </c>
      <c r="D76">
        <v>0</v>
      </c>
      <c r="E76" s="360">
        <v>0</v>
      </c>
      <c r="F76">
        <v>0</v>
      </c>
      <c r="G76">
        <v>0</v>
      </c>
      <c r="H76">
        <v>0</v>
      </c>
      <c r="J76">
        <v>0</v>
      </c>
      <c r="K76">
        <v>0</v>
      </c>
      <c r="L76">
        <v>0</v>
      </c>
      <c r="M76">
        <v>0</v>
      </c>
      <c r="N76">
        <v>0</v>
      </c>
      <c r="O76" s="20"/>
      <c r="P76" s="20"/>
      <c r="Q76" s="438"/>
      <c r="R76" s="197">
        <v>5.6499999999999995E-2</v>
      </c>
      <c r="S76" s="197">
        <v>1.25</v>
      </c>
      <c r="T76" s="197">
        <v>0.50078889239507718</v>
      </c>
      <c r="U76" s="197">
        <v>0.75268470790377973</v>
      </c>
      <c r="V76" s="20">
        <f t="shared" si="77"/>
        <v>0</v>
      </c>
      <c r="W76" s="20">
        <f t="shared" si="77"/>
        <v>0</v>
      </c>
      <c r="X76" s="20">
        <f t="shared" si="77"/>
        <v>0</v>
      </c>
      <c r="Y76" s="20">
        <f t="shared" si="77"/>
        <v>0</v>
      </c>
      <c r="Z76" s="20">
        <f t="shared" si="78"/>
        <v>0</v>
      </c>
      <c r="AA76" s="20">
        <f t="shared" si="78"/>
        <v>0</v>
      </c>
      <c r="AB76" s="20">
        <f t="shared" si="78"/>
        <v>0</v>
      </c>
      <c r="AC76" s="20">
        <f t="shared" si="78"/>
        <v>0</v>
      </c>
      <c r="AD76" s="20">
        <f t="shared" si="79"/>
        <v>0</v>
      </c>
      <c r="AE76" s="20">
        <f t="shared" si="80"/>
        <v>0</v>
      </c>
      <c r="AF76" s="20">
        <f t="shared" si="80"/>
        <v>0</v>
      </c>
      <c r="AG76" s="20">
        <f t="shared" si="80"/>
        <v>0</v>
      </c>
      <c r="AH76" s="20">
        <f t="shared" si="80"/>
        <v>0</v>
      </c>
      <c r="AI76" s="20">
        <f t="shared" si="81"/>
        <v>0</v>
      </c>
      <c r="AJ76" s="20">
        <f t="shared" si="81"/>
        <v>0</v>
      </c>
      <c r="AK76" s="20">
        <f t="shared" si="81"/>
        <v>0</v>
      </c>
      <c r="AL76" s="20">
        <f t="shared" si="81"/>
        <v>0</v>
      </c>
      <c r="AM76" s="20">
        <f t="shared" si="82"/>
        <v>0</v>
      </c>
      <c r="AO76">
        <f t="shared" si="83"/>
        <v>0</v>
      </c>
      <c r="AP76">
        <f t="shared" si="83"/>
        <v>0</v>
      </c>
      <c r="AQ76">
        <f t="shared" si="83"/>
        <v>0</v>
      </c>
      <c r="AR76">
        <f t="shared" si="83"/>
        <v>0</v>
      </c>
      <c r="AS76">
        <f t="shared" si="84"/>
        <v>0</v>
      </c>
      <c r="AU76">
        <f t="shared" si="85"/>
        <v>0</v>
      </c>
      <c r="AV76">
        <f t="shared" si="85"/>
        <v>0</v>
      </c>
      <c r="AW76">
        <f t="shared" si="85"/>
        <v>0</v>
      </c>
      <c r="AX76">
        <f t="shared" si="85"/>
        <v>0</v>
      </c>
      <c r="AY76">
        <f t="shared" si="86"/>
        <v>0</v>
      </c>
    </row>
    <row r="77" spans="1:53" ht="15" x14ac:dyDescent="0.25">
      <c r="A77" s="1"/>
      <c r="B77" s="2"/>
      <c r="C77" s="1" t="s">
        <v>10</v>
      </c>
      <c r="D77">
        <v>0</v>
      </c>
      <c r="E77" s="360">
        <v>0</v>
      </c>
      <c r="F77">
        <v>0</v>
      </c>
      <c r="G77">
        <v>0</v>
      </c>
      <c r="H77">
        <v>0</v>
      </c>
      <c r="J77">
        <v>0</v>
      </c>
      <c r="K77">
        <v>0</v>
      </c>
      <c r="L77">
        <v>0</v>
      </c>
      <c r="M77">
        <v>0</v>
      </c>
      <c r="N77">
        <v>0</v>
      </c>
      <c r="O77" s="20"/>
      <c r="P77" s="20"/>
      <c r="Q77" s="438"/>
      <c r="R77" s="197">
        <v>5.6499999999999995E-2</v>
      </c>
      <c r="S77" s="197">
        <v>1.25</v>
      </c>
      <c r="T77" s="197">
        <v>0.50078889239507718</v>
      </c>
      <c r="U77" s="197">
        <v>0.75268470790377973</v>
      </c>
      <c r="V77" s="20">
        <f t="shared" si="77"/>
        <v>0</v>
      </c>
      <c r="W77" s="20">
        <f t="shared" si="77"/>
        <v>0</v>
      </c>
      <c r="X77" s="20">
        <f t="shared" si="77"/>
        <v>0</v>
      </c>
      <c r="Y77" s="20">
        <f t="shared" si="77"/>
        <v>0</v>
      </c>
      <c r="Z77" s="20">
        <f t="shared" si="78"/>
        <v>0</v>
      </c>
      <c r="AA77" s="20">
        <f t="shared" si="78"/>
        <v>0</v>
      </c>
      <c r="AB77" s="20">
        <f t="shared" si="78"/>
        <v>0</v>
      </c>
      <c r="AC77" s="20">
        <f t="shared" si="78"/>
        <v>0</v>
      </c>
      <c r="AD77" s="20">
        <f t="shared" si="79"/>
        <v>0</v>
      </c>
      <c r="AE77" s="20">
        <f t="shared" si="80"/>
        <v>0</v>
      </c>
      <c r="AF77" s="20">
        <f t="shared" si="80"/>
        <v>0</v>
      </c>
      <c r="AG77" s="20">
        <f t="shared" si="80"/>
        <v>0</v>
      </c>
      <c r="AH77" s="20">
        <f t="shared" si="80"/>
        <v>0</v>
      </c>
      <c r="AI77" s="20">
        <f t="shared" si="81"/>
        <v>0</v>
      </c>
      <c r="AJ77" s="20">
        <f t="shared" si="81"/>
        <v>0</v>
      </c>
      <c r="AK77" s="20">
        <f t="shared" si="81"/>
        <v>0</v>
      </c>
      <c r="AL77" s="20">
        <f t="shared" si="81"/>
        <v>0</v>
      </c>
      <c r="AM77" s="20">
        <f t="shared" si="82"/>
        <v>0</v>
      </c>
      <c r="AO77">
        <f t="shared" si="83"/>
        <v>0</v>
      </c>
      <c r="AP77">
        <f t="shared" si="83"/>
        <v>0</v>
      </c>
      <c r="AQ77">
        <f t="shared" si="83"/>
        <v>0</v>
      </c>
      <c r="AR77">
        <f t="shared" si="83"/>
        <v>0</v>
      </c>
      <c r="AS77">
        <f t="shared" si="84"/>
        <v>0</v>
      </c>
      <c r="AU77">
        <f t="shared" si="85"/>
        <v>0</v>
      </c>
      <c r="AV77">
        <f t="shared" si="85"/>
        <v>0</v>
      </c>
      <c r="AW77">
        <f t="shared" si="85"/>
        <v>0</v>
      </c>
      <c r="AX77">
        <f t="shared" si="85"/>
        <v>0</v>
      </c>
      <c r="AY77">
        <f t="shared" si="86"/>
        <v>0</v>
      </c>
    </row>
    <row r="78" spans="1:53" ht="15" x14ac:dyDescent="0.25">
      <c r="A78" s="1"/>
      <c r="B78" s="2"/>
      <c r="C78" s="1" t="s">
        <v>11</v>
      </c>
      <c r="D78">
        <v>0</v>
      </c>
      <c r="E78" s="360">
        <v>0</v>
      </c>
      <c r="F78">
        <v>0</v>
      </c>
      <c r="G78">
        <v>0</v>
      </c>
      <c r="H78">
        <v>0</v>
      </c>
      <c r="J78">
        <v>0</v>
      </c>
      <c r="K78">
        <v>0</v>
      </c>
      <c r="L78">
        <v>0</v>
      </c>
      <c r="M78">
        <v>0</v>
      </c>
      <c r="N78">
        <v>0</v>
      </c>
      <c r="O78" s="20"/>
      <c r="P78" s="20"/>
      <c r="Q78" s="438"/>
      <c r="R78" s="197">
        <v>5.6499999999999995E-2</v>
      </c>
      <c r="S78" s="197">
        <v>1.25</v>
      </c>
      <c r="T78" s="197">
        <v>0.50078889239507718</v>
      </c>
      <c r="U78" s="197">
        <v>0.75268470790377973</v>
      </c>
      <c r="V78" s="20">
        <f t="shared" si="77"/>
        <v>0</v>
      </c>
      <c r="W78" s="20">
        <f t="shared" si="77"/>
        <v>0</v>
      </c>
      <c r="X78" s="20">
        <f t="shared" si="77"/>
        <v>0</v>
      </c>
      <c r="Y78" s="20">
        <f t="shared" si="77"/>
        <v>0</v>
      </c>
      <c r="Z78" s="20">
        <f t="shared" si="78"/>
        <v>0</v>
      </c>
      <c r="AA78" s="20">
        <f t="shared" si="78"/>
        <v>0</v>
      </c>
      <c r="AB78" s="20">
        <f t="shared" si="78"/>
        <v>0</v>
      </c>
      <c r="AC78" s="20">
        <f t="shared" si="78"/>
        <v>0</v>
      </c>
      <c r="AD78" s="20">
        <f t="shared" si="79"/>
        <v>0</v>
      </c>
      <c r="AE78" s="20">
        <f t="shared" si="80"/>
        <v>0</v>
      </c>
      <c r="AF78" s="20">
        <f t="shared" si="80"/>
        <v>0</v>
      </c>
      <c r="AG78" s="20">
        <f t="shared" si="80"/>
        <v>0</v>
      </c>
      <c r="AH78" s="20">
        <f t="shared" si="80"/>
        <v>0</v>
      </c>
      <c r="AI78" s="20">
        <f t="shared" si="81"/>
        <v>0</v>
      </c>
      <c r="AJ78" s="20">
        <f t="shared" si="81"/>
        <v>0</v>
      </c>
      <c r="AK78" s="20">
        <f t="shared" si="81"/>
        <v>0</v>
      </c>
      <c r="AL78" s="20">
        <f t="shared" si="81"/>
        <v>0</v>
      </c>
      <c r="AM78" s="20">
        <f t="shared" si="82"/>
        <v>0</v>
      </c>
      <c r="AO78">
        <f t="shared" si="83"/>
        <v>0</v>
      </c>
      <c r="AP78">
        <f t="shared" si="83"/>
        <v>0</v>
      </c>
      <c r="AQ78">
        <f t="shared" si="83"/>
        <v>0</v>
      </c>
      <c r="AR78">
        <f t="shared" si="83"/>
        <v>0</v>
      </c>
      <c r="AS78">
        <f t="shared" si="84"/>
        <v>0</v>
      </c>
      <c r="AU78">
        <f t="shared" si="85"/>
        <v>0</v>
      </c>
      <c r="AV78">
        <f t="shared" si="85"/>
        <v>0</v>
      </c>
      <c r="AW78">
        <f t="shared" si="85"/>
        <v>0</v>
      </c>
      <c r="AX78">
        <f t="shared" si="85"/>
        <v>0</v>
      </c>
      <c r="AY78">
        <f t="shared" si="86"/>
        <v>0</v>
      </c>
    </row>
    <row r="79" spans="1:53" ht="15" x14ac:dyDescent="0.25">
      <c r="A79" s="1"/>
      <c r="B79" s="13"/>
      <c r="C79" s="1" t="s">
        <v>12</v>
      </c>
      <c r="D79">
        <v>0</v>
      </c>
      <c r="E79" s="360">
        <v>0</v>
      </c>
      <c r="F79">
        <v>0</v>
      </c>
      <c r="G79">
        <v>0</v>
      </c>
      <c r="H79">
        <v>0</v>
      </c>
      <c r="J79">
        <v>0</v>
      </c>
      <c r="K79">
        <v>0</v>
      </c>
      <c r="L79">
        <v>0</v>
      </c>
      <c r="M79">
        <v>0</v>
      </c>
      <c r="N79">
        <v>0</v>
      </c>
      <c r="O79" s="20"/>
      <c r="P79" s="20"/>
      <c r="Q79" s="438"/>
      <c r="R79" s="197">
        <v>5.6499999999999995E-2</v>
      </c>
      <c r="S79" s="197">
        <v>1.25</v>
      </c>
      <c r="T79" s="197">
        <v>0.50078889239507718</v>
      </c>
      <c r="U79" s="197">
        <v>0.75268470790377973</v>
      </c>
      <c r="V79" s="20">
        <f t="shared" si="77"/>
        <v>0</v>
      </c>
      <c r="W79" s="20">
        <f t="shared" si="77"/>
        <v>0</v>
      </c>
      <c r="X79" s="20">
        <f t="shared" si="77"/>
        <v>0</v>
      </c>
      <c r="Y79" s="20">
        <f t="shared" si="77"/>
        <v>0</v>
      </c>
      <c r="Z79" s="20">
        <f t="shared" si="78"/>
        <v>0</v>
      </c>
      <c r="AA79" s="20">
        <f t="shared" si="78"/>
        <v>0</v>
      </c>
      <c r="AB79" s="20">
        <f t="shared" si="78"/>
        <v>0</v>
      </c>
      <c r="AC79" s="20">
        <f t="shared" si="78"/>
        <v>0</v>
      </c>
      <c r="AD79" s="20">
        <f t="shared" si="79"/>
        <v>0</v>
      </c>
      <c r="AE79" s="20">
        <f t="shared" si="80"/>
        <v>0</v>
      </c>
      <c r="AF79" s="20">
        <f t="shared" si="80"/>
        <v>0</v>
      </c>
      <c r="AG79" s="20">
        <f t="shared" si="80"/>
        <v>0</v>
      </c>
      <c r="AH79" s="20">
        <f t="shared" si="80"/>
        <v>0</v>
      </c>
      <c r="AI79" s="20">
        <f t="shared" si="81"/>
        <v>0</v>
      </c>
      <c r="AJ79" s="20">
        <f t="shared" si="81"/>
        <v>0</v>
      </c>
      <c r="AK79" s="20">
        <f t="shared" si="81"/>
        <v>0</v>
      </c>
      <c r="AL79" s="20">
        <f t="shared" si="81"/>
        <v>0</v>
      </c>
      <c r="AM79" s="20">
        <f t="shared" si="82"/>
        <v>0</v>
      </c>
      <c r="AO79">
        <f t="shared" si="83"/>
        <v>0</v>
      </c>
      <c r="AP79">
        <f t="shared" si="83"/>
        <v>0</v>
      </c>
      <c r="AQ79">
        <f t="shared" si="83"/>
        <v>0</v>
      </c>
      <c r="AR79">
        <f t="shared" si="83"/>
        <v>0</v>
      </c>
      <c r="AS79">
        <f t="shared" si="84"/>
        <v>0</v>
      </c>
      <c r="AU79">
        <f t="shared" si="85"/>
        <v>0</v>
      </c>
      <c r="AV79">
        <f t="shared" si="85"/>
        <v>0</v>
      </c>
      <c r="AW79">
        <f t="shared" si="85"/>
        <v>0</v>
      </c>
      <c r="AX79">
        <f t="shared" si="85"/>
        <v>0</v>
      </c>
      <c r="AY79">
        <f t="shared" si="86"/>
        <v>0</v>
      </c>
    </row>
    <row r="80" spans="1:53" ht="15" x14ac:dyDescent="0.25">
      <c r="A80" s="1"/>
      <c r="B80" s="13"/>
      <c r="C80" s="1" t="s">
        <v>13</v>
      </c>
      <c r="D80">
        <v>0</v>
      </c>
      <c r="E80" s="360">
        <v>0</v>
      </c>
      <c r="F80">
        <v>0</v>
      </c>
      <c r="G80">
        <v>0</v>
      </c>
      <c r="H80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20"/>
      <c r="P80" s="20"/>
      <c r="Q80" s="438"/>
      <c r="R80" s="197">
        <v>5.6499999999999995E-2</v>
      </c>
      <c r="S80" s="197">
        <v>1.25</v>
      </c>
      <c r="T80" s="197">
        <v>0.50078889239507718</v>
      </c>
      <c r="U80" s="197">
        <v>0.75268470790377973</v>
      </c>
      <c r="V80" s="20">
        <f t="shared" si="77"/>
        <v>0</v>
      </c>
      <c r="W80" s="20">
        <f t="shared" si="77"/>
        <v>0</v>
      </c>
      <c r="X80" s="20">
        <f t="shared" si="77"/>
        <v>0</v>
      </c>
      <c r="Y80" s="20">
        <f t="shared" si="77"/>
        <v>0</v>
      </c>
      <c r="Z80" s="20">
        <f t="shared" si="78"/>
        <v>0</v>
      </c>
      <c r="AA80" s="20">
        <f t="shared" si="78"/>
        <v>0</v>
      </c>
      <c r="AB80" s="20">
        <f t="shared" si="78"/>
        <v>0</v>
      </c>
      <c r="AC80" s="20">
        <f t="shared" si="78"/>
        <v>0</v>
      </c>
      <c r="AD80" s="20">
        <f t="shared" si="79"/>
        <v>0</v>
      </c>
      <c r="AE80" s="20">
        <f t="shared" si="80"/>
        <v>0</v>
      </c>
      <c r="AF80" s="20">
        <f t="shared" si="80"/>
        <v>0</v>
      </c>
      <c r="AG80" s="20">
        <f t="shared" si="80"/>
        <v>0</v>
      </c>
      <c r="AH80" s="20">
        <f t="shared" si="80"/>
        <v>0</v>
      </c>
      <c r="AI80" s="20">
        <f t="shared" si="81"/>
        <v>0</v>
      </c>
      <c r="AJ80" s="20">
        <f t="shared" si="81"/>
        <v>0</v>
      </c>
      <c r="AK80" s="20">
        <f t="shared" si="81"/>
        <v>0</v>
      </c>
      <c r="AL80" s="20">
        <f t="shared" si="81"/>
        <v>0</v>
      </c>
      <c r="AM80" s="20">
        <f t="shared" si="82"/>
        <v>0</v>
      </c>
      <c r="AO80">
        <f t="shared" si="83"/>
        <v>0</v>
      </c>
      <c r="AP80">
        <f t="shared" si="83"/>
        <v>0</v>
      </c>
      <c r="AQ80">
        <f t="shared" si="83"/>
        <v>0</v>
      </c>
      <c r="AR80">
        <f t="shared" si="83"/>
        <v>0</v>
      </c>
      <c r="AS80">
        <f t="shared" si="84"/>
        <v>0</v>
      </c>
      <c r="AU80">
        <f t="shared" si="85"/>
        <v>0</v>
      </c>
      <c r="AV80">
        <f t="shared" si="85"/>
        <v>0</v>
      </c>
      <c r="AW80">
        <f t="shared" si="85"/>
        <v>0</v>
      </c>
      <c r="AX80">
        <f t="shared" si="85"/>
        <v>0</v>
      </c>
      <c r="AY80">
        <f t="shared" si="86"/>
        <v>0</v>
      </c>
    </row>
    <row r="81" spans="1:53" ht="15" x14ac:dyDescent="0.25">
      <c r="A81" s="7"/>
      <c r="B81" s="8" t="s">
        <v>14</v>
      </c>
      <c r="C81" s="7"/>
      <c r="D81" s="357">
        <f t="shared" ref="D81:H81" si="87">SUM(D75:D80)</f>
        <v>0</v>
      </c>
      <c r="E81" s="363">
        <f>SUM(E75:E80)</f>
        <v>0</v>
      </c>
      <c r="F81" s="357">
        <f t="shared" si="87"/>
        <v>0</v>
      </c>
      <c r="G81" s="357">
        <f t="shared" si="87"/>
        <v>0</v>
      </c>
      <c r="H81" s="357">
        <f t="shared" si="87"/>
        <v>0</v>
      </c>
      <c r="J81">
        <v>0</v>
      </c>
      <c r="K81">
        <v>0</v>
      </c>
      <c r="L81">
        <v>0</v>
      </c>
      <c r="M81">
        <v>0</v>
      </c>
      <c r="N81">
        <v>0</v>
      </c>
      <c r="O81" s="20"/>
      <c r="P81" s="20"/>
      <c r="Q81" s="438"/>
      <c r="R81" s="197"/>
      <c r="S81" s="197"/>
      <c r="T81" s="197"/>
      <c r="U81" s="197"/>
      <c r="BA81" s="319">
        <f>(E81*10000*Q81*AU$10)</f>
        <v>0</v>
      </c>
    </row>
    <row r="82" spans="1:53" ht="15" x14ac:dyDescent="0.25">
      <c r="A82" s="10"/>
      <c r="B82" s="9" t="s">
        <v>15</v>
      </c>
      <c r="C82" s="5"/>
      <c r="E82" s="363">
        <f>SUM(E81)</f>
        <v>0</v>
      </c>
      <c r="H82" s="358">
        <f>SUM(D81:H81)</f>
        <v>0</v>
      </c>
      <c r="K82" s="14"/>
      <c r="N82">
        <v>0</v>
      </c>
      <c r="O82" s="20"/>
      <c r="P82" s="20"/>
      <c r="Q82" s="438"/>
      <c r="R82" s="197"/>
      <c r="S82" s="197"/>
      <c r="T82" s="197"/>
      <c r="U82" s="197"/>
    </row>
    <row r="83" spans="1:53" ht="15.75" x14ac:dyDescent="0.25">
      <c r="A83" s="1"/>
      <c r="B83" s="2"/>
      <c r="C83" s="1"/>
      <c r="E83" s="361"/>
      <c r="K83" s="14"/>
      <c r="O83" s="20"/>
      <c r="P83" s="20"/>
      <c r="Q83" s="439"/>
      <c r="R83" s="197"/>
      <c r="S83" s="197"/>
      <c r="T83" s="197"/>
      <c r="U83" s="197"/>
    </row>
    <row r="84" spans="1:53" ht="15" x14ac:dyDescent="0.25">
      <c r="A84" s="1">
        <v>9</v>
      </c>
      <c r="B84" s="2" t="s">
        <v>23</v>
      </c>
      <c r="C84" s="1" t="s">
        <v>8</v>
      </c>
      <c r="D84">
        <v>0</v>
      </c>
      <c r="E84" s="360">
        <v>81.6173</v>
      </c>
      <c r="F84">
        <v>0</v>
      </c>
      <c r="G84">
        <v>0</v>
      </c>
      <c r="H84">
        <v>0</v>
      </c>
      <c r="J84">
        <v>0</v>
      </c>
      <c r="K84">
        <v>0</v>
      </c>
      <c r="L84">
        <v>0</v>
      </c>
      <c r="M84">
        <v>0</v>
      </c>
      <c r="N84">
        <v>0</v>
      </c>
      <c r="O84" s="20"/>
      <c r="P84" s="20"/>
      <c r="Q84" s="438">
        <v>1.8537151881718571E-2</v>
      </c>
      <c r="R84" s="197">
        <v>0.38700000000000001</v>
      </c>
      <c r="S84" s="197">
        <v>2.48</v>
      </c>
      <c r="T84" s="197">
        <v>0.72182006204756977</v>
      </c>
      <c r="U84" s="197">
        <v>0.90789473684210531</v>
      </c>
      <c r="V84" s="20">
        <f t="shared" ref="V84:Y89" si="88">IF(K84&gt;0,((E84-K84)*$Q84*$R84*10)+(K84*$O$12*$Q84*$R84*10),(E84*$Q84*$R84*10))</f>
        <v>5.855125347887304</v>
      </c>
      <c r="W84" s="20">
        <f t="shared" si="88"/>
        <v>0</v>
      </c>
      <c r="X84" s="20">
        <f t="shared" si="88"/>
        <v>0</v>
      </c>
      <c r="Y84" s="20">
        <f t="shared" si="88"/>
        <v>0</v>
      </c>
      <c r="Z84" s="20">
        <f t="shared" ref="Z84:AC89" si="89">V84*(EXP(1.01-0.34*LN(Z$8))*(1-$T84)+(1*$T84))</f>
        <v>4.5236034949469168</v>
      </c>
      <c r="AA84" s="20">
        <f t="shared" si="89"/>
        <v>0</v>
      </c>
      <c r="AB84" s="20">
        <f t="shared" si="89"/>
        <v>0</v>
      </c>
      <c r="AC84" s="20">
        <f t="shared" si="89"/>
        <v>0</v>
      </c>
      <c r="AD84" s="20">
        <f t="shared" ref="AD84:AD89" si="90">SUM(Z84:AC84)</f>
        <v>4.5236034949469168</v>
      </c>
      <c r="AE84" s="20">
        <f t="shared" ref="AE84:AH89" si="91">IF(K84&gt;0,((E84-K84)*$Q84*$S84*10)+(K84*$P$12*$Q84*$S84)*10,(E84*$Q84*$S84*10))</f>
        <v>37.521216699639567</v>
      </c>
      <c r="AF84" s="20">
        <f t="shared" si="91"/>
        <v>0</v>
      </c>
      <c r="AG84" s="20">
        <f t="shared" si="91"/>
        <v>0</v>
      </c>
      <c r="AH84" s="20">
        <f t="shared" si="91"/>
        <v>0</v>
      </c>
      <c r="AI84" s="20">
        <f t="shared" ref="AI84:AL89" si="92">AE84*(EXP(1.01-0.34*LN(AI$8))*(1-$U84)+(1*$U84))</f>
        <v>34.696026727368604</v>
      </c>
      <c r="AJ84" s="20">
        <f t="shared" si="92"/>
        <v>0</v>
      </c>
      <c r="AK84" s="20">
        <f t="shared" si="92"/>
        <v>0</v>
      </c>
      <c r="AL84" s="20">
        <f t="shared" si="92"/>
        <v>0</v>
      </c>
      <c r="AM84" s="20">
        <f t="shared" ref="AM84:AM89" si="93">SUM(AI84:AL84)</f>
        <v>34.696026727368604</v>
      </c>
      <c r="AO84">
        <f t="shared" ref="AO84:AR89" si="94">Z84*AO$10</f>
        <v>6.4506585837943033</v>
      </c>
      <c r="AP84">
        <f t="shared" si="94"/>
        <v>0</v>
      </c>
      <c r="AQ84">
        <f t="shared" si="94"/>
        <v>0</v>
      </c>
      <c r="AR84">
        <f t="shared" si="94"/>
        <v>0</v>
      </c>
      <c r="AS84">
        <f t="shared" ref="AS84:AS89" si="95">SUM(AO84:AR84)</f>
        <v>6.4506585837943033</v>
      </c>
      <c r="AU84">
        <f t="shared" ref="AU84:AX89" si="96">AI84*AU$10</f>
        <v>49.476534113227629</v>
      </c>
      <c r="AV84">
        <f t="shared" si="96"/>
        <v>0</v>
      </c>
      <c r="AW84">
        <f t="shared" si="96"/>
        <v>0</v>
      </c>
      <c r="AX84">
        <f t="shared" si="96"/>
        <v>0</v>
      </c>
      <c r="AY84">
        <f t="shared" ref="AY84:AY89" si="97">SUM(AU84:AX84)</f>
        <v>49.476534113227629</v>
      </c>
    </row>
    <row r="85" spans="1:53" ht="15" x14ac:dyDescent="0.25">
      <c r="A85" s="1"/>
      <c r="B85" s="2"/>
      <c r="C85" s="1" t="s">
        <v>9</v>
      </c>
      <c r="D85">
        <v>0</v>
      </c>
      <c r="E85" s="360">
        <v>7.3124000000000002</v>
      </c>
      <c r="F85">
        <v>0</v>
      </c>
      <c r="G85">
        <v>0</v>
      </c>
      <c r="H85">
        <v>0</v>
      </c>
      <c r="J85">
        <v>0</v>
      </c>
      <c r="K85">
        <v>0</v>
      </c>
      <c r="L85">
        <v>0</v>
      </c>
      <c r="M85">
        <v>0</v>
      </c>
      <c r="N85">
        <v>0</v>
      </c>
      <c r="O85" s="20"/>
      <c r="P85" s="20"/>
      <c r="Q85" s="438">
        <v>2.8074303763437145E-2</v>
      </c>
      <c r="R85" s="197">
        <v>0.38700000000000001</v>
      </c>
      <c r="S85" s="197">
        <v>2.48</v>
      </c>
      <c r="T85" s="197">
        <v>0.72182006204756977</v>
      </c>
      <c r="U85" s="197">
        <v>0.90789473684210531</v>
      </c>
      <c r="V85" s="20">
        <f t="shared" si="88"/>
        <v>0.79447438530986259</v>
      </c>
      <c r="W85" s="20">
        <f t="shared" si="88"/>
        <v>0</v>
      </c>
      <c r="X85" s="20">
        <f t="shared" si="88"/>
        <v>0</v>
      </c>
      <c r="Y85" s="20">
        <f t="shared" si="88"/>
        <v>0</v>
      </c>
      <c r="Z85" s="20">
        <f t="shared" si="89"/>
        <v>0.6138019073033637</v>
      </c>
      <c r="AA85" s="20">
        <f t="shared" si="89"/>
        <v>0</v>
      </c>
      <c r="AB85" s="20">
        <f t="shared" si="89"/>
        <v>0</v>
      </c>
      <c r="AC85" s="20">
        <f t="shared" si="89"/>
        <v>0</v>
      </c>
      <c r="AD85" s="20">
        <f t="shared" si="90"/>
        <v>0.6138019073033637</v>
      </c>
      <c r="AE85" s="20">
        <f t="shared" si="91"/>
        <v>5.0912053632259937</v>
      </c>
      <c r="AF85" s="20">
        <f t="shared" si="91"/>
        <v>0</v>
      </c>
      <c r="AG85" s="20">
        <f t="shared" si="91"/>
        <v>0</v>
      </c>
      <c r="AH85" s="20">
        <f t="shared" si="91"/>
        <v>0</v>
      </c>
      <c r="AI85" s="20">
        <f t="shared" si="92"/>
        <v>4.707858990049977</v>
      </c>
      <c r="AJ85" s="20">
        <f t="shared" si="92"/>
        <v>0</v>
      </c>
      <c r="AK85" s="20">
        <f t="shared" si="92"/>
        <v>0</v>
      </c>
      <c r="AL85" s="20">
        <f t="shared" si="92"/>
        <v>0</v>
      </c>
      <c r="AM85" s="20">
        <f t="shared" si="93"/>
        <v>4.707858990049977</v>
      </c>
      <c r="AO85">
        <f t="shared" si="94"/>
        <v>0.87528151981459656</v>
      </c>
      <c r="AP85">
        <f t="shared" si="94"/>
        <v>0</v>
      </c>
      <c r="AQ85">
        <f t="shared" si="94"/>
        <v>0</v>
      </c>
      <c r="AR85">
        <f t="shared" si="94"/>
        <v>0</v>
      </c>
      <c r="AS85">
        <f t="shared" si="95"/>
        <v>0.87528151981459656</v>
      </c>
      <c r="AU85">
        <f t="shared" si="96"/>
        <v>6.7134069198112671</v>
      </c>
      <c r="AV85">
        <f t="shared" si="96"/>
        <v>0</v>
      </c>
      <c r="AW85">
        <f t="shared" si="96"/>
        <v>0</v>
      </c>
      <c r="AX85">
        <f t="shared" si="96"/>
        <v>0</v>
      </c>
      <c r="AY85">
        <f t="shared" si="97"/>
        <v>6.7134069198112671</v>
      </c>
    </row>
    <row r="86" spans="1:53" ht="15" x14ac:dyDescent="0.25">
      <c r="A86" s="1"/>
      <c r="B86" s="2"/>
      <c r="C86" s="1" t="s">
        <v>10</v>
      </c>
      <c r="D86">
        <v>0</v>
      </c>
      <c r="E86" s="360">
        <v>0.68179999999999996</v>
      </c>
      <c r="F86">
        <v>0</v>
      </c>
      <c r="G86">
        <v>0</v>
      </c>
      <c r="H86">
        <v>0</v>
      </c>
      <c r="J86">
        <v>0</v>
      </c>
      <c r="K86">
        <v>0</v>
      </c>
      <c r="L86">
        <v>0</v>
      </c>
      <c r="M86">
        <v>0</v>
      </c>
      <c r="N86">
        <v>0</v>
      </c>
      <c r="O86" s="20"/>
      <c r="P86" s="20"/>
      <c r="Q86" s="438">
        <v>3.7611455645155716E-2</v>
      </c>
      <c r="R86" s="197">
        <v>0.38700000000000001</v>
      </c>
      <c r="S86" s="197">
        <v>2.48</v>
      </c>
      <c r="T86" s="197">
        <v>0.72182006204756977</v>
      </c>
      <c r="U86" s="197">
        <v>0.90789473684210531</v>
      </c>
      <c r="V86" s="20">
        <f t="shared" si="88"/>
        <v>9.9240308075815922E-2</v>
      </c>
      <c r="W86" s="20">
        <f t="shared" si="88"/>
        <v>0</v>
      </c>
      <c r="X86" s="20">
        <f t="shared" si="88"/>
        <v>0</v>
      </c>
      <c r="Y86" s="20">
        <f t="shared" si="88"/>
        <v>0</v>
      </c>
      <c r="Z86" s="20">
        <f t="shared" si="89"/>
        <v>7.6671937452774452E-2</v>
      </c>
      <c r="AA86" s="20">
        <f t="shared" si="89"/>
        <v>0</v>
      </c>
      <c r="AB86" s="20">
        <f t="shared" si="89"/>
        <v>0</v>
      </c>
      <c r="AC86" s="20">
        <f t="shared" si="89"/>
        <v>0</v>
      </c>
      <c r="AD86" s="20">
        <f t="shared" si="90"/>
        <v>7.6671937452774452E-2</v>
      </c>
      <c r="AE86" s="20">
        <f t="shared" si="91"/>
        <v>0.63595856337990575</v>
      </c>
      <c r="AF86" s="20">
        <f t="shared" si="91"/>
        <v>0</v>
      </c>
      <c r="AG86" s="20">
        <f t="shared" si="91"/>
        <v>0</v>
      </c>
      <c r="AH86" s="20">
        <f t="shared" si="91"/>
        <v>0</v>
      </c>
      <c r="AI86" s="20">
        <f t="shared" si="92"/>
        <v>0.58807355553425089</v>
      </c>
      <c r="AJ86" s="20">
        <f t="shared" si="92"/>
        <v>0</v>
      </c>
      <c r="AK86" s="20">
        <f t="shared" si="92"/>
        <v>0</v>
      </c>
      <c r="AL86" s="20">
        <f t="shared" si="92"/>
        <v>0</v>
      </c>
      <c r="AM86" s="20">
        <f t="shared" si="93"/>
        <v>0.58807355553425089</v>
      </c>
      <c r="AO86">
        <f t="shared" si="94"/>
        <v>0.10933418280765636</v>
      </c>
      <c r="AP86">
        <f t="shared" si="94"/>
        <v>0</v>
      </c>
      <c r="AQ86">
        <f t="shared" si="94"/>
        <v>0</v>
      </c>
      <c r="AR86">
        <f t="shared" si="94"/>
        <v>0</v>
      </c>
      <c r="AS86">
        <f t="shared" si="95"/>
        <v>0.10933418280765636</v>
      </c>
      <c r="AU86">
        <f t="shared" si="96"/>
        <v>0.83859289019184169</v>
      </c>
      <c r="AV86">
        <f t="shared" si="96"/>
        <v>0</v>
      </c>
      <c r="AW86">
        <f t="shared" si="96"/>
        <v>0</v>
      </c>
      <c r="AX86">
        <f t="shared" si="96"/>
        <v>0</v>
      </c>
      <c r="AY86">
        <f t="shared" si="97"/>
        <v>0.83859289019184169</v>
      </c>
    </row>
    <row r="87" spans="1:53" ht="15" x14ac:dyDescent="0.25">
      <c r="A87" s="1"/>
      <c r="B87" s="2"/>
      <c r="C87" s="1" t="s">
        <v>11</v>
      </c>
      <c r="D87">
        <v>0</v>
      </c>
      <c r="E87" s="360">
        <v>34.516599999999997</v>
      </c>
      <c r="F87">
        <v>0</v>
      </c>
      <c r="G87">
        <v>0</v>
      </c>
      <c r="H87">
        <v>0</v>
      </c>
      <c r="J87">
        <v>0</v>
      </c>
      <c r="K87">
        <v>0</v>
      </c>
      <c r="L87">
        <v>0</v>
      </c>
      <c r="M87">
        <v>0</v>
      </c>
      <c r="N87">
        <v>0</v>
      </c>
      <c r="O87" s="20"/>
      <c r="P87" s="20"/>
      <c r="Q87" s="438">
        <v>4.7148607526874289E-2</v>
      </c>
      <c r="R87" s="197">
        <v>0.38700000000000001</v>
      </c>
      <c r="S87" s="197">
        <v>2.48</v>
      </c>
      <c r="T87" s="197">
        <v>0.72182006204756977</v>
      </c>
      <c r="U87" s="197">
        <v>0.90789473684210531</v>
      </c>
      <c r="V87" s="20">
        <f t="shared" si="88"/>
        <v>6.2980752547953625</v>
      </c>
      <c r="W87" s="20">
        <f t="shared" si="88"/>
        <v>0</v>
      </c>
      <c r="X87" s="20">
        <f t="shared" si="88"/>
        <v>0</v>
      </c>
      <c r="Y87" s="20">
        <f t="shared" si="88"/>
        <v>0</v>
      </c>
      <c r="Z87" s="20">
        <f t="shared" si="89"/>
        <v>4.8658215736254045</v>
      </c>
      <c r="AA87" s="20">
        <f t="shared" si="89"/>
        <v>0</v>
      </c>
      <c r="AB87" s="20">
        <f t="shared" si="89"/>
        <v>0</v>
      </c>
      <c r="AC87" s="20">
        <f t="shared" si="89"/>
        <v>0</v>
      </c>
      <c r="AD87" s="20">
        <f t="shared" si="90"/>
        <v>4.8658215736254045</v>
      </c>
      <c r="AE87" s="20">
        <f t="shared" si="91"/>
        <v>40.359758738740304</v>
      </c>
      <c r="AF87" s="20">
        <f t="shared" si="91"/>
        <v>0</v>
      </c>
      <c r="AG87" s="20">
        <f t="shared" si="91"/>
        <v>0</v>
      </c>
      <c r="AH87" s="20">
        <f t="shared" si="91"/>
        <v>0</v>
      </c>
      <c r="AI87" s="20">
        <f t="shared" si="92"/>
        <v>37.320838477045811</v>
      </c>
      <c r="AJ87" s="20">
        <f t="shared" si="92"/>
        <v>0</v>
      </c>
      <c r="AK87" s="20">
        <f t="shared" si="92"/>
        <v>0</v>
      </c>
      <c r="AL87" s="20">
        <f t="shared" si="92"/>
        <v>0</v>
      </c>
      <c r="AM87" s="20">
        <f t="shared" si="93"/>
        <v>37.320838477045811</v>
      </c>
      <c r="AO87">
        <f t="shared" si="94"/>
        <v>6.9386615639898261</v>
      </c>
      <c r="AP87">
        <f t="shared" si="94"/>
        <v>0</v>
      </c>
      <c r="AQ87">
        <f t="shared" si="94"/>
        <v>0</v>
      </c>
      <c r="AR87">
        <f t="shared" si="94"/>
        <v>0</v>
      </c>
      <c r="AS87">
        <f t="shared" si="95"/>
        <v>6.9386615639898261</v>
      </c>
      <c r="AU87">
        <f t="shared" si="96"/>
        <v>53.219515668267327</v>
      </c>
      <c r="AV87">
        <f t="shared" si="96"/>
        <v>0</v>
      </c>
      <c r="AW87">
        <f t="shared" si="96"/>
        <v>0</v>
      </c>
      <c r="AX87">
        <f t="shared" si="96"/>
        <v>0</v>
      </c>
      <c r="AY87">
        <f t="shared" si="97"/>
        <v>53.219515668267327</v>
      </c>
    </row>
    <row r="88" spans="1:53" ht="15" x14ac:dyDescent="0.25">
      <c r="A88" s="1"/>
      <c r="B88" s="2"/>
      <c r="C88" s="1" t="s">
        <v>12</v>
      </c>
      <c r="D88">
        <v>0</v>
      </c>
      <c r="E88" s="360">
        <v>0</v>
      </c>
      <c r="F88">
        <v>0</v>
      </c>
      <c r="G88">
        <v>0</v>
      </c>
      <c r="H88">
        <v>0</v>
      </c>
      <c r="J88">
        <v>0</v>
      </c>
      <c r="K88">
        <v>0</v>
      </c>
      <c r="L88">
        <v>0</v>
      </c>
      <c r="M88">
        <v>0</v>
      </c>
      <c r="N88">
        <v>0</v>
      </c>
      <c r="O88" s="20"/>
      <c r="P88" s="20"/>
      <c r="Q88" s="438"/>
      <c r="R88" s="197">
        <v>0.38700000000000001</v>
      </c>
      <c r="S88" s="197">
        <v>2.48</v>
      </c>
      <c r="T88" s="197">
        <v>0.72182006204756977</v>
      </c>
      <c r="U88" s="197">
        <v>0.90789473684210531</v>
      </c>
      <c r="V88" s="20">
        <f t="shared" si="88"/>
        <v>0</v>
      </c>
      <c r="W88" s="20">
        <f t="shared" si="88"/>
        <v>0</v>
      </c>
      <c r="X88" s="20">
        <f t="shared" si="88"/>
        <v>0</v>
      </c>
      <c r="Y88" s="20">
        <f t="shared" si="88"/>
        <v>0</v>
      </c>
      <c r="Z88" s="20">
        <f t="shared" si="89"/>
        <v>0</v>
      </c>
      <c r="AA88" s="20">
        <f t="shared" si="89"/>
        <v>0</v>
      </c>
      <c r="AB88" s="20">
        <f t="shared" si="89"/>
        <v>0</v>
      </c>
      <c r="AC88" s="20">
        <f t="shared" si="89"/>
        <v>0</v>
      </c>
      <c r="AD88" s="20">
        <f t="shared" si="90"/>
        <v>0</v>
      </c>
      <c r="AE88" s="20">
        <f t="shared" si="91"/>
        <v>0</v>
      </c>
      <c r="AF88" s="20">
        <f t="shared" si="91"/>
        <v>0</v>
      </c>
      <c r="AG88" s="20">
        <f t="shared" si="91"/>
        <v>0</v>
      </c>
      <c r="AH88" s="20">
        <f t="shared" si="91"/>
        <v>0</v>
      </c>
      <c r="AI88" s="20">
        <f t="shared" si="92"/>
        <v>0</v>
      </c>
      <c r="AJ88" s="20">
        <f t="shared" si="92"/>
        <v>0</v>
      </c>
      <c r="AK88" s="20">
        <f t="shared" si="92"/>
        <v>0</v>
      </c>
      <c r="AL88" s="20">
        <f t="shared" si="92"/>
        <v>0</v>
      </c>
      <c r="AM88" s="20">
        <f t="shared" si="93"/>
        <v>0</v>
      </c>
      <c r="AO88">
        <f t="shared" si="94"/>
        <v>0</v>
      </c>
      <c r="AP88">
        <f t="shared" si="94"/>
        <v>0</v>
      </c>
      <c r="AQ88">
        <f t="shared" si="94"/>
        <v>0</v>
      </c>
      <c r="AR88">
        <f t="shared" si="94"/>
        <v>0</v>
      </c>
      <c r="AS88">
        <f t="shared" si="95"/>
        <v>0</v>
      </c>
      <c r="AU88">
        <f t="shared" si="96"/>
        <v>0</v>
      </c>
      <c r="AV88">
        <f t="shared" si="96"/>
        <v>0</v>
      </c>
      <c r="AW88">
        <f t="shared" si="96"/>
        <v>0</v>
      </c>
      <c r="AX88">
        <f t="shared" si="96"/>
        <v>0</v>
      </c>
      <c r="AY88">
        <f t="shared" si="97"/>
        <v>0</v>
      </c>
    </row>
    <row r="89" spans="1:53" ht="15" x14ac:dyDescent="0.25">
      <c r="A89" s="1"/>
      <c r="B89" s="2"/>
      <c r="C89" s="1" t="s">
        <v>13</v>
      </c>
      <c r="D89">
        <v>0</v>
      </c>
      <c r="E89" s="360">
        <v>0.19370000000000001</v>
      </c>
      <c r="F89">
        <v>0</v>
      </c>
      <c r="G89">
        <v>0</v>
      </c>
      <c r="H89">
        <v>0</v>
      </c>
      <c r="J89">
        <v>0</v>
      </c>
      <c r="K89">
        <v>0</v>
      </c>
      <c r="L89">
        <v>0</v>
      </c>
      <c r="M89">
        <v>0</v>
      </c>
      <c r="N89">
        <v>0</v>
      </c>
      <c r="O89" s="20"/>
      <c r="P89" s="20"/>
      <c r="Q89" s="438">
        <v>4.7148607526874289E-2</v>
      </c>
      <c r="R89" s="197">
        <v>0.38700000000000001</v>
      </c>
      <c r="S89" s="197">
        <v>2.48</v>
      </c>
      <c r="T89" s="197">
        <v>0.72182006204756977</v>
      </c>
      <c r="U89" s="197">
        <v>0.90789473684210531</v>
      </c>
      <c r="V89" s="20">
        <f t="shared" si="88"/>
        <v>3.5343492025687984E-2</v>
      </c>
      <c r="W89" s="20">
        <f t="shared" si="88"/>
        <v>0</v>
      </c>
      <c r="X89" s="20">
        <f t="shared" si="88"/>
        <v>0</v>
      </c>
      <c r="Y89" s="20">
        <f t="shared" si="88"/>
        <v>0</v>
      </c>
      <c r="Z89" s="20">
        <f t="shared" si="89"/>
        <v>2.730598143534534E-2</v>
      </c>
      <c r="AA89" s="20">
        <f t="shared" si="89"/>
        <v>0</v>
      </c>
      <c r="AB89" s="20">
        <f t="shared" si="89"/>
        <v>0</v>
      </c>
      <c r="AC89" s="20">
        <f t="shared" si="89"/>
        <v>0</v>
      </c>
      <c r="AD89" s="20">
        <f t="shared" si="90"/>
        <v>2.730598143534534E-2</v>
      </c>
      <c r="AE89" s="20">
        <f t="shared" si="91"/>
        <v>0.22649059489329768</v>
      </c>
      <c r="AF89" s="20">
        <f t="shared" si="91"/>
        <v>0</v>
      </c>
      <c r="AG89" s="20">
        <f t="shared" si="91"/>
        <v>0</v>
      </c>
      <c r="AH89" s="20">
        <f t="shared" si="91"/>
        <v>0</v>
      </c>
      <c r="AI89" s="20">
        <f t="shared" si="92"/>
        <v>0.20943680469697987</v>
      </c>
      <c r="AJ89" s="20">
        <f t="shared" si="92"/>
        <v>0</v>
      </c>
      <c r="AK89" s="20">
        <f t="shared" si="92"/>
        <v>0</v>
      </c>
      <c r="AL89" s="20">
        <f t="shared" si="92"/>
        <v>0</v>
      </c>
      <c r="AM89" s="20">
        <f t="shared" si="93"/>
        <v>0.20943680469697987</v>
      </c>
      <c r="AO89">
        <f t="shared" si="94"/>
        <v>3.893832952680245E-2</v>
      </c>
      <c r="AP89">
        <f t="shared" si="94"/>
        <v>0</v>
      </c>
      <c r="AQ89">
        <f t="shared" si="94"/>
        <v>0</v>
      </c>
      <c r="AR89">
        <f t="shared" si="94"/>
        <v>0</v>
      </c>
      <c r="AS89">
        <f t="shared" si="95"/>
        <v>3.893832952680245E-2</v>
      </c>
      <c r="AU89">
        <f t="shared" si="96"/>
        <v>0.29865688349789327</v>
      </c>
      <c r="AV89">
        <f t="shared" si="96"/>
        <v>0</v>
      </c>
      <c r="AW89">
        <f t="shared" si="96"/>
        <v>0</v>
      </c>
      <c r="AX89">
        <f t="shared" si="96"/>
        <v>0</v>
      </c>
      <c r="AY89">
        <f t="shared" si="97"/>
        <v>0.29865688349789327</v>
      </c>
    </row>
    <row r="90" spans="1:53" ht="15" x14ac:dyDescent="0.25">
      <c r="A90" s="7"/>
      <c r="B90" s="8" t="s">
        <v>14</v>
      </c>
      <c r="C90" s="7"/>
      <c r="D90" s="357">
        <f t="shared" ref="D90:H90" si="98">SUM(D84:D89)</f>
        <v>0</v>
      </c>
      <c r="E90" s="363">
        <f>SUM(E84:E89)</f>
        <v>124.3218</v>
      </c>
      <c r="F90" s="357">
        <f t="shared" si="98"/>
        <v>0</v>
      </c>
      <c r="G90" s="357">
        <f t="shared" si="98"/>
        <v>0</v>
      </c>
      <c r="H90" s="357">
        <f t="shared" si="98"/>
        <v>0</v>
      </c>
      <c r="J90">
        <v>0</v>
      </c>
      <c r="K90">
        <v>0</v>
      </c>
      <c r="L90">
        <v>0</v>
      </c>
      <c r="M90">
        <v>0</v>
      </c>
      <c r="N90">
        <v>0</v>
      </c>
      <c r="O90" s="20"/>
      <c r="P90" s="20"/>
      <c r="Q90" s="438">
        <v>2.7190956271663368E-2</v>
      </c>
      <c r="R90" s="197"/>
      <c r="S90" s="197"/>
      <c r="T90" s="197"/>
      <c r="U90" s="197"/>
      <c r="BA90" s="319">
        <f>(E90*10000*Q90*AU$10)</f>
        <v>48204.912226930464</v>
      </c>
    </row>
    <row r="91" spans="1:53" ht="15" x14ac:dyDescent="0.25">
      <c r="A91" s="10"/>
      <c r="B91" s="9" t="s">
        <v>15</v>
      </c>
      <c r="C91" s="5"/>
      <c r="E91" s="363">
        <f>SUM(E90)</f>
        <v>124.3218</v>
      </c>
      <c r="H91" s="358">
        <f>SUM(D90:H90)</f>
        <v>124.3218</v>
      </c>
      <c r="K91" s="14"/>
      <c r="N91">
        <v>0</v>
      </c>
      <c r="O91" s="20"/>
      <c r="P91" s="20"/>
      <c r="Q91" s="438"/>
      <c r="R91" s="197"/>
      <c r="S91" s="197"/>
      <c r="T91" s="197"/>
      <c r="U91" s="197"/>
    </row>
    <row r="92" spans="1:53" ht="15.75" x14ac:dyDescent="0.25">
      <c r="A92" s="1"/>
      <c r="B92" s="2"/>
      <c r="C92" s="1"/>
      <c r="E92" s="361"/>
      <c r="K92" s="14"/>
      <c r="O92" s="20"/>
      <c r="P92" s="20"/>
      <c r="Q92" s="439"/>
      <c r="R92" s="197"/>
      <c r="S92" s="197"/>
      <c r="T92" s="197"/>
      <c r="U92" s="197"/>
    </row>
    <row r="93" spans="1:53" ht="15" x14ac:dyDescent="0.25">
      <c r="A93" s="1">
        <v>10</v>
      </c>
      <c r="B93" s="2" t="s">
        <v>24</v>
      </c>
      <c r="C93" s="1" t="s">
        <v>8</v>
      </c>
      <c r="D93">
        <v>0</v>
      </c>
      <c r="E93" s="360">
        <v>148.16669999999999</v>
      </c>
      <c r="F93">
        <v>0</v>
      </c>
      <c r="G93">
        <v>0</v>
      </c>
      <c r="H93">
        <v>0</v>
      </c>
      <c r="J93">
        <v>0</v>
      </c>
      <c r="K93">
        <v>0</v>
      </c>
      <c r="L93">
        <v>0</v>
      </c>
      <c r="M93">
        <v>0</v>
      </c>
      <c r="N93">
        <v>0</v>
      </c>
      <c r="O93" s="20"/>
      <c r="P93" s="20"/>
      <c r="Q93" s="438">
        <v>1.8537151881718575E-2</v>
      </c>
      <c r="R93" s="197">
        <v>0.66599999999999993</v>
      </c>
      <c r="S93" s="197">
        <v>4.5549999999999997</v>
      </c>
      <c r="T93" s="197">
        <v>0.60039794540960334</v>
      </c>
      <c r="U93" s="197">
        <v>0.90789473684210531</v>
      </c>
      <c r="V93" s="20">
        <f t="shared" ref="V93:Y98" si="99">IF(K93&gt;0,((E93-K93)*$Q93*$R93*10)+(K93*$O$12*$Q93*$R93*10),(E93*$Q93*$R93*10))</f>
        <v>18.292280220608788</v>
      </c>
      <c r="W93" s="20">
        <f t="shared" si="99"/>
        <v>0</v>
      </c>
      <c r="X93" s="20">
        <f t="shared" si="99"/>
        <v>0</v>
      </c>
      <c r="Y93" s="20">
        <f t="shared" si="99"/>
        <v>0</v>
      </c>
      <c r="Z93" s="20">
        <f t="shared" ref="Z93:AC98" si="100">V93*(EXP(1.01-0.34*LN(Z$8))*(1-$T93)+(1*$T93))</f>
        <v>12.316675607822383</v>
      </c>
      <c r="AA93" s="20">
        <f t="shared" si="100"/>
        <v>0</v>
      </c>
      <c r="AB93" s="20">
        <f t="shared" si="100"/>
        <v>0</v>
      </c>
      <c r="AC93" s="20">
        <f t="shared" si="100"/>
        <v>0</v>
      </c>
      <c r="AD93" s="20">
        <f t="shared" ref="AD93:AD98" si="101">SUM(Z93:AC93)</f>
        <v>12.316675607822383</v>
      </c>
      <c r="AE93" s="20">
        <f t="shared" ref="AE93:AH98" si="102">IF(K93&gt;0,((E93-K93)*$Q93*$S93*10)+(K93*$P$12*$Q93*$S93)*10,(E93*$Q93*$S93*10))</f>
        <v>125.10711171902857</v>
      </c>
      <c r="AF93" s="20">
        <f t="shared" si="102"/>
        <v>0</v>
      </c>
      <c r="AG93" s="20">
        <f t="shared" si="102"/>
        <v>0</v>
      </c>
      <c r="AH93" s="20">
        <f t="shared" si="102"/>
        <v>0</v>
      </c>
      <c r="AI93" s="20">
        <f t="shared" ref="AI93:AL98" si="103">AE93*(EXP(1.01-0.34*LN(AI$8))*(1-$U93)+(1*$U93))</f>
        <v>115.68707184351521</v>
      </c>
      <c r="AJ93" s="20">
        <f t="shared" si="103"/>
        <v>0</v>
      </c>
      <c r="AK93" s="20">
        <f t="shared" si="103"/>
        <v>0</v>
      </c>
      <c r="AL93" s="20">
        <f t="shared" si="103"/>
        <v>0</v>
      </c>
      <c r="AM93" s="20">
        <f t="shared" ref="AM93:AM98" si="104">SUM(AI93:AL93)</f>
        <v>115.68707184351521</v>
      </c>
      <c r="AO93">
        <f t="shared" ref="AO93:AR98" si="105">Z93*AO$10</f>
        <v>17.563579416754717</v>
      </c>
      <c r="AP93">
        <f t="shared" si="105"/>
        <v>0</v>
      </c>
      <c r="AQ93">
        <f t="shared" si="105"/>
        <v>0</v>
      </c>
      <c r="AR93">
        <f t="shared" si="105"/>
        <v>0</v>
      </c>
      <c r="AS93">
        <f t="shared" ref="AS93:AS98" si="106">SUM(AO93:AR93)</f>
        <v>17.563579416754717</v>
      </c>
      <c r="AU93">
        <f t="shared" ref="AU93:AX98" si="107">AI93*AU$10</f>
        <v>164.96976444885269</v>
      </c>
      <c r="AV93">
        <f t="shared" si="107"/>
        <v>0</v>
      </c>
      <c r="AW93">
        <f t="shared" si="107"/>
        <v>0</v>
      </c>
      <c r="AX93">
        <f t="shared" si="107"/>
        <v>0</v>
      </c>
      <c r="AY93">
        <f t="shared" ref="AY93:AY98" si="108">SUM(AU93:AX93)</f>
        <v>164.96976444885269</v>
      </c>
    </row>
    <row r="94" spans="1:53" ht="15" x14ac:dyDescent="0.25">
      <c r="A94" s="1"/>
      <c r="B94" s="2"/>
      <c r="C94" s="1" t="s">
        <v>9</v>
      </c>
      <c r="D94">
        <v>0</v>
      </c>
      <c r="E94" s="360">
        <v>16.532399999999999</v>
      </c>
      <c r="F94">
        <v>0</v>
      </c>
      <c r="G94">
        <v>0</v>
      </c>
      <c r="H94">
        <v>0</v>
      </c>
      <c r="J94">
        <v>0</v>
      </c>
      <c r="K94">
        <v>0</v>
      </c>
      <c r="L94">
        <v>0</v>
      </c>
      <c r="M94">
        <v>0</v>
      </c>
      <c r="N94">
        <v>0</v>
      </c>
      <c r="O94" s="20"/>
      <c r="P94" s="20"/>
      <c r="Q94" s="438">
        <v>2.8074303763437145E-2</v>
      </c>
      <c r="R94" s="197">
        <v>0.66599999999999993</v>
      </c>
      <c r="S94" s="197">
        <v>4.5549999999999997</v>
      </c>
      <c r="T94" s="197">
        <v>0.60039794540960334</v>
      </c>
      <c r="U94" s="197">
        <v>0.90789473684210531</v>
      </c>
      <c r="V94" s="20">
        <f t="shared" si="99"/>
        <v>3.091143226127397</v>
      </c>
      <c r="W94" s="20">
        <f t="shared" si="99"/>
        <v>0</v>
      </c>
      <c r="X94" s="20">
        <f t="shared" si="99"/>
        <v>0</v>
      </c>
      <c r="Y94" s="20">
        <f t="shared" si="99"/>
        <v>0</v>
      </c>
      <c r="Z94" s="20">
        <f t="shared" si="100"/>
        <v>2.0813484111529537</v>
      </c>
      <c r="AA94" s="20">
        <f t="shared" si="100"/>
        <v>0</v>
      </c>
      <c r="AB94" s="20">
        <f t="shared" si="100"/>
        <v>0</v>
      </c>
      <c r="AC94" s="20">
        <f t="shared" si="100"/>
        <v>0</v>
      </c>
      <c r="AD94" s="20">
        <f t="shared" si="101"/>
        <v>2.0813484111529537</v>
      </c>
      <c r="AE94" s="20">
        <f t="shared" si="102"/>
        <v>21.141377469985425</v>
      </c>
      <c r="AF94" s="20">
        <f t="shared" si="102"/>
        <v>0</v>
      </c>
      <c r="AG94" s="20">
        <f t="shared" si="102"/>
        <v>0</v>
      </c>
      <c r="AH94" s="20">
        <f t="shared" si="102"/>
        <v>0</v>
      </c>
      <c r="AI94" s="20">
        <f t="shared" si="103"/>
        <v>19.549520571891502</v>
      </c>
      <c r="AJ94" s="20">
        <f t="shared" si="103"/>
        <v>0</v>
      </c>
      <c r="AK94" s="20">
        <f t="shared" si="103"/>
        <v>0</v>
      </c>
      <c r="AL94" s="20">
        <f t="shared" si="103"/>
        <v>0</v>
      </c>
      <c r="AM94" s="20">
        <f t="shared" si="104"/>
        <v>19.549520571891502</v>
      </c>
      <c r="AO94">
        <f t="shared" si="105"/>
        <v>2.9680028343041118</v>
      </c>
      <c r="AP94">
        <f t="shared" si="105"/>
        <v>0</v>
      </c>
      <c r="AQ94">
        <f t="shared" si="105"/>
        <v>0</v>
      </c>
      <c r="AR94">
        <f t="shared" si="105"/>
        <v>0</v>
      </c>
      <c r="AS94">
        <f t="shared" si="106"/>
        <v>2.9680028343041118</v>
      </c>
      <c r="AU94">
        <f t="shared" si="107"/>
        <v>27.877616335517281</v>
      </c>
      <c r="AV94">
        <f t="shared" si="107"/>
        <v>0</v>
      </c>
      <c r="AW94">
        <f t="shared" si="107"/>
        <v>0</v>
      </c>
      <c r="AX94">
        <f t="shared" si="107"/>
        <v>0</v>
      </c>
      <c r="AY94">
        <f t="shared" si="108"/>
        <v>27.877616335517281</v>
      </c>
    </row>
    <row r="95" spans="1:53" ht="15" x14ac:dyDescent="0.25">
      <c r="A95" s="1"/>
      <c r="B95" s="2"/>
      <c r="C95" s="1" t="s">
        <v>10</v>
      </c>
      <c r="D95">
        <v>0</v>
      </c>
      <c r="E95" s="360"/>
      <c r="F95">
        <v>0</v>
      </c>
      <c r="G95">
        <v>0</v>
      </c>
      <c r="H95">
        <v>0</v>
      </c>
      <c r="J95">
        <v>0</v>
      </c>
      <c r="K95">
        <v>0</v>
      </c>
      <c r="L95">
        <v>0</v>
      </c>
      <c r="M95">
        <v>0</v>
      </c>
      <c r="N95">
        <v>0</v>
      </c>
      <c r="O95" s="20"/>
      <c r="P95" s="20"/>
      <c r="Q95" s="438"/>
      <c r="R95" s="197">
        <v>0.66599999999999993</v>
      </c>
      <c r="S95" s="197">
        <v>4.5549999999999997</v>
      </c>
      <c r="T95" s="197">
        <v>0.60039794540960334</v>
      </c>
      <c r="U95" s="197">
        <v>0.90789473684210531</v>
      </c>
      <c r="V95" s="20">
        <f t="shared" si="99"/>
        <v>0</v>
      </c>
      <c r="W95" s="20">
        <f t="shared" si="99"/>
        <v>0</v>
      </c>
      <c r="X95" s="20">
        <f t="shared" si="99"/>
        <v>0</v>
      </c>
      <c r="Y95" s="20">
        <f t="shared" si="99"/>
        <v>0</v>
      </c>
      <c r="Z95" s="20">
        <f t="shared" si="100"/>
        <v>0</v>
      </c>
      <c r="AA95" s="20">
        <f t="shared" si="100"/>
        <v>0</v>
      </c>
      <c r="AB95" s="20">
        <f t="shared" si="100"/>
        <v>0</v>
      </c>
      <c r="AC95" s="20">
        <f t="shared" si="100"/>
        <v>0</v>
      </c>
      <c r="AD95" s="20">
        <f t="shared" si="101"/>
        <v>0</v>
      </c>
      <c r="AE95" s="20">
        <f t="shared" si="102"/>
        <v>0</v>
      </c>
      <c r="AF95" s="20">
        <f t="shared" si="102"/>
        <v>0</v>
      </c>
      <c r="AG95" s="20">
        <f t="shared" si="102"/>
        <v>0</v>
      </c>
      <c r="AH95" s="20">
        <f t="shared" si="102"/>
        <v>0</v>
      </c>
      <c r="AI95" s="20">
        <f t="shared" si="103"/>
        <v>0</v>
      </c>
      <c r="AJ95" s="20">
        <f t="shared" si="103"/>
        <v>0</v>
      </c>
      <c r="AK95" s="20">
        <f t="shared" si="103"/>
        <v>0</v>
      </c>
      <c r="AL95" s="20">
        <f t="shared" si="103"/>
        <v>0</v>
      </c>
      <c r="AM95" s="20">
        <f t="shared" si="104"/>
        <v>0</v>
      </c>
      <c r="AO95">
        <f t="shared" si="105"/>
        <v>0</v>
      </c>
      <c r="AP95">
        <f t="shared" si="105"/>
        <v>0</v>
      </c>
      <c r="AQ95">
        <f t="shared" si="105"/>
        <v>0</v>
      </c>
      <c r="AR95">
        <f t="shared" si="105"/>
        <v>0</v>
      </c>
      <c r="AS95">
        <f t="shared" si="106"/>
        <v>0</v>
      </c>
      <c r="AU95">
        <f t="shared" si="107"/>
        <v>0</v>
      </c>
      <c r="AV95">
        <f t="shared" si="107"/>
        <v>0</v>
      </c>
      <c r="AW95">
        <f t="shared" si="107"/>
        <v>0</v>
      </c>
      <c r="AX95">
        <f t="shared" si="107"/>
        <v>0</v>
      </c>
      <c r="AY95">
        <f t="shared" si="108"/>
        <v>0</v>
      </c>
    </row>
    <row r="96" spans="1:53" ht="15" x14ac:dyDescent="0.25">
      <c r="A96" s="1"/>
      <c r="B96" s="2"/>
      <c r="C96" s="1" t="s">
        <v>11</v>
      </c>
      <c r="D96">
        <v>0</v>
      </c>
      <c r="E96" s="360">
        <v>104.04470000000001</v>
      </c>
      <c r="F96">
        <v>0</v>
      </c>
      <c r="G96">
        <v>0</v>
      </c>
      <c r="H96">
        <v>0</v>
      </c>
      <c r="J96">
        <v>0</v>
      </c>
      <c r="K96">
        <v>0</v>
      </c>
      <c r="L96">
        <v>0</v>
      </c>
      <c r="M96">
        <v>0</v>
      </c>
      <c r="N96">
        <v>0</v>
      </c>
      <c r="O96" s="20"/>
      <c r="P96" s="20"/>
      <c r="Q96" s="438">
        <v>4.7148607526874289E-2</v>
      </c>
      <c r="R96" s="197">
        <v>0.66599999999999993</v>
      </c>
      <c r="S96" s="197">
        <v>4.5549999999999997</v>
      </c>
      <c r="T96" s="197">
        <v>0.60039794540960334</v>
      </c>
      <c r="U96" s="197">
        <v>0.90789473684210531</v>
      </c>
      <c r="V96" s="20">
        <f t="shared" si="99"/>
        <v>32.671047752172171</v>
      </c>
      <c r="W96" s="20">
        <f t="shared" si="99"/>
        <v>0</v>
      </c>
      <c r="X96" s="20">
        <f t="shared" si="99"/>
        <v>0</v>
      </c>
      <c r="Y96" s="20">
        <f t="shared" si="99"/>
        <v>0</v>
      </c>
      <c r="Z96" s="20">
        <f t="shared" si="100"/>
        <v>21.998279715714251</v>
      </c>
      <c r="AA96" s="20">
        <f t="shared" si="100"/>
        <v>0</v>
      </c>
      <c r="AB96" s="20">
        <f t="shared" si="100"/>
        <v>0</v>
      </c>
      <c r="AC96" s="20">
        <f t="shared" si="100"/>
        <v>0</v>
      </c>
      <c r="AD96" s="20">
        <f t="shared" si="101"/>
        <v>21.998279715714251</v>
      </c>
      <c r="AE96" s="20">
        <f t="shared" si="102"/>
        <v>223.44838214886525</v>
      </c>
      <c r="AF96" s="20">
        <f t="shared" si="102"/>
        <v>0</v>
      </c>
      <c r="AG96" s="20">
        <f t="shared" si="102"/>
        <v>0</v>
      </c>
      <c r="AH96" s="20">
        <f t="shared" si="102"/>
        <v>0</v>
      </c>
      <c r="AI96" s="20">
        <f t="shared" si="103"/>
        <v>206.62365779036097</v>
      </c>
      <c r="AJ96" s="20">
        <f t="shared" si="103"/>
        <v>0</v>
      </c>
      <c r="AK96" s="20">
        <f t="shared" si="103"/>
        <v>0</v>
      </c>
      <c r="AL96" s="20">
        <f t="shared" si="103"/>
        <v>0</v>
      </c>
      <c r="AM96" s="20">
        <f t="shared" si="104"/>
        <v>206.62365779036097</v>
      </c>
      <c r="AO96">
        <f t="shared" si="105"/>
        <v>31.36954687460852</v>
      </c>
      <c r="AP96">
        <f t="shared" si="105"/>
        <v>0</v>
      </c>
      <c r="AQ96">
        <f t="shared" si="105"/>
        <v>0</v>
      </c>
      <c r="AR96">
        <f t="shared" si="105"/>
        <v>0</v>
      </c>
      <c r="AS96">
        <f t="shared" si="106"/>
        <v>31.36954687460852</v>
      </c>
      <c r="AU96">
        <f t="shared" si="107"/>
        <v>294.64533600905474</v>
      </c>
      <c r="AV96">
        <f t="shared" si="107"/>
        <v>0</v>
      </c>
      <c r="AW96">
        <f t="shared" si="107"/>
        <v>0</v>
      </c>
      <c r="AX96">
        <f t="shared" si="107"/>
        <v>0</v>
      </c>
      <c r="AY96">
        <f t="shared" si="108"/>
        <v>294.64533600905474</v>
      </c>
    </row>
    <row r="97" spans="1:53" ht="15" x14ac:dyDescent="0.25">
      <c r="A97" s="1"/>
      <c r="B97" s="2"/>
      <c r="C97" s="1" t="s">
        <v>12</v>
      </c>
      <c r="D97">
        <v>0</v>
      </c>
      <c r="E97" s="360">
        <v>0</v>
      </c>
      <c r="F97">
        <v>0</v>
      </c>
      <c r="G97">
        <v>0</v>
      </c>
      <c r="H9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20"/>
      <c r="P97" s="20"/>
      <c r="Q97" s="438"/>
      <c r="R97" s="197">
        <v>0.66599999999999993</v>
      </c>
      <c r="S97" s="197">
        <v>4.5549999999999997</v>
      </c>
      <c r="T97" s="197">
        <v>0.60039794540960334</v>
      </c>
      <c r="U97" s="197">
        <v>0.90789473684210531</v>
      </c>
      <c r="V97" s="20">
        <f t="shared" si="99"/>
        <v>0</v>
      </c>
      <c r="W97" s="20">
        <f t="shared" si="99"/>
        <v>0</v>
      </c>
      <c r="X97" s="20">
        <f t="shared" si="99"/>
        <v>0</v>
      </c>
      <c r="Y97" s="20">
        <f t="shared" si="99"/>
        <v>0</v>
      </c>
      <c r="Z97" s="20">
        <f t="shared" si="100"/>
        <v>0</v>
      </c>
      <c r="AA97" s="20">
        <f t="shared" si="100"/>
        <v>0</v>
      </c>
      <c r="AB97" s="20">
        <f t="shared" si="100"/>
        <v>0</v>
      </c>
      <c r="AC97" s="20">
        <f t="shared" si="100"/>
        <v>0</v>
      </c>
      <c r="AD97" s="20">
        <f t="shared" si="101"/>
        <v>0</v>
      </c>
      <c r="AE97" s="20">
        <f t="shared" si="102"/>
        <v>0</v>
      </c>
      <c r="AF97" s="20">
        <f t="shared" si="102"/>
        <v>0</v>
      </c>
      <c r="AG97" s="20">
        <f t="shared" si="102"/>
        <v>0</v>
      </c>
      <c r="AH97" s="20">
        <f t="shared" si="102"/>
        <v>0</v>
      </c>
      <c r="AI97" s="20">
        <f t="shared" si="103"/>
        <v>0</v>
      </c>
      <c r="AJ97" s="20">
        <f t="shared" si="103"/>
        <v>0</v>
      </c>
      <c r="AK97" s="20">
        <f t="shared" si="103"/>
        <v>0</v>
      </c>
      <c r="AL97" s="20">
        <f t="shared" si="103"/>
        <v>0</v>
      </c>
      <c r="AM97" s="20">
        <f t="shared" si="104"/>
        <v>0</v>
      </c>
      <c r="AO97">
        <f t="shared" si="105"/>
        <v>0</v>
      </c>
      <c r="AP97">
        <f t="shared" si="105"/>
        <v>0</v>
      </c>
      <c r="AQ97">
        <f t="shared" si="105"/>
        <v>0</v>
      </c>
      <c r="AR97">
        <f t="shared" si="105"/>
        <v>0</v>
      </c>
      <c r="AS97">
        <f t="shared" si="106"/>
        <v>0</v>
      </c>
      <c r="AU97">
        <f t="shared" si="107"/>
        <v>0</v>
      </c>
      <c r="AV97">
        <f t="shared" si="107"/>
        <v>0</v>
      </c>
      <c r="AW97">
        <f t="shared" si="107"/>
        <v>0</v>
      </c>
      <c r="AX97">
        <f t="shared" si="107"/>
        <v>0</v>
      </c>
      <c r="AY97">
        <f t="shared" si="108"/>
        <v>0</v>
      </c>
    </row>
    <row r="98" spans="1:53" ht="15" x14ac:dyDescent="0.25">
      <c r="A98" s="1"/>
      <c r="B98" s="2"/>
      <c r="C98" s="1" t="s">
        <v>13</v>
      </c>
      <c r="D98">
        <v>0</v>
      </c>
      <c r="E98" s="360">
        <v>1.4752000000000001</v>
      </c>
      <c r="F98">
        <v>0</v>
      </c>
      <c r="G98">
        <v>0</v>
      </c>
      <c r="H98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20"/>
      <c r="P98" s="20"/>
      <c r="Q98" s="438">
        <v>4.7148607526874289E-2</v>
      </c>
      <c r="R98" s="197">
        <v>0.66599999999999993</v>
      </c>
      <c r="S98" s="197">
        <v>4.5549999999999997</v>
      </c>
      <c r="T98" s="197">
        <v>0.60039794540960334</v>
      </c>
      <c r="U98" s="197">
        <v>0.90789473684210531</v>
      </c>
      <c r="V98" s="20">
        <f t="shared" si="99"/>
        <v>0.46322714798547537</v>
      </c>
      <c r="W98" s="20">
        <f t="shared" si="99"/>
        <v>0</v>
      </c>
      <c r="X98" s="20">
        <f t="shared" si="99"/>
        <v>0</v>
      </c>
      <c r="Y98" s="20">
        <f t="shared" si="99"/>
        <v>0</v>
      </c>
      <c r="Z98" s="20">
        <f t="shared" si="100"/>
        <v>0.31190307854817845</v>
      </c>
      <c r="AA98" s="20">
        <f t="shared" si="100"/>
        <v>0</v>
      </c>
      <c r="AB98" s="20">
        <f t="shared" si="100"/>
        <v>0</v>
      </c>
      <c r="AC98" s="20">
        <f t="shared" si="100"/>
        <v>0</v>
      </c>
      <c r="AD98" s="20">
        <f t="shared" si="101"/>
        <v>0.31190307854817845</v>
      </c>
      <c r="AE98" s="20">
        <f t="shared" si="102"/>
        <v>3.1681676562670273</v>
      </c>
      <c r="AF98" s="20">
        <f t="shared" si="102"/>
        <v>0</v>
      </c>
      <c r="AG98" s="20">
        <f t="shared" si="102"/>
        <v>0</v>
      </c>
      <c r="AH98" s="20">
        <f t="shared" si="102"/>
        <v>0</v>
      </c>
      <c r="AI98" s="20">
        <f t="shared" si="103"/>
        <v>2.9296179427913236</v>
      </c>
      <c r="AJ98" s="20">
        <f t="shared" si="103"/>
        <v>0</v>
      </c>
      <c r="AK98" s="20">
        <f t="shared" si="103"/>
        <v>0</v>
      </c>
      <c r="AL98" s="20">
        <f t="shared" si="103"/>
        <v>0</v>
      </c>
      <c r="AM98" s="20">
        <f t="shared" si="104"/>
        <v>2.9296179427913236</v>
      </c>
      <c r="AO98">
        <f t="shared" si="105"/>
        <v>0.44477379000970246</v>
      </c>
      <c r="AP98">
        <f t="shared" si="105"/>
        <v>0</v>
      </c>
      <c r="AQ98">
        <f t="shared" si="105"/>
        <v>0</v>
      </c>
      <c r="AR98">
        <f t="shared" si="105"/>
        <v>0</v>
      </c>
      <c r="AS98">
        <f t="shared" si="106"/>
        <v>0.44477379000970246</v>
      </c>
      <c r="AU98">
        <f t="shared" si="107"/>
        <v>4.1776351864204271</v>
      </c>
      <c r="AV98">
        <f t="shared" si="107"/>
        <v>0</v>
      </c>
      <c r="AW98">
        <f t="shared" si="107"/>
        <v>0</v>
      </c>
      <c r="AX98">
        <f t="shared" si="107"/>
        <v>0</v>
      </c>
      <c r="AY98">
        <f t="shared" si="108"/>
        <v>4.1776351864204271</v>
      </c>
    </row>
    <row r="99" spans="1:53" ht="15" x14ac:dyDescent="0.25">
      <c r="A99" s="7"/>
      <c r="B99" s="8" t="s">
        <v>14</v>
      </c>
      <c r="C99" s="7"/>
      <c r="D99" s="357">
        <f t="shared" ref="D99:H99" si="109">SUM(D93:D98)</f>
        <v>0</v>
      </c>
      <c r="E99" s="363">
        <f>SUM(E93:E98)</f>
        <v>270.21899999999994</v>
      </c>
      <c r="F99" s="357">
        <f t="shared" si="109"/>
        <v>0</v>
      </c>
      <c r="G99" s="357">
        <f t="shared" si="109"/>
        <v>0</v>
      </c>
      <c r="H99" s="357">
        <f t="shared" si="109"/>
        <v>0</v>
      </c>
      <c r="J99">
        <v>0</v>
      </c>
      <c r="K99">
        <v>0</v>
      </c>
      <c r="L99">
        <v>0</v>
      </c>
      <c r="M99">
        <v>0</v>
      </c>
      <c r="N99">
        <v>0</v>
      </c>
      <c r="O99" s="20"/>
      <c r="P99" s="20"/>
      <c r="Q99" s="438">
        <v>3.0293356842511825E-2</v>
      </c>
      <c r="R99" s="197"/>
      <c r="S99" s="197"/>
      <c r="T99" s="197"/>
      <c r="U99" s="197"/>
      <c r="BA99" s="319">
        <f>(E99*10000*Q99*AU$10)</f>
        <v>116730.08685085677</v>
      </c>
    </row>
    <row r="100" spans="1:53" ht="15" x14ac:dyDescent="0.25">
      <c r="A100" s="10"/>
      <c r="B100" s="9" t="s">
        <v>15</v>
      </c>
      <c r="C100" s="5"/>
      <c r="E100" s="363">
        <f>SUM(E99)</f>
        <v>270.21899999999994</v>
      </c>
      <c r="H100" s="358">
        <f>SUM(D99:H99)</f>
        <v>270.21899999999994</v>
      </c>
      <c r="K100" s="14"/>
      <c r="N100">
        <v>0</v>
      </c>
      <c r="O100" s="20"/>
      <c r="P100" s="20"/>
      <c r="Q100" s="438"/>
      <c r="R100" s="197"/>
      <c r="S100" s="197"/>
      <c r="T100" s="197"/>
      <c r="U100" s="197"/>
    </row>
    <row r="101" spans="1:53" ht="15.75" x14ac:dyDescent="0.25">
      <c r="A101" s="1"/>
      <c r="B101" s="2"/>
      <c r="C101" s="1"/>
      <c r="E101" s="361"/>
      <c r="K101" s="14"/>
      <c r="O101" s="20"/>
      <c r="P101" s="20"/>
      <c r="Q101" s="439"/>
      <c r="R101" s="197"/>
      <c r="S101" s="197"/>
      <c r="T101" s="197"/>
      <c r="U101" s="197"/>
    </row>
    <row r="102" spans="1:53" ht="15" x14ac:dyDescent="0.25">
      <c r="A102" s="1">
        <v>11</v>
      </c>
      <c r="B102" s="2" t="s">
        <v>25</v>
      </c>
      <c r="C102" s="1" t="s">
        <v>8</v>
      </c>
      <c r="D102">
        <v>0</v>
      </c>
      <c r="E102" s="360">
        <v>9.1846999999999994</v>
      </c>
      <c r="F102">
        <v>0</v>
      </c>
      <c r="G102">
        <v>0</v>
      </c>
      <c r="H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 s="20"/>
      <c r="P102" s="20"/>
      <c r="Q102" s="438">
        <v>1.8537151881718575E-2</v>
      </c>
      <c r="R102" s="197">
        <v>0.14000000000000001</v>
      </c>
      <c r="S102" s="197">
        <v>2.0499999999999998</v>
      </c>
      <c r="T102" s="197">
        <v>0.62857142857142845</v>
      </c>
      <c r="U102" s="197">
        <v>0.90789473684210531</v>
      </c>
      <c r="V102" s="20">
        <f t="shared" ref="V102:Y107" si="110">IF(K102&gt;0,((E102-K102)*$Q102*$R102*10)+(K102*$O$12*$Q102*$R102*10),(E102*$Q102*$R102*10))</f>
        <v>0.23836145044322885</v>
      </c>
      <c r="W102" s="20">
        <f t="shared" si="110"/>
        <v>0</v>
      </c>
      <c r="X102" s="20">
        <f t="shared" si="110"/>
        <v>0</v>
      </c>
      <c r="Y102" s="20">
        <f t="shared" si="110"/>
        <v>0</v>
      </c>
      <c r="Z102" s="20">
        <f t="shared" ref="Z102:AC107" si="111">V102*(EXP(1.01-0.34*LN(Z$8))*(1-$T102)+(1*$T102))</f>
        <v>0.1659849428719701</v>
      </c>
      <c r="AA102" s="20">
        <f t="shared" si="111"/>
        <v>0</v>
      </c>
      <c r="AB102" s="20">
        <f t="shared" si="111"/>
        <v>0</v>
      </c>
      <c r="AC102" s="20">
        <f t="shared" si="111"/>
        <v>0</v>
      </c>
      <c r="AD102" s="20">
        <f t="shared" ref="AD102:AD107" si="112">SUM(Z102:AC102)</f>
        <v>0.1659849428719701</v>
      </c>
      <c r="AE102" s="20">
        <f t="shared" ref="AE102:AH107" si="113">IF(K102&gt;0,((E102-K102)*$Q102*$S102*10)+(K102*$P$12*$Q102*$S102)*10,(E102*$Q102*$S102*10))</f>
        <v>3.4902926672044217</v>
      </c>
      <c r="AF102" s="20">
        <f t="shared" si="113"/>
        <v>0</v>
      </c>
      <c r="AG102" s="20">
        <f t="shared" si="113"/>
        <v>0</v>
      </c>
      <c r="AH102" s="20">
        <f t="shared" si="113"/>
        <v>0</v>
      </c>
      <c r="AI102" s="20">
        <f t="shared" ref="AI102:AL107" si="114">AE102*(EXP(1.01-0.34*LN(AI$8))*(1-$U102)+(1*$U102))</f>
        <v>3.2274882938118199</v>
      </c>
      <c r="AJ102" s="20">
        <f t="shared" si="114"/>
        <v>0</v>
      </c>
      <c r="AK102" s="20">
        <f t="shared" si="114"/>
        <v>0</v>
      </c>
      <c r="AL102" s="20">
        <f t="shared" si="114"/>
        <v>0</v>
      </c>
      <c r="AM102" s="20">
        <f t="shared" ref="AM102:AM107" si="115">SUM(AI102:AL102)</f>
        <v>3.2274882938118199</v>
      </c>
      <c r="AO102">
        <f t="shared" ref="AO102:AR107" si="116">Z102*AO$10</f>
        <v>0.23669452853542935</v>
      </c>
      <c r="AP102">
        <f t="shared" si="116"/>
        <v>0</v>
      </c>
      <c r="AQ102">
        <f t="shared" si="116"/>
        <v>0</v>
      </c>
      <c r="AR102">
        <f t="shared" si="116"/>
        <v>0</v>
      </c>
      <c r="AS102">
        <f t="shared" ref="AS102:AS107" si="117">SUM(AO102:AR102)</f>
        <v>0.23669452853542935</v>
      </c>
      <c r="AU102">
        <f t="shared" ref="AU102:AX107" si="118">AI102*AU$10</f>
        <v>4.6023983069756547</v>
      </c>
      <c r="AV102">
        <f t="shared" si="118"/>
        <v>0</v>
      </c>
      <c r="AW102">
        <f t="shared" si="118"/>
        <v>0</v>
      </c>
      <c r="AX102">
        <f t="shared" si="118"/>
        <v>0</v>
      </c>
      <c r="AY102">
        <f t="shared" ref="AY102:AY107" si="119">SUM(AU102:AX102)</f>
        <v>4.6023983069756547</v>
      </c>
    </row>
    <row r="103" spans="1:53" ht="15" x14ac:dyDescent="0.25">
      <c r="A103" s="1"/>
      <c r="B103" s="2"/>
      <c r="C103" s="1" t="s">
        <v>9</v>
      </c>
      <c r="D103">
        <v>0</v>
      </c>
      <c r="E103" s="360">
        <v>0</v>
      </c>
      <c r="F103">
        <v>0</v>
      </c>
      <c r="G103">
        <v>0</v>
      </c>
      <c r="H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 s="20"/>
      <c r="P103" s="20"/>
      <c r="Q103" s="438"/>
      <c r="R103" s="197">
        <v>0.14000000000000001</v>
      </c>
      <c r="S103" s="197">
        <v>2.0499999999999998</v>
      </c>
      <c r="T103" s="197">
        <v>0.62857142857142845</v>
      </c>
      <c r="U103" s="197">
        <v>0.90789473684210531</v>
      </c>
      <c r="V103" s="20">
        <f t="shared" si="110"/>
        <v>0</v>
      </c>
      <c r="W103" s="20">
        <f t="shared" si="110"/>
        <v>0</v>
      </c>
      <c r="X103" s="20">
        <f t="shared" si="110"/>
        <v>0</v>
      </c>
      <c r="Y103" s="20">
        <f t="shared" si="110"/>
        <v>0</v>
      </c>
      <c r="Z103" s="20">
        <f t="shared" si="111"/>
        <v>0</v>
      </c>
      <c r="AA103" s="20">
        <f t="shared" si="111"/>
        <v>0</v>
      </c>
      <c r="AB103" s="20">
        <f t="shared" si="111"/>
        <v>0</v>
      </c>
      <c r="AC103" s="20">
        <f t="shared" si="111"/>
        <v>0</v>
      </c>
      <c r="AD103" s="20">
        <f t="shared" si="112"/>
        <v>0</v>
      </c>
      <c r="AE103" s="20">
        <f t="shared" si="113"/>
        <v>0</v>
      </c>
      <c r="AF103" s="20">
        <f t="shared" si="113"/>
        <v>0</v>
      </c>
      <c r="AG103" s="20">
        <f t="shared" si="113"/>
        <v>0</v>
      </c>
      <c r="AH103" s="20">
        <f t="shared" si="113"/>
        <v>0</v>
      </c>
      <c r="AI103" s="20">
        <f t="shared" si="114"/>
        <v>0</v>
      </c>
      <c r="AJ103" s="20">
        <f t="shared" si="114"/>
        <v>0</v>
      </c>
      <c r="AK103" s="20">
        <f t="shared" si="114"/>
        <v>0</v>
      </c>
      <c r="AL103" s="20">
        <f t="shared" si="114"/>
        <v>0</v>
      </c>
      <c r="AM103" s="20">
        <f t="shared" si="115"/>
        <v>0</v>
      </c>
      <c r="AO103">
        <f t="shared" si="116"/>
        <v>0</v>
      </c>
      <c r="AP103">
        <f t="shared" si="116"/>
        <v>0</v>
      </c>
      <c r="AQ103">
        <f t="shared" si="116"/>
        <v>0</v>
      </c>
      <c r="AR103">
        <f t="shared" si="116"/>
        <v>0</v>
      </c>
      <c r="AS103">
        <f t="shared" si="117"/>
        <v>0</v>
      </c>
      <c r="AU103">
        <f t="shared" si="118"/>
        <v>0</v>
      </c>
      <c r="AV103">
        <f t="shared" si="118"/>
        <v>0</v>
      </c>
      <c r="AW103">
        <f t="shared" si="118"/>
        <v>0</v>
      </c>
      <c r="AX103">
        <f t="shared" si="118"/>
        <v>0</v>
      </c>
      <c r="AY103">
        <f t="shared" si="119"/>
        <v>0</v>
      </c>
    </row>
    <row r="104" spans="1:53" ht="15" x14ac:dyDescent="0.25">
      <c r="A104" s="1"/>
      <c r="B104" s="2"/>
      <c r="C104" s="1" t="s">
        <v>10</v>
      </c>
      <c r="D104">
        <v>0</v>
      </c>
      <c r="E104" s="360">
        <v>0</v>
      </c>
      <c r="F104">
        <v>0</v>
      </c>
      <c r="G104">
        <v>0</v>
      </c>
      <c r="H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 s="20"/>
      <c r="P104" s="20"/>
      <c r="Q104" s="438"/>
      <c r="R104" s="197">
        <v>0.14000000000000001</v>
      </c>
      <c r="S104" s="197">
        <v>2.0499999999999998</v>
      </c>
      <c r="T104" s="197">
        <v>0.62857142857142845</v>
      </c>
      <c r="U104" s="197">
        <v>0.90789473684210531</v>
      </c>
      <c r="V104" s="20">
        <f t="shared" si="110"/>
        <v>0</v>
      </c>
      <c r="W104" s="20">
        <f t="shared" si="110"/>
        <v>0</v>
      </c>
      <c r="X104" s="20">
        <f t="shared" si="110"/>
        <v>0</v>
      </c>
      <c r="Y104" s="20">
        <f t="shared" si="110"/>
        <v>0</v>
      </c>
      <c r="Z104" s="20">
        <f t="shared" si="111"/>
        <v>0</v>
      </c>
      <c r="AA104" s="20">
        <f t="shared" si="111"/>
        <v>0</v>
      </c>
      <c r="AB104" s="20">
        <f t="shared" si="111"/>
        <v>0</v>
      </c>
      <c r="AC104" s="20">
        <f t="shared" si="111"/>
        <v>0</v>
      </c>
      <c r="AD104" s="20">
        <f t="shared" si="112"/>
        <v>0</v>
      </c>
      <c r="AE104" s="20">
        <f t="shared" si="113"/>
        <v>0</v>
      </c>
      <c r="AF104" s="20">
        <f t="shared" si="113"/>
        <v>0</v>
      </c>
      <c r="AG104" s="20">
        <f t="shared" si="113"/>
        <v>0</v>
      </c>
      <c r="AH104" s="20">
        <f t="shared" si="113"/>
        <v>0</v>
      </c>
      <c r="AI104" s="20">
        <f t="shared" si="114"/>
        <v>0</v>
      </c>
      <c r="AJ104" s="20">
        <f t="shared" si="114"/>
        <v>0</v>
      </c>
      <c r="AK104" s="20">
        <f t="shared" si="114"/>
        <v>0</v>
      </c>
      <c r="AL104" s="20">
        <f t="shared" si="114"/>
        <v>0</v>
      </c>
      <c r="AM104" s="20">
        <f t="shared" si="115"/>
        <v>0</v>
      </c>
      <c r="AO104">
        <f t="shared" si="116"/>
        <v>0</v>
      </c>
      <c r="AP104">
        <f t="shared" si="116"/>
        <v>0</v>
      </c>
      <c r="AQ104">
        <f t="shared" si="116"/>
        <v>0</v>
      </c>
      <c r="AR104">
        <f t="shared" si="116"/>
        <v>0</v>
      </c>
      <c r="AS104">
        <f t="shared" si="117"/>
        <v>0</v>
      </c>
      <c r="AU104">
        <f t="shared" si="118"/>
        <v>0</v>
      </c>
      <c r="AV104">
        <f t="shared" si="118"/>
        <v>0</v>
      </c>
      <c r="AW104">
        <f t="shared" si="118"/>
        <v>0</v>
      </c>
      <c r="AX104">
        <f t="shared" si="118"/>
        <v>0</v>
      </c>
      <c r="AY104">
        <f t="shared" si="119"/>
        <v>0</v>
      </c>
    </row>
    <row r="105" spans="1:53" ht="15" x14ac:dyDescent="0.25">
      <c r="A105" s="1"/>
      <c r="B105" s="2"/>
      <c r="C105" s="1" t="s">
        <v>11</v>
      </c>
      <c r="D105">
        <v>0</v>
      </c>
      <c r="E105" s="360">
        <v>6.8169999999999994E-2</v>
      </c>
      <c r="F105">
        <v>0</v>
      </c>
      <c r="G105">
        <v>0</v>
      </c>
      <c r="H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 s="20"/>
      <c r="P105" s="20"/>
      <c r="Q105" s="438">
        <v>4.7148607526874289E-2</v>
      </c>
      <c r="R105" s="197">
        <v>0.14000000000000001</v>
      </c>
      <c r="S105" s="197">
        <v>2.0499999999999998</v>
      </c>
      <c r="T105" s="197">
        <v>0.62857142857142845</v>
      </c>
      <c r="U105" s="197">
        <v>0.90789473684210531</v>
      </c>
      <c r="V105" s="20">
        <f t="shared" si="110"/>
        <v>4.4997688051498282E-3</v>
      </c>
      <c r="W105" s="20">
        <f t="shared" si="110"/>
        <v>0</v>
      </c>
      <c r="X105" s="20">
        <f t="shared" si="110"/>
        <v>0</v>
      </c>
      <c r="Y105" s="20">
        <f t="shared" si="110"/>
        <v>0</v>
      </c>
      <c r="Z105" s="20">
        <f t="shared" si="111"/>
        <v>3.1334507600580199E-3</v>
      </c>
      <c r="AA105" s="20">
        <f t="shared" si="111"/>
        <v>0</v>
      </c>
      <c r="AB105" s="20">
        <f t="shared" si="111"/>
        <v>0</v>
      </c>
      <c r="AC105" s="20">
        <f t="shared" si="111"/>
        <v>0</v>
      </c>
      <c r="AD105" s="20">
        <f t="shared" si="112"/>
        <v>3.1334507600580199E-3</v>
      </c>
      <c r="AE105" s="20">
        <f t="shared" si="113"/>
        <v>6.5889471789693912E-2</v>
      </c>
      <c r="AF105" s="20">
        <f t="shared" si="113"/>
        <v>0</v>
      </c>
      <c r="AG105" s="20">
        <f t="shared" si="113"/>
        <v>0</v>
      </c>
      <c r="AH105" s="20">
        <f t="shared" si="113"/>
        <v>0</v>
      </c>
      <c r="AI105" s="20">
        <f t="shared" si="114"/>
        <v>6.0928271398229476E-2</v>
      </c>
      <c r="AJ105" s="20">
        <f t="shared" si="114"/>
        <v>0</v>
      </c>
      <c r="AK105" s="20">
        <f t="shared" si="114"/>
        <v>0</v>
      </c>
      <c r="AL105" s="20">
        <f t="shared" si="114"/>
        <v>0</v>
      </c>
      <c r="AM105" s="20">
        <f t="shared" si="115"/>
        <v>6.0928271398229476E-2</v>
      </c>
      <c r="AO105">
        <f t="shared" si="116"/>
        <v>4.4683007838427361E-3</v>
      </c>
      <c r="AP105">
        <f t="shared" si="116"/>
        <v>0</v>
      </c>
      <c r="AQ105">
        <f t="shared" si="116"/>
        <v>0</v>
      </c>
      <c r="AR105">
        <f t="shared" si="116"/>
        <v>0</v>
      </c>
      <c r="AS105">
        <f t="shared" si="117"/>
        <v>4.4683007838427361E-3</v>
      </c>
      <c r="AU105">
        <f t="shared" si="118"/>
        <v>8.6883715013875235E-2</v>
      </c>
      <c r="AV105">
        <f t="shared" si="118"/>
        <v>0</v>
      </c>
      <c r="AW105">
        <f t="shared" si="118"/>
        <v>0</v>
      </c>
      <c r="AX105">
        <f t="shared" si="118"/>
        <v>0</v>
      </c>
      <c r="AY105">
        <f t="shared" si="119"/>
        <v>8.6883715013875235E-2</v>
      </c>
    </row>
    <row r="106" spans="1:53" ht="15" x14ac:dyDescent="0.25">
      <c r="A106" s="1"/>
      <c r="B106" s="2"/>
      <c r="C106" s="1" t="s">
        <v>12</v>
      </c>
      <c r="D106">
        <v>0</v>
      </c>
      <c r="E106" s="360">
        <v>0</v>
      </c>
      <c r="F106">
        <v>0</v>
      </c>
      <c r="G106">
        <v>0</v>
      </c>
      <c r="H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 s="20"/>
      <c r="P106" s="20"/>
      <c r="Q106" s="438"/>
      <c r="R106" s="197">
        <v>0.14000000000000001</v>
      </c>
      <c r="S106" s="197">
        <v>2.0499999999999998</v>
      </c>
      <c r="T106" s="197">
        <v>0.62857142857142845</v>
      </c>
      <c r="U106" s="197">
        <v>0.90789473684210531</v>
      </c>
      <c r="V106" s="20">
        <f t="shared" si="110"/>
        <v>0</v>
      </c>
      <c r="W106" s="20">
        <f t="shared" si="110"/>
        <v>0</v>
      </c>
      <c r="X106" s="20">
        <f t="shared" si="110"/>
        <v>0</v>
      </c>
      <c r="Y106" s="20">
        <f t="shared" si="110"/>
        <v>0</v>
      </c>
      <c r="Z106" s="20">
        <f t="shared" si="111"/>
        <v>0</v>
      </c>
      <c r="AA106" s="20">
        <f t="shared" si="111"/>
        <v>0</v>
      </c>
      <c r="AB106" s="20">
        <f t="shared" si="111"/>
        <v>0</v>
      </c>
      <c r="AC106" s="20">
        <f t="shared" si="111"/>
        <v>0</v>
      </c>
      <c r="AD106" s="20">
        <f t="shared" si="112"/>
        <v>0</v>
      </c>
      <c r="AE106" s="20">
        <f t="shared" si="113"/>
        <v>0</v>
      </c>
      <c r="AF106" s="20">
        <f t="shared" si="113"/>
        <v>0</v>
      </c>
      <c r="AG106" s="20">
        <f t="shared" si="113"/>
        <v>0</v>
      </c>
      <c r="AH106" s="20">
        <f t="shared" si="113"/>
        <v>0</v>
      </c>
      <c r="AI106" s="20">
        <f t="shared" si="114"/>
        <v>0</v>
      </c>
      <c r="AJ106" s="20">
        <f t="shared" si="114"/>
        <v>0</v>
      </c>
      <c r="AK106" s="20">
        <f t="shared" si="114"/>
        <v>0</v>
      </c>
      <c r="AL106" s="20">
        <f t="shared" si="114"/>
        <v>0</v>
      </c>
      <c r="AM106" s="20">
        <f t="shared" si="115"/>
        <v>0</v>
      </c>
      <c r="AO106">
        <f t="shared" si="116"/>
        <v>0</v>
      </c>
      <c r="AP106">
        <f t="shared" si="116"/>
        <v>0</v>
      </c>
      <c r="AQ106">
        <f t="shared" si="116"/>
        <v>0</v>
      </c>
      <c r="AR106">
        <f t="shared" si="116"/>
        <v>0</v>
      </c>
      <c r="AS106">
        <f t="shared" si="117"/>
        <v>0</v>
      </c>
      <c r="AU106">
        <f t="shared" si="118"/>
        <v>0</v>
      </c>
      <c r="AV106">
        <f t="shared" si="118"/>
        <v>0</v>
      </c>
      <c r="AW106">
        <f t="shared" si="118"/>
        <v>0</v>
      </c>
      <c r="AX106">
        <f t="shared" si="118"/>
        <v>0</v>
      </c>
      <c r="AY106">
        <f t="shared" si="119"/>
        <v>0</v>
      </c>
    </row>
    <row r="107" spans="1:53" ht="15" x14ac:dyDescent="0.25">
      <c r="A107" s="1"/>
      <c r="B107" s="2"/>
      <c r="C107" s="1" t="s">
        <v>13</v>
      </c>
      <c r="D107">
        <v>0</v>
      </c>
      <c r="E107" s="360">
        <v>2.5700000000000001E-2</v>
      </c>
      <c r="F107">
        <v>0</v>
      </c>
      <c r="G107">
        <v>0</v>
      </c>
      <c r="H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0"/>
      <c r="P107" s="20"/>
      <c r="Q107" s="438">
        <v>4.7148607526874296E-2</v>
      </c>
      <c r="R107" s="197">
        <v>0.14000000000000001</v>
      </c>
      <c r="S107" s="197">
        <v>2.0499999999999998</v>
      </c>
      <c r="T107" s="197">
        <v>0.62857142857142845</v>
      </c>
      <c r="U107" s="197">
        <v>0.90789473684210531</v>
      </c>
      <c r="V107" s="20">
        <f t="shared" si="110"/>
        <v>1.6964068988169375E-3</v>
      </c>
      <c r="W107" s="20">
        <f t="shared" si="110"/>
        <v>0</v>
      </c>
      <c r="X107" s="20">
        <f t="shared" si="110"/>
        <v>0</v>
      </c>
      <c r="Y107" s="20">
        <f t="shared" si="110"/>
        <v>0</v>
      </c>
      <c r="Z107" s="20">
        <f t="shared" si="111"/>
        <v>1.1813067996698128E-3</v>
      </c>
      <c r="AA107" s="20">
        <f t="shared" si="111"/>
        <v>0</v>
      </c>
      <c r="AB107" s="20">
        <f t="shared" si="111"/>
        <v>0</v>
      </c>
      <c r="AC107" s="20">
        <f t="shared" si="111"/>
        <v>0</v>
      </c>
      <c r="AD107" s="20">
        <f t="shared" si="112"/>
        <v>1.1813067996698128E-3</v>
      </c>
      <c r="AE107" s="20">
        <f t="shared" si="113"/>
        <v>2.4840243875533723E-2</v>
      </c>
      <c r="AF107" s="20">
        <f t="shared" si="113"/>
        <v>0</v>
      </c>
      <c r="AG107" s="20">
        <f t="shared" si="113"/>
        <v>0</v>
      </c>
      <c r="AH107" s="20">
        <f t="shared" si="113"/>
        <v>0</v>
      </c>
      <c r="AI107" s="20">
        <f t="shared" si="114"/>
        <v>2.2969877877871466E-2</v>
      </c>
      <c r="AJ107" s="20">
        <f t="shared" si="114"/>
        <v>0</v>
      </c>
      <c r="AK107" s="20">
        <f t="shared" si="114"/>
        <v>0</v>
      </c>
      <c r="AL107" s="20">
        <f t="shared" si="114"/>
        <v>0</v>
      </c>
      <c r="AM107" s="20">
        <f t="shared" si="115"/>
        <v>2.2969877877871466E-2</v>
      </c>
      <c r="AO107">
        <f t="shared" si="116"/>
        <v>1.6845434963291531E-3</v>
      </c>
      <c r="AP107">
        <f t="shared" si="116"/>
        <v>0</v>
      </c>
      <c r="AQ107">
        <f t="shared" si="116"/>
        <v>0</v>
      </c>
      <c r="AR107">
        <f t="shared" si="116"/>
        <v>0</v>
      </c>
      <c r="AS107">
        <f t="shared" si="117"/>
        <v>1.6845434963291531E-3</v>
      </c>
      <c r="AU107">
        <f t="shared" si="118"/>
        <v>3.2755045853844707E-2</v>
      </c>
      <c r="AV107">
        <f t="shared" si="118"/>
        <v>0</v>
      </c>
      <c r="AW107">
        <f t="shared" si="118"/>
        <v>0</v>
      </c>
      <c r="AX107">
        <f t="shared" si="118"/>
        <v>0</v>
      </c>
      <c r="AY107">
        <f t="shared" si="119"/>
        <v>3.2755045853844707E-2</v>
      </c>
    </row>
    <row r="108" spans="1:53" ht="15" x14ac:dyDescent="0.25">
      <c r="A108" s="7"/>
      <c r="B108" s="8" t="s">
        <v>14</v>
      </c>
      <c r="C108" s="7"/>
      <c r="D108" s="357">
        <f t="shared" ref="D108:H108" si="120">SUM(D102:D107)</f>
        <v>0</v>
      </c>
      <c r="E108" s="363">
        <f>SUM(E102:E107)</f>
        <v>9.2785700000000002</v>
      </c>
      <c r="F108" s="357">
        <f t="shared" si="120"/>
        <v>0</v>
      </c>
      <c r="G108" s="357">
        <f t="shared" si="120"/>
        <v>0</v>
      </c>
      <c r="H108" s="357">
        <f t="shared" si="120"/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 s="20"/>
      <c r="P108" s="20"/>
      <c r="Q108" s="438">
        <v>1.8826609992333758E-2</v>
      </c>
      <c r="R108" s="197"/>
      <c r="S108" s="197"/>
      <c r="T108" s="197"/>
      <c r="U108" s="197"/>
      <c r="BA108" s="319">
        <f>(E108*10000*Q108*AU$10)</f>
        <v>2490.9941063278629</v>
      </c>
    </row>
    <row r="109" spans="1:53" ht="15" x14ac:dyDescent="0.25">
      <c r="A109" s="10"/>
      <c r="B109" s="9" t="s">
        <v>15</v>
      </c>
      <c r="C109" s="5"/>
      <c r="E109" s="363">
        <f>SUM(E108)</f>
        <v>9.2785700000000002</v>
      </c>
      <c r="H109" s="358">
        <f>SUM(D108:H108)</f>
        <v>9.2785700000000002</v>
      </c>
      <c r="K109" s="14"/>
      <c r="N109">
        <v>0</v>
      </c>
      <c r="O109" s="20"/>
      <c r="P109" s="20"/>
      <c r="Q109" s="438"/>
      <c r="R109" s="197"/>
      <c r="S109" s="197"/>
      <c r="T109" s="197"/>
      <c r="U109" s="197"/>
    </row>
    <row r="110" spans="1:53" ht="15.75" x14ac:dyDescent="0.25">
      <c r="A110" s="1"/>
      <c r="B110" s="2"/>
      <c r="C110" s="1"/>
      <c r="E110" s="361"/>
      <c r="K110" s="14"/>
      <c r="O110" s="20"/>
      <c r="P110" s="20"/>
      <c r="Q110" s="439"/>
      <c r="R110" s="197"/>
      <c r="S110" s="197"/>
      <c r="T110" s="197"/>
      <c r="U110" s="197"/>
    </row>
    <row r="111" spans="1:53" ht="15" x14ac:dyDescent="0.25">
      <c r="A111" s="1">
        <v>12</v>
      </c>
      <c r="B111" s="2" t="s">
        <v>26</v>
      </c>
      <c r="C111" s="1" t="s">
        <v>8</v>
      </c>
      <c r="D111">
        <v>0</v>
      </c>
      <c r="E111" s="360"/>
      <c r="F111">
        <v>0</v>
      </c>
      <c r="G111">
        <v>0</v>
      </c>
      <c r="H111">
        <v>0</v>
      </c>
      <c r="J111">
        <v>0</v>
      </c>
      <c r="K111" s="14">
        <v>0</v>
      </c>
      <c r="L111">
        <v>0</v>
      </c>
      <c r="M111">
        <v>0</v>
      </c>
      <c r="N111">
        <v>0</v>
      </c>
      <c r="O111" s="20"/>
      <c r="P111" s="20"/>
      <c r="Q111" s="438"/>
      <c r="R111" s="197">
        <v>6.531704360902256</v>
      </c>
      <c r="S111" s="197">
        <v>78.227142857142866</v>
      </c>
      <c r="T111" s="197">
        <v>0.5825685654008439</v>
      </c>
      <c r="U111" s="197">
        <v>0.90789473684210531</v>
      </c>
      <c r="V111" s="20">
        <f t="shared" ref="V111:Y116" si="121">IF(K111&gt;0,((E111-K111)*$Q111*$R111*10)+(K111*$O$12*$Q111*$R111*10),(E111*$Q111*$R111*10))</f>
        <v>0</v>
      </c>
      <c r="W111" s="20">
        <f t="shared" si="121"/>
        <v>0</v>
      </c>
      <c r="X111" s="20">
        <f t="shared" si="121"/>
        <v>0</v>
      </c>
      <c r="Y111" s="20">
        <f t="shared" si="121"/>
        <v>0</v>
      </c>
      <c r="Z111" s="20">
        <f t="shared" ref="Z111:AC116" si="122">V111*(EXP(1.01-0.34*LN(Z$8))*(1-$T111)+(1*$T111))</f>
        <v>0</v>
      </c>
      <c r="AA111" s="20">
        <f t="shared" si="122"/>
        <v>0</v>
      </c>
      <c r="AB111" s="20">
        <f t="shared" si="122"/>
        <v>0</v>
      </c>
      <c r="AC111" s="20">
        <f t="shared" si="122"/>
        <v>0</v>
      </c>
      <c r="AD111" s="20">
        <f t="shared" ref="AD111:AD116" si="123">SUM(Z111:AC111)</f>
        <v>0</v>
      </c>
      <c r="AE111" s="20">
        <f t="shared" ref="AE111:AH116" si="124">IF(K111&gt;0,((E111-K111)*$Q111*$S111*10)+(K111*$P$12*$Q111*$S111)*10,(E111*$Q111*$S111*10))</f>
        <v>0</v>
      </c>
      <c r="AF111" s="20">
        <f t="shared" si="124"/>
        <v>0</v>
      </c>
      <c r="AG111" s="20">
        <f t="shared" si="124"/>
        <v>0</v>
      </c>
      <c r="AH111" s="20">
        <f t="shared" si="124"/>
        <v>0</v>
      </c>
      <c r="AI111" s="20">
        <f t="shared" ref="AI111:AL116" si="125">AE111*(EXP(1.01-0.34*LN(AI$8))*(1-$U111)+(1*$U111))</f>
        <v>0</v>
      </c>
      <c r="AJ111" s="20">
        <f t="shared" si="125"/>
        <v>0</v>
      </c>
      <c r="AK111" s="20">
        <f t="shared" si="125"/>
        <v>0</v>
      </c>
      <c r="AL111" s="20">
        <f t="shared" si="125"/>
        <v>0</v>
      </c>
      <c r="AM111" s="20">
        <f t="shared" ref="AM111:AM116" si="126">SUM(AI111:AL111)</f>
        <v>0</v>
      </c>
      <c r="AO111">
        <f t="shared" ref="AO111:AR116" si="127">Z111*AO$10</f>
        <v>0</v>
      </c>
      <c r="AP111">
        <f t="shared" si="127"/>
        <v>0</v>
      </c>
      <c r="AQ111">
        <f t="shared" si="127"/>
        <v>0</v>
      </c>
      <c r="AR111">
        <f t="shared" si="127"/>
        <v>0</v>
      </c>
      <c r="AS111">
        <f t="shared" ref="AS111:AS116" si="128">SUM(AO111:AR111)</f>
        <v>0</v>
      </c>
      <c r="AU111">
        <f t="shared" ref="AU111:AX116" si="129">AI111*AU$10</f>
        <v>0</v>
      </c>
      <c r="AV111">
        <f t="shared" si="129"/>
        <v>0</v>
      </c>
      <c r="AW111">
        <f t="shared" si="129"/>
        <v>0</v>
      </c>
      <c r="AX111">
        <f t="shared" si="129"/>
        <v>0</v>
      </c>
      <c r="AY111">
        <f t="shared" ref="AY111:AY116" si="130">SUM(AU111:AX111)</f>
        <v>0</v>
      </c>
    </row>
    <row r="112" spans="1:53" ht="15" x14ac:dyDescent="0.25">
      <c r="A112" s="1"/>
      <c r="B112" s="2"/>
      <c r="C112" s="1" t="s">
        <v>9</v>
      </c>
      <c r="D112">
        <v>0</v>
      </c>
      <c r="E112" s="360"/>
      <c r="F112">
        <v>0</v>
      </c>
      <c r="G112">
        <v>0</v>
      </c>
      <c r="H112">
        <v>0</v>
      </c>
      <c r="J112">
        <v>0</v>
      </c>
      <c r="K112" s="14">
        <v>0</v>
      </c>
      <c r="L112">
        <v>0</v>
      </c>
      <c r="M112">
        <v>0</v>
      </c>
      <c r="N112">
        <v>0</v>
      </c>
      <c r="O112" s="20"/>
      <c r="P112" s="20"/>
      <c r="Q112" s="438"/>
      <c r="R112" s="197">
        <v>6.531704360902256</v>
      </c>
      <c r="S112" s="197">
        <v>78.227142857142866</v>
      </c>
      <c r="T112" s="197">
        <v>0.5825685654008439</v>
      </c>
      <c r="U112" s="197">
        <v>0.90789473684210531</v>
      </c>
      <c r="V112" s="20">
        <f t="shared" si="121"/>
        <v>0</v>
      </c>
      <c r="W112" s="20">
        <f t="shared" si="121"/>
        <v>0</v>
      </c>
      <c r="X112" s="20">
        <f t="shared" si="121"/>
        <v>0</v>
      </c>
      <c r="Y112" s="20">
        <f t="shared" si="121"/>
        <v>0</v>
      </c>
      <c r="Z112" s="20">
        <f t="shared" si="122"/>
        <v>0</v>
      </c>
      <c r="AA112" s="20">
        <f t="shared" si="122"/>
        <v>0</v>
      </c>
      <c r="AB112" s="20">
        <f t="shared" si="122"/>
        <v>0</v>
      </c>
      <c r="AC112" s="20">
        <f t="shared" si="122"/>
        <v>0</v>
      </c>
      <c r="AD112" s="20">
        <f t="shared" si="123"/>
        <v>0</v>
      </c>
      <c r="AE112" s="20">
        <f t="shared" si="124"/>
        <v>0</v>
      </c>
      <c r="AF112" s="20">
        <f t="shared" si="124"/>
        <v>0</v>
      </c>
      <c r="AG112" s="20">
        <f t="shared" si="124"/>
        <v>0</v>
      </c>
      <c r="AH112" s="20">
        <f t="shared" si="124"/>
        <v>0</v>
      </c>
      <c r="AI112" s="20">
        <f t="shared" si="125"/>
        <v>0</v>
      </c>
      <c r="AJ112" s="20">
        <f t="shared" si="125"/>
        <v>0</v>
      </c>
      <c r="AK112" s="20">
        <f t="shared" si="125"/>
        <v>0</v>
      </c>
      <c r="AL112" s="20">
        <f t="shared" si="125"/>
        <v>0</v>
      </c>
      <c r="AM112" s="20">
        <f t="shared" si="126"/>
        <v>0</v>
      </c>
      <c r="AO112">
        <f t="shared" si="127"/>
        <v>0</v>
      </c>
      <c r="AP112">
        <f t="shared" si="127"/>
        <v>0</v>
      </c>
      <c r="AQ112">
        <f t="shared" si="127"/>
        <v>0</v>
      </c>
      <c r="AR112">
        <f t="shared" si="127"/>
        <v>0</v>
      </c>
      <c r="AS112">
        <f t="shared" si="128"/>
        <v>0</v>
      </c>
      <c r="AU112">
        <f t="shared" si="129"/>
        <v>0</v>
      </c>
      <c r="AV112">
        <f t="shared" si="129"/>
        <v>0</v>
      </c>
      <c r="AW112">
        <f t="shared" si="129"/>
        <v>0</v>
      </c>
      <c r="AX112">
        <f t="shared" si="129"/>
        <v>0</v>
      </c>
      <c r="AY112">
        <f t="shared" si="130"/>
        <v>0</v>
      </c>
    </row>
    <row r="113" spans="1:53" ht="15" x14ac:dyDescent="0.25">
      <c r="A113" s="1"/>
      <c r="B113" s="2"/>
      <c r="C113" s="1" t="s">
        <v>10</v>
      </c>
      <c r="D113">
        <v>0</v>
      </c>
      <c r="E113" s="360"/>
      <c r="F113">
        <v>0</v>
      </c>
      <c r="G113">
        <v>0</v>
      </c>
      <c r="H113">
        <v>0</v>
      </c>
      <c r="J113">
        <v>0</v>
      </c>
      <c r="K113" s="14">
        <v>0</v>
      </c>
      <c r="L113">
        <v>0</v>
      </c>
      <c r="M113">
        <v>0</v>
      </c>
      <c r="N113">
        <v>0</v>
      </c>
      <c r="O113" s="20"/>
      <c r="P113" s="20"/>
      <c r="Q113" s="438"/>
      <c r="R113" s="197">
        <v>6.531704360902256</v>
      </c>
      <c r="S113" s="197">
        <v>78.227142857142866</v>
      </c>
      <c r="T113" s="197">
        <v>0.5825685654008439</v>
      </c>
      <c r="U113" s="197">
        <v>0.90789473684210531</v>
      </c>
      <c r="V113" s="20">
        <f t="shared" si="121"/>
        <v>0</v>
      </c>
      <c r="W113" s="20">
        <f t="shared" si="121"/>
        <v>0</v>
      </c>
      <c r="X113" s="20">
        <f t="shared" si="121"/>
        <v>0</v>
      </c>
      <c r="Y113" s="20">
        <f t="shared" si="121"/>
        <v>0</v>
      </c>
      <c r="Z113" s="20">
        <f t="shared" si="122"/>
        <v>0</v>
      </c>
      <c r="AA113" s="20">
        <f t="shared" si="122"/>
        <v>0</v>
      </c>
      <c r="AB113" s="20">
        <f t="shared" si="122"/>
        <v>0</v>
      </c>
      <c r="AC113" s="20">
        <f t="shared" si="122"/>
        <v>0</v>
      </c>
      <c r="AD113" s="20">
        <f t="shared" si="123"/>
        <v>0</v>
      </c>
      <c r="AE113" s="20">
        <f t="shared" si="124"/>
        <v>0</v>
      </c>
      <c r="AF113" s="20">
        <f t="shared" si="124"/>
        <v>0</v>
      </c>
      <c r="AG113" s="20">
        <f t="shared" si="124"/>
        <v>0</v>
      </c>
      <c r="AH113" s="20">
        <f t="shared" si="124"/>
        <v>0</v>
      </c>
      <c r="AI113" s="20">
        <f t="shared" si="125"/>
        <v>0</v>
      </c>
      <c r="AJ113" s="20">
        <f t="shared" si="125"/>
        <v>0</v>
      </c>
      <c r="AK113" s="20">
        <f t="shared" si="125"/>
        <v>0</v>
      </c>
      <c r="AL113" s="20">
        <f t="shared" si="125"/>
        <v>0</v>
      </c>
      <c r="AM113" s="20">
        <f t="shared" si="126"/>
        <v>0</v>
      </c>
      <c r="AO113">
        <f t="shared" si="127"/>
        <v>0</v>
      </c>
      <c r="AP113">
        <f t="shared" si="127"/>
        <v>0</v>
      </c>
      <c r="AQ113">
        <f t="shared" si="127"/>
        <v>0</v>
      </c>
      <c r="AR113">
        <f t="shared" si="127"/>
        <v>0</v>
      </c>
      <c r="AS113">
        <f t="shared" si="128"/>
        <v>0</v>
      </c>
      <c r="AU113">
        <f t="shared" si="129"/>
        <v>0</v>
      </c>
      <c r="AV113">
        <f t="shared" si="129"/>
        <v>0</v>
      </c>
      <c r="AW113">
        <f t="shared" si="129"/>
        <v>0</v>
      </c>
      <c r="AX113">
        <f t="shared" si="129"/>
        <v>0</v>
      </c>
      <c r="AY113">
        <f t="shared" si="130"/>
        <v>0</v>
      </c>
    </row>
    <row r="114" spans="1:53" ht="15" x14ac:dyDescent="0.25">
      <c r="A114" s="1"/>
      <c r="B114" s="2"/>
      <c r="C114" s="1" t="s">
        <v>11</v>
      </c>
      <c r="D114">
        <v>0</v>
      </c>
      <c r="E114" s="360"/>
      <c r="F114">
        <v>0</v>
      </c>
      <c r="G114">
        <v>0</v>
      </c>
      <c r="H114">
        <v>0</v>
      </c>
      <c r="J114">
        <v>0</v>
      </c>
      <c r="K114" s="14">
        <v>0</v>
      </c>
      <c r="L114">
        <v>0</v>
      </c>
      <c r="M114">
        <v>0</v>
      </c>
      <c r="N114">
        <v>0</v>
      </c>
      <c r="O114" s="20"/>
      <c r="P114" s="20"/>
      <c r="Q114" s="438"/>
      <c r="R114" s="197">
        <v>6.531704360902256</v>
      </c>
      <c r="S114" s="197">
        <v>78.227142857142866</v>
      </c>
      <c r="T114" s="197">
        <v>0.5825685654008439</v>
      </c>
      <c r="U114" s="197">
        <v>0.90789473684210531</v>
      </c>
      <c r="V114" s="20">
        <f t="shared" si="121"/>
        <v>0</v>
      </c>
      <c r="W114" s="20">
        <f t="shared" si="121"/>
        <v>0</v>
      </c>
      <c r="X114" s="20">
        <f t="shared" si="121"/>
        <v>0</v>
      </c>
      <c r="Y114" s="20">
        <f t="shared" si="121"/>
        <v>0</v>
      </c>
      <c r="Z114" s="20">
        <f t="shared" si="122"/>
        <v>0</v>
      </c>
      <c r="AA114" s="20">
        <f t="shared" si="122"/>
        <v>0</v>
      </c>
      <c r="AB114" s="20">
        <f t="shared" si="122"/>
        <v>0</v>
      </c>
      <c r="AC114" s="20">
        <f t="shared" si="122"/>
        <v>0</v>
      </c>
      <c r="AD114" s="20">
        <f t="shared" si="123"/>
        <v>0</v>
      </c>
      <c r="AE114" s="20">
        <f t="shared" si="124"/>
        <v>0</v>
      </c>
      <c r="AF114" s="20">
        <f t="shared" si="124"/>
        <v>0</v>
      </c>
      <c r="AG114" s="20">
        <f t="shared" si="124"/>
        <v>0</v>
      </c>
      <c r="AH114" s="20">
        <f t="shared" si="124"/>
        <v>0</v>
      </c>
      <c r="AI114" s="20">
        <f t="shared" si="125"/>
        <v>0</v>
      </c>
      <c r="AJ114" s="20">
        <f t="shared" si="125"/>
        <v>0</v>
      </c>
      <c r="AK114" s="20">
        <f t="shared" si="125"/>
        <v>0</v>
      </c>
      <c r="AL114" s="20">
        <f t="shared" si="125"/>
        <v>0</v>
      </c>
      <c r="AM114" s="20">
        <f t="shared" si="126"/>
        <v>0</v>
      </c>
      <c r="AO114">
        <f t="shared" si="127"/>
        <v>0</v>
      </c>
      <c r="AP114">
        <f t="shared" si="127"/>
        <v>0</v>
      </c>
      <c r="AQ114">
        <f t="shared" si="127"/>
        <v>0</v>
      </c>
      <c r="AR114">
        <f t="shared" si="127"/>
        <v>0</v>
      </c>
      <c r="AS114">
        <f t="shared" si="128"/>
        <v>0</v>
      </c>
      <c r="AU114">
        <f t="shared" si="129"/>
        <v>0</v>
      </c>
      <c r="AV114">
        <f t="shared" si="129"/>
        <v>0</v>
      </c>
      <c r="AW114">
        <f t="shared" si="129"/>
        <v>0</v>
      </c>
      <c r="AX114">
        <f t="shared" si="129"/>
        <v>0</v>
      </c>
      <c r="AY114">
        <f t="shared" si="130"/>
        <v>0</v>
      </c>
    </row>
    <row r="115" spans="1:53" ht="15" x14ac:dyDescent="0.25">
      <c r="A115" s="1"/>
      <c r="B115" s="2"/>
      <c r="C115" s="1" t="s">
        <v>12</v>
      </c>
      <c r="D115">
        <v>0</v>
      </c>
      <c r="E115" s="360"/>
      <c r="F115">
        <v>0</v>
      </c>
      <c r="G115">
        <v>0</v>
      </c>
      <c r="H115">
        <v>0</v>
      </c>
      <c r="J115">
        <v>0</v>
      </c>
      <c r="K115" s="14">
        <v>0</v>
      </c>
      <c r="L115">
        <v>0</v>
      </c>
      <c r="M115">
        <v>0</v>
      </c>
      <c r="N115">
        <v>0</v>
      </c>
      <c r="O115" s="20"/>
      <c r="P115" s="20"/>
      <c r="Q115" s="438"/>
      <c r="R115" s="197">
        <v>6.531704360902256</v>
      </c>
      <c r="S115" s="197">
        <v>78.227142857142866</v>
      </c>
      <c r="T115" s="197">
        <v>0.5825685654008439</v>
      </c>
      <c r="U115" s="197">
        <v>0.90789473684210531</v>
      </c>
      <c r="V115" s="20">
        <f t="shared" si="121"/>
        <v>0</v>
      </c>
      <c r="W115" s="20">
        <f t="shared" si="121"/>
        <v>0</v>
      </c>
      <c r="X115" s="20">
        <f t="shared" si="121"/>
        <v>0</v>
      </c>
      <c r="Y115" s="20">
        <f t="shared" si="121"/>
        <v>0</v>
      </c>
      <c r="Z115" s="20">
        <f t="shared" si="122"/>
        <v>0</v>
      </c>
      <c r="AA115" s="20">
        <f t="shared" si="122"/>
        <v>0</v>
      </c>
      <c r="AB115" s="20">
        <f t="shared" si="122"/>
        <v>0</v>
      </c>
      <c r="AC115" s="20">
        <f t="shared" si="122"/>
        <v>0</v>
      </c>
      <c r="AD115" s="20">
        <f t="shared" si="123"/>
        <v>0</v>
      </c>
      <c r="AE115" s="20">
        <f t="shared" si="124"/>
        <v>0</v>
      </c>
      <c r="AF115" s="20">
        <f t="shared" si="124"/>
        <v>0</v>
      </c>
      <c r="AG115" s="20">
        <f t="shared" si="124"/>
        <v>0</v>
      </c>
      <c r="AH115" s="20">
        <f t="shared" si="124"/>
        <v>0</v>
      </c>
      <c r="AI115" s="20">
        <f t="shared" si="125"/>
        <v>0</v>
      </c>
      <c r="AJ115" s="20">
        <f t="shared" si="125"/>
        <v>0</v>
      </c>
      <c r="AK115" s="20">
        <f t="shared" si="125"/>
        <v>0</v>
      </c>
      <c r="AL115" s="20">
        <f t="shared" si="125"/>
        <v>0</v>
      </c>
      <c r="AM115" s="20">
        <f t="shared" si="126"/>
        <v>0</v>
      </c>
      <c r="AO115">
        <f t="shared" si="127"/>
        <v>0</v>
      </c>
      <c r="AP115">
        <f t="shared" si="127"/>
        <v>0</v>
      </c>
      <c r="AQ115">
        <f t="shared" si="127"/>
        <v>0</v>
      </c>
      <c r="AR115">
        <f t="shared" si="127"/>
        <v>0</v>
      </c>
      <c r="AS115">
        <f t="shared" si="128"/>
        <v>0</v>
      </c>
      <c r="AU115">
        <f t="shared" si="129"/>
        <v>0</v>
      </c>
      <c r="AV115">
        <f t="shared" si="129"/>
        <v>0</v>
      </c>
      <c r="AW115">
        <f t="shared" si="129"/>
        <v>0</v>
      </c>
      <c r="AX115">
        <f t="shared" si="129"/>
        <v>0</v>
      </c>
      <c r="AY115">
        <f t="shared" si="130"/>
        <v>0</v>
      </c>
    </row>
    <row r="116" spans="1:53" ht="15" x14ac:dyDescent="0.25">
      <c r="A116" s="1"/>
      <c r="B116" s="2"/>
      <c r="C116" s="1" t="s">
        <v>13</v>
      </c>
      <c r="D116">
        <v>0</v>
      </c>
      <c r="E116" s="360"/>
      <c r="F116">
        <v>0</v>
      </c>
      <c r="G116">
        <v>0</v>
      </c>
      <c r="H116">
        <v>0</v>
      </c>
      <c r="J116">
        <v>0</v>
      </c>
      <c r="K116" s="14">
        <v>0</v>
      </c>
      <c r="L116">
        <v>0</v>
      </c>
      <c r="M116">
        <v>0</v>
      </c>
      <c r="N116">
        <v>0</v>
      </c>
      <c r="O116" s="20"/>
      <c r="P116" s="20"/>
      <c r="Q116" s="438"/>
      <c r="R116" s="197">
        <v>6.531704360902256</v>
      </c>
      <c r="S116" s="197">
        <v>78.227142857142866</v>
      </c>
      <c r="T116" s="197">
        <v>0.5825685654008439</v>
      </c>
      <c r="U116" s="197">
        <v>0.90789473684210531</v>
      </c>
      <c r="V116" s="20">
        <f t="shared" si="121"/>
        <v>0</v>
      </c>
      <c r="W116" s="20">
        <f t="shared" si="121"/>
        <v>0</v>
      </c>
      <c r="X116" s="20">
        <f t="shared" si="121"/>
        <v>0</v>
      </c>
      <c r="Y116" s="20">
        <f t="shared" si="121"/>
        <v>0</v>
      </c>
      <c r="Z116" s="20">
        <f t="shared" si="122"/>
        <v>0</v>
      </c>
      <c r="AA116" s="20">
        <f t="shared" si="122"/>
        <v>0</v>
      </c>
      <c r="AB116" s="20">
        <f t="shared" si="122"/>
        <v>0</v>
      </c>
      <c r="AC116" s="20">
        <f t="shared" si="122"/>
        <v>0</v>
      </c>
      <c r="AD116" s="20">
        <f t="shared" si="123"/>
        <v>0</v>
      </c>
      <c r="AE116" s="20">
        <f t="shared" si="124"/>
        <v>0</v>
      </c>
      <c r="AF116" s="20">
        <f t="shared" si="124"/>
        <v>0</v>
      </c>
      <c r="AG116" s="20">
        <f t="shared" si="124"/>
        <v>0</v>
      </c>
      <c r="AH116" s="20">
        <f t="shared" si="124"/>
        <v>0</v>
      </c>
      <c r="AI116" s="20">
        <f t="shared" si="125"/>
        <v>0</v>
      </c>
      <c r="AJ116" s="20">
        <f t="shared" si="125"/>
        <v>0</v>
      </c>
      <c r="AK116" s="20">
        <f t="shared" si="125"/>
        <v>0</v>
      </c>
      <c r="AL116" s="20">
        <f t="shared" si="125"/>
        <v>0</v>
      </c>
      <c r="AM116" s="20">
        <f t="shared" si="126"/>
        <v>0</v>
      </c>
      <c r="AO116">
        <f t="shared" si="127"/>
        <v>0</v>
      </c>
      <c r="AP116">
        <f t="shared" si="127"/>
        <v>0</v>
      </c>
      <c r="AQ116">
        <f t="shared" si="127"/>
        <v>0</v>
      </c>
      <c r="AR116">
        <f t="shared" si="127"/>
        <v>0</v>
      </c>
      <c r="AS116">
        <f t="shared" si="128"/>
        <v>0</v>
      </c>
      <c r="AU116">
        <f t="shared" si="129"/>
        <v>0</v>
      </c>
      <c r="AV116">
        <f t="shared" si="129"/>
        <v>0</v>
      </c>
      <c r="AW116">
        <f t="shared" si="129"/>
        <v>0</v>
      </c>
      <c r="AX116">
        <f t="shared" si="129"/>
        <v>0</v>
      </c>
      <c r="AY116">
        <f t="shared" si="130"/>
        <v>0</v>
      </c>
    </row>
    <row r="117" spans="1:53" ht="15" x14ac:dyDescent="0.25">
      <c r="A117" s="7"/>
      <c r="B117" s="8" t="s">
        <v>14</v>
      </c>
      <c r="C117" s="7"/>
      <c r="D117" s="357">
        <f t="shared" ref="D117:H117" si="131">SUM(D111:D116)</f>
        <v>0</v>
      </c>
      <c r="E117" s="363">
        <f>SUM(E111:E116)</f>
        <v>0</v>
      </c>
      <c r="F117" s="357">
        <f t="shared" si="131"/>
        <v>0</v>
      </c>
      <c r="G117" s="357">
        <f t="shared" si="131"/>
        <v>0</v>
      </c>
      <c r="H117" s="357">
        <f t="shared" si="131"/>
        <v>0</v>
      </c>
      <c r="J117">
        <v>0</v>
      </c>
      <c r="K117" s="14">
        <v>0</v>
      </c>
      <c r="L117">
        <v>0</v>
      </c>
      <c r="M117">
        <v>0</v>
      </c>
      <c r="N117">
        <v>0</v>
      </c>
      <c r="O117" s="20"/>
      <c r="P117" s="20"/>
      <c r="Q117" s="438"/>
      <c r="R117" s="197"/>
      <c r="S117" s="197"/>
      <c r="T117" s="197"/>
      <c r="U117" s="197"/>
      <c r="BA117" s="319">
        <f>(E117*10000*Q117*AU$10)</f>
        <v>0</v>
      </c>
    </row>
    <row r="118" spans="1:53" ht="15" x14ac:dyDescent="0.25">
      <c r="A118" s="10"/>
      <c r="B118" s="9" t="s">
        <v>15</v>
      </c>
      <c r="C118" s="5"/>
      <c r="E118" s="363">
        <f>SUM(E117)</f>
        <v>0</v>
      </c>
      <c r="H118" s="358">
        <f>SUM(D117:H117)</f>
        <v>0</v>
      </c>
      <c r="K118" s="14"/>
      <c r="N118">
        <v>0</v>
      </c>
      <c r="O118" s="20"/>
      <c r="P118" s="20"/>
      <c r="Q118" s="438"/>
      <c r="R118" s="197"/>
      <c r="S118" s="197"/>
      <c r="T118" s="197"/>
      <c r="U118" s="197"/>
    </row>
    <row r="119" spans="1:53" ht="15.75" x14ac:dyDescent="0.25">
      <c r="A119" s="1"/>
      <c r="B119" s="2"/>
      <c r="C119" s="1"/>
      <c r="E119" s="361"/>
      <c r="K119" s="14"/>
      <c r="O119" s="20"/>
      <c r="P119" s="20"/>
      <c r="Q119" s="439"/>
      <c r="R119" s="197"/>
      <c r="S119" s="197"/>
      <c r="T119" s="197"/>
      <c r="U119" s="197"/>
    </row>
    <row r="120" spans="1:53" ht="15" x14ac:dyDescent="0.25">
      <c r="A120" s="1">
        <v>13</v>
      </c>
      <c r="B120" s="2" t="s">
        <v>27</v>
      </c>
      <c r="C120" s="1" t="s">
        <v>8</v>
      </c>
      <c r="D120">
        <v>0</v>
      </c>
      <c r="E120" s="360">
        <v>6.2455999999999996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 s="20"/>
      <c r="P120" s="20"/>
      <c r="Q120" s="438">
        <v>1.8537151881718575E-2</v>
      </c>
      <c r="R120" s="197">
        <v>0.49226666666666663</v>
      </c>
      <c r="S120" s="197">
        <v>2.8337500000000002</v>
      </c>
      <c r="T120" s="197">
        <v>0.68718466195761863</v>
      </c>
      <c r="U120" s="197">
        <v>0.90789473684210531</v>
      </c>
      <c r="V120" s="20">
        <f t="shared" ref="V120:Y125" si="132">IF(K120&gt;0,((E120-K120)*$Q120*$R120*10)+(K120*$O$12*$Q120*$R120*10),(E120*$Q120*$R120*10))</f>
        <v>0.56992486312769053</v>
      </c>
      <c r="W120" s="20">
        <f t="shared" si="132"/>
        <v>0</v>
      </c>
      <c r="X120" s="20">
        <f t="shared" si="132"/>
        <v>0</v>
      </c>
      <c r="Y120" s="20">
        <f t="shared" si="132"/>
        <v>0</v>
      </c>
      <c r="Z120" s="20">
        <f t="shared" ref="Z120:AC125" si="133">V120*(EXP(1.01-0.34*LN(Z$8))*(1-$T120)+(1*$T120))</f>
        <v>0.42418044236980473</v>
      </c>
      <c r="AA120" s="20">
        <f t="shared" si="133"/>
        <v>0</v>
      </c>
      <c r="AB120" s="20">
        <f t="shared" si="133"/>
        <v>0</v>
      </c>
      <c r="AC120" s="20">
        <f t="shared" si="133"/>
        <v>0</v>
      </c>
      <c r="AD120" s="20">
        <f t="shared" ref="AD120:AD125" si="134">SUM(Z120:AC120)</f>
        <v>0.42418044236980473</v>
      </c>
      <c r="AE120" s="20">
        <f t="shared" ref="AE120:AH125" si="135">IF(K120&gt;0,((E120-K120)*$Q120*$S120*10)+(K120*$P$12*$Q120*$S120)*10,(E120*$Q120*$S120*10))</f>
        <v>3.2807920792688789</v>
      </c>
      <c r="AF120" s="20">
        <f t="shared" si="135"/>
        <v>0</v>
      </c>
      <c r="AG120" s="20">
        <f t="shared" si="135"/>
        <v>0</v>
      </c>
      <c r="AH120" s="20">
        <f t="shared" si="135"/>
        <v>0</v>
      </c>
      <c r="AI120" s="20">
        <f t="shared" ref="AI120:AL125" si="136">AE120*(EXP(1.01-0.34*LN(AI$8))*(1-$U120)+(1*$U120))</f>
        <v>3.0337622199321088</v>
      </c>
      <c r="AJ120" s="20">
        <f t="shared" si="136"/>
        <v>0</v>
      </c>
      <c r="AK120" s="20">
        <f t="shared" si="136"/>
        <v>0</v>
      </c>
      <c r="AL120" s="20">
        <f t="shared" si="136"/>
        <v>0</v>
      </c>
      <c r="AM120" s="20">
        <f t="shared" ref="AM120:AM125" si="137">SUM(AI120:AL120)</f>
        <v>3.0337622199321088</v>
      </c>
      <c r="AO120">
        <f t="shared" ref="AO120:AR125" si="138">Z120*AO$10</f>
        <v>0.60488131081934149</v>
      </c>
      <c r="AP120">
        <f t="shared" si="138"/>
        <v>0</v>
      </c>
      <c r="AQ120">
        <f t="shared" si="138"/>
        <v>0</v>
      </c>
      <c r="AR120">
        <f t="shared" si="138"/>
        <v>0</v>
      </c>
      <c r="AS120">
        <f t="shared" ref="AS120:AS125" si="139">SUM(AO120:AR120)</f>
        <v>0.60488131081934149</v>
      </c>
      <c r="AU120">
        <f t="shared" ref="AU120:AX125" si="140">AI120*AU$10</f>
        <v>4.3261449256231872</v>
      </c>
      <c r="AV120">
        <f t="shared" si="140"/>
        <v>0</v>
      </c>
      <c r="AW120">
        <f t="shared" si="140"/>
        <v>0</v>
      </c>
      <c r="AX120">
        <f t="shared" si="140"/>
        <v>0</v>
      </c>
      <c r="AY120">
        <f t="shared" ref="AY120:AY125" si="141">SUM(AU120:AX120)</f>
        <v>4.3261449256231872</v>
      </c>
    </row>
    <row r="121" spans="1:53" ht="15" x14ac:dyDescent="0.25">
      <c r="A121" s="1"/>
      <c r="B121" s="2"/>
      <c r="C121" s="1" t="s">
        <v>9</v>
      </c>
      <c r="D121">
        <v>0</v>
      </c>
      <c r="E121" s="360">
        <v>0.30580000000000002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20"/>
      <c r="P121" s="20"/>
      <c r="Q121" s="438">
        <v>2.8074303763437145E-2</v>
      </c>
      <c r="R121" s="197">
        <v>0.49226666666666663</v>
      </c>
      <c r="S121" s="197">
        <v>2.8337500000000002</v>
      </c>
      <c r="T121" s="197">
        <v>0.68718466195761863</v>
      </c>
      <c r="U121" s="197">
        <v>0.90789473684210531</v>
      </c>
      <c r="V121" s="20">
        <f t="shared" si="132"/>
        <v>4.226169434593563E-2</v>
      </c>
      <c r="W121" s="20">
        <f t="shared" si="132"/>
        <v>0</v>
      </c>
      <c r="X121" s="20">
        <f t="shared" si="132"/>
        <v>0</v>
      </c>
      <c r="Y121" s="20">
        <f t="shared" si="132"/>
        <v>0</v>
      </c>
      <c r="Z121" s="20">
        <f t="shared" si="133"/>
        <v>3.1454294000400604E-2</v>
      </c>
      <c r="AA121" s="20">
        <f t="shared" si="133"/>
        <v>0</v>
      </c>
      <c r="AB121" s="20">
        <f t="shared" si="133"/>
        <v>0</v>
      </c>
      <c r="AC121" s="20">
        <f t="shared" si="133"/>
        <v>0</v>
      </c>
      <c r="AD121" s="20">
        <f t="shared" si="134"/>
        <v>3.1454294000400604E-2</v>
      </c>
      <c r="AE121" s="20">
        <f t="shared" si="135"/>
        <v>0.24328089724971919</v>
      </c>
      <c r="AF121" s="20">
        <f t="shared" si="135"/>
        <v>0</v>
      </c>
      <c r="AG121" s="20">
        <f t="shared" si="135"/>
        <v>0</v>
      </c>
      <c r="AH121" s="20">
        <f t="shared" si="135"/>
        <v>0</v>
      </c>
      <c r="AI121" s="20">
        <f t="shared" si="136"/>
        <v>0.22496286783033762</v>
      </c>
      <c r="AJ121" s="20">
        <f t="shared" si="136"/>
        <v>0</v>
      </c>
      <c r="AK121" s="20">
        <f t="shared" si="136"/>
        <v>0</v>
      </c>
      <c r="AL121" s="20">
        <f t="shared" si="136"/>
        <v>0</v>
      </c>
      <c r="AM121" s="20">
        <f t="shared" si="137"/>
        <v>0.22496286783033762</v>
      </c>
      <c r="AO121">
        <f t="shared" si="138"/>
        <v>4.485382324457126E-2</v>
      </c>
      <c r="AP121">
        <f t="shared" si="138"/>
        <v>0</v>
      </c>
      <c r="AQ121">
        <f t="shared" si="138"/>
        <v>0</v>
      </c>
      <c r="AR121">
        <f t="shared" si="138"/>
        <v>0</v>
      </c>
      <c r="AS121">
        <f t="shared" si="139"/>
        <v>4.485382324457126E-2</v>
      </c>
      <c r="AU121">
        <f t="shared" si="140"/>
        <v>0.32079704952606142</v>
      </c>
      <c r="AV121">
        <f t="shared" si="140"/>
        <v>0</v>
      </c>
      <c r="AW121">
        <f t="shared" si="140"/>
        <v>0</v>
      </c>
      <c r="AX121">
        <f t="shared" si="140"/>
        <v>0</v>
      </c>
      <c r="AY121">
        <f t="shared" si="141"/>
        <v>0.32079704952606142</v>
      </c>
    </row>
    <row r="122" spans="1:53" ht="15" x14ac:dyDescent="0.25">
      <c r="A122" s="1"/>
      <c r="B122" s="2"/>
      <c r="C122" s="1" t="s">
        <v>10</v>
      </c>
      <c r="D122">
        <v>0</v>
      </c>
      <c r="E122" s="360"/>
      <c r="F122">
        <v>0</v>
      </c>
      <c r="G122">
        <v>0</v>
      </c>
      <c r="H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s="20"/>
      <c r="P122" s="20"/>
      <c r="Q122" s="438"/>
      <c r="R122" s="197">
        <v>0.49226666666666663</v>
      </c>
      <c r="S122" s="197">
        <v>2.8337500000000002</v>
      </c>
      <c r="T122" s="197">
        <v>0.68718466195761863</v>
      </c>
      <c r="U122" s="197">
        <v>0.90789473684210531</v>
      </c>
      <c r="V122" s="20">
        <f t="shared" si="132"/>
        <v>0</v>
      </c>
      <c r="W122" s="20">
        <f t="shared" si="132"/>
        <v>0</v>
      </c>
      <c r="X122" s="20">
        <f t="shared" si="132"/>
        <v>0</v>
      </c>
      <c r="Y122" s="20">
        <f t="shared" si="132"/>
        <v>0</v>
      </c>
      <c r="Z122" s="20">
        <f t="shared" si="133"/>
        <v>0</v>
      </c>
      <c r="AA122" s="20">
        <f t="shared" si="133"/>
        <v>0</v>
      </c>
      <c r="AB122" s="20">
        <f t="shared" si="133"/>
        <v>0</v>
      </c>
      <c r="AC122" s="20">
        <f t="shared" si="133"/>
        <v>0</v>
      </c>
      <c r="AD122" s="20">
        <f t="shared" si="134"/>
        <v>0</v>
      </c>
      <c r="AE122" s="20">
        <f t="shared" si="135"/>
        <v>0</v>
      </c>
      <c r="AF122" s="20">
        <f t="shared" si="135"/>
        <v>0</v>
      </c>
      <c r="AG122" s="20">
        <f t="shared" si="135"/>
        <v>0</v>
      </c>
      <c r="AH122" s="20">
        <f t="shared" si="135"/>
        <v>0</v>
      </c>
      <c r="AI122" s="20">
        <f t="shared" si="136"/>
        <v>0</v>
      </c>
      <c r="AJ122" s="20">
        <f t="shared" si="136"/>
        <v>0</v>
      </c>
      <c r="AK122" s="20">
        <f t="shared" si="136"/>
        <v>0</v>
      </c>
      <c r="AL122" s="20">
        <f t="shared" si="136"/>
        <v>0</v>
      </c>
      <c r="AM122" s="20">
        <f t="shared" si="137"/>
        <v>0</v>
      </c>
      <c r="AO122">
        <f t="shared" si="138"/>
        <v>0</v>
      </c>
      <c r="AP122">
        <f t="shared" si="138"/>
        <v>0</v>
      </c>
      <c r="AQ122">
        <f t="shared" si="138"/>
        <v>0</v>
      </c>
      <c r="AR122">
        <f t="shared" si="138"/>
        <v>0</v>
      </c>
      <c r="AS122">
        <f t="shared" si="139"/>
        <v>0</v>
      </c>
      <c r="AU122">
        <f t="shared" si="140"/>
        <v>0</v>
      </c>
      <c r="AV122">
        <f t="shared" si="140"/>
        <v>0</v>
      </c>
      <c r="AW122">
        <f t="shared" si="140"/>
        <v>0</v>
      </c>
      <c r="AX122">
        <f t="shared" si="140"/>
        <v>0</v>
      </c>
      <c r="AY122">
        <f t="shared" si="141"/>
        <v>0</v>
      </c>
    </row>
    <row r="123" spans="1:53" ht="15" x14ac:dyDescent="0.25">
      <c r="A123" s="1"/>
      <c r="B123" s="2"/>
      <c r="C123" s="1" t="s">
        <v>11</v>
      </c>
      <c r="D123">
        <v>0</v>
      </c>
      <c r="E123" s="360">
        <v>1.7323999999999999</v>
      </c>
      <c r="F123">
        <v>0</v>
      </c>
      <c r="G123">
        <v>0</v>
      </c>
      <c r="H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 s="20"/>
      <c r="P123" s="20"/>
      <c r="Q123" s="438">
        <v>4.7148607526874289E-2</v>
      </c>
      <c r="R123" s="197">
        <v>0.49226666666666663</v>
      </c>
      <c r="S123" s="197">
        <v>2.8337500000000002</v>
      </c>
      <c r="T123" s="197">
        <v>0.68718466195761863</v>
      </c>
      <c r="U123" s="197">
        <v>0.90789473684210531</v>
      </c>
      <c r="V123" s="20">
        <f t="shared" si="132"/>
        <v>0.40208463257723265</v>
      </c>
      <c r="W123" s="20">
        <f t="shared" si="132"/>
        <v>0</v>
      </c>
      <c r="X123" s="20">
        <f t="shared" si="132"/>
        <v>0</v>
      </c>
      <c r="Y123" s="20">
        <f t="shared" si="132"/>
        <v>0</v>
      </c>
      <c r="Z123" s="20">
        <f t="shared" si="133"/>
        <v>0.29926126819720467</v>
      </c>
      <c r="AA123" s="20">
        <f t="shared" si="133"/>
        <v>0</v>
      </c>
      <c r="AB123" s="20">
        <f t="shared" si="133"/>
        <v>0</v>
      </c>
      <c r="AC123" s="20">
        <f t="shared" si="133"/>
        <v>0</v>
      </c>
      <c r="AD123" s="20">
        <f t="shared" si="134"/>
        <v>0.29926126819720467</v>
      </c>
      <c r="AE123" s="20">
        <f t="shared" si="135"/>
        <v>2.314614018619447</v>
      </c>
      <c r="AF123" s="20">
        <f t="shared" si="135"/>
        <v>0</v>
      </c>
      <c r="AG123" s="20">
        <f t="shared" si="135"/>
        <v>0</v>
      </c>
      <c r="AH123" s="20">
        <f t="shared" si="135"/>
        <v>0</v>
      </c>
      <c r="AI123" s="20">
        <f t="shared" si="136"/>
        <v>2.1403333078570941</v>
      </c>
      <c r="AJ123" s="20">
        <f t="shared" si="136"/>
        <v>0</v>
      </c>
      <c r="AK123" s="20">
        <f t="shared" si="136"/>
        <v>0</v>
      </c>
      <c r="AL123" s="20">
        <f t="shared" si="136"/>
        <v>0</v>
      </c>
      <c r="AM123" s="20">
        <f t="shared" si="137"/>
        <v>2.1403333078570941</v>
      </c>
      <c r="AO123">
        <f t="shared" si="138"/>
        <v>0.42674656844921383</v>
      </c>
      <c r="AP123">
        <f t="shared" si="138"/>
        <v>0</v>
      </c>
      <c r="AQ123">
        <f t="shared" si="138"/>
        <v>0</v>
      </c>
      <c r="AR123">
        <f t="shared" si="138"/>
        <v>0</v>
      </c>
      <c r="AS123">
        <f t="shared" si="139"/>
        <v>0.42674656844921383</v>
      </c>
      <c r="AU123">
        <f t="shared" si="140"/>
        <v>3.052115297004216</v>
      </c>
      <c r="AV123">
        <f t="shared" si="140"/>
        <v>0</v>
      </c>
      <c r="AW123">
        <f t="shared" si="140"/>
        <v>0</v>
      </c>
      <c r="AX123">
        <f t="shared" si="140"/>
        <v>0</v>
      </c>
      <c r="AY123">
        <f t="shared" si="141"/>
        <v>3.052115297004216</v>
      </c>
    </row>
    <row r="124" spans="1:53" ht="15" x14ac:dyDescent="0.25">
      <c r="A124" s="1"/>
      <c r="B124" s="2"/>
      <c r="C124" s="1" t="s">
        <v>12</v>
      </c>
      <c r="D124">
        <v>0</v>
      </c>
      <c r="E124" s="360"/>
      <c r="F124">
        <v>0</v>
      </c>
      <c r="G124">
        <v>0</v>
      </c>
      <c r="H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 s="20"/>
      <c r="P124" s="20"/>
      <c r="Q124" s="438"/>
      <c r="R124" s="197">
        <v>0.49226666666666663</v>
      </c>
      <c r="S124" s="197">
        <v>2.8337500000000002</v>
      </c>
      <c r="T124" s="197">
        <v>0.68718466195761863</v>
      </c>
      <c r="U124" s="197">
        <v>0.90789473684210531</v>
      </c>
      <c r="V124" s="20">
        <f t="shared" si="132"/>
        <v>0</v>
      </c>
      <c r="W124" s="20">
        <f t="shared" si="132"/>
        <v>0</v>
      </c>
      <c r="X124" s="20">
        <f t="shared" si="132"/>
        <v>0</v>
      </c>
      <c r="Y124" s="20">
        <f t="shared" si="132"/>
        <v>0</v>
      </c>
      <c r="Z124" s="20">
        <f t="shared" si="133"/>
        <v>0</v>
      </c>
      <c r="AA124" s="20">
        <f t="shared" si="133"/>
        <v>0</v>
      </c>
      <c r="AB124" s="20">
        <f t="shared" si="133"/>
        <v>0</v>
      </c>
      <c r="AC124" s="20">
        <f t="shared" si="133"/>
        <v>0</v>
      </c>
      <c r="AD124" s="20">
        <f t="shared" si="134"/>
        <v>0</v>
      </c>
      <c r="AE124" s="20">
        <f t="shared" si="135"/>
        <v>0</v>
      </c>
      <c r="AF124" s="20">
        <f t="shared" si="135"/>
        <v>0</v>
      </c>
      <c r="AG124" s="20">
        <f t="shared" si="135"/>
        <v>0</v>
      </c>
      <c r="AH124" s="20">
        <f t="shared" si="135"/>
        <v>0</v>
      </c>
      <c r="AI124" s="20">
        <f t="shared" si="136"/>
        <v>0</v>
      </c>
      <c r="AJ124" s="20">
        <f t="shared" si="136"/>
        <v>0</v>
      </c>
      <c r="AK124" s="20">
        <f t="shared" si="136"/>
        <v>0</v>
      </c>
      <c r="AL124" s="20">
        <f t="shared" si="136"/>
        <v>0</v>
      </c>
      <c r="AM124" s="20">
        <f t="shared" si="137"/>
        <v>0</v>
      </c>
      <c r="AO124">
        <f t="shared" si="138"/>
        <v>0</v>
      </c>
      <c r="AP124">
        <f t="shared" si="138"/>
        <v>0</v>
      </c>
      <c r="AQ124">
        <f t="shared" si="138"/>
        <v>0</v>
      </c>
      <c r="AR124">
        <f t="shared" si="138"/>
        <v>0</v>
      </c>
      <c r="AS124">
        <f t="shared" si="139"/>
        <v>0</v>
      </c>
      <c r="AU124">
        <f t="shared" si="140"/>
        <v>0</v>
      </c>
      <c r="AV124">
        <f t="shared" si="140"/>
        <v>0</v>
      </c>
      <c r="AW124">
        <f t="shared" si="140"/>
        <v>0</v>
      </c>
      <c r="AX124">
        <f t="shared" si="140"/>
        <v>0</v>
      </c>
      <c r="AY124">
        <f t="shared" si="141"/>
        <v>0</v>
      </c>
    </row>
    <row r="125" spans="1:53" ht="15" x14ac:dyDescent="0.25">
      <c r="A125" s="1"/>
      <c r="B125" s="2"/>
      <c r="C125" s="1" t="s">
        <v>13</v>
      </c>
      <c r="D125">
        <v>0</v>
      </c>
      <c r="E125" s="360"/>
      <c r="F125">
        <v>0</v>
      </c>
      <c r="G125">
        <v>0</v>
      </c>
      <c r="H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20"/>
      <c r="P125" s="20"/>
      <c r="Q125" s="438"/>
      <c r="R125" s="197">
        <v>0.49226666666666663</v>
      </c>
      <c r="S125" s="197">
        <v>2.8337500000000002</v>
      </c>
      <c r="T125" s="197">
        <v>0.68718466195761863</v>
      </c>
      <c r="U125" s="197">
        <v>0.90789473684210531</v>
      </c>
      <c r="V125" s="20">
        <f t="shared" si="132"/>
        <v>0</v>
      </c>
      <c r="W125" s="20">
        <f t="shared" si="132"/>
        <v>0</v>
      </c>
      <c r="X125" s="20">
        <f t="shared" si="132"/>
        <v>0</v>
      </c>
      <c r="Y125" s="20">
        <f t="shared" si="132"/>
        <v>0</v>
      </c>
      <c r="Z125" s="20">
        <f t="shared" si="133"/>
        <v>0</v>
      </c>
      <c r="AA125" s="20">
        <f t="shared" si="133"/>
        <v>0</v>
      </c>
      <c r="AB125" s="20">
        <f t="shared" si="133"/>
        <v>0</v>
      </c>
      <c r="AC125" s="20">
        <f t="shared" si="133"/>
        <v>0</v>
      </c>
      <c r="AD125" s="20">
        <f t="shared" si="134"/>
        <v>0</v>
      </c>
      <c r="AE125" s="20">
        <f t="shared" si="135"/>
        <v>0</v>
      </c>
      <c r="AF125" s="20">
        <f t="shared" si="135"/>
        <v>0</v>
      </c>
      <c r="AG125" s="20">
        <f t="shared" si="135"/>
        <v>0</v>
      </c>
      <c r="AH125" s="20">
        <f t="shared" si="135"/>
        <v>0</v>
      </c>
      <c r="AI125" s="20">
        <f t="shared" si="136"/>
        <v>0</v>
      </c>
      <c r="AJ125" s="20">
        <f t="shared" si="136"/>
        <v>0</v>
      </c>
      <c r="AK125" s="20">
        <f t="shared" si="136"/>
        <v>0</v>
      </c>
      <c r="AL125" s="20">
        <f t="shared" si="136"/>
        <v>0</v>
      </c>
      <c r="AM125" s="20">
        <f t="shared" si="137"/>
        <v>0</v>
      </c>
      <c r="AO125">
        <f t="shared" si="138"/>
        <v>0</v>
      </c>
      <c r="AP125">
        <f t="shared" si="138"/>
        <v>0</v>
      </c>
      <c r="AQ125">
        <f t="shared" si="138"/>
        <v>0</v>
      </c>
      <c r="AR125">
        <f t="shared" si="138"/>
        <v>0</v>
      </c>
      <c r="AS125">
        <f t="shared" si="139"/>
        <v>0</v>
      </c>
      <c r="AU125">
        <f t="shared" si="140"/>
        <v>0</v>
      </c>
      <c r="AV125">
        <f t="shared" si="140"/>
        <v>0</v>
      </c>
      <c r="AW125">
        <f t="shared" si="140"/>
        <v>0</v>
      </c>
      <c r="AX125">
        <f t="shared" si="140"/>
        <v>0</v>
      </c>
      <c r="AY125">
        <f t="shared" si="141"/>
        <v>0</v>
      </c>
    </row>
    <row r="126" spans="1:53" ht="15" x14ac:dyDescent="0.25">
      <c r="A126" s="7"/>
      <c r="B126" s="8" t="s">
        <v>14</v>
      </c>
      <c r="C126" s="7"/>
      <c r="D126" s="357">
        <f t="shared" ref="D126:H126" si="142">SUM(D120:D125)</f>
        <v>0</v>
      </c>
      <c r="E126" s="363">
        <f>SUM(E120:E125)</f>
        <v>8.2837999999999994</v>
      </c>
      <c r="F126" s="357">
        <f t="shared" si="142"/>
        <v>0</v>
      </c>
      <c r="G126" s="357">
        <f t="shared" si="142"/>
        <v>0</v>
      </c>
      <c r="H126" s="357">
        <f t="shared" si="142"/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 s="20"/>
      <c r="P126" s="20"/>
      <c r="Q126" s="438">
        <v>2.487276437901418E-2</v>
      </c>
      <c r="R126" s="197"/>
      <c r="S126" s="197"/>
      <c r="T126" s="197"/>
      <c r="U126" s="197"/>
      <c r="BA126" s="319">
        <f>(E126*10000*Q126*AU$10)</f>
        <v>2938.1447393266353</v>
      </c>
    </row>
    <row r="127" spans="1:53" ht="15" x14ac:dyDescent="0.25">
      <c r="A127" s="10"/>
      <c r="B127" s="9" t="s">
        <v>15</v>
      </c>
      <c r="C127" s="5"/>
      <c r="E127" s="363">
        <f>SUM(E126)</f>
        <v>8.2837999999999994</v>
      </c>
      <c r="H127" s="358">
        <f>SUM(D126:H126)</f>
        <v>8.2837999999999994</v>
      </c>
      <c r="K127" s="14"/>
      <c r="N127">
        <v>0</v>
      </c>
      <c r="O127" s="20"/>
      <c r="P127" s="20"/>
      <c r="Q127" s="438"/>
      <c r="R127" s="197"/>
      <c r="S127" s="197"/>
      <c r="T127" s="197"/>
      <c r="U127" s="197"/>
    </row>
    <row r="128" spans="1:53" ht="15.75" x14ac:dyDescent="0.25">
      <c r="A128" s="1"/>
      <c r="B128" s="2"/>
      <c r="C128" s="1"/>
      <c r="E128" s="361"/>
      <c r="K128" s="14"/>
      <c r="O128" s="20"/>
      <c r="P128" s="20"/>
      <c r="Q128" s="439"/>
      <c r="R128" s="197"/>
      <c r="S128" s="197"/>
      <c r="T128" s="197"/>
      <c r="U128" s="197"/>
    </row>
    <row r="129" spans="1:53" ht="15" x14ac:dyDescent="0.25">
      <c r="A129" s="1">
        <v>14</v>
      </c>
      <c r="B129" s="2" t="s">
        <v>28</v>
      </c>
      <c r="C129" s="1" t="s">
        <v>8</v>
      </c>
      <c r="D129">
        <v>0</v>
      </c>
      <c r="E129" s="360">
        <v>281.78219999999999</v>
      </c>
      <c r="F129">
        <v>0</v>
      </c>
      <c r="G129">
        <v>0</v>
      </c>
      <c r="H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 s="20"/>
      <c r="P129" s="20"/>
      <c r="Q129" s="438">
        <v>1.8537151881718575E-2</v>
      </c>
      <c r="R129" s="197">
        <v>5.6499999999999995E-2</v>
      </c>
      <c r="S129" s="197">
        <v>1.25</v>
      </c>
      <c r="T129" s="197">
        <v>0.50078889239507718</v>
      </c>
      <c r="U129" s="197">
        <v>0.75268470790377973</v>
      </c>
      <c r="V129" s="20">
        <f t="shared" ref="V129:Y134" si="143">E129*$Q129*$R129*10</f>
        <v>2.9512432830151116</v>
      </c>
      <c r="W129" s="20">
        <f t="shared" si="143"/>
        <v>0</v>
      </c>
      <c r="X129" s="20">
        <f t="shared" si="143"/>
        <v>0</v>
      </c>
      <c r="Y129" s="20">
        <f t="shared" si="143"/>
        <v>0</v>
      </c>
      <c r="Z129" s="20">
        <f t="shared" ref="Z129:AC134" si="144">V129*(EXP(1.01-0.34*LN(Z$8))*(1-$T129)+(1*$T129))</f>
        <v>1.7468299704727386</v>
      </c>
      <c r="AA129" s="20">
        <f t="shared" si="144"/>
        <v>0</v>
      </c>
      <c r="AB129" s="20">
        <f t="shared" si="144"/>
        <v>0</v>
      </c>
      <c r="AC129" s="20">
        <f t="shared" si="144"/>
        <v>0</v>
      </c>
      <c r="AD129" s="20">
        <f t="shared" ref="AD129:AD134" si="145">SUM(Z129:AC129)</f>
        <v>1.7468299704727386</v>
      </c>
      <c r="AE129" s="20">
        <f t="shared" ref="AE129:AE134" si="146">E129*$Q129*$S129*10</f>
        <v>65.292992987059989</v>
      </c>
      <c r="AF129" s="20">
        <f t="shared" ref="AF129:AH134" si="147">F129*$Q129*$S129*10</f>
        <v>0</v>
      </c>
      <c r="AG129" s="20">
        <f t="shared" si="147"/>
        <v>0</v>
      </c>
      <c r="AH129" s="20">
        <f t="shared" si="147"/>
        <v>0</v>
      </c>
      <c r="AI129" s="20">
        <f t="shared" ref="AI129:AL134" si="148">AE129*(EXP(1.01-0.34*LN(AI$8))*(1-$U129)+(1*$U129))</f>
        <v>52.092083811222544</v>
      </c>
      <c r="AJ129" s="20">
        <f t="shared" si="148"/>
        <v>0</v>
      </c>
      <c r="AK129" s="20">
        <f t="shared" si="148"/>
        <v>0</v>
      </c>
      <c r="AL129" s="20">
        <f t="shared" si="148"/>
        <v>0</v>
      </c>
      <c r="AM129" s="20">
        <f t="shared" ref="AM129:AM134" si="149">SUM(AI129:AL129)</f>
        <v>52.092083811222544</v>
      </c>
      <c r="AO129">
        <f t="shared" ref="AO129:AR134" si="150">Z129*AO$10</f>
        <v>2.4909795378941251</v>
      </c>
      <c r="AP129">
        <f t="shared" si="150"/>
        <v>0</v>
      </c>
      <c r="AQ129">
        <f t="shared" si="150"/>
        <v>0</v>
      </c>
      <c r="AR129">
        <f t="shared" si="150"/>
        <v>0</v>
      </c>
      <c r="AS129">
        <f t="shared" ref="AS129:AS134" si="151">SUM(AO129:AR129)</f>
        <v>2.4909795378941251</v>
      </c>
      <c r="AU129">
        <f t="shared" ref="AU129:AX134" si="152">AI129*AU$10</f>
        <v>74.283311514803344</v>
      </c>
      <c r="AV129">
        <f t="shared" si="152"/>
        <v>0</v>
      </c>
      <c r="AW129">
        <f t="shared" si="152"/>
        <v>0</v>
      </c>
      <c r="AX129">
        <f t="shared" si="152"/>
        <v>0</v>
      </c>
      <c r="AY129">
        <f t="shared" ref="AY129:AY134" si="153">SUM(AU129:AX129)</f>
        <v>74.283311514803344</v>
      </c>
    </row>
    <row r="130" spans="1:53" ht="15" x14ac:dyDescent="0.25">
      <c r="A130" s="1"/>
      <c r="B130" s="2"/>
      <c r="C130" s="1" t="s">
        <v>9</v>
      </c>
      <c r="D130">
        <v>0</v>
      </c>
      <c r="E130" s="360">
        <v>3.4670999999999998</v>
      </c>
      <c r="F130">
        <v>0</v>
      </c>
      <c r="G130">
        <v>0</v>
      </c>
      <c r="H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 s="20"/>
      <c r="P130" s="20"/>
      <c r="Q130" s="438">
        <v>2.8074303763437149E-2</v>
      </c>
      <c r="R130" s="197">
        <v>5.6499999999999995E-2</v>
      </c>
      <c r="S130" s="197">
        <v>1.25</v>
      </c>
      <c r="T130" s="197">
        <v>0.50078889239507718</v>
      </c>
      <c r="U130" s="197">
        <v>0.75268470790377973</v>
      </c>
      <c r="V130" s="20">
        <f t="shared" si="143"/>
        <v>5.4995076496690304E-2</v>
      </c>
      <c r="W130" s="20">
        <f t="shared" si="143"/>
        <v>0</v>
      </c>
      <c r="X130" s="20">
        <f t="shared" si="143"/>
        <v>0</v>
      </c>
      <c r="Y130" s="20">
        <f t="shared" si="143"/>
        <v>0</v>
      </c>
      <c r="Z130" s="20">
        <f t="shared" si="144"/>
        <v>3.2551382126218165E-2</v>
      </c>
      <c r="AA130" s="20">
        <f t="shared" si="144"/>
        <v>0</v>
      </c>
      <c r="AB130" s="20">
        <f t="shared" si="144"/>
        <v>0</v>
      </c>
      <c r="AC130" s="20">
        <f t="shared" si="144"/>
        <v>0</v>
      </c>
      <c r="AD130" s="20">
        <f t="shared" si="145"/>
        <v>3.2551382126218165E-2</v>
      </c>
      <c r="AE130" s="20">
        <f t="shared" si="146"/>
        <v>1.2167052322276617</v>
      </c>
      <c r="AF130" s="20">
        <f t="shared" si="147"/>
        <v>0</v>
      </c>
      <c r="AG130" s="20">
        <f t="shared" si="147"/>
        <v>0</v>
      </c>
      <c r="AH130" s="20">
        <f t="shared" si="147"/>
        <v>0</v>
      </c>
      <c r="AI130" s="20">
        <f t="shared" si="148"/>
        <v>0.97071229286911953</v>
      </c>
      <c r="AJ130" s="20">
        <f t="shared" si="148"/>
        <v>0</v>
      </c>
      <c r="AK130" s="20">
        <f t="shared" si="148"/>
        <v>0</v>
      </c>
      <c r="AL130" s="20">
        <f t="shared" si="148"/>
        <v>0</v>
      </c>
      <c r="AM130" s="20">
        <f t="shared" si="149"/>
        <v>0.97071229286911953</v>
      </c>
      <c r="AO130">
        <f t="shared" si="150"/>
        <v>4.6418270911987101E-2</v>
      </c>
      <c r="AP130">
        <f t="shared" si="150"/>
        <v>0</v>
      </c>
      <c r="AQ130">
        <f t="shared" si="150"/>
        <v>0</v>
      </c>
      <c r="AR130">
        <f t="shared" si="150"/>
        <v>0</v>
      </c>
      <c r="AS130">
        <f t="shared" si="151"/>
        <v>4.6418270911987101E-2</v>
      </c>
      <c r="AU130">
        <f t="shared" si="152"/>
        <v>1.3842357296313643</v>
      </c>
      <c r="AV130">
        <f t="shared" si="152"/>
        <v>0</v>
      </c>
      <c r="AW130">
        <f t="shared" si="152"/>
        <v>0</v>
      </c>
      <c r="AX130">
        <f t="shared" si="152"/>
        <v>0</v>
      </c>
      <c r="AY130">
        <f t="shared" si="153"/>
        <v>1.3842357296313643</v>
      </c>
    </row>
    <row r="131" spans="1:53" ht="15" x14ac:dyDescent="0.25">
      <c r="A131" s="1"/>
      <c r="B131" s="2"/>
      <c r="C131" s="1" t="s">
        <v>10</v>
      </c>
      <c r="D131">
        <v>0</v>
      </c>
      <c r="E131" s="360">
        <v>1.0326</v>
      </c>
      <c r="F131">
        <v>0</v>
      </c>
      <c r="G131">
        <v>0</v>
      </c>
      <c r="H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 s="20"/>
      <c r="P131" s="20"/>
      <c r="Q131" s="438">
        <v>3.7611455645155716E-2</v>
      </c>
      <c r="R131" s="197">
        <v>5.6499999999999995E-2</v>
      </c>
      <c r="S131" s="197">
        <v>1.25</v>
      </c>
      <c r="T131" s="197">
        <v>0.50078889239507718</v>
      </c>
      <c r="U131" s="197">
        <v>0.75268470790377973</v>
      </c>
      <c r="V131" s="20">
        <f t="shared" si="143"/>
        <v>2.1943237841041099E-2</v>
      </c>
      <c r="W131" s="20">
        <f t="shared" si="143"/>
        <v>0</v>
      </c>
      <c r="X131" s="20">
        <f t="shared" si="143"/>
        <v>0</v>
      </c>
      <c r="Y131" s="20">
        <f t="shared" si="143"/>
        <v>0</v>
      </c>
      <c r="Z131" s="20">
        <f t="shared" si="144"/>
        <v>1.2988121220146063E-2</v>
      </c>
      <c r="AA131" s="20">
        <f t="shared" si="144"/>
        <v>0</v>
      </c>
      <c r="AB131" s="20">
        <f t="shared" si="144"/>
        <v>0</v>
      </c>
      <c r="AC131" s="20">
        <f t="shared" si="144"/>
        <v>0</v>
      </c>
      <c r="AD131" s="20">
        <f t="shared" si="145"/>
        <v>1.2988121220146063E-2</v>
      </c>
      <c r="AE131" s="20">
        <f t="shared" si="146"/>
        <v>0.48546986373984735</v>
      </c>
      <c r="AF131" s="20">
        <f t="shared" si="147"/>
        <v>0</v>
      </c>
      <c r="AG131" s="20">
        <f t="shared" si="147"/>
        <v>0</v>
      </c>
      <c r="AH131" s="20">
        <f t="shared" si="147"/>
        <v>0</v>
      </c>
      <c r="AI131" s="20">
        <f t="shared" si="148"/>
        <v>0.3873177759636599</v>
      </c>
      <c r="AJ131" s="20">
        <f t="shared" si="148"/>
        <v>0</v>
      </c>
      <c r="AK131" s="20">
        <f t="shared" si="148"/>
        <v>0</v>
      </c>
      <c r="AL131" s="20">
        <f t="shared" si="148"/>
        <v>0</v>
      </c>
      <c r="AM131" s="20">
        <f t="shared" si="149"/>
        <v>0.3873177759636599</v>
      </c>
      <c r="AO131">
        <f t="shared" si="150"/>
        <v>1.8521060859928284E-2</v>
      </c>
      <c r="AP131">
        <f t="shared" si="150"/>
        <v>0</v>
      </c>
      <c r="AQ131">
        <f t="shared" si="150"/>
        <v>0</v>
      </c>
      <c r="AR131">
        <f t="shared" si="150"/>
        <v>0</v>
      </c>
      <c r="AS131">
        <f t="shared" si="151"/>
        <v>1.8521060859928284E-2</v>
      </c>
      <c r="AU131">
        <f t="shared" si="152"/>
        <v>0.55231514852417896</v>
      </c>
      <c r="AV131">
        <f t="shared" si="152"/>
        <v>0</v>
      </c>
      <c r="AW131">
        <f t="shared" si="152"/>
        <v>0</v>
      </c>
      <c r="AX131">
        <f t="shared" si="152"/>
        <v>0</v>
      </c>
      <c r="AY131">
        <f t="shared" si="153"/>
        <v>0.55231514852417896</v>
      </c>
    </row>
    <row r="132" spans="1:53" ht="15" x14ac:dyDescent="0.25">
      <c r="A132" s="1"/>
      <c r="B132" s="2"/>
      <c r="C132" s="1" t="s">
        <v>11</v>
      </c>
      <c r="D132">
        <v>0</v>
      </c>
      <c r="E132" s="360">
        <v>113.0378</v>
      </c>
      <c r="F132">
        <v>0</v>
      </c>
      <c r="G132">
        <v>0</v>
      </c>
      <c r="H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 s="20"/>
      <c r="P132" s="20"/>
      <c r="Q132" s="438">
        <v>4.7148607526874289E-2</v>
      </c>
      <c r="R132" s="197">
        <v>5.6499999999999995E-2</v>
      </c>
      <c r="S132" s="197">
        <v>1.25</v>
      </c>
      <c r="T132" s="197">
        <v>0.50078889239507718</v>
      </c>
      <c r="U132" s="197">
        <v>0.75268470790377973</v>
      </c>
      <c r="V132" s="20">
        <f t="shared" si="143"/>
        <v>3.0112098003642402</v>
      </c>
      <c r="W132" s="20">
        <f t="shared" si="143"/>
        <v>0</v>
      </c>
      <c r="X132" s="20">
        <f t="shared" si="143"/>
        <v>0</v>
      </c>
      <c r="Y132" s="20">
        <f t="shared" si="143"/>
        <v>0</v>
      </c>
      <c r="Z132" s="20">
        <f t="shared" si="144"/>
        <v>1.7823239300297811</v>
      </c>
      <c r="AA132" s="20">
        <f t="shared" si="144"/>
        <v>0</v>
      </c>
      <c r="AB132" s="20">
        <f t="shared" si="144"/>
        <v>0</v>
      </c>
      <c r="AC132" s="20">
        <f t="shared" si="144"/>
        <v>0</v>
      </c>
      <c r="AD132" s="20">
        <f t="shared" si="145"/>
        <v>1.7823239300297811</v>
      </c>
      <c r="AE132" s="20">
        <f t="shared" si="146"/>
        <v>66.61968584876638</v>
      </c>
      <c r="AF132" s="20">
        <f t="shared" si="147"/>
        <v>0</v>
      </c>
      <c r="AG132" s="20">
        <f t="shared" si="147"/>
        <v>0</v>
      </c>
      <c r="AH132" s="20">
        <f t="shared" si="147"/>
        <v>0</v>
      </c>
      <c r="AI132" s="20">
        <f t="shared" si="148"/>
        <v>53.150546482055489</v>
      </c>
      <c r="AJ132" s="20">
        <f t="shared" si="148"/>
        <v>0</v>
      </c>
      <c r="AK132" s="20">
        <f t="shared" si="148"/>
        <v>0</v>
      </c>
      <c r="AL132" s="20">
        <f t="shared" si="148"/>
        <v>0</v>
      </c>
      <c r="AM132" s="20">
        <f t="shared" si="149"/>
        <v>53.150546482055489</v>
      </c>
      <c r="AO132">
        <f t="shared" si="150"/>
        <v>2.5415939242224677</v>
      </c>
      <c r="AP132">
        <f t="shared" si="150"/>
        <v>0</v>
      </c>
      <c r="AQ132">
        <f t="shared" si="150"/>
        <v>0</v>
      </c>
      <c r="AR132">
        <f t="shared" si="150"/>
        <v>0</v>
      </c>
      <c r="AS132">
        <f t="shared" si="151"/>
        <v>2.5415939242224677</v>
      </c>
      <c r="AU132">
        <f t="shared" si="152"/>
        <v>75.792679283411118</v>
      </c>
      <c r="AV132">
        <f t="shared" si="152"/>
        <v>0</v>
      </c>
      <c r="AW132">
        <f t="shared" si="152"/>
        <v>0</v>
      </c>
      <c r="AX132">
        <f t="shared" si="152"/>
        <v>0</v>
      </c>
      <c r="AY132">
        <f t="shared" si="153"/>
        <v>75.792679283411118</v>
      </c>
    </row>
    <row r="133" spans="1:53" ht="15" x14ac:dyDescent="0.25">
      <c r="A133" s="1"/>
      <c r="B133" s="2"/>
      <c r="C133" s="1" t="s">
        <v>12</v>
      </c>
      <c r="D133">
        <v>0</v>
      </c>
      <c r="E133" s="360">
        <v>0</v>
      </c>
      <c r="F133">
        <v>0</v>
      </c>
      <c r="G133">
        <v>0</v>
      </c>
      <c r="H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 s="20"/>
      <c r="P133" s="20"/>
      <c r="Q133" s="438"/>
      <c r="R133" s="197">
        <v>5.6499999999999995E-2</v>
      </c>
      <c r="S133" s="197">
        <v>1.25</v>
      </c>
      <c r="T133" s="197">
        <v>0.50078889239507718</v>
      </c>
      <c r="U133" s="197">
        <v>0.75268470790377973</v>
      </c>
      <c r="V133" s="20">
        <f t="shared" si="143"/>
        <v>0</v>
      </c>
      <c r="W133" s="20">
        <f t="shared" si="143"/>
        <v>0</v>
      </c>
      <c r="X133" s="20">
        <f t="shared" si="143"/>
        <v>0</v>
      </c>
      <c r="Y133" s="20">
        <f t="shared" si="143"/>
        <v>0</v>
      </c>
      <c r="Z133" s="20">
        <f t="shared" si="144"/>
        <v>0</v>
      </c>
      <c r="AA133" s="20">
        <f t="shared" si="144"/>
        <v>0</v>
      </c>
      <c r="AB133" s="20">
        <f t="shared" si="144"/>
        <v>0</v>
      </c>
      <c r="AC133" s="20">
        <f t="shared" si="144"/>
        <v>0</v>
      </c>
      <c r="AD133" s="20">
        <f t="shared" si="145"/>
        <v>0</v>
      </c>
      <c r="AE133" s="20">
        <f t="shared" si="146"/>
        <v>0</v>
      </c>
      <c r="AF133" s="20">
        <f t="shared" si="147"/>
        <v>0</v>
      </c>
      <c r="AG133" s="20">
        <f t="shared" si="147"/>
        <v>0</v>
      </c>
      <c r="AH133" s="20">
        <f t="shared" si="147"/>
        <v>0</v>
      </c>
      <c r="AI133" s="20">
        <f t="shared" si="148"/>
        <v>0</v>
      </c>
      <c r="AJ133" s="20">
        <f t="shared" si="148"/>
        <v>0</v>
      </c>
      <c r="AK133" s="20">
        <f t="shared" si="148"/>
        <v>0</v>
      </c>
      <c r="AL133" s="20">
        <f t="shared" si="148"/>
        <v>0</v>
      </c>
      <c r="AM133" s="20">
        <f t="shared" si="149"/>
        <v>0</v>
      </c>
      <c r="AO133">
        <f t="shared" si="150"/>
        <v>0</v>
      </c>
      <c r="AP133">
        <f t="shared" si="150"/>
        <v>0</v>
      </c>
      <c r="AQ133">
        <f t="shared" si="150"/>
        <v>0</v>
      </c>
      <c r="AR133">
        <f t="shared" si="150"/>
        <v>0</v>
      </c>
      <c r="AS133">
        <f t="shared" si="151"/>
        <v>0</v>
      </c>
      <c r="AU133">
        <f t="shared" si="152"/>
        <v>0</v>
      </c>
      <c r="AV133">
        <f t="shared" si="152"/>
        <v>0</v>
      </c>
      <c r="AW133">
        <f t="shared" si="152"/>
        <v>0</v>
      </c>
      <c r="AX133">
        <f t="shared" si="152"/>
        <v>0</v>
      </c>
      <c r="AY133">
        <f t="shared" si="153"/>
        <v>0</v>
      </c>
    </row>
    <row r="134" spans="1:53" ht="15" x14ac:dyDescent="0.25">
      <c r="A134" s="1"/>
      <c r="B134" s="2"/>
      <c r="C134" s="1" t="s">
        <v>13</v>
      </c>
      <c r="D134">
        <v>0</v>
      </c>
      <c r="E134" s="360">
        <v>0.78949999999999998</v>
      </c>
      <c r="F134">
        <v>0</v>
      </c>
      <c r="G134">
        <v>0</v>
      </c>
      <c r="H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20"/>
      <c r="P134" s="20"/>
      <c r="Q134" s="438">
        <v>4.7148607526874296E-2</v>
      </c>
      <c r="R134" s="197">
        <v>5.6499999999999995E-2</v>
      </c>
      <c r="S134" s="197">
        <v>1.25</v>
      </c>
      <c r="T134" s="197">
        <v>0.50078889239507718</v>
      </c>
      <c r="U134" s="197">
        <v>0.75268470790377973</v>
      </c>
      <c r="V134" s="20">
        <f t="shared" si="143"/>
        <v>2.1031461487993997E-2</v>
      </c>
      <c r="W134" s="20">
        <f t="shared" si="143"/>
        <v>0</v>
      </c>
      <c r="X134" s="20">
        <f t="shared" si="143"/>
        <v>0</v>
      </c>
      <c r="Y134" s="20">
        <f t="shared" si="143"/>
        <v>0</v>
      </c>
      <c r="Z134" s="20">
        <f t="shared" si="144"/>
        <v>1.2448444173174922E-2</v>
      </c>
      <c r="AA134" s="20">
        <f t="shared" si="144"/>
        <v>0</v>
      </c>
      <c r="AB134" s="20">
        <f t="shared" si="144"/>
        <v>0</v>
      </c>
      <c r="AC134" s="20">
        <f t="shared" si="144"/>
        <v>0</v>
      </c>
      <c r="AD134" s="20">
        <f t="shared" si="145"/>
        <v>1.2448444173174922E-2</v>
      </c>
      <c r="AE134" s="20">
        <f t="shared" si="146"/>
        <v>0.46529782053084068</v>
      </c>
      <c r="AF134" s="20">
        <f t="shared" si="147"/>
        <v>0</v>
      </c>
      <c r="AG134" s="20">
        <f t="shared" si="147"/>
        <v>0</v>
      </c>
      <c r="AH134" s="20">
        <f t="shared" si="147"/>
        <v>0</v>
      </c>
      <c r="AI134" s="20">
        <f t="shared" si="148"/>
        <v>0.37122410775495285</v>
      </c>
      <c r="AJ134" s="20">
        <f t="shared" si="148"/>
        <v>0</v>
      </c>
      <c r="AK134" s="20">
        <f t="shared" si="148"/>
        <v>0</v>
      </c>
      <c r="AL134" s="20">
        <f t="shared" si="148"/>
        <v>0</v>
      </c>
      <c r="AM134" s="20">
        <f t="shared" si="149"/>
        <v>0.37122410775495285</v>
      </c>
      <c r="AO134">
        <f t="shared" si="150"/>
        <v>1.7751481390947437E-2</v>
      </c>
      <c r="AP134">
        <f t="shared" si="150"/>
        <v>0</v>
      </c>
      <c r="AQ134">
        <f t="shared" si="150"/>
        <v>0</v>
      </c>
      <c r="AR134">
        <f t="shared" si="150"/>
        <v>0</v>
      </c>
      <c r="AS134">
        <f t="shared" si="151"/>
        <v>1.7751481390947437E-2</v>
      </c>
      <c r="AU134">
        <f t="shared" si="152"/>
        <v>0.52936557765856274</v>
      </c>
      <c r="AV134">
        <f t="shared" si="152"/>
        <v>0</v>
      </c>
      <c r="AW134">
        <f t="shared" si="152"/>
        <v>0</v>
      </c>
      <c r="AX134">
        <f t="shared" si="152"/>
        <v>0</v>
      </c>
      <c r="AY134">
        <f t="shared" si="153"/>
        <v>0.52936557765856274</v>
      </c>
    </row>
    <row r="135" spans="1:53" ht="15" x14ac:dyDescent="0.25">
      <c r="A135" s="7"/>
      <c r="B135" s="8" t="s">
        <v>14</v>
      </c>
      <c r="C135" s="7"/>
      <c r="D135" s="357">
        <f t="shared" ref="D135:H135" si="154">SUM(D129:D134)</f>
        <v>0</v>
      </c>
      <c r="E135" s="363">
        <f>SUM(E129:E134)</f>
        <v>400.10919999999999</v>
      </c>
      <c r="F135" s="357">
        <f t="shared" si="154"/>
        <v>0</v>
      </c>
      <c r="G135" s="357">
        <f t="shared" si="154"/>
        <v>0</v>
      </c>
      <c r="H135" s="357">
        <f t="shared" si="154"/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 s="20"/>
      <c r="P135" s="20"/>
      <c r="Q135" s="438">
        <v>2.6808711572205733E-2</v>
      </c>
      <c r="R135" s="197"/>
      <c r="S135" s="197"/>
      <c r="T135" s="197"/>
      <c r="U135" s="197"/>
      <c r="BA135" s="319">
        <f>(E135*10000*Q135*AU$10)</f>
        <v>152958.63711905203</v>
      </c>
    </row>
    <row r="136" spans="1:53" ht="15" x14ac:dyDescent="0.25">
      <c r="A136" s="10"/>
      <c r="B136" s="9" t="s">
        <v>15</v>
      </c>
      <c r="C136" s="5"/>
      <c r="E136" s="363">
        <f>SUM(E135)</f>
        <v>400.10919999999999</v>
      </c>
      <c r="H136" s="358">
        <f>SUM(D135:H135)</f>
        <v>400.10919999999999</v>
      </c>
      <c r="K136" s="14"/>
      <c r="N136">
        <v>0</v>
      </c>
      <c r="O136" s="20"/>
      <c r="P136" s="20"/>
      <c r="Q136" s="438"/>
      <c r="R136" s="197"/>
      <c r="S136" s="197"/>
      <c r="T136" s="197"/>
      <c r="U136" s="197"/>
    </row>
    <row r="137" spans="1:53" ht="15.75" x14ac:dyDescent="0.25">
      <c r="A137" s="1"/>
      <c r="B137" s="2"/>
      <c r="C137" s="1"/>
      <c r="E137" s="361"/>
      <c r="K137" s="14"/>
      <c r="O137" s="20"/>
      <c r="P137" s="20"/>
      <c r="Q137" s="439"/>
      <c r="R137" s="197"/>
      <c r="S137" s="197"/>
      <c r="T137" s="197"/>
      <c r="U137" s="197"/>
    </row>
    <row r="138" spans="1:53" ht="15" x14ac:dyDescent="0.25">
      <c r="A138" s="1">
        <v>15</v>
      </c>
      <c r="B138" s="2" t="s">
        <v>29</v>
      </c>
      <c r="C138" s="1" t="s">
        <v>8</v>
      </c>
      <c r="D138">
        <v>0</v>
      </c>
      <c r="E138" s="360">
        <v>0.63266</v>
      </c>
      <c r="F138">
        <v>0</v>
      </c>
      <c r="G138">
        <v>0</v>
      </c>
      <c r="H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 s="20"/>
      <c r="P138" s="20"/>
      <c r="Q138" s="438">
        <v>0.76644502301238149</v>
      </c>
      <c r="R138" s="197">
        <v>2.5000000000000001E-2</v>
      </c>
      <c r="S138" s="197">
        <v>0.71599999999999997</v>
      </c>
      <c r="T138" s="197">
        <v>0.11808671869809276</v>
      </c>
      <c r="U138" s="197">
        <v>0.41263016220713056</v>
      </c>
      <c r="V138" s="20">
        <f t="shared" ref="V138:Y143" si="155">E138*$Q138*$R138*10</f>
        <v>0.12122477706475332</v>
      </c>
      <c r="W138" s="20">
        <f t="shared" si="155"/>
        <v>0</v>
      </c>
      <c r="X138" s="20">
        <f t="shared" si="155"/>
        <v>0</v>
      </c>
      <c r="Y138" s="20">
        <f t="shared" si="155"/>
        <v>0</v>
      </c>
      <c r="Z138" s="20">
        <f t="shared" ref="Z138:AC143" si="156">V138*(EXP(1.01-0.34*LN(Z$8))*(1-$T138)+(1*$T138))</f>
        <v>3.3826358839381176E-2</v>
      </c>
      <c r="AA138" s="20">
        <f t="shared" si="156"/>
        <v>0</v>
      </c>
      <c r="AB138" s="20">
        <f t="shared" si="156"/>
        <v>0</v>
      </c>
      <c r="AC138" s="20">
        <f t="shared" si="156"/>
        <v>0</v>
      </c>
      <c r="AD138" s="20">
        <f t="shared" ref="AD138:AD143" si="157">SUM(Z138:AC138)</f>
        <v>3.3826358839381176E-2</v>
      </c>
      <c r="AE138" s="20">
        <f t="shared" ref="AE138:AE143" si="158">E138*$Q138*$S138*10</f>
        <v>3.471877615134535</v>
      </c>
      <c r="AF138" s="20">
        <f t="shared" ref="AF138:AH143" si="159">F138*$Q138*$S138*10</f>
        <v>0</v>
      </c>
      <c r="AG138" s="20">
        <f t="shared" si="159"/>
        <v>0</v>
      </c>
      <c r="AH138" s="20">
        <f t="shared" si="159"/>
        <v>0</v>
      </c>
      <c r="AI138" s="20">
        <f t="shared" ref="AI138:AL143" si="160">AE138*(EXP(1.01-0.34*LN(AI$8))*(1-$U138)+(1*$U138))</f>
        <v>1.8047749550183361</v>
      </c>
      <c r="AJ138" s="20">
        <f t="shared" si="160"/>
        <v>0</v>
      </c>
      <c r="AK138" s="20">
        <f t="shared" si="160"/>
        <v>0</v>
      </c>
      <c r="AL138" s="20">
        <f t="shared" si="160"/>
        <v>0</v>
      </c>
      <c r="AM138" s="20">
        <f t="shared" ref="AM138:AM143" si="161">SUM(AI138:AL138)</f>
        <v>1.8047749550183361</v>
      </c>
      <c r="AO138">
        <f t="shared" ref="AO138:AR143" si="162">Z138*AO$10</f>
        <v>4.8236387704957556E-2</v>
      </c>
      <c r="AP138">
        <f t="shared" si="162"/>
        <v>0</v>
      </c>
      <c r="AQ138">
        <f t="shared" si="162"/>
        <v>0</v>
      </c>
      <c r="AR138">
        <f t="shared" si="162"/>
        <v>0</v>
      </c>
      <c r="AS138">
        <f t="shared" ref="AS138:AS143" si="163">SUM(AO138:AR138)</f>
        <v>4.8236387704957556E-2</v>
      </c>
      <c r="AU138">
        <f t="shared" ref="AU138:AX143" si="164">AI138*AU$10</f>
        <v>2.5736090858561469</v>
      </c>
      <c r="AV138">
        <f t="shared" si="164"/>
        <v>0</v>
      </c>
      <c r="AW138">
        <f t="shared" si="164"/>
        <v>0</v>
      </c>
      <c r="AX138">
        <f t="shared" si="164"/>
        <v>0</v>
      </c>
      <c r="AY138">
        <f t="shared" ref="AY138:AY143" si="165">SUM(AU138:AX138)</f>
        <v>2.5736090858561469</v>
      </c>
    </row>
    <row r="139" spans="1:53" ht="15" x14ac:dyDescent="0.25">
      <c r="A139" s="1"/>
      <c r="B139" s="2"/>
      <c r="C139" s="1" t="s">
        <v>9</v>
      </c>
      <c r="D139">
        <v>0</v>
      </c>
      <c r="E139" s="360">
        <v>1.5754999999999999</v>
      </c>
      <c r="F139">
        <v>0</v>
      </c>
      <c r="G139">
        <v>0</v>
      </c>
      <c r="H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 s="20"/>
      <c r="P139" s="20"/>
      <c r="Q139" s="438">
        <v>0.76789004602476307</v>
      </c>
      <c r="R139" s="197">
        <v>2.5000000000000001E-2</v>
      </c>
      <c r="S139" s="197">
        <v>0.71599999999999997</v>
      </c>
      <c r="T139" s="197">
        <v>0.11808671869809276</v>
      </c>
      <c r="U139" s="197">
        <v>0.41263016220713056</v>
      </c>
      <c r="V139" s="20">
        <f t="shared" si="155"/>
        <v>0.30245269187800355</v>
      </c>
      <c r="W139" s="20">
        <f t="shared" si="155"/>
        <v>0</v>
      </c>
      <c r="X139" s="20">
        <f t="shared" si="155"/>
        <v>0</v>
      </c>
      <c r="Y139" s="20">
        <f t="shared" si="155"/>
        <v>0</v>
      </c>
      <c r="Z139" s="20">
        <f t="shared" si="156"/>
        <v>8.4395892779717985E-2</v>
      </c>
      <c r="AA139" s="20">
        <f t="shared" si="156"/>
        <v>0</v>
      </c>
      <c r="AB139" s="20">
        <f t="shared" si="156"/>
        <v>0</v>
      </c>
      <c r="AC139" s="20">
        <f t="shared" si="156"/>
        <v>0</v>
      </c>
      <c r="AD139" s="20">
        <f t="shared" si="157"/>
        <v>8.4395892779717985E-2</v>
      </c>
      <c r="AE139" s="20">
        <f t="shared" si="158"/>
        <v>8.6622450953860213</v>
      </c>
      <c r="AF139" s="20">
        <f t="shared" si="159"/>
        <v>0</v>
      </c>
      <c r="AG139" s="20">
        <f t="shared" si="159"/>
        <v>0</v>
      </c>
      <c r="AH139" s="20">
        <f t="shared" si="159"/>
        <v>0</v>
      </c>
      <c r="AI139" s="20">
        <f t="shared" si="160"/>
        <v>4.5028669600087028</v>
      </c>
      <c r="AJ139" s="20">
        <f t="shared" si="160"/>
        <v>0</v>
      </c>
      <c r="AK139" s="20">
        <f t="shared" si="160"/>
        <v>0</v>
      </c>
      <c r="AL139" s="20">
        <f t="shared" si="160"/>
        <v>0</v>
      </c>
      <c r="AM139" s="20">
        <f t="shared" si="161"/>
        <v>4.5028669600087028</v>
      </c>
      <c r="AO139">
        <f t="shared" si="162"/>
        <v>0.12034854310387784</v>
      </c>
      <c r="AP139">
        <f t="shared" si="162"/>
        <v>0</v>
      </c>
      <c r="AQ139">
        <f t="shared" si="162"/>
        <v>0</v>
      </c>
      <c r="AR139">
        <f t="shared" si="162"/>
        <v>0</v>
      </c>
      <c r="AS139">
        <f t="shared" si="163"/>
        <v>0.12034854310387784</v>
      </c>
      <c r="AU139">
        <f t="shared" si="164"/>
        <v>6.4210882849724102</v>
      </c>
      <c r="AV139">
        <f t="shared" si="164"/>
        <v>0</v>
      </c>
      <c r="AW139">
        <f t="shared" si="164"/>
        <v>0</v>
      </c>
      <c r="AX139">
        <f t="shared" si="164"/>
        <v>0</v>
      </c>
      <c r="AY139">
        <f t="shared" si="165"/>
        <v>6.4210882849724102</v>
      </c>
    </row>
    <row r="140" spans="1:53" ht="15" x14ac:dyDescent="0.25">
      <c r="A140" s="1"/>
      <c r="B140" s="2"/>
      <c r="C140" s="1" t="s">
        <v>10</v>
      </c>
      <c r="D140">
        <v>0</v>
      </c>
      <c r="E140" s="360">
        <v>0</v>
      </c>
      <c r="F140">
        <v>0</v>
      </c>
      <c r="G140">
        <v>0</v>
      </c>
      <c r="H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 s="20"/>
      <c r="P140" s="20"/>
      <c r="Q140" s="438"/>
      <c r="R140" s="197">
        <v>2.5000000000000001E-2</v>
      </c>
      <c r="S140" s="197">
        <v>0.71599999999999997</v>
      </c>
      <c r="T140" s="197">
        <v>0.11808671869809276</v>
      </c>
      <c r="U140" s="197">
        <v>0.41263016220713056</v>
      </c>
      <c r="V140" s="20">
        <f t="shared" si="155"/>
        <v>0</v>
      </c>
      <c r="W140" s="20">
        <f t="shared" si="155"/>
        <v>0</v>
      </c>
      <c r="X140" s="20">
        <f t="shared" si="155"/>
        <v>0</v>
      </c>
      <c r="Y140" s="20">
        <f t="shared" si="155"/>
        <v>0</v>
      </c>
      <c r="Z140" s="20">
        <f t="shared" si="156"/>
        <v>0</v>
      </c>
      <c r="AA140" s="20">
        <f t="shared" si="156"/>
        <v>0</v>
      </c>
      <c r="AB140" s="20">
        <f t="shared" si="156"/>
        <v>0</v>
      </c>
      <c r="AC140" s="20">
        <f t="shared" si="156"/>
        <v>0</v>
      </c>
      <c r="AD140" s="20">
        <f t="shared" si="157"/>
        <v>0</v>
      </c>
      <c r="AE140" s="20">
        <f t="shared" si="158"/>
        <v>0</v>
      </c>
      <c r="AF140" s="20">
        <f t="shared" si="159"/>
        <v>0</v>
      </c>
      <c r="AG140" s="20">
        <f t="shared" si="159"/>
        <v>0</v>
      </c>
      <c r="AH140" s="20">
        <f t="shared" si="159"/>
        <v>0</v>
      </c>
      <c r="AI140" s="20">
        <f t="shared" si="160"/>
        <v>0</v>
      </c>
      <c r="AJ140" s="20">
        <f t="shared" si="160"/>
        <v>0</v>
      </c>
      <c r="AK140" s="20">
        <f t="shared" si="160"/>
        <v>0</v>
      </c>
      <c r="AL140" s="20">
        <f t="shared" si="160"/>
        <v>0</v>
      </c>
      <c r="AM140" s="20">
        <f t="shared" si="161"/>
        <v>0</v>
      </c>
      <c r="AO140">
        <f t="shared" si="162"/>
        <v>0</v>
      </c>
      <c r="AP140">
        <f t="shared" si="162"/>
        <v>0</v>
      </c>
      <c r="AQ140">
        <f t="shared" si="162"/>
        <v>0</v>
      </c>
      <c r="AR140">
        <f t="shared" si="162"/>
        <v>0</v>
      </c>
      <c r="AS140">
        <f t="shared" si="163"/>
        <v>0</v>
      </c>
      <c r="AU140">
        <f t="shared" si="164"/>
        <v>0</v>
      </c>
      <c r="AV140">
        <f t="shared" si="164"/>
        <v>0</v>
      </c>
      <c r="AW140">
        <f t="shared" si="164"/>
        <v>0</v>
      </c>
      <c r="AX140">
        <f t="shared" si="164"/>
        <v>0</v>
      </c>
      <c r="AY140">
        <f t="shared" si="165"/>
        <v>0</v>
      </c>
    </row>
    <row r="141" spans="1:53" ht="15" x14ac:dyDescent="0.25">
      <c r="A141" s="1"/>
      <c r="B141" s="2"/>
      <c r="C141" s="1" t="s">
        <v>11</v>
      </c>
      <c r="D141">
        <v>0</v>
      </c>
      <c r="E141" s="360">
        <v>10.5235</v>
      </c>
      <c r="F141">
        <v>0</v>
      </c>
      <c r="G141">
        <v>0</v>
      </c>
      <c r="H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 s="20"/>
      <c r="P141" s="20"/>
      <c r="Q141" s="438">
        <v>0.77078009204952636</v>
      </c>
      <c r="R141" s="197">
        <v>2.5000000000000001E-2</v>
      </c>
      <c r="S141" s="197">
        <v>0.71599999999999997</v>
      </c>
      <c r="T141" s="197">
        <v>0.11808671869809276</v>
      </c>
      <c r="U141" s="197">
        <v>0.41263016220713056</v>
      </c>
      <c r="V141" s="20">
        <f t="shared" si="155"/>
        <v>2.0278260746707977</v>
      </c>
      <c r="W141" s="20">
        <f t="shared" si="155"/>
        <v>0</v>
      </c>
      <c r="X141" s="20">
        <f t="shared" si="155"/>
        <v>0</v>
      </c>
      <c r="Y141" s="20">
        <f t="shared" si="155"/>
        <v>0</v>
      </c>
      <c r="Z141" s="20">
        <f t="shared" si="156"/>
        <v>0.56584119291906865</v>
      </c>
      <c r="AA141" s="20">
        <f t="shared" si="156"/>
        <v>0</v>
      </c>
      <c r="AB141" s="20">
        <f t="shared" si="156"/>
        <v>0</v>
      </c>
      <c r="AC141" s="20">
        <f t="shared" si="156"/>
        <v>0</v>
      </c>
      <c r="AD141" s="20">
        <f t="shared" si="157"/>
        <v>0.56584119291906865</v>
      </c>
      <c r="AE141" s="20">
        <f t="shared" si="158"/>
        <v>58.076938778571645</v>
      </c>
      <c r="AF141" s="20">
        <f t="shared" si="159"/>
        <v>0</v>
      </c>
      <c r="AG141" s="20">
        <f t="shared" si="159"/>
        <v>0</v>
      </c>
      <c r="AH141" s="20">
        <f t="shared" si="159"/>
        <v>0</v>
      </c>
      <c r="AI141" s="20">
        <f t="shared" si="160"/>
        <v>30.189947973623401</v>
      </c>
      <c r="AJ141" s="20">
        <f t="shared" si="160"/>
        <v>0</v>
      </c>
      <c r="AK141" s="20">
        <f t="shared" si="160"/>
        <v>0</v>
      </c>
      <c r="AL141" s="20">
        <f t="shared" si="160"/>
        <v>0</v>
      </c>
      <c r="AM141" s="20">
        <f t="shared" si="161"/>
        <v>30.189947973623401</v>
      </c>
      <c r="AO141">
        <f t="shared" si="162"/>
        <v>0.80688954110259181</v>
      </c>
      <c r="AP141">
        <f t="shared" si="162"/>
        <v>0</v>
      </c>
      <c r="AQ141">
        <f t="shared" si="162"/>
        <v>0</v>
      </c>
      <c r="AR141">
        <f t="shared" si="162"/>
        <v>0</v>
      </c>
      <c r="AS141">
        <f t="shared" si="163"/>
        <v>0.80688954110259181</v>
      </c>
      <c r="AU141">
        <f t="shared" si="164"/>
        <v>43.050865810386966</v>
      </c>
      <c r="AV141">
        <f t="shared" si="164"/>
        <v>0</v>
      </c>
      <c r="AW141">
        <f t="shared" si="164"/>
        <v>0</v>
      </c>
      <c r="AX141">
        <f t="shared" si="164"/>
        <v>0</v>
      </c>
      <c r="AY141">
        <f t="shared" si="165"/>
        <v>43.050865810386966</v>
      </c>
    </row>
    <row r="142" spans="1:53" ht="15" x14ac:dyDescent="0.25">
      <c r="A142" s="1"/>
      <c r="B142" s="2"/>
      <c r="C142" s="1" t="s">
        <v>12</v>
      </c>
      <c r="D142">
        <v>0</v>
      </c>
      <c r="E142" s="360">
        <v>0</v>
      </c>
      <c r="F142">
        <v>0</v>
      </c>
      <c r="G142">
        <v>0</v>
      </c>
      <c r="H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 s="20"/>
      <c r="P142" s="20"/>
      <c r="Q142" s="438"/>
      <c r="R142" s="197">
        <v>2.5000000000000001E-2</v>
      </c>
      <c r="S142" s="197">
        <v>0.71599999999999997</v>
      </c>
      <c r="T142" s="197">
        <v>0.11808671869809276</v>
      </c>
      <c r="U142" s="197">
        <v>0.41263016220713056</v>
      </c>
      <c r="V142" s="20">
        <f t="shared" si="155"/>
        <v>0</v>
      </c>
      <c r="W142" s="20">
        <f t="shared" si="155"/>
        <v>0</v>
      </c>
      <c r="X142" s="20">
        <f t="shared" si="155"/>
        <v>0</v>
      </c>
      <c r="Y142" s="20">
        <f t="shared" si="155"/>
        <v>0</v>
      </c>
      <c r="Z142" s="20">
        <f t="shared" si="156"/>
        <v>0</v>
      </c>
      <c r="AA142" s="20">
        <f t="shared" si="156"/>
        <v>0</v>
      </c>
      <c r="AB142" s="20">
        <f t="shared" si="156"/>
        <v>0</v>
      </c>
      <c r="AC142" s="20">
        <f t="shared" si="156"/>
        <v>0</v>
      </c>
      <c r="AD142" s="20">
        <f t="shared" si="157"/>
        <v>0</v>
      </c>
      <c r="AE142" s="20">
        <f t="shared" si="158"/>
        <v>0</v>
      </c>
      <c r="AF142" s="20">
        <f t="shared" si="159"/>
        <v>0</v>
      </c>
      <c r="AG142" s="20">
        <f t="shared" si="159"/>
        <v>0</v>
      </c>
      <c r="AH142" s="20">
        <f t="shared" si="159"/>
        <v>0</v>
      </c>
      <c r="AI142" s="20">
        <f t="shared" si="160"/>
        <v>0</v>
      </c>
      <c r="AJ142" s="20">
        <f t="shared" si="160"/>
        <v>0</v>
      </c>
      <c r="AK142" s="20">
        <f t="shared" si="160"/>
        <v>0</v>
      </c>
      <c r="AL142" s="20">
        <f t="shared" si="160"/>
        <v>0</v>
      </c>
      <c r="AM142" s="20">
        <f t="shared" si="161"/>
        <v>0</v>
      </c>
      <c r="AO142">
        <f t="shared" si="162"/>
        <v>0</v>
      </c>
      <c r="AP142">
        <f t="shared" si="162"/>
        <v>0</v>
      </c>
      <c r="AQ142">
        <f t="shared" si="162"/>
        <v>0</v>
      </c>
      <c r="AR142">
        <f t="shared" si="162"/>
        <v>0</v>
      </c>
      <c r="AS142">
        <f t="shared" si="163"/>
        <v>0</v>
      </c>
      <c r="AU142">
        <f t="shared" si="164"/>
        <v>0</v>
      </c>
      <c r="AV142">
        <f t="shared" si="164"/>
        <v>0</v>
      </c>
      <c r="AW142">
        <f t="shared" si="164"/>
        <v>0</v>
      </c>
      <c r="AX142">
        <f t="shared" si="164"/>
        <v>0</v>
      </c>
      <c r="AY142">
        <f t="shared" si="165"/>
        <v>0</v>
      </c>
    </row>
    <row r="143" spans="1:53" ht="15" x14ac:dyDescent="0.25">
      <c r="A143" s="1"/>
      <c r="B143" s="2"/>
      <c r="C143" s="1" t="s">
        <v>13</v>
      </c>
      <c r="D143">
        <v>0</v>
      </c>
      <c r="E143" s="360">
        <v>12.9397</v>
      </c>
      <c r="F143">
        <v>0</v>
      </c>
      <c r="G143">
        <v>0</v>
      </c>
      <c r="H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20"/>
      <c r="P143" s="20"/>
      <c r="Q143" s="438">
        <v>0.77078009204952636</v>
      </c>
      <c r="R143" s="197">
        <v>2.5000000000000001E-2</v>
      </c>
      <c r="S143" s="197">
        <v>0.71599999999999997</v>
      </c>
      <c r="T143" s="197">
        <v>0.11808671869809276</v>
      </c>
      <c r="U143" s="197">
        <v>0.41263016220713056</v>
      </c>
      <c r="V143" s="20">
        <f t="shared" si="155"/>
        <v>2.493415789273314</v>
      </c>
      <c r="W143" s="20">
        <f t="shared" si="155"/>
        <v>0</v>
      </c>
      <c r="X143" s="20">
        <f t="shared" si="155"/>
        <v>0</v>
      </c>
      <c r="Y143" s="20">
        <f t="shared" si="155"/>
        <v>0</v>
      </c>
      <c r="Z143" s="20">
        <f t="shared" si="156"/>
        <v>0.69575856739819186</v>
      </c>
      <c r="AA143" s="20">
        <f t="shared" si="156"/>
        <v>0</v>
      </c>
      <c r="AB143" s="20">
        <f t="shared" si="156"/>
        <v>0</v>
      </c>
      <c r="AC143" s="20">
        <f t="shared" si="156"/>
        <v>0</v>
      </c>
      <c r="AD143" s="20">
        <f t="shared" si="157"/>
        <v>0.69575856739819186</v>
      </c>
      <c r="AE143" s="20">
        <f t="shared" si="158"/>
        <v>71.411428204787711</v>
      </c>
      <c r="AF143" s="20">
        <f t="shared" si="159"/>
        <v>0</v>
      </c>
      <c r="AG143" s="20">
        <f t="shared" si="159"/>
        <v>0</v>
      </c>
      <c r="AH143" s="20">
        <f t="shared" si="159"/>
        <v>0</v>
      </c>
      <c r="AI143" s="20">
        <f t="shared" si="160"/>
        <v>37.121572651142174</v>
      </c>
      <c r="AJ143" s="20">
        <f t="shared" si="160"/>
        <v>0</v>
      </c>
      <c r="AK143" s="20">
        <f t="shared" si="160"/>
        <v>0</v>
      </c>
      <c r="AL143" s="20">
        <f t="shared" si="160"/>
        <v>0</v>
      </c>
      <c r="AM143" s="20">
        <f t="shared" si="161"/>
        <v>37.121572651142174</v>
      </c>
      <c r="AO143">
        <f t="shared" si="162"/>
        <v>0.99215171710982153</v>
      </c>
      <c r="AP143">
        <f t="shared" si="162"/>
        <v>0</v>
      </c>
      <c r="AQ143">
        <f t="shared" si="162"/>
        <v>0</v>
      </c>
      <c r="AR143">
        <f t="shared" si="162"/>
        <v>0</v>
      </c>
      <c r="AS143">
        <f t="shared" si="163"/>
        <v>0.99215171710982153</v>
      </c>
      <c r="AU143">
        <f t="shared" si="164"/>
        <v>52.935362600528734</v>
      </c>
      <c r="AV143">
        <f t="shared" si="164"/>
        <v>0</v>
      </c>
      <c r="AW143">
        <f t="shared" si="164"/>
        <v>0</v>
      </c>
      <c r="AX143">
        <f t="shared" si="164"/>
        <v>0</v>
      </c>
      <c r="AY143">
        <f t="shared" si="165"/>
        <v>52.935362600528734</v>
      </c>
    </row>
    <row r="144" spans="1:53" ht="15" x14ac:dyDescent="0.25">
      <c r="A144" s="7"/>
      <c r="B144" s="8" t="s">
        <v>14</v>
      </c>
      <c r="C144" s="7"/>
      <c r="D144" s="357">
        <f t="shared" ref="D144:H144" si="166">SUM(D138:D143)</f>
        <v>0</v>
      </c>
      <c r="E144" s="363">
        <f>SUM(E138:E143)</f>
        <v>25.67136</v>
      </c>
      <c r="F144" s="357">
        <f t="shared" si="166"/>
        <v>0</v>
      </c>
      <c r="G144" s="357">
        <f t="shared" si="166"/>
        <v>0</v>
      </c>
      <c r="H144" s="357">
        <f t="shared" si="166"/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 s="20"/>
      <c r="P144" s="20"/>
      <c r="Q144" s="438">
        <v>0.77049588847445072</v>
      </c>
      <c r="R144" s="197"/>
      <c r="S144" s="197"/>
      <c r="T144" s="197"/>
      <c r="U144" s="197"/>
      <c r="BA144" s="319">
        <f>(E144*10000*Q144*AU$10)</f>
        <v>282058.19874786702</v>
      </c>
    </row>
    <row r="145" spans="1:53" ht="15" x14ac:dyDescent="0.25">
      <c r="A145" s="10"/>
      <c r="B145" s="9" t="s">
        <v>15</v>
      </c>
      <c r="C145" s="5"/>
      <c r="E145" s="363">
        <f>SUM(E144)</f>
        <v>25.67136</v>
      </c>
      <c r="H145" s="358">
        <f>SUM(D144:H144)</f>
        <v>25.67136</v>
      </c>
      <c r="K145" s="14"/>
      <c r="N145">
        <v>0</v>
      </c>
      <c r="O145" s="20"/>
      <c r="P145" s="20"/>
      <c r="Q145" s="438"/>
      <c r="R145" s="197"/>
      <c r="S145" s="197"/>
      <c r="T145" s="197"/>
      <c r="U145" s="197"/>
    </row>
    <row r="146" spans="1:53" ht="15.75" x14ac:dyDescent="0.25">
      <c r="A146" s="1"/>
      <c r="B146" s="2"/>
      <c r="C146" s="1"/>
      <c r="E146" s="361"/>
      <c r="K146" s="14"/>
      <c r="O146" s="20"/>
      <c r="P146" s="20"/>
      <c r="Q146" s="439"/>
      <c r="R146" s="197"/>
      <c r="S146" s="197"/>
      <c r="T146" s="197"/>
      <c r="U146" s="197"/>
    </row>
    <row r="147" spans="1:53" ht="15" x14ac:dyDescent="0.25">
      <c r="A147" s="1">
        <v>16</v>
      </c>
      <c r="B147" s="2" t="s">
        <v>30</v>
      </c>
      <c r="C147" s="1" t="s">
        <v>8</v>
      </c>
      <c r="D147">
        <v>0</v>
      </c>
      <c r="E147" s="360">
        <v>69.565200000000004</v>
      </c>
      <c r="F147">
        <v>0</v>
      </c>
      <c r="G147">
        <v>0</v>
      </c>
      <c r="H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 s="20"/>
      <c r="P147" s="20"/>
      <c r="Q147" s="438">
        <v>0.67740837168730272</v>
      </c>
      <c r="R147" s="197">
        <v>5.6499999999999995E-2</v>
      </c>
      <c r="S147" s="197">
        <v>1.25</v>
      </c>
      <c r="T147" s="197">
        <v>0.50650413159351704</v>
      </c>
      <c r="U147" s="197">
        <v>0.77519673403474398</v>
      </c>
      <c r="V147" s="20">
        <f t="shared" ref="V147:Y152" si="167">E147*$Q147*$R147*10</f>
        <v>26.625087604827375</v>
      </c>
      <c r="W147" s="20">
        <f t="shared" si="167"/>
        <v>0</v>
      </c>
      <c r="X147" s="20">
        <f t="shared" si="167"/>
        <v>0</v>
      </c>
      <c r="Y147" s="20">
        <f t="shared" si="167"/>
        <v>0</v>
      </c>
      <c r="Z147" s="20">
        <f t="shared" ref="Z147:AC152" si="168">V147*(EXP(1.01-0.34*LN(Z$8))*(1-$T147)+(1*$T147))</f>
        <v>15.883688286632777</v>
      </c>
      <c r="AA147" s="20">
        <f t="shared" si="168"/>
        <v>0</v>
      </c>
      <c r="AB147" s="20">
        <f t="shared" si="168"/>
        <v>0</v>
      </c>
      <c r="AC147" s="20">
        <f t="shared" si="168"/>
        <v>0</v>
      </c>
      <c r="AD147" s="20">
        <f t="shared" ref="AD147:AD152" si="169">SUM(Z147:AC147)</f>
        <v>15.883688286632777</v>
      </c>
      <c r="AE147" s="20">
        <f t="shared" ref="AE147:AE152" si="170">E147*$Q147*$S147*10</f>
        <v>589.05061072626938</v>
      </c>
      <c r="AF147" s="20">
        <f t="shared" ref="AF147:AH152" si="171">F147*$Q147*$S147*10</f>
        <v>0</v>
      </c>
      <c r="AG147" s="20">
        <f t="shared" si="171"/>
        <v>0</v>
      </c>
      <c r="AH147" s="20">
        <f t="shared" si="171"/>
        <v>0</v>
      </c>
      <c r="AI147" s="20">
        <f t="shared" ref="AI147:AL152" si="172">AE147*(EXP(1.01-0.34*LN(AI$8))*(1-$U147)+(1*$U147))</f>
        <v>480.79721642894765</v>
      </c>
      <c r="AJ147" s="20">
        <f t="shared" si="172"/>
        <v>0</v>
      </c>
      <c r="AK147" s="20">
        <f t="shared" si="172"/>
        <v>0</v>
      </c>
      <c r="AL147" s="20">
        <f t="shared" si="172"/>
        <v>0</v>
      </c>
      <c r="AM147" s="20">
        <f t="shared" ref="AM147:AM152" si="173">SUM(AI147:AL147)</f>
        <v>480.79721642894765</v>
      </c>
      <c r="AO147">
        <f t="shared" ref="AO147:AR152" si="174">Z147*AO$10</f>
        <v>22.65013949673834</v>
      </c>
      <c r="AP147">
        <f t="shared" si="174"/>
        <v>0</v>
      </c>
      <c r="AQ147">
        <f t="shared" si="174"/>
        <v>0</v>
      </c>
      <c r="AR147">
        <f t="shared" si="174"/>
        <v>0</v>
      </c>
      <c r="AS147">
        <f t="shared" ref="AS147:AS152" si="175">SUM(AO147:AR147)</f>
        <v>22.65013949673834</v>
      </c>
      <c r="AU147">
        <f t="shared" ref="AU147:AX152" si="176">AI147*AU$10</f>
        <v>685.61683062767929</v>
      </c>
      <c r="AV147">
        <f t="shared" si="176"/>
        <v>0</v>
      </c>
      <c r="AW147">
        <f t="shared" si="176"/>
        <v>0</v>
      </c>
      <c r="AX147">
        <f t="shared" si="176"/>
        <v>0</v>
      </c>
      <c r="AY147">
        <f t="shared" ref="AY147:AY152" si="177">SUM(AU147:AX147)</f>
        <v>685.61683062767929</v>
      </c>
    </row>
    <row r="148" spans="1:53" ht="15" x14ac:dyDescent="0.25">
      <c r="A148" s="1"/>
      <c r="B148" s="2"/>
      <c r="C148" s="1" t="s">
        <v>9</v>
      </c>
      <c r="D148">
        <v>0</v>
      </c>
      <c r="E148" s="360">
        <v>8.3310999999999993</v>
      </c>
      <c r="F148">
        <v>0</v>
      </c>
      <c r="G148">
        <v>0</v>
      </c>
      <c r="H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 s="20"/>
      <c r="P148" s="20"/>
      <c r="Q148" s="438">
        <v>0.67981674337460529</v>
      </c>
      <c r="R148" s="197">
        <v>5.6499999999999995E-2</v>
      </c>
      <c r="S148" s="197">
        <v>1.25</v>
      </c>
      <c r="T148" s="197">
        <v>0.50650413159351704</v>
      </c>
      <c r="U148" s="197">
        <v>0.77519673403474398</v>
      </c>
      <c r="V148" s="20">
        <f t="shared" si="167"/>
        <v>3.1999460179614174</v>
      </c>
      <c r="W148" s="20">
        <f t="shared" si="167"/>
        <v>0</v>
      </c>
      <c r="X148" s="20">
        <f t="shared" si="167"/>
        <v>0</v>
      </c>
      <c r="Y148" s="20">
        <f t="shared" si="167"/>
        <v>0</v>
      </c>
      <c r="Z148" s="20">
        <f t="shared" si="168"/>
        <v>1.9089869613850798</v>
      </c>
      <c r="AA148" s="20">
        <f t="shared" si="168"/>
        <v>0</v>
      </c>
      <c r="AB148" s="20">
        <f t="shared" si="168"/>
        <v>0</v>
      </c>
      <c r="AC148" s="20">
        <f t="shared" si="168"/>
        <v>0</v>
      </c>
      <c r="AD148" s="20">
        <f t="shared" si="169"/>
        <v>1.9089869613850798</v>
      </c>
      <c r="AE148" s="20">
        <f t="shared" si="170"/>
        <v>70.795265884102164</v>
      </c>
      <c r="AF148" s="20">
        <f t="shared" si="171"/>
        <v>0</v>
      </c>
      <c r="AG148" s="20">
        <f t="shared" si="171"/>
        <v>0</v>
      </c>
      <c r="AH148" s="20">
        <f t="shared" si="171"/>
        <v>0</v>
      </c>
      <c r="AI148" s="20">
        <f t="shared" si="172"/>
        <v>57.784791584302468</v>
      </c>
      <c r="AJ148" s="20">
        <f t="shared" si="172"/>
        <v>0</v>
      </c>
      <c r="AK148" s="20">
        <f t="shared" si="172"/>
        <v>0</v>
      </c>
      <c r="AL148" s="20">
        <f t="shared" si="172"/>
        <v>0</v>
      </c>
      <c r="AM148" s="20">
        <f t="shared" si="173"/>
        <v>57.784791584302468</v>
      </c>
      <c r="AO148">
        <f t="shared" si="174"/>
        <v>2.7222154069351236</v>
      </c>
      <c r="AP148">
        <f t="shared" si="174"/>
        <v>0</v>
      </c>
      <c r="AQ148">
        <f t="shared" si="174"/>
        <v>0</v>
      </c>
      <c r="AR148">
        <f t="shared" si="174"/>
        <v>0</v>
      </c>
      <c r="AS148">
        <f t="shared" si="175"/>
        <v>2.7222154069351236</v>
      </c>
      <c r="AU148">
        <f t="shared" si="176"/>
        <v>82.401112799215312</v>
      </c>
      <c r="AV148">
        <f t="shared" si="176"/>
        <v>0</v>
      </c>
      <c r="AW148">
        <f t="shared" si="176"/>
        <v>0</v>
      </c>
      <c r="AX148">
        <f t="shared" si="176"/>
        <v>0</v>
      </c>
      <c r="AY148">
        <f t="shared" si="177"/>
        <v>82.401112799215312</v>
      </c>
    </row>
    <row r="149" spans="1:53" ht="15" x14ac:dyDescent="0.25">
      <c r="A149" s="1"/>
      <c r="B149" s="2"/>
      <c r="C149" s="1" t="s">
        <v>10</v>
      </c>
      <c r="D149">
        <v>0</v>
      </c>
      <c r="E149" s="360">
        <v>0</v>
      </c>
      <c r="F149">
        <v>0</v>
      </c>
      <c r="G149">
        <v>0</v>
      </c>
      <c r="H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 s="20"/>
      <c r="P149" s="20"/>
      <c r="Q149" s="438"/>
      <c r="R149" s="197">
        <v>5.6499999999999995E-2</v>
      </c>
      <c r="S149" s="197">
        <v>1.25</v>
      </c>
      <c r="T149" s="197">
        <v>0.50650413159351704</v>
      </c>
      <c r="U149" s="197">
        <v>0.77519673403474398</v>
      </c>
      <c r="V149" s="20">
        <f t="shared" si="167"/>
        <v>0</v>
      </c>
      <c r="W149" s="20">
        <f t="shared" si="167"/>
        <v>0</v>
      </c>
      <c r="X149" s="20">
        <f t="shared" si="167"/>
        <v>0</v>
      </c>
      <c r="Y149" s="20">
        <f t="shared" si="167"/>
        <v>0</v>
      </c>
      <c r="Z149" s="20">
        <f t="shared" si="168"/>
        <v>0</v>
      </c>
      <c r="AA149" s="20">
        <f t="shared" si="168"/>
        <v>0</v>
      </c>
      <c r="AB149" s="20">
        <f t="shared" si="168"/>
        <v>0</v>
      </c>
      <c r="AC149" s="20">
        <f t="shared" si="168"/>
        <v>0</v>
      </c>
      <c r="AD149" s="20">
        <f t="shared" si="169"/>
        <v>0</v>
      </c>
      <c r="AE149" s="20">
        <f t="shared" si="170"/>
        <v>0</v>
      </c>
      <c r="AF149" s="20">
        <f t="shared" si="171"/>
        <v>0</v>
      </c>
      <c r="AG149" s="20">
        <f t="shared" si="171"/>
        <v>0</v>
      </c>
      <c r="AH149" s="20">
        <f t="shared" si="171"/>
        <v>0</v>
      </c>
      <c r="AI149" s="20">
        <f t="shared" si="172"/>
        <v>0</v>
      </c>
      <c r="AJ149" s="20">
        <f t="shared" si="172"/>
        <v>0</v>
      </c>
      <c r="AK149" s="20">
        <f t="shared" si="172"/>
        <v>0</v>
      </c>
      <c r="AL149" s="20">
        <f t="shared" si="172"/>
        <v>0</v>
      </c>
      <c r="AM149" s="20">
        <f t="shared" si="173"/>
        <v>0</v>
      </c>
      <c r="AO149">
        <f t="shared" si="174"/>
        <v>0</v>
      </c>
      <c r="AP149">
        <f t="shared" si="174"/>
        <v>0</v>
      </c>
      <c r="AQ149">
        <f t="shared" si="174"/>
        <v>0</v>
      </c>
      <c r="AR149">
        <f t="shared" si="174"/>
        <v>0</v>
      </c>
      <c r="AS149">
        <f t="shared" si="175"/>
        <v>0</v>
      </c>
      <c r="AU149">
        <f t="shared" si="176"/>
        <v>0</v>
      </c>
      <c r="AV149">
        <f t="shared" si="176"/>
        <v>0</v>
      </c>
      <c r="AW149">
        <f t="shared" si="176"/>
        <v>0</v>
      </c>
      <c r="AX149">
        <f t="shared" si="176"/>
        <v>0</v>
      </c>
      <c r="AY149">
        <f t="shared" si="177"/>
        <v>0</v>
      </c>
    </row>
    <row r="150" spans="1:53" ht="15" x14ac:dyDescent="0.25">
      <c r="A150" s="1"/>
      <c r="B150" s="2"/>
      <c r="C150" s="1" t="s">
        <v>11</v>
      </c>
      <c r="D150">
        <v>0</v>
      </c>
      <c r="E150" s="360">
        <v>1293.5411999999999</v>
      </c>
      <c r="F150">
        <v>0</v>
      </c>
      <c r="G150">
        <v>0</v>
      </c>
      <c r="H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s="20"/>
      <c r="P150" s="20"/>
      <c r="Q150" s="438">
        <v>0.68463348674921076</v>
      </c>
      <c r="R150" s="197">
        <v>5.6499999999999995E-2</v>
      </c>
      <c r="S150" s="197">
        <v>1.25</v>
      </c>
      <c r="T150" s="197">
        <v>0.50650413159351704</v>
      </c>
      <c r="U150" s="197">
        <v>0.77519673403474398</v>
      </c>
      <c r="V150" s="20">
        <f t="shared" si="167"/>
        <v>500.36491643551329</v>
      </c>
      <c r="W150" s="20">
        <f t="shared" si="167"/>
        <v>0</v>
      </c>
      <c r="X150" s="20">
        <f t="shared" si="167"/>
        <v>0</v>
      </c>
      <c r="Y150" s="20">
        <f t="shared" si="167"/>
        <v>0</v>
      </c>
      <c r="Z150" s="20">
        <f t="shared" si="168"/>
        <v>298.50194223540393</v>
      </c>
      <c r="AA150" s="20">
        <f t="shared" si="168"/>
        <v>0</v>
      </c>
      <c r="AB150" s="20">
        <f t="shared" si="168"/>
        <v>0</v>
      </c>
      <c r="AC150" s="20">
        <f t="shared" si="168"/>
        <v>0</v>
      </c>
      <c r="AD150" s="20">
        <f t="shared" si="169"/>
        <v>298.50194223540393</v>
      </c>
      <c r="AE150" s="20">
        <f t="shared" si="170"/>
        <v>11070.020275121977</v>
      </c>
      <c r="AF150" s="20">
        <f t="shared" si="171"/>
        <v>0</v>
      </c>
      <c r="AG150" s="20">
        <f t="shared" si="171"/>
        <v>0</v>
      </c>
      <c r="AH150" s="20">
        <f t="shared" si="171"/>
        <v>0</v>
      </c>
      <c r="AI150" s="20">
        <f t="shared" si="172"/>
        <v>9035.6156791491449</v>
      </c>
      <c r="AJ150" s="20">
        <f t="shared" si="172"/>
        <v>0</v>
      </c>
      <c r="AK150" s="20">
        <f t="shared" si="172"/>
        <v>0</v>
      </c>
      <c r="AL150" s="20">
        <f t="shared" si="172"/>
        <v>0</v>
      </c>
      <c r="AM150" s="20">
        <f t="shared" si="173"/>
        <v>9035.6156791491449</v>
      </c>
      <c r="AO150">
        <f t="shared" si="174"/>
        <v>425.66376962768601</v>
      </c>
      <c r="AP150">
        <f t="shared" si="174"/>
        <v>0</v>
      </c>
      <c r="AQ150">
        <f t="shared" si="174"/>
        <v>0</v>
      </c>
      <c r="AR150">
        <f t="shared" si="174"/>
        <v>0</v>
      </c>
      <c r="AS150">
        <f t="shared" si="175"/>
        <v>425.66376962768601</v>
      </c>
      <c r="AU150">
        <f t="shared" si="176"/>
        <v>12884.787958466681</v>
      </c>
      <c r="AV150">
        <f t="shared" si="176"/>
        <v>0</v>
      </c>
      <c r="AW150">
        <f t="shared" si="176"/>
        <v>0</v>
      </c>
      <c r="AX150">
        <f t="shared" si="176"/>
        <v>0</v>
      </c>
      <c r="AY150">
        <f t="shared" si="177"/>
        <v>12884.787958466681</v>
      </c>
    </row>
    <row r="151" spans="1:53" ht="15" x14ac:dyDescent="0.25">
      <c r="A151" s="1"/>
      <c r="B151" s="2"/>
      <c r="C151" s="1" t="s">
        <v>12</v>
      </c>
      <c r="D151">
        <v>0</v>
      </c>
      <c r="E151" s="360">
        <v>0</v>
      </c>
      <c r="F151">
        <v>0</v>
      </c>
      <c r="G151">
        <v>0</v>
      </c>
      <c r="H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 s="20"/>
      <c r="P151" s="20"/>
      <c r="Q151" s="438"/>
      <c r="R151" s="197">
        <v>5.6499999999999995E-2</v>
      </c>
      <c r="S151" s="197">
        <v>1.25</v>
      </c>
      <c r="T151" s="197">
        <v>0.50650413159351704</v>
      </c>
      <c r="U151" s="197">
        <v>0.77519673403474398</v>
      </c>
      <c r="V151" s="20">
        <f t="shared" si="167"/>
        <v>0</v>
      </c>
      <c r="W151" s="20">
        <f t="shared" si="167"/>
        <v>0</v>
      </c>
      <c r="X151" s="20">
        <f t="shared" si="167"/>
        <v>0</v>
      </c>
      <c r="Y151" s="20">
        <f t="shared" si="167"/>
        <v>0</v>
      </c>
      <c r="Z151" s="20">
        <f t="shared" si="168"/>
        <v>0</v>
      </c>
      <c r="AA151" s="20">
        <f t="shared" si="168"/>
        <v>0</v>
      </c>
      <c r="AB151" s="20">
        <f t="shared" si="168"/>
        <v>0</v>
      </c>
      <c r="AC151" s="20">
        <f t="shared" si="168"/>
        <v>0</v>
      </c>
      <c r="AD151" s="20">
        <f t="shared" si="169"/>
        <v>0</v>
      </c>
      <c r="AE151" s="20">
        <f t="shared" si="170"/>
        <v>0</v>
      </c>
      <c r="AF151" s="20">
        <f t="shared" si="171"/>
        <v>0</v>
      </c>
      <c r="AG151" s="20">
        <f t="shared" si="171"/>
        <v>0</v>
      </c>
      <c r="AH151" s="20">
        <f t="shared" si="171"/>
        <v>0</v>
      </c>
      <c r="AI151" s="20">
        <f t="shared" si="172"/>
        <v>0</v>
      </c>
      <c r="AJ151" s="20">
        <f t="shared" si="172"/>
        <v>0</v>
      </c>
      <c r="AK151" s="20">
        <f t="shared" si="172"/>
        <v>0</v>
      </c>
      <c r="AL151" s="20">
        <f t="shared" si="172"/>
        <v>0</v>
      </c>
      <c r="AM151" s="20">
        <f t="shared" si="173"/>
        <v>0</v>
      </c>
      <c r="AO151">
        <f t="shared" si="174"/>
        <v>0</v>
      </c>
      <c r="AP151">
        <f t="shared" si="174"/>
        <v>0</v>
      </c>
      <c r="AQ151">
        <f t="shared" si="174"/>
        <v>0</v>
      </c>
      <c r="AR151">
        <f t="shared" si="174"/>
        <v>0</v>
      </c>
      <c r="AS151">
        <f t="shared" si="175"/>
        <v>0</v>
      </c>
      <c r="AU151">
        <f t="shared" si="176"/>
        <v>0</v>
      </c>
      <c r="AV151">
        <f t="shared" si="176"/>
        <v>0</v>
      </c>
      <c r="AW151">
        <f t="shared" si="176"/>
        <v>0</v>
      </c>
      <c r="AX151">
        <f t="shared" si="176"/>
        <v>0</v>
      </c>
      <c r="AY151">
        <f t="shared" si="177"/>
        <v>0</v>
      </c>
    </row>
    <row r="152" spans="1:53" ht="15" x14ac:dyDescent="0.25">
      <c r="A152" s="1"/>
      <c r="B152" s="2"/>
      <c r="C152" s="1" t="s">
        <v>13</v>
      </c>
      <c r="D152">
        <v>0</v>
      </c>
      <c r="E152" s="360">
        <v>25.831499999999998</v>
      </c>
      <c r="F152">
        <v>0</v>
      </c>
      <c r="G152">
        <v>0</v>
      </c>
      <c r="H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20"/>
      <c r="P152" s="20"/>
      <c r="Q152" s="438">
        <v>0.68463348674921065</v>
      </c>
      <c r="R152" s="197">
        <v>5.6499999999999995E-2</v>
      </c>
      <c r="S152" s="197">
        <v>1.25</v>
      </c>
      <c r="T152" s="197">
        <v>0.50650413159351704</v>
      </c>
      <c r="U152" s="197">
        <v>0.77519673403474398</v>
      </c>
      <c r="V152" s="20">
        <f t="shared" si="167"/>
        <v>9.9920871008236603</v>
      </c>
      <c r="W152" s="20">
        <f t="shared" si="167"/>
        <v>0</v>
      </c>
      <c r="X152" s="20">
        <f t="shared" si="167"/>
        <v>0</v>
      </c>
      <c r="Y152" s="20">
        <f t="shared" si="167"/>
        <v>0</v>
      </c>
      <c r="Z152" s="20">
        <f t="shared" si="168"/>
        <v>5.960964305469231</v>
      </c>
      <c r="AA152" s="20">
        <f t="shared" si="168"/>
        <v>0</v>
      </c>
      <c r="AB152" s="20">
        <f t="shared" si="168"/>
        <v>0</v>
      </c>
      <c r="AC152" s="20">
        <f t="shared" si="168"/>
        <v>0</v>
      </c>
      <c r="AD152" s="20">
        <f t="shared" si="169"/>
        <v>5.960964305469231</v>
      </c>
      <c r="AE152" s="20">
        <f t="shared" si="170"/>
        <v>221.0638739120279</v>
      </c>
      <c r="AF152" s="20">
        <f t="shared" si="171"/>
        <v>0</v>
      </c>
      <c r="AG152" s="20">
        <f t="shared" si="171"/>
        <v>0</v>
      </c>
      <c r="AH152" s="20">
        <f t="shared" si="171"/>
        <v>0</v>
      </c>
      <c r="AI152" s="20">
        <f t="shared" si="172"/>
        <v>180.43762843884764</v>
      </c>
      <c r="AJ152" s="20">
        <f t="shared" si="172"/>
        <v>0</v>
      </c>
      <c r="AK152" s="20">
        <f t="shared" si="172"/>
        <v>0</v>
      </c>
      <c r="AL152" s="20">
        <f t="shared" si="172"/>
        <v>0</v>
      </c>
      <c r="AM152" s="20">
        <f t="shared" si="173"/>
        <v>180.43762843884764</v>
      </c>
      <c r="AO152">
        <f t="shared" si="174"/>
        <v>8.5003350995991234</v>
      </c>
      <c r="AP152">
        <f t="shared" si="174"/>
        <v>0</v>
      </c>
      <c r="AQ152">
        <f t="shared" si="174"/>
        <v>0</v>
      </c>
      <c r="AR152">
        <f t="shared" si="174"/>
        <v>0</v>
      </c>
      <c r="AS152">
        <f t="shared" si="175"/>
        <v>8.5003350995991234</v>
      </c>
      <c r="AU152">
        <f t="shared" si="176"/>
        <v>257.30405815379675</v>
      </c>
      <c r="AV152">
        <f t="shared" si="176"/>
        <v>0</v>
      </c>
      <c r="AW152">
        <f t="shared" si="176"/>
        <v>0</v>
      </c>
      <c r="AX152">
        <f t="shared" si="176"/>
        <v>0</v>
      </c>
      <c r="AY152">
        <f t="shared" si="177"/>
        <v>257.30405815379675</v>
      </c>
    </row>
    <row r="153" spans="1:53" ht="15" x14ac:dyDescent="0.25">
      <c r="A153" s="7"/>
      <c r="B153" s="8" t="s">
        <v>14</v>
      </c>
      <c r="C153" s="7"/>
      <c r="D153" s="357">
        <f t="shared" ref="D153:H153" si="178">SUM(D147:D152)</f>
        <v>0</v>
      </c>
      <c r="E153" s="363">
        <f>SUM(E147:E152)</f>
        <v>1397.269</v>
      </c>
      <c r="F153" s="357">
        <f t="shared" si="178"/>
        <v>0</v>
      </c>
      <c r="G153" s="357">
        <f t="shared" si="178"/>
        <v>0</v>
      </c>
      <c r="H153" s="357">
        <f t="shared" si="178"/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 s="20"/>
      <c r="P153" s="20"/>
      <c r="Q153" s="438">
        <v>0.68424505378101852</v>
      </c>
      <c r="R153" s="197"/>
      <c r="S153" s="197"/>
      <c r="T153" s="197"/>
      <c r="U153" s="197"/>
      <c r="BA153" s="319">
        <f>(E153*10000*Q153*AU$10)</f>
        <v>13633620.973255102</v>
      </c>
    </row>
    <row r="154" spans="1:53" ht="15" x14ac:dyDescent="0.25">
      <c r="A154" s="10"/>
      <c r="B154" s="9" t="s">
        <v>15</v>
      </c>
      <c r="C154" s="5"/>
      <c r="E154" s="363">
        <f>SUM(E153)</f>
        <v>1397.269</v>
      </c>
      <c r="H154" s="358">
        <f>SUM(D153:H153)</f>
        <v>1397.269</v>
      </c>
      <c r="K154" s="14"/>
      <c r="N154">
        <v>0</v>
      </c>
      <c r="O154" s="20"/>
      <c r="P154" s="20"/>
      <c r="Q154" s="438"/>
      <c r="R154" s="197"/>
      <c r="S154" s="197"/>
      <c r="T154" s="197"/>
      <c r="U154" s="197"/>
    </row>
    <row r="155" spans="1:53" ht="15.75" x14ac:dyDescent="0.25">
      <c r="A155" s="1"/>
      <c r="B155" s="2"/>
      <c r="C155" s="1"/>
      <c r="E155" s="361"/>
      <c r="K155" s="14"/>
      <c r="O155" s="20"/>
      <c r="P155" s="20"/>
      <c r="Q155" s="439"/>
      <c r="R155" s="197"/>
      <c r="S155" s="197"/>
      <c r="T155" s="197"/>
      <c r="U155" s="197"/>
    </row>
    <row r="156" spans="1:53" ht="15" x14ac:dyDescent="0.25">
      <c r="A156" s="1">
        <v>17</v>
      </c>
      <c r="B156" s="2" t="s">
        <v>31</v>
      </c>
      <c r="C156" s="1" t="s">
        <v>8</v>
      </c>
      <c r="D156">
        <v>0</v>
      </c>
      <c r="E156" s="360"/>
      <c r="F156">
        <v>0</v>
      </c>
      <c r="G156">
        <v>0</v>
      </c>
      <c r="H156">
        <v>0</v>
      </c>
      <c r="J156">
        <v>0</v>
      </c>
      <c r="K156" s="14">
        <v>0</v>
      </c>
      <c r="L156">
        <v>0</v>
      </c>
      <c r="M156">
        <v>0</v>
      </c>
      <c r="N156">
        <v>0</v>
      </c>
      <c r="O156" s="20"/>
      <c r="P156" s="20"/>
      <c r="Q156" s="438"/>
      <c r="R156" s="197"/>
      <c r="S156" s="197"/>
      <c r="T156" s="197"/>
      <c r="U156" s="197"/>
      <c r="V156" s="20">
        <f t="shared" ref="V156:Y161" si="179">IF(K156&gt;0,((E156-K156)*$Q156*$R156*10)+(K156*$O$12*$Q156*$R156*10),(E156*$Q156*$R156*10))</f>
        <v>0</v>
      </c>
      <c r="W156" s="20">
        <f t="shared" si="179"/>
        <v>0</v>
      </c>
      <c r="X156" s="20">
        <f t="shared" si="179"/>
        <v>0</v>
      </c>
      <c r="Y156" s="20">
        <f t="shared" si="179"/>
        <v>0</v>
      </c>
      <c r="Z156" s="20">
        <f t="shared" ref="Z156:AC161" si="180">V156*(EXP(1.01-0.34*LN(Z$8))*(1-$T156)+(1*$T156))</f>
        <v>0</v>
      </c>
      <c r="AA156" s="20">
        <f t="shared" si="180"/>
        <v>0</v>
      </c>
      <c r="AB156" s="20">
        <f t="shared" si="180"/>
        <v>0</v>
      </c>
      <c r="AC156" s="20">
        <f t="shared" si="180"/>
        <v>0</v>
      </c>
      <c r="AD156" s="20">
        <f t="shared" ref="AD156:AD161" si="181">SUM(Z156:AC156)</f>
        <v>0</v>
      </c>
      <c r="AE156" s="20">
        <f t="shared" ref="AE156:AH161" si="182">IF(K156&gt;0,((E156-K156)*$Q156*$S156*10)+(K156*$P$12*$Q156*$S156)*10,(E156*$Q156*$S156*10))</f>
        <v>0</v>
      </c>
      <c r="AF156" s="20">
        <f t="shared" si="182"/>
        <v>0</v>
      </c>
      <c r="AG156" s="20">
        <f t="shared" si="182"/>
        <v>0</v>
      </c>
      <c r="AH156" s="20">
        <f t="shared" si="182"/>
        <v>0</v>
      </c>
      <c r="AI156" s="20">
        <f t="shared" ref="AI156:AL161" si="183">AE156*(EXP(1.01-0.34*LN(AI$8))*(1-$U156)+(1*$U156))</f>
        <v>0</v>
      </c>
      <c r="AJ156" s="20">
        <f t="shared" si="183"/>
        <v>0</v>
      </c>
      <c r="AK156" s="20">
        <f t="shared" si="183"/>
        <v>0</v>
      </c>
      <c r="AL156" s="20">
        <f t="shared" si="183"/>
        <v>0</v>
      </c>
      <c r="AM156" s="20">
        <f t="shared" ref="AM156:AM161" si="184">SUM(AI156:AL156)</f>
        <v>0</v>
      </c>
      <c r="AO156">
        <f t="shared" ref="AO156:AR161" si="185">Z156*AO$10</f>
        <v>0</v>
      </c>
      <c r="AP156">
        <f t="shared" si="185"/>
        <v>0</v>
      </c>
      <c r="AQ156">
        <f t="shared" si="185"/>
        <v>0</v>
      </c>
      <c r="AR156">
        <f t="shared" si="185"/>
        <v>0</v>
      </c>
      <c r="AS156">
        <f t="shared" ref="AS156:AS161" si="186">SUM(AO156:AR156)</f>
        <v>0</v>
      </c>
      <c r="AU156">
        <f t="shared" ref="AU156:AX161" si="187">AI156*AU$10</f>
        <v>0</v>
      </c>
      <c r="AV156">
        <f t="shared" si="187"/>
        <v>0</v>
      </c>
      <c r="AW156">
        <f t="shared" si="187"/>
        <v>0</v>
      </c>
      <c r="AX156">
        <f t="shared" si="187"/>
        <v>0</v>
      </c>
      <c r="AY156">
        <f t="shared" ref="AY156:AY161" si="188">SUM(AU156:AX156)</f>
        <v>0</v>
      </c>
    </row>
    <row r="157" spans="1:53" ht="15" x14ac:dyDescent="0.25">
      <c r="A157" s="1"/>
      <c r="B157" s="2"/>
      <c r="C157" s="1" t="s">
        <v>9</v>
      </c>
      <c r="D157">
        <v>0</v>
      </c>
      <c r="E157" s="360"/>
      <c r="F157">
        <v>0</v>
      </c>
      <c r="G157">
        <v>0</v>
      </c>
      <c r="H157">
        <v>0</v>
      </c>
      <c r="J157">
        <v>0</v>
      </c>
      <c r="K157" s="14">
        <v>0</v>
      </c>
      <c r="L157">
        <v>0</v>
      </c>
      <c r="M157">
        <v>0</v>
      </c>
      <c r="N157">
        <v>0</v>
      </c>
      <c r="O157" s="20"/>
      <c r="P157" s="20"/>
      <c r="Q157" s="438"/>
      <c r="R157" s="197"/>
      <c r="S157" s="197"/>
      <c r="T157" s="197"/>
      <c r="U157" s="197"/>
      <c r="V157" s="20">
        <f t="shared" si="179"/>
        <v>0</v>
      </c>
      <c r="W157" s="20">
        <f t="shared" si="179"/>
        <v>0</v>
      </c>
      <c r="X157" s="20">
        <f t="shared" si="179"/>
        <v>0</v>
      </c>
      <c r="Y157" s="20">
        <f t="shared" si="179"/>
        <v>0</v>
      </c>
      <c r="Z157" s="20">
        <f t="shared" si="180"/>
        <v>0</v>
      </c>
      <c r="AA157" s="20">
        <f t="shared" si="180"/>
        <v>0</v>
      </c>
      <c r="AB157" s="20">
        <f t="shared" si="180"/>
        <v>0</v>
      </c>
      <c r="AC157" s="20">
        <f t="shared" si="180"/>
        <v>0</v>
      </c>
      <c r="AD157" s="20">
        <f t="shared" si="181"/>
        <v>0</v>
      </c>
      <c r="AE157" s="20">
        <f t="shared" si="182"/>
        <v>0</v>
      </c>
      <c r="AF157" s="20">
        <f t="shared" si="182"/>
        <v>0</v>
      </c>
      <c r="AG157" s="20">
        <f t="shared" si="182"/>
        <v>0</v>
      </c>
      <c r="AH157" s="20">
        <f t="shared" si="182"/>
        <v>0</v>
      </c>
      <c r="AI157" s="20">
        <f t="shared" si="183"/>
        <v>0</v>
      </c>
      <c r="AJ157" s="20">
        <f t="shared" si="183"/>
        <v>0</v>
      </c>
      <c r="AK157" s="20">
        <f t="shared" si="183"/>
        <v>0</v>
      </c>
      <c r="AL157" s="20">
        <f t="shared" si="183"/>
        <v>0</v>
      </c>
      <c r="AM157" s="20">
        <f t="shared" si="184"/>
        <v>0</v>
      </c>
      <c r="AO157">
        <f t="shared" si="185"/>
        <v>0</v>
      </c>
      <c r="AP157">
        <f t="shared" si="185"/>
        <v>0</v>
      </c>
      <c r="AQ157">
        <f t="shared" si="185"/>
        <v>0</v>
      </c>
      <c r="AR157">
        <f t="shared" si="185"/>
        <v>0</v>
      </c>
      <c r="AS157">
        <f t="shared" si="186"/>
        <v>0</v>
      </c>
      <c r="AU157">
        <f t="shared" si="187"/>
        <v>0</v>
      </c>
      <c r="AV157">
        <f t="shared" si="187"/>
        <v>0</v>
      </c>
      <c r="AW157">
        <f t="shared" si="187"/>
        <v>0</v>
      </c>
      <c r="AX157">
        <f t="shared" si="187"/>
        <v>0</v>
      </c>
      <c r="AY157">
        <f t="shared" si="188"/>
        <v>0</v>
      </c>
    </row>
    <row r="158" spans="1:53" ht="15" x14ac:dyDescent="0.25">
      <c r="A158" s="1"/>
      <c r="B158" s="2"/>
      <c r="C158" s="1" t="s">
        <v>10</v>
      </c>
      <c r="D158">
        <v>0</v>
      </c>
      <c r="E158" s="360"/>
      <c r="F158">
        <v>0</v>
      </c>
      <c r="G158">
        <v>0</v>
      </c>
      <c r="H158">
        <v>0</v>
      </c>
      <c r="J158">
        <v>0</v>
      </c>
      <c r="K158" s="14">
        <v>0</v>
      </c>
      <c r="L158">
        <v>0</v>
      </c>
      <c r="M158">
        <v>0</v>
      </c>
      <c r="N158">
        <v>0</v>
      </c>
      <c r="O158" s="20"/>
      <c r="P158" s="20"/>
      <c r="Q158" s="438"/>
      <c r="R158" s="197"/>
      <c r="S158" s="197"/>
      <c r="T158" s="197"/>
      <c r="U158" s="197"/>
      <c r="V158" s="20">
        <f t="shared" si="179"/>
        <v>0</v>
      </c>
      <c r="W158" s="20">
        <f t="shared" si="179"/>
        <v>0</v>
      </c>
      <c r="X158" s="20">
        <f t="shared" si="179"/>
        <v>0</v>
      </c>
      <c r="Y158" s="20">
        <f t="shared" si="179"/>
        <v>0</v>
      </c>
      <c r="Z158" s="20">
        <f t="shared" si="180"/>
        <v>0</v>
      </c>
      <c r="AA158" s="20">
        <f t="shared" si="180"/>
        <v>0</v>
      </c>
      <c r="AB158" s="20">
        <f t="shared" si="180"/>
        <v>0</v>
      </c>
      <c r="AC158" s="20">
        <f t="shared" si="180"/>
        <v>0</v>
      </c>
      <c r="AD158" s="20">
        <f t="shared" si="181"/>
        <v>0</v>
      </c>
      <c r="AE158" s="20">
        <f t="shared" si="182"/>
        <v>0</v>
      </c>
      <c r="AF158" s="20">
        <f t="shared" si="182"/>
        <v>0</v>
      </c>
      <c r="AG158" s="20">
        <f t="shared" si="182"/>
        <v>0</v>
      </c>
      <c r="AH158" s="20">
        <f t="shared" si="182"/>
        <v>0</v>
      </c>
      <c r="AI158" s="20">
        <f t="shared" si="183"/>
        <v>0</v>
      </c>
      <c r="AJ158" s="20">
        <f t="shared" si="183"/>
        <v>0</v>
      </c>
      <c r="AK158" s="20">
        <f t="shared" si="183"/>
        <v>0</v>
      </c>
      <c r="AL158" s="20">
        <f t="shared" si="183"/>
        <v>0</v>
      </c>
      <c r="AM158" s="20">
        <f t="shared" si="184"/>
        <v>0</v>
      </c>
      <c r="AO158">
        <f t="shared" si="185"/>
        <v>0</v>
      </c>
      <c r="AP158">
        <f t="shared" si="185"/>
        <v>0</v>
      </c>
      <c r="AQ158">
        <f t="shared" si="185"/>
        <v>0</v>
      </c>
      <c r="AR158">
        <f t="shared" si="185"/>
        <v>0</v>
      </c>
      <c r="AS158">
        <f t="shared" si="186"/>
        <v>0</v>
      </c>
      <c r="AU158">
        <f t="shared" si="187"/>
        <v>0</v>
      </c>
      <c r="AV158">
        <f t="shared" si="187"/>
        <v>0</v>
      </c>
      <c r="AW158">
        <f t="shared" si="187"/>
        <v>0</v>
      </c>
      <c r="AX158">
        <f t="shared" si="187"/>
        <v>0</v>
      </c>
      <c r="AY158">
        <f t="shared" si="188"/>
        <v>0</v>
      </c>
    </row>
    <row r="159" spans="1:53" ht="15" x14ac:dyDescent="0.25">
      <c r="A159" s="1"/>
      <c r="B159" s="2"/>
      <c r="C159" s="1" t="s">
        <v>11</v>
      </c>
      <c r="D159">
        <v>0</v>
      </c>
      <c r="E159" s="360"/>
      <c r="F159">
        <v>0</v>
      </c>
      <c r="G159">
        <v>0</v>
      </c>
      <c r="H159">
        <v>0</v>
      </c>
      <c r="J159">
        <v>0</v>
      </c>
      <c r="K159" s="14">
        <v>0</v>
      </c>
      <c r="L159">
        <v>0</v>
      </c>
      <c r="M159">
        <v>0</v>
      </c>
      <c r="N159">
        <v>0</v>
      </c>
      <c r="O159" s="20"/>
      <c r="P159" s="20"/>
      <c r="Q159" s="438"/>
      <c r="R159" s="197"/>
      <c r="S159" s="197"/>
      <c r="T159" s="197"/>
      <c r="U159" s="197"/>
      <c r="V159" s="20">
        <f t="shared" si="179"/>
        <v>0</v>
      </c>
      <c r="W159" s="20">
        <f t="shared" si="179"/>
        <v>0</v>
      </c>
      <c r="X159" s="20">
        <f t="shared" si="179"/>
        <v>0</v>
      </c>
      <c r="Y159" s="20">
        <f t="shared" si="179"/>
        <v>0</v>
      </c>
      <c r="Z159" s="20">
        <f t="shared" si="180"/>
        <v>0</v>
      </c>
      <c r="AA159" s="20">
        <f t="shared" si="180"/>
        <v>0</v>
      </c>
      <c r="AB159" s="20">
        <f t="shared" si="180"/>
        <v>0</v>
      </c>
      <c r="AC159" s="20">
        <f t="shared" si="180"/>
        <v>0</v>
      </c>
      <c r="AD159" s="20">
        <f t="shared" si="181"/>
        <v>0</v>
      </c>
      <c r="AE159" s="20">
        <f t="shared" si="182"/>
        <v>0</v>
      </c>
      <c r="AF159" s="20">
        <f t="shared" si="182"/>
        <v>0</v>
      </c>
      <c r="AG159" s="20">
        <f t="shared" si="182"/>
        <v>0</v>
      </c>
      <c r="AH159" s="20">
        <f t="shared" si="182"/>
        <v>0</v>
      </c>
      <c r="AI159" s="20">
        <f t="shared" si="183"/>
        <v>0</v>
      </c>
      <c r="AJ159" s="20">
        <f t="shared" si="183"/>
        <v>0</v>
      </c>
      <c r="AK159" s="20">
        <f t="shared" si="183"/>
        <v>0</v>
      </c>
      <c r="AL159" s="20">
        <f t="shared" si="183"/>
        <v>0</v>
      </c>
      <c r="AM159" s="20">
        <f t="shared" si="184"/>
        <v>0</v>
      </c>
      <c r="AO159">
        <f t="shared" si="185"/>
        <v>0</v>
      </c>
      <c r="AP159">
        <f t="shared" si="185"/>
        <v>0</v>
      </c>
      <c r="AQ159">
        <f t="shared" si="185"/>
        <v>0</v>
      </c>
      <c r="AR159">
        <f t="shared" si="185"/>
        <v>0</v>
      </c>
      <c r="AS159">
        <f t="shared" si="186"/>
        <v>0</v>
      </c>
      <c r="AU159">
        <f t="shared" si="187"/>
        <v>0</v>
      </c>
      <c r="AV159">
        <f t="shared" si="187"/>
        <v>0</v>
      </c>
      <c r="AW159">
        <f t="shared" si="187"/>
        <v>0</v>
      </c>
      <c r="AX159">
        <f t="shared" si="187"/>
        <v>0</v>
      </c>
      <c r="AY159">
        <f t="shared" si="188"/>
        <v>0</v>
      </c>
    </row>
    <row r="160" spans="1:53" ht="15" x14ac:dyDescent="0.25">
      <c r="A160" s="1"/>
      <c r="B160" s="2"/>
      <c r="C160" s="1" t="s">
        <v>12</v>
      </c>
      <c r="D160">
        <v>0</v>
      </c>
      <c r="E160" s="360"/>
      <c r="F160">
        <v>0</v>
      </c>
      <c r="G160">
        <v>0</v>
      </c>
      <c r="H160">
        <v>0</v>
      </c>
      <c r="J160">
        <v>0</v>
      </c>
      <c r="K160" s="14">
        <v>0</v>
      </c>
      <c r="L160">
        <v>0</v>
      </c>
      <c r="M160">
        <v>0</v>
      </c>
      <c r="N160">
        <v>0</v>
      </c>
      <c r="O160" s="20"/>
      <c r="P160" s="20"/>
      <c r="Q160" s="438"/>
      <c r="R160" s="197"/>
      <c r="S160" s="197"/>
      <c r="T160" s="197"/>
      <c r="U160" s="197"/>
      <c r="V160" s="20">
        <f t="shared" si="179"/>
        <v>0</v>
      </c>
      <c r="W160" s="20">
        <f t="shared" si="179"/>
        <v>0</v>
      </c>
      <c r="X160" s="20">
        <f t="shared" si="179"/>
        <v>0</v>
      </c>
      <c r="Y160" s="20">
        <f t="shared" si="179"/>
        <v>0</v>
      </c>
      <c r="Z160" s="20">
        <f t="shared" si="180"/>
        <v>0</v>
      </c>
      <c r="AA160" s="20">
        <f t="shared" si="180"/>
        <v>0</v>
      </c>
      <c r="AB160" s="20">
        <f t="shared" si="180"/>
        <v>0</v>
      </c>
      <c r="AC160" s="20">
        <f t="shared" si="180"/>
        <v>0</v>
      </c>
      <c r="AD160" s="20">
        <f t="shared" si="181"/>
        <v>0</v>
      </c>
      <c r="AE160" s="20">
        <f t="shared" si="182"/>
        <v>0</v>
      </c>
      <c r="AF160" s="20">
        <f t="shared" si="182"/>
        <v>0</v>
      </c>
      <c r="AG160" s="20">
        <f t="shared" si="182"/>
        <v>0</v>
      </c>
      <c r="AH160" s="20">
        <f t="shared" si="182"/>
        <v>0</v>
      </c>
      <c r="AI160" s="20">
        <f t="shared" si="183"/>
        <v>0</v>
      </c>
      <c r="AJ160" s="20">
        <f t="shared" si="183"/>
        <v>0</v>
      </c>
      <c r="AK160" s="20">
        <f t="shared" si="183"/>
        <v>0</v>
      </c>
      <c r="AL160" s="20">
        <f t="shared" si="183"/>
        <v>0</v>
      </c>
      <c r="AM160" s="20">
        <f t="shared" si="184"/>
        <v>0</v>
      </c>
      <c r="AO160">
        <f t="shared" si="185"/>
        <v>0</v>
      </c>
      <c r="AP160">
        <f t="shared" si="185"/>
        <v>0</v>
      </c>
      <c r="AQ160">
        <f t="shared" si="185"/>
        <v>0</v>
      </c>
      <c r="AR160">
        <f t="shared" si="185"/>
        <v>0</v>
      </c>
      <c r="AS160">
        <f t="shared" si="186"/>
        <v>0</v>
      </c>
      <c r="AU160">
        <f t="shared" si="187"/>
        <v>0</v>
      </c>
      <c r="AV160">
        <f t="shared" si="187"/>
        <v>0</v>
      </c>
      <c r="AW160">
        <f t="shared" si="187"/>
        <v>0</v>
      </c>
      <c r="AX160">
        <f t="shared" si="187"/>
        <v>0</v>
      </c>
      <c r="AY160">
        <f t="shared" si="188"/>
        <v>0</v>
      </c>
    </row>
    <row r="161" spans="1:53" ht="15" x14ac:dyDescent="0.25">
      <c r="A161" s="1"/>
      <c r="B161" s="2"/>
      <c r="C161" s="1" t="s">
        <v>13</v>
      </c>
      <c r="D161">
        <v>0</v>
      </c>
      <c r="E161" s="360"/>
      <c r="F161">
        <v>0</v>
      </c>
      <c r="G161">
        <v>0</v>
      </c>
      <c r="H161">
        <v>0</v>
      </c>
      <c r="J161">
        <v>0</v>
      </c>
      <c r="K161" s="14">
        <v>0</v>
      </c>
      <c r="L161">
        <v>0</v>
      </c>
      <c r="M161">
        <v>0</v>
      </c>
      <c r="N161">
        <v>0</v>
      </c>
      <c r="O161" s="20"/>
      <c r="P161" s="20"/>
      <c r="Q161" s="438"/>
      <c r="R161" s="197"/>
      <c r="S161" s="197"/>
      <c r="T161" s="197"/>
      <c r="U161" s="197"/>
      <c r="V161" s="20">
        <f t="shared" si="179"/>
        <v>0</v>
      </c>
      <c r="W161" s="20">
        <f t="shared" si="179"/>
        <v>0</v>
      </c>
      <c r="X161" s="20">
        <f t="shared" si="179"/>
        <v>0</v>
      </c>
      <c r="Y161" s="20">
        <f t="shared" si="179"/>
        <v>0</v>
      </c>
      <c r="Z161" s="20">
        <f t="shared" si="180"/>
        <v>0</v>
      </c>
      <c r="AA161" s="20">
        <f t="shared" si="180"/>
        <v>0</v>
      </c>
      <c r="AB161" s="20">
        <f t="shared" si="180"/>
        <v>0</v>
      </c>
      <c r="AC161" s="20">
        <f t="shared" si="180"/>
        <v>0</v>
      </c>
      <c r="AD161" s="20">
        <f t="shared" si="181"/>
        <v>0</v>
      </c>
      <c r="AE161" s="20">
        <f t="shared" si="182"/>
        <v>0</v>
      </c>
      <c r="AF161" s="20">
        <f t="shared" si="182"/>
        <v>0</v>
      </c>
      <c r="AG161" s="20">
        <f t="shared" si="182"/>
        <v>0</v>
      </c>
      <c r="AH161" s="20">
        <f t="shared" si="182"/>
        <v>0</v>
      </c>
      <c r="AI161" s="20">
        <f t="shared" si="183"/>
        <v>0</v>
      </c>
      <c r="AJ161" s="20">
        <f t="shared" si="183"/>
        <v>0</v>
      </c>
      <c r="AK161" s="20">
        <f t="shared" si="183"/>
        <v>0</v>
      </c>
      <c r="AL161" s="20">
        <f t="shared" si="183"/>
        <v>0</v>
      </c>
      <c r="AM161" s="20">
        <f t="shared" si="184"/>
        <v>0</v>
      </c>
      <c r="AO161">
        <f t="shared" si="185"/>
        <v>0</v>
      </c>
      <c r="AP161">
        <f t="shared" si="185"/>
        <v>0</v>
      </c>
      <c r="AQ161">
        <f t="shared" si="185"/>
        <v>0</v>
      </c>
      <c r="AR161">
        <f t="shared" si="185"/>
        <v>0</v>
      </c>
      <c r="AS161">
        <f t="shared" si="186"/>
        <v>0</v>
      </c>
      <c r="AU161">
        <f t="shared" si="187"/>
        <v>0</v>
      </c>
      <c r="AV161">
        <f t="shared" si="187"/>
        <v>0</v>
      </c>
      <c r="AW161">
        <f t="shared" si="187"/>
        <v>0</v>
      </c>
      <c r="AX161">
        <f t="shared" si="187"/>
        <v>0</v>
      </c>
      <c r="AY161">
        <f t="shared" si="188"/>
        <v>0</v>
      </c>
    </row>
    <row r="162" spans="1:53" ht="15" x14ac:dyDescent="0.25">
      <c r="A162" s="7"/>
      <c r="B162" s="8" t="s">
        <v>14</v>
      </c>
      <c r="C162" s="7"/>
      <c r="D162" s="357">
        <f t="shared" ref="D162:H162" si="189">SUM(D156:D161)</f>
        <v>0</v>
      </c>
      <c r="E162" s="363">
        <f>SUM(E156:E161)</f>
        <v>0</v>
      </c>
      <c r="F162" s="357">
        <f t="shared" si="189"/>
        <v>0</v>
      </c>
      <c r="G162" s="357">
        <f t="shared" si="189"/>
        <v>0</v>
      </c>
      <c r="H162" s="357">
        <f t="shared" si="189"/>
        <v>0</v>
      </c>
      <c r="J162">
        <v>0</v>
      </c>
      <c r="K162" s="14">
        <v>0</v>
      </c>
      <c r="L162">
        <v>0</v>
      </c>
      <c r="M162">
        <v>0</v>
      </c>
      <c r="N162">
        <v>0</v>
      </c>
      <c r="O162" s="20"/>
      <c r="P162" s="20"/>
      <c r="Q162" s="438"/>
      <c r="R162" s="197"/>
      <c r="S162" s="197"/>
      <c r="T162" s="197"/>
      <c r="U162" s="197"/>
      <c r="BA162" s="319">
        <f>(E162*10000*Q162*AU$10)</f>
        <v>0</v>
      </c>
    </row>
    <row r="163" spans="1:53" ht="15" x14ac:dyDescent="0.25">
      <c r="A163" s="10"/>
      <c r="B163" s="9" t="s">
        <v>15</v>
      </c>
      <c r="C163" s="5"/>
      <c r="E163" s="363">
        <f>SUM(E162)</f>
        <v>0</v>
      </c>
      <c r="H163" s="358">
        <f>SUM(D162:H162)</f>
        <v>0</v>
      </c>
      <c r="K163" s="14"/>
      <c r="N163">
        <v>0</v>
      </c>
      <c r="O163" s="20"/>
      <c r="P163" s="20"/>
      <c r="Q163" s="438"/>
      <c r="R163" s="197"/>
      <c r="S163" s="197"/>
      <c r="T163" s="197"/>
      <c r="U163" s="197"/>
    </row>
    <row r="164" spans="1:53" ht="15.75" x14ac:dyDescent="0.25">
      <c r="A164" s="1"/>
      <c r="B164" s="2"/>
      <c r="C164" s="1"/>
      <c r="E164" s="361"/>
      <c r="K164" s="14"/>
      <c r="O164" s="20"/>
      <c r="P164" s="20"/>
      <c r="Q164" s="439"/>
      <c r="R164" s="197"/>
      <c r="S164" s="197"/>
      <c r="T164" s="197"/>
      <c r="U164" s="197"/>
    </row>
    <row r="165" spans="1:53" ht="15" x14ac:dyDescent="0.25">
      <c r="A165" s="1">
        <v>18</v>
      </c>
      <c r="B165" s="2" t="s">
        <v>709</v>
      </c>
      <c r="C165" s="1" t="s">
        <v>8</v>
      </c>
      <c r="D165">
        <v>0</v>
      </c>
      <c r="E165" s="360"/>
      <c r="F165">
        <v>0</v>
      </c>
      <c r="G165">
        <v>0</v>
      </c>
      <c r="H165">
        <v>0</v>
      </c>
      <c r="J165">
        <v>0</v>
      </c>
      <c r="K165" s="14">
        <v>0</v>
      </c>
      <c r="L165">
        <v>0</v>
      </c>
      <c r="M165">
        <v>0</v>
      </c>
      <c r="N165">
        <v>0</v>
      </c>
      <c r="O165" s="20"/>
      <c r="P165" s="20"/>
      <c r="Q165" s="438"/>
      <c r="R165" s="197">
        <v>0.66599999999999993</v>
      </c>
      <c r="S165" s="197">
        <v>4.5549999999999997</v>
      </c>
      <c r="T165" s="197">
        <v>0.60039794540960334</v>
      </c>
      <c r="U165" s="197">
        <v>0.90789473684210531</v>
      </c>
      <c r="V165" s="20">
        <f t="shared" ref="V165:Y170" si="190">IF(K165&gt;0,((E165-K165)*$Q165*$R165*10)+(K165*$O$12*$Q165*$R165*10),(E165*$Q165*$R165*10))</f>
        <v>0</v>
      </c>
      <c r="W165" s="20">
        <f t="shared" si="190"/>
        <v>0</v>
      </c>
      <c r="X165" s="20">
        <f t="shared" si="190"/>
        <v>0</v>
      </c>
      <c r="Y165" s="20">
        <f t="shared" si="190"/>
        <v>0</v>
      </c>
      <c r="Z165" s="20">
        <f t="shared" ref="Z165:AC170" si="191">V165*(EXP(1.01-0.34*LN(Z$8))*(1-$T165)+(1*$T165))</f>
        <v>0</v>
      </c>
      <c r="AA165" s="20">
        <f t="shared" si="191"/>
        <v>0</v>
      </c>
      <c r="AB165" s="20">
        <f t="shared" si="191"/>
        <v>0</v>
      </c>
      <c r="AC165" s="20">
        <f t="shared" si="191"/>
        <v>0</v>
      </c>
      <c r="AD165" s="20">
        <f t="shared" ref="AD165:AD170" si="192">SUM(Z165:AC165)</f>
        <v>0</v>
      </c>
      <c r="AE165" s="20">
        <f t="shared" ref="AE165:AH170" si="193">IF(K165&gt;0,((E165-K165)*$Q165*$S165*10)+(K165*$P$12*$Q165*$S165)*10,(E165*$Q165*$S165*10))</f>
        <v>0</v>
      </c>
      <c r="AF165" s="20">
        <f t="shared" si="193"/>
        <v>0</v>
      </c>
      <c r="AG165" s="20">
        <f t="shared" si="193"/>
        <v>0</v>
      </c>
      <c r="AH165" s="20">
        <f t="shared" si="193"/>
        <v>0</v>
      </c>
      <c r="AI165" s="20">
        <f t="shared" ref="AI165:AL170" si="194">AE165*(EXP(1.01-0.34*LN(AI$8))*(1-$U165)+(1*$U165))</f>
        <v>0</v>
      </c>
      <c r="AJ165" s="20">
        <f t="shared" si="194"/>
        <v>0</v>
      </c>
      <c r="AK165" s="20">
        <f t="shared" si="194"/>
        <v>0</v>
      </c>
      <c r="AL165" s="20">
        <f t="shared" si="194"/>
        <v>0</v>
      </c>
      <c r="AM165" s="20">
        <f t="shared" ref="AM165:AM170" si="195">SUM(AI165:AL165)</f>
        <v>0</v>
      </c>
      <c r="AO165">
        <f t="shared" ref="AO165:AR170" si="196">Z165*AO$10</f>
        <v>0</v>
      </c>
      <c r="AP165">
        <f t="shared" si="196"/>
        <v>0</v>
      </c>
      <c r="AQ165">
        <f t="shared" si="196"/>
        <v>0</v>
      </c>
      <c r="AR165">
        <f t="shared" si="196"/>
        <v>0</v>
      </c>
      <c r="AS165">
        <f t="shared" ref="AS165:AS170" si="197">SUM(AO165:AR165)</f>
        <v>0</v>
      </c>
      <c r="AU165">
        <f t="shared" ref="AU165:AX170" si="198">AI165*AU$10</f>
        <v>0</v>
      </c>
      <c r="AV165">
        <f t="shared" si="198"/>
        <v>0</v>
      </c>
      <c r="AW165">
        <f t="shared" si="198"/>
        <v>0</v>
      </c>
      <c r="AX165">
        <f t="shared" si="198"/>
        <v>0</v>
      </c>
      <c r="AY165">
        <f t="shared" ref="AY165:AY170" si="199">SUM(AU165:AX165)</f>
        <v>0</v>
      </c>
    </row>
    <row r="166" spans="1:53" ht="15" x14ac:dyDescent="0.25">
      <c r="A166" s="1"/>
      <c r="B166" s="2"/>
      <c r="C166" s="1" t="s">
        <v>9</v>
      </c>
      <c r="D166">
        <v>0</v>
      </c>
      <c r="E166" s="360"/>
      <c r="F166">
        <v>0</v>
      </c>
      <c r="G166">
        <v>0</v>
      </c>
      <c r="H166">
        <v>0</v>
      </c>
      <c r="J166">
        <v>0</v>
      </c>
      <c r="K166" s="14">
        <v>0</v>
      </c>
      <c r="L166">
        <v>0</v>
      </c>
      <c r="M166">
        <v>0</v>
      </c>
      <c r="N166">
        <v>0</v>
      </c>
      <c r="O166" s="20"/>
      <c r="P166" s="20"/>
      <c r="Q166" s="438"/>
      <c r="R166" s="197">
        <v>0.66599999999999993</v>
      </c>
      <c r="S166" s="197">
        <v>4.5549999999999997</v>
      </c>
      <c r="T166" s="197">
        <v>0.60039794540960334</v>
      </c>
      <c r="U166" s="197">
        <v>0.90789473684210531</v>
      </c>
      <c r="V166" s="20">
        <f t="shared" si="190"/>
        <v>0</v>
      </c>
      <c r="W166" s="20">
        <f t="shared" si="190"/>
        <v>0</v>
      </c>
      <c r="X166" s="20">
        <f t="shared" si="190"/>
        <v>0</v>
      </c>
      <c r="Y166" s="20">
        <f t="shared" si="190"/>
        <v>0</v>
      </c>
      <c r="Z166" s="20">
        <f t="shared" si="191"/>
        <v>0</v>
      </c>
      <c r="AA166" s="20">
        <f t="shared" si="191"/>
        <v>0</v>
      </c>
      <c r="AB166" s="20">
        <f t="shared" si="191"/>
        <v>0</v>
      </c>
      <c r="AC166" s="20">
        <f t="shared" si="191"/>
        <v>0</v>
      </c>
      <c r="AD166" s="20">
        <f t="shared" si="192"/>
        <v>0</v>
      </c>
      <c r="AE166" s="20">
        <f t="shared" si="193"/>
        <v>0</v>
      </c>
      <c r="AF166" s="20">
        <f t="shared" si="193"/>
        <v>0</v>
      </c>
      <c r="AG166" s="20">
        <f t="shared" si="193"/>
        <v>0</v>
      </c>
      <c r="AH166" s="20">
        <f t="shared" si="193"/>
        <v>0</v>
      </c>
      <c r="AI166" s="20">
        <f t="shared" si="194"/>
        <v>0</v>
      </c>
      <c r="AJ166" s="20">
        <f t="shared" si="194"/>
        <v>0</v>
      </c>
      <c r="AK166" s="20">
        <f t="shared" si="194"/>
        <v>0</v>
      </c>
      <c r="AL166" s="20">
        <f t="shared" si="194"/>
        <v>0</v>
      </c>
      <c r="AM166" s="20">
        <f t="shared" si="195"/>
        <v>0</v>
      </c>
      <c r="AO166">
        <f t="shared" si="196"/>
        <v>0</v>
      </c>
      <c r="AP166">
        <f t="shared" si="196"/>
        <v>0</v>
      </c>
      <c r="AQ166">
        <f t="shared" si="196"/>
        <v>0</v>
      </c>
      <c r="AR166">
        <f t="shared" si="196"/>
        <v>0</v>
      </c>
      <c r="AS166">
        <f t="shared" si="197"/>
        <v>0</v>
      </c>
      <c r="AU166">
        <f t="shared" si="198"/>
        <v>0</v>
      </c>
      <c r="AV166">
        <f t="shared" si="198"/>
        <v>0</v>
      </c>
      <c r="AW166">
        <f t="shared" si="198"/>
        <v>0</v>
      </c>
      <c r="AX166">
        <f t="shared" si="198"/>
        <v>0</v>
      </c>
      <c r="AY166">
        <f t="shared" si="199"/>
        <v>0</v>
      </c>
    </row>
    <row r="167" spans="1:53" ht="15" x14ac:dyDescent="0.25">
      <c r="A167" s="1"/>
      <c r="B167" s="2"/>
      <c r="C167" s="1" t="s">
        <v>10</v>
      </c>
      <c r="D167">
        <v>0</v>
      </c>
      <c r="E167" s="360"/>
      <c r="F167">
        <v>0</v>
      </c>
      <c r="G167">
        <v>0</v>
      </c>
      <c r="H167">
        <v>0</v>
      </c>
      <c r="J167">
        <v>0</v>
      </c>
      <c r="K167" s="14">
        <v>0</v>
      </c>
      <c r="L167">
        <v>0</v>
      </c>
      <c r="M167">
        <v>0</v>
      </c>
      <c r="N167">
        <v>0</v>
      </c>
      <c r="O167" s="20"/>
      <c r="P167" s="20"/>
      <c r="Q167" s="438"/>
      <c r="R167" s="197">
        <v>0.66599999999999993</v>
      </c>
      <c r="S167" s="197">
        <v>4.5549999999999997</v>
      </c>
      <c r="T167" s="197">
        <v>0.60039794540960334</v>
      </c>
      <c r="U167" s="197">
        <v>0.90789473684210531</v>
      </c>
      <c r="V167" s="20">
        <f t="shared" si="190"/>
        <v>0</v>
      </c>
      <c r="W167" s="20">
        <f t="shared" si="190"/>
        <v>0</v>
      </c>
      <c r="X167" s="20">
        <f t="shared" si="190"/>
        <v>0</v>
      </c>
      <c r="Y167" s="20">
        <f t="shared" si="190"/>
        <v>0</v>
      </c>
      <c r="Z167" s="20">
        <f t="shared" si="191"/>
        <v>0</v>
      </c>
      <c r="AA167" s="20">
        <f t="shared" si="191"/>
        <v>0</v>
      </c>
      <c r="AB167" s="20">
        <f t="shared" si="191"/>
        <v>0</v>
      </c>
      <c r="AC167" s="20">
        <f t="shared" si="191"/>
        <v>0</v>
      </c>
      <c r="AD167" s="20">
        <f t="shared" si="192"/>
        <v>0</v>
      </c>
      <c r="AE167" s="20">
        <f t="shared" si="193"/>
        <v>0</v>
      </c>
      <c r="AF167" s="20">
        <f t="shared" si="193"/>
        <v>0</v>
      </c>
      <c r="AG167" s="20">
        <f t="shared" si="193"/>
        <v>0</v>
      </c>
      <c r="AH167" s="20">
        <f t="shared" si="193"/>
        <v>0</v>
      </c>
      <c r="AI167" s="20">
        <f t="shared" si="194"/>
        <v>0</v>
      </c>
      <c r="AJ167" s="20">
        <f t="shared" si="194"/>
        <v>0</v>
      </c>
      <c r="AK167" s="20">
        <f t="shared" si="194"/>
        <v>0</v>
      </c>
      <c r="AL167" s="20">
        <f t="shared" si="194"/>
        <v>0</v>
      </c>
      <c r="AM167" s="20">
        <f t="shared" si="195"/>
        <v>0</v>
      </c>
      <c r="AO167">
        <f t="shared" si="196"/>
        <v>0</v>
      </c>
      <c r="AP167">
        <f t="shared" si="196"/>
        <v>0</v>
      </c>
      <c r="AQ167">
        <f t="shared" si="196"/>
        <v>0</v>
      </c>
      <c r="AR167">
        <f t="shared" si="196"/>
        <v>0</v>
      </c>
      <c r="AS167">
        <f t="shared" si="197"/>
        <v>0</v>
      </c>
      <c r="AU167">
        <f t="shared" si="198"/>
        <v>0</v>
      </c>
      <c r="AV167">
        <f t="shared" si="198"/>
        <v>0</v>
      </c>
      <c r="AW167">
        <f t="shared" si="198"/>
        <v>0</v>
      </c>
      <c r="AX167">
        <f t="shared" si="198"/>
        <v>0</v>
      </c>
      <c r="AY167">
        <f t="shared" si="199"/>
        <v>0</v>
      </c>
    </row>
    <row r="168" spans="1:53" ht="15" x14ac:dyDescent="0.25">
      <c r="A168" s="1"/>
      <c r="B168" s="2"/>
      <c r="C168" s="1" t="s">
        <v>11</v>
      </c>
      <c r="D168">
        <v>0</v>
      </c>
      <c r="E168" s="360">
        <v>137.87690000000001</v>
      </c>
      <c r="F168">
        <v>0</v>
      </c>
      <c r="G168">
        <v>0</v>
      </c>
      <c r="H168">
        <v>0</v>
      </c>
      <c r="J168">
        <v>0</v>
      </c>
      <c r="K168" s="14">
        <v>-6.3416431589757849E-4</v>
      </c>
      <c r="L168">
        <v>0</v>
      </c>
      <c r="M168">
        <v>0</v>
      </c>
      <c r="N168">
        <v>0</v>
      </c>
      <c r="O168" s="20"/>
      <c r="P168" s="20"/>
      <c r="Q168" s="438">
        <v>5.576326805690586E-2</v>
      </c>
      <c r="R168" s="197">
        <v>0.66599999999999993</v>
      </c>
      <c r="S168" s="197">
        <v>4.5549999999999997</v>
      </c>
      <c r="T168" s="197">
        <v>0.60039794540960334</v>
      </c>
      <c r="U168" s="197">
        <v>0.90789473684210531</v>
      </c>
      <c r="V168" s="20">
        <f t="shared" si="190"/>
        <v>51.205187113477649</v>
      </c>
      <c r="W168" s="20">
        <f t="shared" si="190"/>
        <v>0</v>
      </c>
      <c r="X168" s="20">
        <f t="shared" si="190"/>
        <v>0</v>
      </c>
      <c r="Y168" s="20">
        <f t="shared" si="190"/>
        <v>0</v>
      </c>
      <c r="Z168" s="20">
        <f t="shared" si="191"/>
        <v>34.477805473590188</v>
      </c>
      <c r="AA168" s="20">
        <f t="shared" si="191"/>
        <v>0</v>
      </c>
      <c r="AB168" s="20">
        <f t="shared" si="191"/>
        <v>0</v>
      </c>
      <c r="AC168" s="20">
        <f t="shared" si="191"/>
        <v>0</v>
      </c>
      <c r="AD168" s="20">
        <f t="shared" si="192"/>
        <v>34.477805473590188</v>
      </c>
      <c r="AE168" s="20">
        <f t="shared" si="193"/>
        <v>350.20965060343946</v>
      </c>
      <c r="AF168" s="20">
        <f t="shared" si="193"/>
        <v>0</v>
      </c>
      <c r="AG168" s="20">
        <f t="shared" si="193"/>
        <v>0</v>
      </c>
      <c r="AH168" s="20">
        <f t="shared" si="193"/>
        <v>0</v>
      </c>
      <c r="AI168" s="20">
        <f t="shared" si="194"/>
        <v>323.84033531716682</v>
      </c>
      <c r="AJ168" s="20">
        <f t="shared" si="194"/>
        <v>0</v>
      </c>
      <c r="AK168" s="20">
        <f t="shared" si="194"/>
        <v>0</v>
      </c>
      <c r="AL168" s="20">
        <f t="shared" si="194"/>
        <v>0</v>
      </c>
      <c r="AM168" s="20">
        <f t="shared" si="195"/>
        <v>323.84033531716682</v>
      </c>
      <c r="AO168">
        <f t="shared" si="196"/>
        <v>49.165350605339604</v>
      </c>
      <c r="AP168">
        <f t="shared" si="196"/>
        <v>0</v>
      </c>
      <c r="AQ168">
        <f t="shared" si="196"/>
        <v>0</v>
      </c>
      <c r="AR168">
        <f t="shared" si="196"/>
        <v>0</v>
      </c>
      <c r="AS168">
        <f t="shared" si="197"/>
        <v>49.165350605339604</v>
      </c>
      <c r="AU168">
        <f t="shared" si="198"/>
        <v>461.79631816227987</v>
      </c>
      <c r="AV168">
        <f t="shared" si="198"/>
        <v>0</v>
      </c>
      <c r="AW168">
        <f t="shared" si="198"/>
        <v>0</v>
      </c>
      <c r="AX168">
        <f t="shared" si="198"/>
        <v>0</v>
      </c>
      <c r="AY168">
        <f t="shared" si="199"/>
        <v>461.79631816227987</v>
      </c>
    </row>
    <row r="169" spans="1:53" ht="15" x14ac:dyDescent="0.25">
      <c r="A169" s="1"/>
      <c r="B169" s="2"/>
      <c r="C169" s="1" t="s">
        <v>12</v>
      </c>
      <c r="D169">
        <v>0</v>
      </c>
      <c r="E169" s="360"/>
      <c r="F169">
        <v>0</v>
      </c>
      <c r="G169">
        <v>0</v>
      </c>
      <c r="H169">
        <v>0</v>
      </c>
      <c r="J169">
        <v>0</v>
      </c>
      <c r="K169" s="14">
        <v>0</v>
      </c>
      <c r="L169">
        <v>0</v>
      </c>
      <c r="M169">
        <v>0</v>
      </c>
      <c r="N169">
        <v>0</v>
      </c>
      <c r="O169" s="20"/>
      <c r="P169" s="20"/>
      <c r="Q169" s="438"/>
      <c r="R169" s="197">
        <v>0.66599999999999993</v>
      </c>
      <c r="S169" s="197">
        <v>4.5549999999999997</v>
      </c>
      <c r="T169" s="197">
        <v>0.60039794540960334</v>
      </c>
      <c r="U169" s="197">
        <v>0.90789473684210531</v>
      </c>
      <c r="V169" s="20">
        <f t="shared" si="190"/>
        <v>0</v>
      </c>
      <c r="W169" s="20">
        <f t="shared" si="190"/>
        <v>0</v>
      </c>
      <c r="X169" s="20">
        <f t="shared" si="190"/>
        <v>0</v>
      </c>
      <c r="Y169" s="20">
        <f t="shared" si="190"/>
        <v>0</v>
      </c>
      <c r="Z169" s="20">
        <f t="shared" si="191"/>
        <v>0</v>
      </c>
      <c r="AA169" s="20">
        <f t="shared" si="191"/>
        <v>0</v>
      </c>
      <c r="AB169" s="20">
        <f t="shared" si="191"/>
        <v>0</v>
      </c>
      <c r="AC169" s="20">
        <f t="shared" si="191"/>
        <v>0</v>
      </c>
      <c r="AD169" s="20">
        <f t="shared" si="192"/>
        <v>0</v>
      </c>
      <c r="AE169" s="20">
        <f t="shared" si="193"/>
        <v>0</v>
      </c>
      <c r="AF169" s="20">
        <f t="shared" si="193"/>
        <v>0</v>
      </c>
      <c r="AG169" s="20">
        <f t="shared" si="193"/>
        <v>0</v>
      </c>
      <c r="AH169" s="20">
        <f t="shared" si="193"/>
        <v>0</v>
      </c>
      <c r="AI169" s="20">
        <f t="shared" si="194"/>
        <v>0</v>
      </c>
      <c r="AJ169" s="20">
        <f t="shared" si="194"/>
        <v>0</v>
      </c>
      <c r="AK169" s="20">
        <f t="shared" si="194"/>
        <v>0</v>
      </c>
      <c r="AL169" s="20">
        <f t="shared" si="194"/>
        <v>0</v>
      </c>
      <c r="AM169" s="20">
        <f t="shared" si="195"/>
        <v>0</v>
      </c>
      <c r="AO169">
        <f t="shared" si="196"/>
        <v>0</v>
      </c>
      <c r="AP169">
        <f t="shared" si="196"/>
        <v>0</v>
      </c>
      <c r="AQ169">
        <f t="shared" si="196"/>
        <v>0</v>
      </c>
      <c r="AR169">
        <f t="shared" si="196"/>
        <v>0</v>
      </c>
      <c r="AS169">
        <f t="shared" si="197"/>
        <v>0</v>
      </c>
      <c r="AU169">
        <f t="shared" si="198"/>
        <v>0</v>
      </c>
      <c r="AV169">
        <f t="shared" si="198"/>
        <v>0</v>
      </c>
      <c r="AW169">
        <f t="shared" si="198"/>
        <v>0</v>
      </c>
      <c r="AX169">
        <f t="shared" si="198"/>
        <v>0</v>
      </c>
      <c r="AY169">
        <f t="shared" si="199"/>
        <v>0</v>
      </c>
    </row>
    <row r="170" spans="1:53" ht="15" x14ac:dyDescent="0.25">
      <c r="A170" s="1"/>
      <c r="B170" s="2"/>
      <c r="C170" s="1" t="s">
        <v>13</v>
      </c>
      <c r="D170">
        <v>0</v>
      </c>
      <c r="E170" s="360"/>
      <c r="F170">
        <v>0</v>
      </c>
      <c r="G170">
        <v>0</v>
      </c>
      <c r="H170">
        <v>0</v>
      </c>
      <c r="J170">
        <v>0</v>
      </c>
      <c r="K170" s="14">
        <v>0</v>
      </c>
      <c r="L170">
        <v>0</v>
      </c>
      <c r="M170">
        <v>0</v>
      </c>
      <c r="N170">
        <v>0</v>
      </c>
      <c r="O170" s="20"/>
      <c r="P170" s="20"/>
      <c r="Q170" s="438"/>
      <c r="R170" s="197">
        <v>0.66599999999999993</v>
      </c>
      <c r="S170" s="197">
        <v>4.5549999999999997</v>
      </c>
      <c r="T170" s="197">
        <v>0.60039794540960334</v>
      </c>
      <c r="U170" s="197">
        <v>0.90789473684210531</v>
      </c>
      <c r="V170" s="20">
        <f t="shared" si="190"/>
        <v>0</v>
      </c>
      <c r="W170" s="20">
        <f t="shared" si="190"/>
        <v>0</v>
      </c>
      <c r="X170" s="20">
        <f t="shared" si="190"/>
        <v>0</v>
      </c>
      <c r="Y170" s="20">
        <f t="shared" si="190"/>
        <v>0</v>
      </c>
      <c r="Z170" s="20">
        <f t="shared" si="191"/>
        <v>0</v>
      </c>
      <c r="AA170" s="20">
        <f t="shared" si="191"/>
        <v>0</v>
      </c>
      <c r="AB170" s="20">
        <f t="shared" si="191"/>
        <v>0</v>
      </c>
      <c r="AC170" s="20">
        <f t="shared" si="191"/>
        <v>0</v>
      </c>
      <c r="AD170" s="20">
        <f t="shared" si="192"/>
        <v>0</v>
      </c>
      <c r="AE170" s="20">
        <f t="shared" si="193"/>
        <v>0</v>
      </c>
      <c r="AF170" s="20">
        <f t="shared" si="193"/>
        <v>0</v>
      </c>
      <c r="AG170" s="20">
        <f t="shared" si="193"/>
        <v>0</v>
      </c>
      <c r="AH170" s="20">
        <f t="shared" si="193"/>
        <v>0</v>
      </c>
      <c r="AI170" s="20">
        <f t="shared" si="194"/>
        <v>0</v>
      </c>
      <c r="AJ170" s="20">
        <f t="shared" si="194"/>
        <v>0</v>
      </c>
      <c r="AK170" s="20">
        <f t="shared" si="194"/>
        <v>0</v>
      </c>
      <c r="AL170" s="20">
        <f t="shared" si="194"/>
        <v>0</v>
      </c>
      <c r="AM170" s="20">
        <f t="shared" si="195"/>
        <v>0</v>
      </c>
      <c r="AO170">
        <f t="shared" si="196"/>
        <v>0</v>
      </c>
      <c r="AP170">
        <f t="shared" si="196"/>
        <v>0</v>
      </c>
      <c r="AQ170">
        <f t="shared" si="196"/>
        <v>0</v>
      </c>
      <c r="AR170">
        <f t="shared" si="196"/>
        <v>0</v>
      </c>
      <c r="AS170">
        <f t="shared" si="197"/>
        <v>0</v>
      </c>
      <c r="AU170">
        <f t="shared" si="198"/>
        <v>0</v>
      </c>
      <c r="AV170">
        <f t="shared" si="198"/>
        <v>0</v>
      </c>
      <c r="AW170">
        <f t="shared" si="198"/>
        <v>0</v>
      </c>
      <c r="AX170">
        <f t="shared" si="198"/>
        <v>0</v>
      </c>
      <c r="AY170">
        <f t="shared" si="199"/>
        <v>0</v>
      </c>
    </row>
    <row r="171" spans="1:53" ht="15" x14ac:dyDescent="0.25">
      <c r="A171" s="7"/>
      <c r="B171" s="8" t="s">
        <v>14</v>
      </c>
      <c r="C171" s="7"/>
      <c r="D171" s="357">
        <f t="shared" ref="D171:H171" si="200">SUM(D165:D170)</f>
        <v>0</v>
      </c>
      <c r="E171" s="363">
        <f>SUM(E165:E170)</f>
        <v>137.87690000000001</v>
      </c>
      <c r="F171" s="357">
        <f t="shared" si="200"/>
        <v>0</v>
      </c>
      <c r="G171" s="357">
        <f t="shared" si="200"/>
        <v>0</v>
      </c>
      <c r="H171" s="357">
        <f t="shared" si="200"/>
        <v>0</v>
      </c>
      <c r="J171">
        <v>0</v>
      </c>
      <c r="K171" s="14">
        <v>-6.3416431589757849E-4</v>
      </c>
      <c r="L171">
        <v>0</v>
      </c>
      <c r="M171">
        <v>0</v>
      </c>
      <c r="N171">
        <v>0</v>
      </c>
      <c r="O171" s="20"/>
      <c r="P171" s="20"/>
      <c r="Q171" s="438">
        <v>5.576326805690586E-2</v>
      </c>
      <c r="R171" s="20"/>
      <c r="S171" s="20"/>
      <c r="T171" s="20"/>
      <c r="U171" s="20"/>
      <c r="BA171" s="319">
        <f>(E171*10000*Q171*AU$10)</f>
        <v>109637.5327684972</v>
      </c>
    </row>
    <row r="172" spans="1:53" ht="15" x14ac:dyDescent="0.25">
      <c r="A172" s="1"/>
      <c r="B172" s="9" t="s">
        <v>15</v>
      </c>
      <c r="C172" s="5"/>
      <c r="E172" s="363">
        <f>SUM(E171)</f>
        <v>137.87690000000001</v>
      </c>
      <c r="H172" s="358">
        <f>SUM(D171:H171)</f>
        <v>137.87690000000001</v>
      </c>
      <c r="K172" s="14"/>
      <c r="N172">
        <v>0</v>
      </c>
      <c r="O172" s="20"/>
      <c r="P172" s="20"/>
      <c r="Q172" s="438"/>
      <c r="R172" s="20"/>
      <c r="S172" s="20"/>
      <c r="T172" s="20"/>
      <c r="U172" s="20"/>
    </row>
    <row r="173" spans="1:53" ht="15.75" x14ac:dyDescent="0.25">
      <c r="A173" s="1"/>
      <c r="B173" s="2"/>
      <c r="C173" s="1"/>
      <c r="E173" s="361"/>
      <c r="K173" s="14"/>
      <c r="O173" s="20"/>
      <c r="P173" s="20"/>
      <c r="Q173" s="439"/>
      <c r="R173" s="20"/>
      <c r="S173" s="20"/>
      <c r="T173" s="20"/>
      <c r="U173" s="20"/>
    </row>
    <row r="174" spans="1:53" ht="15" x14ac:dyDescent="0.25">
      <c r="A174" s="1">
        <v>19</v>
      </c>
      <c r="B174" s="154" t="s">
        <v>865</v>
      </c>
      <c r="C174" s="1" t="s">
        <v>8</v>
      </c>
      <c r="D174">
        <v>0</v>
      </c>
      <c r="E174" s="360">
        <v>0</v>
      </c>
      <c r="F174">
        <v>0</v>
      </c>
      <c r="G174">
        <v>0</v>
      </c>
      <c r="H174">
        <v>0</v>
      </c>
      <c r="J174">
        <v>0</v>
      </c>
      <c r="K174" s="14">
        <v>0</v>
      </c>
      <c r="L174">
        <v>0</v>
      </c>
      <c r="M174">
        <v>0</v>
      </c>
      <c r="N174">
        <v>0</v>
      </c>
      <c r="O174" s="20"/>
      <c r="P174" s="20"/>
      <c r="Q174" s="438"/>
      <c r="R174" s="20"/>
      <c r="S174" s="20"/>
      <c r="T174" s="20"/>
      <c r="U174" s="20"/>
    </row>
    <row r="175" spans="1:53" ht="15" x14ac:dyDescent="0.25">
      <c r="A175" s="1"/>
      <c r="B175" s="2"/>
      <c r="C175" s="1" t="s">
        <v>9</v>
      </c>
      <c r="D175">
        <v>0</v>
      </c>
      <c r="E175" s="360">
        <v>0</v>
      </c>
      <c r="F175">
        <v>0</v>
      </c>
      <c r="G175">
        <v>0</v>
      </c>
      <c r="H175">
        <v>0</v>
      </c>
      <c r="J175">
        <v>0</v>
      </c>
      <c r="K175" s="14">
        <v>0</v>
      </c>
      <c r="L175">
        <v>0</v>
      </c>
      <c r="M175">
        <v>0</v>
      </c>
      <c r="N175">
        <v>0</v>
      </c>
      <c r="O175" s="20"/>
      <c r="P175" s="20"/>
      <c r="Q175" s="438"/>
      <c r="R175" s="20"/>
      <c r="S175" s="20"/>
      <c r="T175" s="20"/>
      <c r="U175" s="20"/>
    </row>
    <row r="176" spans="1:53" ht="15" x14ac:dyDescent="0.25">
      <c r="A176" s="1"/>
      <c r="B176" s="2"/>
      <c r="C176" s="1" t="s">
        <v>10</v>
      </c>
      <c r="D176">
        <v>0</v>
      </c>
      <c r="E176" s="360">
        <v>0</v>
      </c>
      <c r="F176">
        <v>0</v>
      </c>
      <c r="G176">
        <v>0</v>
      </c>
      <c r="H176">
        <v>0</v>
      </c>
      <c r="J176">
        <v>0</v>
      </c>
      <c r="K176" s="14">
        <v>0</v>
      </c>
      <c r="L176">
        <v>0</v>
      </c>
      <c r="M176">
        <v>0</v>
      </c>
      <c r="N176">
        <v>0</v>
      </c>
      <c r="O176" s="20"/>
      <c r="P176" s="20"/>
      <c r="Q176" s="438"/>
      <c r="R176" s="20"/>
      <c r="S176" s="20"/>
      <c r="T176" s="20"/>
      <c r="U176" s="20"/>
    </row>
    <row r="177" spans="1:53" ht="15" x14ac:dyDescent="0.25">
      <c r="A177" s="1"/>
      <c r="B177" s="2"/>
      <c r="C177" s="1" t="s">
        <v>11</v>
      </c>
      <c r="D177">
        <v>0</v>
      </c>
      <c r="E177" s="360">
        <v>1.3947290000000001</v>
      </c>
      <c r="F177">
        <v>0</v>
      </c>
      <c r="G177">
        <v>0</v>
      </c>
      <c r="H177">
        <v>0</v>
      </c>
      <c r="J177">
        <v>0</v>
      </c>
      <c r="K177" s="14">
        <v>1.3220211001474524E-6</v>
      </c>
      <c r="L177">
        <v>0</v>
      </c>
      <c r="M177">
        <v>0</v>
      </c>
      <c r="N177">
        <v>0</v>
      </c>
      <c r="O177" s="20"/>
      <c r="P177" s="20"/>
      <c r="Q177" s="438">
        <v>0.90000000000000013</v>
      </c>
      <c r="R177" s="20"/>
      <c r="S177" s="20"/>
      <c r="T177" s="20"/>
      <c r="U177" s="20"/>
    </row>
    <row r="178" spans="1:53" ht="15" x14ac:dyDescent="0.25">
      <c r="A178" s="1"/>
      <c r="B178" s="2"/>
      <c r="C178" s="1" t="s">
        <v>12</v>
      </c>
      <c r="D178">
        <v>0</v>
      </c>
      <c r="E178" s="360">
        <v>0</v>
      </c>
      <c r="F178">
        <v>0</v>
      </c>
      <c r="G178">
        <v>0</v>
      </c>
      <c r="H178">
        <v>0</v>
      </c>
      <c r="J178">
        <v>0</v>
      </c>
      <c r="K178" s="14">
        <v>0</v>
      </c>
      <c r="L178">
        <v>0</v>
      </c>
      <c r="M178">
        <v>0</v>
      </c>
      <c r="N178">
        <v>0</v>
      </c>
      <c r="O178" s="20"/>
      <c r="P178" s="20"/>
      <c r="Q178" s="438"/>
      <c r="R178" s="20"/>
      <c r="S178" s="20"/>
      <c r="T178" s="20"/>
      <c r="U178" s="20"/>
    </row>
    <row r="179" spans="1:53" ht="15" x14ac:dyDescent="0.25">
      <c r="A179" s="1"/>
      <c r="B179" s="2"/>
      <c r="C179" s="1" t="s">
        <v>13</v>
      </c>
      <c r="D179">
        <v>0</v>
      </c>
      <c r="E179" s="360">
        <v>99.678190000000001</v>
      </c>
      <c r="F179">
        <v>0</v>
      </c>
      <c r="G179">
        <v>0</v>
      </c>
      <c r="H179">
        <v>0</v>
      </c>
      <c r="J179">
        <v>0</v>
      </c>
      <c r="K179" s="14">
        <v>8.7469220872549158E-5</v>
      </c>
      <c r="L179">
        <v>0</v>
      </c>
      <c r="M179">
        <v>0</v>
      </c>
      <c r="N179">
        <v>0</v>
      </c>
      <c r="O179" s="20"/>
      <c r="P179" s="20"/>
      <c r="Q179" s="438">
        <v>0.90000000000000013</v>
      </c>
      <c r="R179" s="20"/>
      <c r="S179" s="20"/>
      <c r="T179" s="20"/>
      <c r="U179" s="20"/>
    </row>
    <row r="180" spans="1:53" ht="15" x14ac:dyDescent="0.25">
      <c r="A180" s="7"/>
      <c r="B180" s="8" t="s">
        <v>14</v>
      </c>
      <c r="C180" s="7"/>
      <c r="D180" s="357">
        <f t="shared" ref="D180:H180" si="201">SUM(D174:D179)</f>
        <v>0</v>
      </c>
      <c r="E180" s="363">
        <f>SUM(E174:E179)</f>
        <v>101.072919</v>
      </c>
      <c r="F180" s="357">
        <f t="shared" si="201"/>
        <v>0</v>
      </c>
      <c r="G180" s="357">
        <f t="shared" si="201"/>
        <v>0</v>
      </c>
      <c r="H180" s="357">
        <f t="shared" si="201"/>
        <v>0</v>
      </c>
      <c r="J180">
        <v>0</v>
      </c>
      <c r="K180">
        <v>0</v>
      </c>
      <c r="L180">
        <v>0</v>
      </c>
      <c r="M180">
        <v>0</v>
      </c>
      <c r="N180">
        <v>0</v>
      </c>
      <c r="Q180" s="438">
        <v>0.9</v>
      </c>
      <c r="BA180" s="319">
        <f>(E180*10000*Q180*AU$10)</f>
        <v>1297169.8424459998</v>
      </c>
    </row>
    <row r="181" spans="1:53" ht="15" x14ac:dyDescent="0.25">
      <c r="A181" s="5"/>
      <c r="B181" s="9" t="s">
        <v>15</v>
      </c>
      <c r="C181" s="5"/>
      <c r="E181" s="363">
        <f>SUM(E180)</f>
        <v>101.072919</v>
      </c>
      <c r="H181" s="358">
        <f>SUM(D180:H180)</f>
        <v>101.072919</v>
      </c>
      <c r="N181">
        <v>0</v>
      </c>
    </row>
    <row r="182" spans="1:53" s="79" customFormat="1" ht="15" x14ac:dyDescent="0.25">
      <c r="A182" s="199"/>
      <c r="B182" s="198" t="s">
        <v>661</v>
      </c>
      <c r="C182" s="199"/>
    </row>
    <row r="183" spans="1:53" x14ac:dyDescent="0.2">
      <c r="E183" s="14">
        <f>SUM(E180,E171,E162,E153,E144,E135,E126,E117,E108,E99,E90,E81,E72,E63,E54,E45,E36,E27,E18,)</f>
        <v>2788.5485690000005</v>
      </c>
    </row>
  </sheetData>
  <phoneticPr fontId="0" type="noConversion"/>
  <pageMargins left="0.75" right="0.75" top="1" bottom="1" header="0.5" footer="0.5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BA183"/>
  <sheetViews>
    <sheetView defaultGridColor="0" colorId="11" zoomScale="75" workbookViewId="0">
      <pane xSplit="3" topLeftCell="D1" activePane="topRight" state="frozen"/>
      <selection pane="topRight" activeCell="BA12" sqref="BA12:BA180"/>
    </sheetView>
  </sheetViews>
  <sheetFormatPr defaultRowHeight="12.75" x14ac:dyDescent="0.2"/>
  <cols>
    <col min="2" max="2" width="26.42578125" bestFit="1" customWidth="1"/>
    <col min="4" max="8" width="13.7109375" customWidth="1"/>
    <col min="10" max="14" width="13.5703125" customWidth="1"/>
    <col min="15" max="15" width="12" bestFit="1" customWidth="1"/>
    <col min="17" max="17" width="15.7109375" style="108" bestFit="1" customWidth="1"/>
    <col min="18" max="19" width="12" bestFit="1" customWidth="1"/>
    <col min="20" max="21" width="12" customWidth="1"/>
    <col min="22" max="25" width="11.5703125" customWidth="1"/>
    <col min="26" max="29" width="10.7109375" customWidth="1"/>
    <col min="30" max="30" width="11.42578125" customWidth="1"/>
    <col min="31" max="34" width="13.42578125" customWidth="1"/>
    <col min="35" max="39" width="10.85546875" customWidth="1"/>
    <col min="45" max="45" width="28.140625" customWidth="1"/>
    <col min="51" max="51" width="28.42578125" customWidth="1"/>
  </cols>
  <sheetData>
    <row r="1" spans="1:53" ht="15" x14ac:dyDescent="0.25">
      <c r="A1" s="15"/>
      <c r="B1" s="16">
        <v>2004</v>
      </c>
    </row>
    <row r="2" spans="1:53" ht="15" x14ac:dyDescent="0.25">
      <c r="A2" s="15"/>
      <c r="B2" s="16"/>
      <c r="V2" s="99"/>
      <c r="W2" s="99"/>
      <c r="X2" s="99"/>
      <c r="Y2" s="99"/>
      <c r="Z2" s="26"/>
      <c r="AA2" s="26"/>
      <c r="AB2" s="26"/>
      <c r="AC2" s="26"/>
      <c r="AD2" s="26"/>
      <c r="AE2" s="28"/>
      <c r="AF2" s="28"/>
      <c r="AG2" s="28"/>
      <c r="AH2" s="28"/>
      <c r="AI2" s="124"/>
      <c r="AJ2" s="124"/>
      <c r="AK2" s="124"/>
      <c r="AL2" s="124"/>
      <c r="AM2" s="124"/>
    </row>
    <row r="3" spans="1:53" ht="78.75" x14ac:dyDescent="0.25">
      <c r="B3" s="16"/>
      <c r="D3" s="179" t="s">
        <v>759</v>
      </c>
      <c r="E3" s="179"/>
      <c r="F3" s="179"/>
      <c r="G3" s="179"/>
      <c r="H3" s="179"/>
      <c r="J3" s="181" t="s">
        <v>758</v>
      </c>
      <c r="K3" s="181"/>
      <c r="L3" s="181"/>
      <c r="M3" s="181"/>
      <c r="N3" s="181"/>
      <c r="V3" s="99" t="s">
        <v>534</v>
      </c>
      <c r="W3" s="99"/>
      <c r="X3" s="99"/>
      <c r="Y3" s="99"/>
      <c r="Z3" s="26" t="s">
        <v>535</v>
      </c>
      <c r="AA3" s="26"/>
      <c r="AB3" s="26"/>
      <c r="AC3" s="26"/>
      <c r="AD3" s="125"/>
      <c r="AE3" s="28" t="s">
        <v>536</v>
      </c>
      <c r="AF3" s="28"/>
      <c r="AG3" s="28"/>
      <c r="AH3" s="28"/>
      <c r="AI3" s="124" t="s">
        <v>537</v>
      </c>
      <c r="AJ3" s="131"/>
      <c r="AK3" s="131"/>
      <c r="AL3" s="131"/>
      <c r="AM3" s="131"/>
    </row>
    <row r="4" spans="1:53" ht="15.75" x14ac:dyDescent="0.25">
      <c r="D4" s="180"/>
      <c r="E4" s="180"/>
      <c r="F4" s="180"/>
      <c r="G4" s="180"/>
      <c r="H4" s="180"/>
      <c r="J4" s="182"/>
      <c r="K4" s="182"/>
      <c r="L4" s="182"/>
      <c r="M4" s="182"/>
      <c r="N4" s="182"/>
      <c r="V4" s="101" t="s">
        <v>40</v>
      </c>
      <c r="W4" s="101"/>
      <c r="X4" s="101"/>
      <c r="Y4" s="101"/>
      <c r="Z4" s="27" t="s">
        <v>40</v>
      </c>
      <c r="AA4" s="27"/>
      <c r="AB4" s="27"/>
      <c r="AC4" s="27"/>
      <c r="AD4" s="126"/>
      <c r="AE4" s="30" t="s">
        <v>40</v>
      </c>
      <c r="AF4" s="30"/>
      <c r="AG4" s="30"/>
      <c r="AH4" s="30"/>
      <c r="AI4" s="132" t="s">
        <v>40</v>
      </c>
      <c r="AJ4" s="133"/>
      <c r="AK4" s="133"/>
      <c r="AL4" s="133"/>
      <c r="AM4" s="133"/>
    </row>
    <row r="5" spans="1:53" ht="94.5" x14ac:dyDescent="0.25">
      <c r="A5" s="1"/>
      <c r="B5" s="2"/>
      <c r="C5" s="3"/>
      <c r="D5" s="103"/>
      <c r="E5" s="229"/>
      <c r="F5" s="229"/>
      <c r="G5" s="229"/>
      <c r="H5" s="229"/>
      <c r="J5" s="115"/>
      <c r="K5" s="232"/>
      <c r="L5" s="232"/>
      <c r="M5" s="232"/>
      <c r="N5" s="232"/>
      <c r="V5" s="103"/>
      <c r="W5" s="103"/>
      <c r="X5" s="103"/>
      <c r="Y5" s="103"/>
      <c r="Z5" s="93"/>
      <c r="AA5" s="236"/>
      <c r="AB5" s="236"/>
      <c r="AC5" s="236"/>
      <c r="AD5" s="127"/>
      <c r="AE5" s="90"/>
      <c r="AF5" s="90"/>
      <c r="AG5" s="90"/>
      <c r="AH5" s="90"/>
      <c r="AI5" s="134"/>
      <c r="AJ5" s="135"/>
      <c r="AK5" s="135"/>
      <c r="AL5" s="135"/>
      <c r="AM5" s="135"/>
      <c r="AO5" s="240" t="s">
        <v>727</v>
      </c>
      <c r="AP5" s="241"/>
      <c r="AQ5" s="241"/>
      <c r="AR5" s="241"/>
      <c r="AS5" s="242" t="s">
        <v>727</v>
      </c>
      <c r="AU5" s="244" t="s">
        <v>728</v>
      </c>
      <c r="AV5" s="245"/>
      <c r="AW5" s="245"/>
      <c r="AX5" s="245"/>
      <c r="AY5" s="246" t="s">
        <v>728</v>
      </c>
    </row>
    <row r="6" spans="1:53" ht="39" x14ac:dyDescent="0.25">
      <c r="A6" s="1"/>
      <c r="B6" s="2" t="s">
        <v>0</v>
      </c>
      <c r="C6" s="3"/>
      <c r="D6" s="234"/>
      <c r="E6" s="234" t="s">
        <v>862</v>
      </c>
      <c r="F6" s="234"/>
      <c r="G6" s="234"/>
      <c r="H6" s="234"/>
      <c r="J6" s="117" t="s">
        <v>862</v>
      </c>
      <c r="K6" s="117"/>
      <c r="L6" s="117"/>
      <c r="M6" s="117"/>
      <c r="N6" s="117"/>
      <c r="O6" s="17" t="s">
        <v>35</v>
      </c>
      <c r="P6" s="18"/>
      <c r="Q6" s="146">
        <v>2004</v>
      </c>
      <c r="R6" s="22" t="s">
        <v>38</v>
      </c>
      <c r="S6" s="22" t="s">
        <v>39</v>
      </c>
      <c r="T6" s="196" t="s">
        <v>659</v>
      </c>
      <c r="U6" s="196" t="s">
        <v>660</v>
      </c>
      <c r="V6" s="105" t="s">
        <v>862</v>
      </c>
      <c r="W6" s="105"/>
      <c r="X6" s="105"/>
      <c r="Y6" s="105"/>
      <c r="Z6" s="78" t="s">
        <v>862</v>
      </c>
      <c r="AA6" s="78"/>
      <c r="AB6" s="78"/>
      <c r="AC6" s="78"/>
      <c r="AD6" s="128" t="s">
        <v>42</v>
      </c>
      <c r="AE6" s="72" t="s">
        <v>862</v>
      </c>
      <c r="AF6" s="72"/>
      <c r="AG6" s="72"/>
      <c r="AH6" s="72"/>
      <c r="AI6" s="137" t="s">
        <v>862</v>
      </c>
      <c r="AJ6" s="137"/>
      <c r="AK6" s="137"/>
      <c r="AL6" s="137"/>
      <c r="AM6" s="137"/>
      <c r="AO6" s="118" t="s">
        <v>862</v>
      </c>
      <c r="AP6" s="118"/>
      <c r="AQ6" s="118"/>
      <c r="AR6" s="118"/>
      <c r="AS6" s="129"/>
      <c r="AU6" s="118" t="s">
        <v>862</v>
      </c>
      <c r="AV6" s="118"/>
      <c r="AW6" s="118"/>
      <c r="AX6" s="118"/>
      <c r="AY6" s="247"/>
    </row>
    <row r="7" spans="1:53" ht="26.25" x14ac:dyDescent="0.25">
      <c r="A7" s="1"/>
      <c r="B7" s="2" t="s">
        <v>1</v>
      </c>
      <c r="C7" s="2"/>
      <c r="D7" s="107"/>
      <c r="E7" s="107"/>
      <c r="F7" s="107"/>
      <c r="G7" s="107"/>
      <c r="H7" s="107"/>
      <c r="J7" s="119"/>
      <c r="K7" s="233"/>
      <c r="L7" s="233"/>
      <c r="M7" s="233"/>
      <c r="N7" s="233"/>
      <c r="O7" s="21" t="s">
        <v>36</v>
      </c>
      <c r="P7" s="21" t="s">
        <v>37</v>
      </c>
      <c r="Q7" s="148" t="s">
        <v>538</v>
      </c>
      <c r="R7" s="22"/>
      <c r="S7" s="22"/>
      <c r="T7" s="22"/>
      <c r="U7" s="22"/>
      <c r="V7" s="107"/>
      <c r="W7" s="107"/>
      <c r="X7" s="107"/>
      <c r="Y7" s="107"/>
      <c r="Z7" s="237"/>
      <c r="AA7" s="237"/>
      <c r="AB7" s="237"/>
      <c r="AC7" s="237"/>
      <c r="AD7" s="129"/>
      <c r="AE7" s="91"/>
      <c r="AF7" s="91"/>
      <c r="AG7" s="91"/>
      <c r="AH7" s="91"/>
      <c r="AI7" s="139"/>
      <c r="AJ7" s="139"/>
      <c r="AK7" s="139"/>
      <c r="AL7" s="139"/>
      <c r="AM7" s="139"/>
      <c r="AS7" s="129"/>
      <c r="AY7" s="247"/>
      <c r="BA7" t="s">
        <v>864</v>
      </c>
    </row>
    <row r="8" spans="1:53" ht="15.75" x14ac:dyDescent="0.25">
      <c r="A8" s="1"/>
      <c r="B8" s="2" t="s">
        <v>4</v>
      </c>
      <c r="C8" s="2"/>
      <c r="D8" s="107"/>
      <c r="E8" s="230"/>
      <c r="F8" s="230"/>
      <c r="G8" s="230"/>
      <c r="H8" s="230"/>
      <c r="J8" s="183"/>
      <c r="K8" s="183"/>
      <c r="L8" s="183"/>
      <c r="M8" s="183"/>
      <c r="N8" s="183"/>
      <c r="O8" s="20"/>
      <c r="P8" s="20"/>
      <c r="Q8" s="145"/>
      <c r="R8" s="20"/>
      <c r="S8" s="20"/>
      <c r="T8" s="20"/>
      <c r="U8" s="20"/>
      <c r="V8" s="107"/>
      <c r="W8" s="107"/>
      <c r="X8" s="107"/>
      <c r="Y8" s="107"/>
      <c r="Z8" s="237">
        <v>2903</v>
      </c>
      <c r="AA8" s="237">
        <v>2903</v>
      </c>
      <c r="AB8" s="237">
        <v>2903</v>
      </c>
      <c r="AC8" s="237">
        <v>2903</v>
      </c>
      <c r="AD8" s="129"/>
      <c r="AE8" s="91"/>
      <c r="AF8" s="91"/>
      <c r="AG8" s="91"/>
      <c r="AH8" s="91"/>
      <c r="AI8" s="237">
        <v>2903</v>
      </c>
      <c r="AJ8" s="237">
        <v>2903</v>
      </c>
      <c r="AK8" s="237">
        <v>2903</v>
      </c>
      <c r="AL8" s="237">
        <v>2903</v>
      </c>
      <c r="AM8" s="139"/>
      <c r="AS8" s="129"/>
      <c r="AY8" s="247"/>
    </row>
    <row r="9" spans="1:53" ht="15.75" x14ac:dyDescent="0.25">
      <c r="A9" s="1"/>
      <c r="B9" s="15" t="s">
        <v>558</v>
      </c>
      <c r="C9" s="2"/>
      <c r="D9" s="109"/>
      <c r="E9" s="231"/>
      <c r="F9" s="231"/>
      <c r="G9" s="231"/>
      <c r="H9" s="231"/>
      <c r="J9" s="119"/>
      <c r="K9" s="233"/>
      <c r="L9" s="233"/>
      <c r="M9" s="233"/>
      <c r="N9" s="233"/>
      <c r="O9" s="21"/>
      <c r="P9" s="21"/>
      <c r="Q9" s="145"/>
      <c r="R9" s="20"/>
      <c r="S9" s="20"/>
      <c r="T9" s="20"/>
      <c r="U9" s="20"/>
      <c r="V9" s="109"/>
      <c r="W9" s="109"/>
      <c r="X9" s="109"/>
      <c r="Y9" s="109"/>
      <c r="Z9" s="238"/>
      <c r="AA9" s="238"/>
      <c r="AB9" s="238"/>
      <c r="AC9" s="238"/>
      <c r="AD9" s="129"/>
      <c r="AE9" s="92"/>
      <c r="AF9" s="92"/>
      <c r="AG9" s="92"/>
      <c r="AH9" s="92"/>
      <c r="AI9" s="139"/>
      <c r="AJ9" s="139"/>
      <c r="AK9" s="139"/>
      <c r="AL9" s="139"/>
      <c r="AM9" s="139"/>
      <c r="AO9" s="239">
        <v>2004</v>
      </c>
      <c r="AP9" s="239">
        <v>2004</v>
      </c>
      <c r="AQ9" s="239">
        <v>2004</v>
      </c>
      <c r="AR9" s="239">
        <v>2004</v>
      </c>
      <c r="AS9" s="243">
        <v>2004</v>
      </c>
      <c r="AU9" s="239">
        <v>2004</v>
      </c>
      <c r="AV9" s="239">
        <v>2004</v>
      </c>
      <c r="AW9" s="239">
        <v>2004</v>
      </c>
      <c r="AX9" s="239">
        <v>2004</v>
      </c>
      <c r="AY9" s="248">
        <v>2004</v>
      </c>
    </row>
    <row r="10" spans="1:53" x14ac:dyDescent="0.2">
      <c r="B10" s="15" t="s">
        <v>726</v>
      </c>
      <c r="AO10">
        <v>1.3105</v>
      </c>
      <c r="AP10">
        <v>1.3105</v>
      </c>
      <c r="AQ10">
        <v>1.3105</v>
      </c>
      <c r="AR10">
        <v>1.3105</v>
      </c>
      <c r="AU10">
        <v>1.3105</v>
      </c>
      <c r="AV10">
        <v>1.3105</v>
      </c>
      <c r="AW10">
        <v>1.3105</v>
      </c>
      <c r="AX10">
        <v>1.3105</v>
      </c>
    </row>
    <row r="11" spans="1:53" ht="27" x14ac:dyDescent="0.25">
      <c r="A11" s="1"/>
      <c r="B11" s="2" t="s">
        <v>5</v>
      </c>
      <c r="C11" s="4" t="s">
        <v>6</v>
      </c>
      <c r="D11" s="107"/>
      <c r="E11" s="230"/>
      <c r="F11" s="230"/>
      <c r="G11" s="230"/>
      <c r="H11" s="230"/>
      <c r="J11" s="183"/>
      <c r="K11" s="183"/>
      <c r="L11" s="183"/>
      <c r="M11" s="183"/>
      <c r="N11" s="183"/>
      <c r="O11" s="20"/>
      <c r="P11" s="20"/>
      <c r="Q11" s="147"/>
      <c r="R11" s="20"/>
      <c r="S11" s="20"/>
      <c r="T11" s="20"/>
      <c r="U11" s="20"/>
      <c r="V11" s="230"/>
      <c r="W11" s="230"/>
      <c r="X11" s="230"/>
      <c r="Y11" s="230"/>
      <c r="Z11" s="130"/>
      <c r="AA11" s="130"/>
      <c r="AB11" s="130"/>
      <c r="AC11" s="130"/>
      <c r="AD11" s="129"/>
      <c r="AE11" s="91"/>
      <c r="AF11" s="91"/>
      <c r="AG11" s="91"/>
      <c r="AH11" s="91"/>
      <c r="AI11" s="139"/>
      <c r="AJ11" s="139"/>
      <c r="AK11" s="139"/>
      <c r="AL11" s="139"/>
      <c r="AM11" s="139"/>
    </row>
    <row r="12" spans="1:53" ht="15" x14ac:dyDescent="0.25">
      <c r="A12" s="1">
        <v>1</v>
      </c>
      <c r="B12" s="2" t="s">
        <v>7</v>
      </c>
      <c r="C12" s="3" t="s">
        <v>8</v>
      </c>
      <c r="D12">
        <v>0</v>
      </c>
      <c r="E12" s="360">
        <v>49.05538</v>
      </c>
      <c r="F12">
        <v>0</v>
      </c>
      <c r="G12">
        <v>0</v>
      </c>
      <c r="H12">
        <v>0</v>
      </c>
      <c r="J12">
        <v>0</v>
      </c>
      <c r="K12" s="14">
        <v>39.279498939624276</v>
      </c>
      <c r="L12">
        <v>0</v>
      </c>
      <c r="M12">
        <v>0</v>
      </c>
      <c r="N12">
        <v>0</v>
      </c>
      <c r="O12" s="20">
        <v>0.36775204520040022</v>
      </c>
      <c r="P12" s="20">
        <v>0.57913019816794442</v>
      </c>
      <c r="Q12" s="438">
        <v>8.3472875676924033E-2</v>
      </c>
      <c r="R12" s="197">
        <v>0.17699999999999999</v>
      </c>
      <c r="S12" s="197">
        <v>1.77</v>
      </c>
      <c r="T12" s="197">
        <v>0.50078889239507718</v>
      </c>
      <c r="U12" s="197">
        <v>0.75268470790377973</v>
      </c>
      <c r="V12" s="20">
        <f t="shared" ref="V12:Y17" si="0">IF(K12&gt;0,((E12-K12)*$Q12*$R12*10)+(K12*$O$12*$Q12*$R12*10),(E12*$Q12*$R12*10))</f>
        <v>3.5785794194811329</v>
      </c>
      <c r="W12" s="20">
        <f t="shared" si="0"/>
        <v>0</v>
      </c>
      <c r="X12" s="20">
        <f t="shared" si="0"/>
        <v>0</v>
      </c>
      <c r="Y12" s="20">
        <f t="shared" si="0"/>
        <v>0</v>
      </c>
      <c r="Z12" s="20">
        <f t="shared" ref="Z12:AC17" si="1">V12*(EXP(1.01-0.34*LN(Z$8))*(1-$T12)+(1*$T12))</f>
        <v>2.1181479065596127</v>
      </c>
      <c r="AA12" s="20">
        <f t="shared" si="1"/>
        <v>0</v>
      </c>
      <c r="AB12" s="20">
        <f t="shared" si="1"/>
        <v>0</v>
      </c>
      <c r="AC12" s="20">
        <f t="shared" si="1"/>
        <v>0</v>
      </c>
      <c r="AD12" s="20">
        <f t="shared" ref="AD12:AD17" si="2">SUM(Z12:AC12)</f>
        <v>2.1181479065596127</v>
      </c>
      <c r="AE12" s="20">
        <f t="shared" ref="AE12:AH17" si="3">IF(K12&gt;0,((E12-K12)*$Q12*$S12*10)+(K12*$P$12*$Q12*$S12)*10,(E12*$Q12*$S12*10))</f>
        <v>48.052972549863178</v>
      </c>
      <c r="AF12" s="20">
        <f t="shared" si="3"/>
        <v>0</v>
      </c>
      <c r="AG12" s="20">
        <f t="shared" si="3"/>
        <v>0</v>
      </c>
      <c r="AH12" s="20">
        <f t="shared" si="3"/>
        <v>0</v>
      </c>
      <c r="AI12" s="20">
        <f t="shared" ref="AI12:AL17" si="4">AE12*(EXP(1.01-0.34*LN(AI$8))*(1-$U12)+(1*$U12))</f>
        <v>38.33764327424749</v>
      </c>
      <c r="AJ12" s="20">
        <f t="shared" si="4"/>
        <v>0</v>
      </c>
      <c r="AK12" s="20">
        <f t="shared" si="4"/>
        <v>0</v>
      </c>
      <c r="AL12" s="20">
        <f t="shared" si="4"/>
        <v>0</v>
      </c>
      <c r="AM12" s="20">
        <f t="shared" ref="AM12:AM17" si="5">SUM(AI12:AL12)</f>
        <v>38.33764327424749</v>
      </c>
      <c r="AO12">
        <f t="shared" ref="AO12:AR17" si="6">Z12*AO$10</f>
        <v>2.7758328315463725</v>
      </c>
      <c r="AP12">
        <f t="shared" si="6"/>
        <v>0</v>
      </c>
      <c r="AQ12">
        <f t="shared" si="6"/>
        <v>0</v>
      </c>
      <c r="AR12">
        <f t="shared" si="6"/>
        <v>0</v>
      </c>
      <c r="AS12">
        <f t="shared" ref="AS12:AS17" si="7">SUM(AO12:AR12)</f>
        <v>2.7758328315463725</v>
      </c>
      <c r="AU12">
        <f t="shared" ref="AU12:AX17" si="8">AI12*AU$10</f>
        <v>50.241481510901338</v>
      </c>
      <c r="AV12">
        <f t="shared" si="8"/>
        <v>0</v>
      </c>
      <c r="AW12">
        <f t="shared" si="8"/>
        <v>0</v>
      </c>
      <c r="AX12">
        <f t="shared" si="8"/>
        <v>0</v>
      </c>
      <c r="AY12">
        <f t="shared" ref="AY12:AY17" si="9">SUM(AU12:AX12)</f>
        <v>50.241481510901338</v>
      </c>
    </row>
    <row r="13" spans="1:53" ht="15" x14ac:dyDescent="0.25">
      <c r="A13" s="1"/>
      <c r="B13" s="2"/>
      <c r="C13" s="1" t="s">
        <v>9</v>
      </c>
      <c r="D13">
        <v>0</v>
      </c>
      <c r="E13" s="360">
        <v>6.3624999999999998</v>
      </c>
      <c r="F13">
        <v>0</v>
      </c>
      <c r="G13">
        <v>0</v>
      </c>
      <c r="H13">
        <v>0</v>
      </c>
      <c r="J13">
        <v>0</v>
      </c>
      <c r="K13" s="14">
        <v>4.7318476998009995</v>
      </c>
      <c r="L13">
        <v>0</v>
      </c>
      <c r="M13">
        <v>0</v>
      </c>
      <c r="N13">
        <v>0</v>
      </c>
      <c r="O13" s="20"/>
      <c r="P13" s="20"/>
      <c r="Q13" s="438">
        <v>0.12194575135384804</v>
      </c>
      <c r="R13" s="197">
        <v>0.17699999999999999</v>
      </c>
      <c r="S13" s="197">
        <v>1.77</v>
      </c>
      <c r="T13" s="197">
        <v>0.50078889239507718</v>
      </c>
      <c r="U13" s="197">
        <v>0.75268470790377973</v>
      </c>
      <c r="V13" s="20">
        <f t="shared" si="0"/>
        <v>0.72756666498085043</v>
      </c>
      <c r="W13" s="20">
        <f t="shared" si="0"/>
        <v>0</v>
      </c>
      <c r="X13" s="20">
        <f t="shared" si="0"/>
        <v>0</v>
      </c>
      <c r="Y13" s="20">
        <f t="shared" si="0"/>
        <v>0</v>
      </c>
      <c r="Z13" s="20">
        <f t="shared" si="1"/>
        <v>0.43064401475130443</v>
      </c>
      <c r="AA13" s="20">
        <f t="shared" si="1"/>
        <v>0</v>
      </c>
      <c r="AB13" s="20">
        <f t="shared" si="1"/>
        <v>0</v>
      </c>
      <c r="AC13" s="20">
        <f t="shared" si="1"/>
        <v>0</v>
      </c>
      <c r="AD13" s="20">
        <f t="shared" si="2"/>
        <v>0.43064401475130443</v>
      </c>
      <c r="AE13" s="20">
        <f t="shared" si="3"/>
        <v>9.4345580524561186</v>
      </c>
      <c r="AF13" s="20">
        <f t="shared" si="3"/>
        <v>0</v>
      </c>
      <c r="AG13" s="20">
        <f t="shared" si="3"/>
        <v>0</v>
      </c>
      <c r="AH13" s="20">
        <f t="shared" si="3"/>
        <v>0</v>
      </c>
      <c r="AI13" s="20">
        <f t="shared" si="4"/>
        <v>7.5270831724284601</v>
      </c>
      <c r="AJ13" s="20">
        <f t="shared" si="4"/>
        <v>0</v>
      </c>
      <c r="AK13" s="20">
        <f t="shared" si="4"/>
        <v>0</v>
      </c>
      <c r="AL13" s="20">
        <f t="shared" si="4"/>
        <v>0</v>
      </c>
      <c r="AM13" s="20">
        <f t="shared" si="5"/>
        <v>7.5270831724284601</v>
      </c>
      <c r="AO13">
        <f t="shared" si="6"/>
        <v>0.56435898133158446</v>
      </c>
      <c r="AP13">
        <f t="shared" si="6"/>
        <v>0</v>
      </c>
      <c r="AQ13">
        <f t="shared" si="6"/>
        <v>0</v>
      </c>
      <c r="AR13">
        <f t="shared" si="6"/>
        <v>0</v>
      </c>
      <c r="AS13">
        <f t="shared" si="7"/>
        <v>0.56435898133158446</v>
      </c>
      <c r="AU13">
        <f t="shared" si="8"/>
        <v>9.8642424974674974</v>
      </c>
      <c r="AV13">
        <f t="shared" si="8"/>
        <v>0</v>
      </c>
      <c r="AW13">
        <f t="shared" si="8"/>
        <v>0</v>
      </c>
      <c r="AX13">
        <f t="shared" si="8"/>
        <v>0</v>
      </c>
      <c r="AY13">
        <f t="shared" si="9"/>
        <v>9.8642424974674974</v>
      </c>
    </row>
    <row r="14" spans="1:53" ht="15" x14ac:dyDescent="0.25">
      <c r="A14" s="1"/>
      <c r="B14" s="2"/>
      <c r="C14" s="1" t="s">
        <v>10</v>
      </c>
      <c r="D14">
        <v>0</v>
      </c>
      <c r="E14" s="360">
        <v>1.1967000000000001</v>
      </c>
      <c r="F14">
        <v>0</v>
      </c>
      <c r="G14">
        <v>0</v>
      </c>
      <c r="H14">
        <v>0</v>
      </c>
      <c r="J14">
        <v>0</v>
      </c>
      <c r="K14" s="14">
        <v>-0.89230754213099961</v>
      </c>
      <c r="L14">
        <v>0</v>
      </c>
      <c r="M14">
        <v>0</v>
      </c>
      <c r="N14">
        <v>0</v>
      </c>
      <c r="O14" s="20"/>
      <c r="P14" s="20"/>
      <c r="Q14" s="438">
        <v>0.16041862703077203</v>
      </c>
      <c r="R14" s="197">
        <v>0.17699999999999999</v>
      </c>
      <c r="S14" s="197">
        <v>1.77</v>
      </c>
      <c r="T14" s="197">
        <v>0.50078889239507718</v>
      </c>
      <c r="U14" s="197">
        <v>0.75268470790377973</v>
      </c>
      <c r="V14" s="20">
        <f t="shared" si="0"/>
        <v>0.33979215861287304</v>
      </c>
      <c r="W14" s="20">
        <f t="shared" si="0"/>
        <v>0</v>
      </c>
      <c r="X14" s="20">
        <f t="shared" si="0"/>
        <v>0</v>
      </c>
      <c r="Y14" s="20">
        <f t="shared" si="0"/>
        <v>0</v>
      </c>
      <c r="Z14" s="20">
        <f t="shared" si="1"/>
        <v>0.20112172039920365</v>
      </c>
      <c r="AA14" s="20">
        <f t="shared" si="1"/>
        <v>0</v>
      </c>
      <c r="AB14" s="20">
        <f t="shared" si="1"/>
        <v>0</v>
      </c>
      <c r="AC14" s="20">
        <f t="shared" si="1"/>
        <v>0</v>
      </c>
      <c r="AD14" s="20">
        <f t="shared" si="2"/>
        <v>0.20112172039920365</v>
      </c>
      <c r="AE14" s="20">
        <f t="shared" si="3"/>
        <v>3.3979215861287306</v>
      </c>
      <c r="AF14" s="20">
        <f t="shared" si="3"/>
        <v>0</v>
      </c>
      <c r="AG14" s="20">
        <f t="shared" si="3"/>
        <v>0</v>
      </c>
      <c r="AH14" s="20">
        <f t="shared" si="3"/>
        <v>0</v>
      </c>
      <c r="AI14" s="20">
        <f t="shared" si="4"/>
        <v>2.7109312646099646</v>
      </c>
      <c r="AJ14" s="20">
        <f t="shared" si="4"/>
        <v>0</v>
      </c>
      <c r="AK14" s="20">
        <f t="shared" si="4"/>
        <v>0</v>
      </c>
      <c r="AL14" s="20">
        <f t="shared" si="4"/>
        <v>0</v>
      </c>
      <c r="AM14" s="20">
        <f t="shared" si="5"/>
        <v>2.7109312646099646</v>
      </c>
      <c r="AO14">
        <f t="shared" si="6"/>
        <v>0.26357001458315638</v>
      </c>
      <c r="AP14">
        <f t="shared" si="6"/>
        <v>0</v>
      </c>
      <c r="AQ14">
        <f t="shared" si="6"/>
        <v>0</v>
      </c>
      <c r="AR14">
        <f t="shared" si="6"/>
        <v>0</v>
      </c>
      <c r="AS14">
        <f t="shared" si="7"/>
        <v>0.26357001458315638</v>
      </c>
      <c r="AU14">
        <f t="shared" si="8"/>
        <v>3.5526754222713586</v>
      </c>
      <c r="AV14">
        <f t="shared" si="8"/>
        <v>0</v>
      </c>
      <c r="AW14">
        <f t="shared" si="8"/>
        <v>0</v>
      </c>
      <c r="AX14">
        <f t="shared" si="8"/>
        <v>0</v>
      </c>
      <c r="AY14">
        <f t="shared" si="9"/>
        <v>3.5526754222713586</v>
      </c>
    </row>
    <row r="15" spans="1:53" ht="15" x14ac:dyDescent="0.25">
      <c r="A15" s="1"/>
      <c r="B15" s="2"/>
      <c r="C15" s="1" t="s">
        <v>11</v>
      </c>
      <c r="D15">
        <v>0</v>
      </c>
      <c r="E15" s="360">
        <v>16.971299999999999</v>
      </c>
      <c r="F15">
        <v>0</v>
      </c>
      <c r="G15">
        <v>0</v>
      </c>
      <c r="H15">
        <v>0</v>
      </c>
      <c r="J15">
        <v>0</v>
      </c>
      <c r="K15" s="14">
        <v>5.2454741905186246</v>
      </c>
      <c r="L15">
        <v>0</v>
      </c>
      <c r="M15">
        <v>0</v>
      </c>
      <c r="N15">
        <v>0</v>
      </c>
      <c r="O15" s="20"/>
      <c r="P15" s="20"/>
      <c r="Q15" s="438">
        <v>0.19889150270769607</v>
      </c>
      <c r="R15" s="197">
        <v>0.17699999999999999</v>
      </c>
      <c r="S15" s="197">
        <v>1.77</v>
      </c>
      <c r="T15" s="197">
        <v>0.50078889239507718</v>
      </c>
      <c r="U15" s="197">
        <v>0.75268470790377973</v>
      </c>
      <c r="V15" s="20">
        <f t="shared" si="0"/>
        <v>4.8070289398652584</v>
      </c>
      <c r="W15" s="20">
        <f t="shared" si="0"/>
        <v>0</v>
      </c>
      <c r="X15" s="20">
        <f t="shared" si="0"/>
        <v>0</v>
      </c>
      <c r="Y15" s="20">
        <f t="shared" si="0"/>
        <v>0</v>
      </c>
      <c r="Z15" s="20">
        <f t="shared" si="1"/>
        <v>2.8452626286056786</v>
      </c>
      <c r="AA15" s="20">
        <f t="shared" si="1"/>
        <v>0</v>
      </c>
      <c r="AB15" s="20">
        <f t="shared" si="1"/>
        <v>0</v>
      </c>
      <c r="AC15" s="20">
        <f t="shared" si="1"/>
        <v>0</v>
      </c>
      <c r="AD15" s="20">
        <f t="shared" si="2"/>
        <v>2.8452626286056786</v>
      </c>
      <c r="AE15" s="20">
        <f t="shared" si="3"/>
        <v>51.973611122051416</v>
      </c>
      <c r="AF15" s="20">
        <f t="shared" si="3"/>
        <v>0</v>
      </c>
      <c r="AG15" s="20">
        <f t="shared" si="3"/>
        <v>0</v>
      </c>
      <c r="AH15" s="20">
        <f t="shared" si="3"/>
        <v>0</v>
      </c>
      <c r="AI15" s="20">
        <f t="shared" si="4"/>
        <v>41.465608830006552</v>
      </c>
      <c r="AJ15" s="20">
        <f t="shared" si="4"/>
        <v>0</v>
      </c>
      <c r="AK15" s="20">
        <f t="shared" si="4"/>
        <v>0</v>
      </c>
      <c r="AL15" s="20">
        <f t="shared" si="4"/>
        <v>0</v>
      </c>
      <c r="AM15" s="20">
        <f t="shared" si="5"/>
        <v>41.465608830006552</v>
      </c>
      <c r="AO15">
        <f t="shared" si="6"/>
        <v>3.7287166747877416</v>
      </c>
      <c r="AP15">
        <f t="shared" si="6"/>
        <v>0</v>
      </c>
      <c r="AQ15">
        <f t="shared" si="6"/>
        <v>0</v>
      </c>
      <c r="AR15">
        <f t="shared" si="6"/>
        <v>0</v>
      </c>
      <c r="AS15">
        <f t="shared" si="7"/>
        <v>3.7287166747877416</v>
      </c>
      <c r="AU15">
        <f t="shared" si="8"/>
        <v>54.340680371723586</v>
      </c>
      <c r="AV15">
        <f t="shared" si="8"/>
        <v>0</v>
      </c>
      <c r="AW15">
        <f t="shared" si="8"/>
        <v>0</v>
      </c>
      <c r="AX15">
        <f t="shared" si="8"/>
        <v>0</v>
      </c>
      <c r="AY15">
        <f t="shared" si="9"/>
        <v>54.340680371723586</v>
      </c>
    </row>
    <row r="16" spans="1:53" ht="15" x14ac:dyDescent="0.25">
      <c r="A16" s="5"/>
      <c r="B16" s="6"/>
      <c r="C16" s="5" t="s">
        <v>12</v>
      </c>
      <c r="D16">
        <v>0</v>
      </c>
      <c r="E16" s="360">
        <v>0</v>
      </c>
      <c r="F16">
        <v>0</v>
      </c>
      <c r="G16">
        <v>0</v>
      </c>
      <c r="H16">
        <v>0</v>
      </c>
      <c r="J16">
        <v>0</v>
      </c>
      <c r="K16" s="14">
        <v>0</v>
      </c>
      <c r="L16">
        <v>0</v>
      </c>
      <c r="M16">
        <v>0</v>
      </c>
      <c r="N16">
        <v>0</v>
      </c>
      <c r="O16" s="20"/>
      <c r="P16" s="20"/>
      <c r="Q16" s="438"/>
      <c r="R16" s="197">
        <v>0.17699999999999999</v>
      </c>
      <c r="S16" s="197">
        <v>1.77</v>
      </c>
      <c r="T16" s="197">
        <v>0.50078889239507718</v>
      </c>
      <c r="U16" s="197">
        <v>0.75268470790377973</v>
      </c>
      <c r="V16" s="20">
        <f t="shared" si="0"/>
        <v>0</v>
      </c>
      <c r="W16" s="20">
        <f t="shared" si="0"/>
        <v>0</v>
      </c>
      <c r="X16" s="20">
        <f t="shared" si="0"/>
        <v>0</v>
      </c>
      <c r="Y16" s="20">
        <f t="shared" si="0"/>
        <v>0</v>
      </c>
      <c r="Z16" s="20">
        <f t="shared" si="1"/>
        <v>0</v>
      </c>
      <c r="AA16" s="20">
        <f t="shared" si="1"/>
        <v>0</v>
      </c>
      <c r="AB16" s="20">
        <f t="shared" si="1"/>
        <v>0</v>
      </c>
      <c r="AC16" s="20">
        <f t="shared" si="1"/>
        <v>0</v>
      </c>
      <c r="AD16" s="20">
        <f t="shared" si="2"/>
        <v>0</v>
      </c>
      <c r="AE16" s="20">
        <f t="shared" si="3"/>
        <v>0</v>
      </c>
      <c r="AF16" s="20">
        <f t="shared" si="3"/>
        <v>0</v>
      </c>
      <c r="AG16" s="20">
        <f t="shared" si="3"/>
        <v>0</v>
      </c>
      <c r="AH16" s="20">
        <f t="shared" si="3"/>
        <v>0</v>
      </c>
      <c r="AI16" s="20">
        <f t="shared" si="4"/>
        <v>0</v>
      </c>
      <c r="AJ16" s="20">
        <f t="shared" si="4"/>
        <v>0</v>
      </c>
      <c r="AK16" s="20">
        <f t="shared" si="4"/>
        <v>0</v>
      </c>
      <c r="AL16" s="20">
        <f t="shared" si="4"/>
        <v>0</v>
      </c>
      <c r="AM16" s="20">
        <f t="shared" si="5"/>
        <v>0</v>
      </c>
      <c r="AO16">
        <f t="shared" si="6"/>
        <v>0</v>
      </c>
      <c r="AP16">
        <f t="shared" si="6"/>
        <v>0</v>
      </c>
      <c r="AQ16">
        <f t="shared" si="6"/>
        <v>0</v>
      </c>
      <c r="AR16">
        <f t="shared" si="6"/>
        <v>0</v>
      </c>
      <c r="AS16">
        <f t="shared" si="7"/>
        <v>0</v>
      </c>
      <c r="AU16">
        <f t="shared" si="8"/>
        <v>0</v>
      </c>
      <c r="AV16">
        <f t="shared" si="8"/>
        <v>0</v>
      </c>
      <c r="AW16">
        <f t="shared" si="8"/>
        <v>0</v>
      </c>
      <c r="AX16">
        <f t="shared" si="8"/>
        <v>0</v>
      </c>
      <c r="AY16">
        <f t="shared" si="9"/>
        <v>0</v>
      </c>
    </row>
    <row r="17" spans="1:53" ht="15" x14ac:dyDescent="0.25">
      <c r="A17" s="5"/>
      <c r="B17" s="6"/>
      <c r="C17" s="5" t="s">
        <v>13</v>
      </c>
      <c r="D17">
        <v>0</v>
      </c>
      <c r="E17" s="360">
        <v>3.8789999999999998E-2</v>
      </c>
      <c r="F17">
        <v>0</v>
      </c>
      <c r="G17">
        <v>0</v>
      </c>
      <c r="H17">
        <v>0</v>
      </c>
      <c r="J17">
        <v>0</v>
      </c>
      <c r="K17" s="14">
        <v>3.8789999999999998E-2</v>
      </c>
      <c r="L17">
        <v>0</v>
      </c>
      <c r="M17">
        <v>0</v>
      </c>
      <c r="N17">
        <v>0</v>
      </c>
      <c r="O17" s="20"/>
      <c r="P17" s="20"/>
      <c r="Q17" s="438">
        <v>0.19889150270769607</v>
      </c>
      <c r="R17" s="197">
        <v>0.17699999999999999</v>
      </c>
      <c r="S17" s="197">
        <v>1.77</v>
      </c>
      <c r="T17" s="197">
        <v>0.50078889239507718</v>
      </c>
      <c r="U17" s="197">
        <v>0.75268470790377973</v>
      </c>
      <c r="V17" s="20">
        <f t="shared" si="0"/>
        <v>5.0218573456372057E-3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1"/>
        <v>2.9724187664513959E-3</v>
      </c>
      <c r="AA17" s="20">
        <f t="shared" si="1"/>
        <v>0</v>
      </c>
      <c r="AB17" s="20">
        <f t="shared" si="1"/>
        <v>0</v>
      </c>
      <c r="AC17" s="20">
        <f t="shared" si="1"/>
        <v>0</v>
      </c>
      <c r="AD17" s="20">
        <f t="shared" si="2"/>
        <v>2.9724187664513959E-3</v>
      </c>
      <c r="AE17" s="20">
        <f t="shared" si="3"/>
        <v>7.9083428024586205E-2</v>
      </c>
      <c r="AF17" s="20">
        <f t="shared" si="3"/>
        <v>0</v>
      </c>
      <c r="AG17" s="20">
        <f t="shared" si="3"/>
        <v>0</v>
      </c>
      <c r="AH17" s="20">
        <f t="shared" si="3"/>
        <v>0</v>
      </c>
      <c r="AI17" s="20">
        <f t="shared" si="4"/>
        <v>6.3094374637596595E-2</v>
      </c>
      <c r="AJ17" s="20">
        <f t="shared" si="4"/>
        <v>0</v>
      </c>
      <c r="AK17" s="20">
        <f t="shared" si="4"/>
        <v>0</v>
      </c>
      <c r="AL17" s="20">
        <f t="shared" si="4"/>
        <v>0</v>
      </c>
      <c r="AM17" s="20">
        <f t="shared" si="5"/>
        <v>6.3094374637596595E-2</v>
      </c>
      <c r="AO17">
        <f t="shared" si="6"/>
        <v>3.8953547934345543E-3</v>
      </c>
      <c r="AP17">
        <f t="shared" si="6"/>
        <v>0</v>
      </c>
      <c r="AQ17">
        <f t="shared" si="6"/>
        <v>0</v>
      </c>
      <c r="AR17">
        <f t="shared" si="6"/>
        <v>0</v>
      </c>
      <c r="AS17">
        <f t="shared" si="7"/>
        <v>3.8953547934345543E-3</v>
      </c>
      <c r="AU17">
        <f t="shared" si="8"/>
        <v>8.2685177962570341E-2</v>
      </c>
      <c r="AV17">
        <f t="shared" si="8"/>
        <v>0</v>
      </c>
      <c r="AW17">
        <f t="shared" si="8"/>
        <v>0</v>
      </c>
      <c r="AX17">
        <f t="shared" si="8"/>
        <v>0</v>
      </c>
      <c r="AY17">
        <f t="shared" si="9"/>
        <v>8.2685177962570341E-2</v>
      </c>
    </row>
    <row r="18" spans="1:53" ht="15" x14ac:dyDescent="0.25">
      <c r="A18" s="7"/>
      <c r="B18" s="8" t="s">
        <v>14</v>
      </c>
      <c r="C18" s="7"/>
      <c r="D18" s="357">
        <f t="shared" ref="D18:H18" si="10">SUM(D12:D17)</f>
        <v>0</v>
      </c>
      <c r="E18" s="363">
        <f>SUM(E12:E17)</f>
        <v>73.624670000000009</v>
      </c>
      <c r="F18" s="357">
        <f t="shared" si="10"/>
        <v>0</v>
      </c>
      <c r="G18" s="357">
        <f t="shared" si="10"/>
        <v>0</v>
      </c>
      <c r="H18" s="357">
        <f t="shared" si="10"/>
        <v>0</v>
      </c>
      <c r="J18">
        <v>0</v>
      </c>
      <c r="K18" s="14">
        <v>48.403303287812918</v>
      </c>
      <c r="L18">
        <v>0</v>
      </c>
      <c r="M18">
        <v>0</v>
      </c>
      <c r="N18">
        <v>0</v>
      </c>
      <c r="O18" s="20"/>
      <c r="P18" s="20"/>
      <c r="Q18" s="438">
        <v>0.11471438596972999</v>
      </c>
      <c r="R18" s="197"/>
      <c r="S18" s="197"/>
      <c r="T18" s="197"/>
      <c r="U18" s="197"/>
      <c r="BA18" s="319">
        <f>(E18*10000*Q18*AU$10)</f>
        <v>110682.3244717458</v>
      </c>
    </row>
    <row r="19" spans="1:53" ht="15" x14ac:dyDescent="0.25">
      <c r="A19" s="5"/>
      <c r="B19" s="9" t="s">
        <v>15</v>
      </c>
      <c r="C19" s="5"/>
      <c r="E19" s="363">
        <f>SUM(E18)</f>
        <v>73.624670000000009</v>
      </c>
      <c r="H19" s="358">
        <f>SUM(D18:H18)</f>
        <v>73.624670000000009</v>
      </c>
      <c r="K19" s="14"/>
      <c r="N19">
        <v>0</v>
      </c>
      <c r="O19" s="20"/>
      <c r="P19" s="20"/>
      <c r="Q19" s="438"/>
      <c r="R19" s="197"/>
      <c r="S19" s="197"/>
      <c r="T19" s="197"/>
      <c r="U19" s="197"/>
    </row>
    <row r="20" spans="1:53" ht="15.75" x14ac:dyDescent="0.25">
      <c r="A20" s="1"/>
      <c r="B20" s="2"/>
      <c r="C20" s="1"/>
      <c r="E20" s="361"/>
      <c r="K20" s="14"/>
      <c r="O20" s="20"/>
      <c r="P20" s="20"/>
      <c r="Q20" s="439"/>
      <c r="R20" s="197"/>
      <c r="S20" s="197"/>
      <c r="T20" s="197"/>
      <c r="U20" s="197"/>
    </row>
    <row r="21" spans="1:53" ht="15" x14ac:dyDescent="0.25">
      <c r="A21" s="1">
        <v>2</v>
      </c>
      <c r="B21" s="2" t="s">
        <v>16</v>
      </c>
      <c r="C21" s="1" t="s">
        <v>8</v>
      </c>
      <c r="D21">
        <v>0</v>
      </c>
      <c r="E21" s="360">
        <v>16.384799999999998</v>
      </c>
      <c r="F21">
        <v>0</v>
      </c>
      <c r="G21">
        <v>0</v>
      </c>
      <c r="H21">
        <v>0</v>
      </c>
      <c r="J21">
        <v>0</v>
      </c>
      <c r="K21" s="14">
        <v>-39.910024524594213</v>
      </c>
      <c r="L21">
        <v>0</v>
      </c>
      <c r="M21">
        <v>0</v>
      </c>
      <c r="N21">
        <v>0</v>
      </c>
      <c r="O21" s="20"/>
      <c r="P21" s="20"/>
      <c r="Q21" s="438">
        <v>0.16942309928987936</v>
      </c>
      <c r="R21" s="197">
        <v>0.3</v>
      </c>
      <c r="S21" s="197">
        <v>2.29</v>
      </c>
      <c r="T21" s="197">
        <v>0.50078889239507718</v>
      </c>
      <c r="U21" s="197">
        <v>0.75268470790377973</v>
      </c>
      <c r="V21" s="20">
        <f t="shared" ref="V21:Y26" si="11">IF(K21&gt;0,((E21-K21)*$Q21*$R21*10)+(K21*$O$12*$Q21*$R21*10),(E21*$Q21*$R21*10))</f>
        <v>8.3278907917344451</v>
      </c>
      <c r="W21" s="20">
        <f t="shared" si="11"/>
        <v>0</v>
      </c>
      <c r="X21" s="20">
        <f t="shared" si="11"/>
        <v>0</v>
      </c>
      <c r="Y21" s="20">
        <f t="shared" si="11"/>
        <v>0</v>
      </c>
      <c r="Z21" s="20">
        <f t="shared" ref="Z21:AC26" si="12">V21*(EXP(1.01-0.34*LN(Z$8))*(1-$T21)+(1*$T21))</f>
        <v>4.929247720629605</v>
      </c>
      <c r="AA21" s="20">
        <f t="shared" si="12"/>
        <v>0</v>
      </c>
      <c r="AB21" s="20">
        <f t="shared" si="12"/>
        <v>0</v>
      </c>
      <c r="AC21" s="20">
        <f t="shared" si="12"/>
        <v>0</v>
      </c>
      <c r="AD21" s="20">
        <f t="shared" ref="AD21:AD26" si="13">SUM(Z21:AC21)</f>
        <v>4.929247720629605</v>
      </c>
      <c r="AE21" s="20">
        <f t="shared" ref="AE21:AH26" si="14">IF(K21&gt;0,((E21-K21)*$Q21*$S21*10)+(K21*$P$12*$Q21*$S21)*10,(E21*$Q21*$S21*10))</f>
        <v>63.569566376906266</v>
      </c>
      <c r="AF21" s="20">
        <f t="shared" si="14"/>
        <v>0</v>
      </c>
      <c r="AG21" s="20">
        <f t="shared" si="14"/>
        <v>0</v>
      </c>
      <c r="AH21" s="20">
        <f t="shared" si="14"/>
        <v>0</v>
      </c>
      <c r="AI21" s="20">
        <f t="shared" ref="AI21:AL26" si="15">AE21*(EXP(1.01-0.34*LN(AI$8))*(1-$U21)+(1*$U21))</f>
        <v>50.71709885018069</v>
      </c>
      <c r="AJ21" s="20">
        <f t="shared" si="15"/>
        <v>0</v>
      </c>
      <c r="AK21" s="20">
        <f t="shared" si="15"/>
        <v>0</v>
      </c>
      <c r="AL21" s="20">
        <f t="shared" si="15"/>
        <v>0</v>
      </c>
      <c r="AM21" s="20">
        <f t="shared" ref="AM21:AM26" si="16">SUM(AI21:AL21)</f>
        <v>50.71709885018069</v>
      </c>
      <c r="AO21">
        <f t="shared" ref="AO21:AR26" si="17">Z21*AO$10</f>
        <v>6.4597791378850973</v>
      </c>
      <c r="AP21">
        <f t="shared" si="17"/>
        <v>0</v>
      </c>
      <c r="AQ21">
        <f t="shared" si="17"/>
        <v>0</v>
      </c>
      <c r="AR21">
        <f t="shared" si="17"/>
        <v>0</v>
      </c>
      <c r="AS21">
        <f t="shared" ref="AS21:AS26" si="18">SUM(AO21:AR21)</f>
        <v>6.4597791378850973</v>
      </c>
      <c r="AU21">
        <f t="shared" ref="AU21:AX26" si="19">AI21*AU$10</f>
        <v>66.464758043161794</v>
      </c>
      <c r="AV21">
        <f t="shared" si="19"/>
        <v>0</v>
      </c>
      <c r="AW21">
        <f t="shared" si="19"/>
        <v>0</v>
      </c>
      <c r="AX21">
        <f t="shared" si="19"/>
        <v>0</v>
      </c>
      <c r="AY21">
        <f t="shared" ref="AY21:AY26" si="20">SUM(AU21:AX21)</f>
        <v>66.464758043161794</v>
      </c>
    </row>
    <row r="22" spans="1:53" ht="15" x14ac:dyDescent="0.25">
      <c r="A22" s="1"/>
      <c r="B22" s="2"/>
      <c r="C22" s="1" t="s">
        <v>9</v>
      </c>
      <c r="D22">
        <v>0</v>
      </c>
      <c r="E22" s="360">
        <v>2.0095999999999998</v>
      </c>
      <c r="F22">
        <v>0</v>
      </c>
      <c r="G22">
        <v>0</v>
      </c>
      <c r="H22">
        <v>0</v>
      </c>
      <c r="J22">
        <v>0</v>
      </c>
      <c r="K22" s="14">
        <v>-0.49104187160940027</v>
      </c>
      <c r="L22">
        <v>0</v>
      </c>
      <c r="M22">
        <v>0</v>
      </c>
      <c r="N22">
        <v>0</v>
      </c>
      <c r="O22" s="20"/>
      <c r="P22" s="20"/>
      <c r="Q22" s="438">
        <v>0.20384619857975877</v>
      </c>
      <c r="R22" s="197">
        <v>0.3</v>
      </c>
      <c r="S22" s="197">
        <v>2.29</v>
      </c>
      <c r="T22" s="197">
        <v>0.50078889239507718</v>
      </c>
      <c r="U22" s="197">
        <v>0.75268470790377973</v>
      </c>
      <c r="V22" s="20">
        <f t="shared" si="11"/>
        <v>1.2289479619976496</v>
      </c>
      <c r="W22" s="20">
        <f t="shared" si="11"/>
        <v>0</v>
      </c>
      <c r="X22" s="20">
        <f t="shared" si="11"/>
        <v>0</v>
      </c>
      <c r="Y22" s="20">
        <f t="shared" si="11"/>
        <v>0</v>
      </c>
      <c r="Z22" s="20">
        <f t="shared" si="12"/>
        <v>0.72740974779133249</v>
      </c>
      <c r="AA22" s="20">
        <f t="shared" si="12"/>
        <v>0</v>
      </c>
      <c r="AB22" s="20">
        <f t="shared" si="12"/>
        <v>0</v>
      </c>
      <c r="AC22" s="20">
        <f t="shared" si="12"/>
        <v>0</v>
      </c>
      <c r="AD22" s="20">
        <f t="shared" si="13"/>
        <v>0.72740974779133249</v>
      </c>
      <c r="AE22" s="20">
        <f t="shared" si="14"/>
        <v>9.3809694432487252</v>
      </c>
      <c r="AF22" s="20">
        <f t="shared" si="14"/>
        <v>0</v>
      </c>
      <c r="AG22" s="20">
        <f t="shared" si="14"/>
        <v>0</v>
      </c>
      <c r="AH22" s="20">
        <f t="shared" si="14"/>
        <v>0</v>
      </c>
      <c r="AI22" s="20">
        <f t="shared" si="15"/>
        <v>7.4843290851298176</v>
      </c>
      <c r="AJ22" s="20">
        <f t="shared" si="15"/>
        <v>0</v>
      </c>
      <c r="AK22" s="20">
        <f t="shared" si="15"/>
        <v>0</v>
      </c>
      <c r="AL22" s="20">
        <f t="shared" si="15"/>
        <v>0</v>
      </c>
      <c r="AM22" s="20">
        <f t="shared" si="16"/>
        <v>7.4843290851298176</v>
      </c>
      <c r="AO22">
        <f t="shared" si="17"/>
        <v>0.95327047448054125</v>
      </c>
      <c r="AP22">
        <f t="shared" si="17"/>
        <v>0</v>
      </c>
      <c r="AQ22">
        <f t="shared" si="17"/>
        <v>0</v>
      </c>
      <c r="AR22">
        <f t="shared" si="17"/>
        <v>0</v>
      </c>
      <c r="AS22">
        <f t="shared" si="18"/>
        <v>0.95327047448054125</v>
      </c>
      <c r="AU22">
        <f t="shared" si="19"/>
        <v>9.8082132660626264</v>
      </c>
      <c r="AV22">
        <f t="shared" si="19"/>
        <v>0</v>
      </c>
      <c r="AW22">
        <f t="shared" si="19"/>
        <v>0</v>
      </c>
      <c r="AX22">
        <f t="shared" si="19"/>
        <v>0</v>
      </c>
      <c r="AY22">
        <f t="shared" si="20"/>
        <v>9.8082132660626264</v>
      </c>
    </row>
    <row r="23" spans="1:53" ht="15" x14ac:dyDescent="0.25">
      <c r="A23" s="1"/>
      <c r="B23" s="2"/>
      <c r="C23" s="1" t="s">
        <v>10</v>
      </c>
      <c r="D23">
        <v>0</v>
      </c>
      <c r="E23" s="360">
        <v>0</v>
      </c>
      <c r="F23">
        <v>0</v>
      </c>
      <c r="G23">
        <v>0</v>
      </c>
      <c r="H23">
        <v>0</v>
      </c>
      <c r="J23">
        <v>0</v>
      </c>
      <c r="K23" s="14">
        <v>0</v>
      </c>
      <c r="L23">
        <v>0</v>
      </c>
      <c r="M23">
        <v>0</v>
      </c>
      <c r="N23">
        <v>0</v>
      </c>
      <c r="O23" s="20"/>
      <c r="P23" s="20"/>
      <c r="Q23" s="438"/>
      <c r="R23" s="197">
        <v>0.3</v>
      </c>
      <c r="S23" s="197">
        <v>2.29</v>
      </c>
      <c r="T23" s="197">
        <v>0.50078889239507718</v>
      </c>
      <c r="U23" s="197">
        <v>0.75268470790377973</v>
      </c>
      <c r="V23" s="20">
        <f t="shared" si="11"/>
        <v>0</v>
      </c>
      <c r="W23" s="20">
        <f t="shared" si="11"/>
        <v>0</v>
      </c>
      <c r="X23" s="20">
        <f t="shared" si="11"/>
        <v>0</v>
      </c>
      <c r="Y23" s="20">
        <f t="shared" si="11"/>
        <v>0</v>
      </c>
      <c r="Z23" s="20">
        <f t="shared" si="12"/>
        <v>0</v>
      </c>
      <c r="AA23" s="20">
        <f t="shared" si="12"/>
        <v>0</v>
      </c>
      <c r="AB23" s="20">
        <f t="shared" si="12"/>
        <v>0</v>
      </c>
      <c r="AC23" s="20">
        <f t="shared" si="12"/>
        <v>0</v>
      </c>
      <c r="AD23" s="20">
        <f t="shared" si="13"/>
        <v>0</v>
      </c>
      <c r="AE23" s="20">
        <f t="shared" si="14"/>
        <v>0</v>
      </c>
      <c r="AF23" s="20">
        <f t="shared" si="14"/>
        <v>0</v>
      </c>
      <c r="AG23" s="20">
        <f t="shared" si="14"/>
        <v>0</v>
      </c>
      <c r="AH23" s="20">
        <f t="shared" si="14"/>
        <v>0</v>
      </c>
      <c r="AI23" s="20">
        <f t="shared" si="15"/>
        <v>0</v>
      </c>
      <c r="AJ23" s="20">
        <f t="shared" si="15"/>
        <v>0</v>
      </c>
      <c r="AK23" s="20">
        <f t="shared" si="15"/>
        <v>0</v>
      </c>
      <c r="AL23" s="20">
        <f t="shared" si="15"/>
        <v>0</v>
      </c>
      <c r="AM23" s="20">
        <f t="shared" si="16"/>
        <v>0</v>
      </c>
      <c r="AO23">
        <f t="shared" si="17"/>
        <v>0</v>
      </c>
      <c r="AP23">
        <f t="shared" si="17"/>
        <v>0</v>
      </c>
      <c r="AQ23">
        <f t="shared" si="17"/>
        <v>0</v>
      </c>
      <c r="AR23">
        <f t="shared" si="17"/>
        <v>0</v>
      </c>
      <c r="AS23">
        <f t="shared" si="18"/>
        <v>0</v>
      </c>
      <c r="AU23">
        <f t="shared" si="19"/>
        <v>0</v>
      </c>
      <c r="AV23">
        <f t="shared" si="19"/>
        <v>0</v>
      </c>
      <c r="AW23">
        <f t="shared" si="19"/>
        <v>0</v>
      </c>
      <c r="AX23">
        <f t="shared" si="19"/>
        <v>0</v>
      </c>
      <c r="AY23">
        <f t="shared" si="20"/>
        <v>0</v>
      </c>
    </row>
    <row r="24" spans="1:53" ht="15" x14ac:dyDescent="0.25">
      <c r="A24" s="1"/>
      <c r="B24" s="2"/>
      <c r="C24" s="1" t="s">
        <v>11</v>
      </c>
      <c r="D24">
        <v>0</v>
      </c>
      <c r="E24" s="360">
        <v>0.63349999999999995</v>
      </c>
      <c r="F24">
        <v>0</v>
      </c>
      <c r="G24">
        <v>0</v>
      </c>
      <c r="H24">
        <v>0</v>
      </c>
      <c r="J24">
        <v>0</v>
      </c>
      <c r="K24" s="14">
        <v>-9.2556332118376989</v>
      </c>
      <c r="L24">
        <v>0</v>
      </c>
      <c r="M24">
        <v>0</v>
      </c>
      <c r="N24">
        <v>0</v>
      </c>
      <c r="O24" s="20"/>
      <c r="P24" s="20"/>
      <c r="Q24" s="438">
        <v>0.27269239715951754</v>
      </c>
      <c r="R24" s="197">
        <v>0.3</v>
      </c>
      <c r="S24" s="197">
        <v>2.29</v>
      </c>
      <c r="T24" s="197">
        <v>0.50078889239507718</v>
      </c>
      <c r="U24" s="197">
        <v>0.75268470790377973</v>
      </c>
      <c r="V24" s="20">
        <f t="shared" si="11"/>
        <v>0.51825190080166306</v>
      </c>
      <c r="W24" s="20">
        <f t="shared" si="11"/>
        <v>0</v>
      </c>
      <c r="X24" s="20">
        <f t="shared" si="11"/>
        <v>0</v>
      </c>
      <c r="Y24" s="20">
        <f t="shared" si="11"/>
        <v>0</v>
      </c>
      <c r="Z24" s="20">
        <f t="shared" si="12"/>
        <v>0.30675138094678528</v>
      </c>
      <c r="AA24" s="20">
        <f t="shared" si="12"/>
        <v>0</v>
      </c>
      <c r="AB24" s="20">
        <f t="shared" si="12"/>
        <v>0</v>
      </c>
      <c r="AC24" s="20">
        <f t="shared" si="12"/>
        <v>0</v>
      </c>
      <c r="AD24" s="20">
        <f t="shared" si="13"/>
        <v>0.30675138094678528</v>
      </c>
      <c r="AE24" s="20">
        <f t="shared" si="14"/>
        <v>3.9559895094526949</v>
      </c>
      <c r="AF24" s="20">
        <f t="shared" si="14"/>
        <v>0</v>
      </c>
      <c r="AG24" s="20">
        <f t="shared" si="14"/>
        <v>0</v>
      </c>
      <c r="AH24" s="20">
        <f t="shared" si="14"/>
        <v>0</v>
      </c>
      <c r="AI24" s="20">
        <f t="shared" si="15"/>
        <v>3.156169255766355</v>
      </c>
      <c r="AJ24" s="20">
        <f t="shared" si="15"/>
        <v>0</v>
      </c>
      <c r="AK24" s="20">
        <f t="shared" si="15"/>
        <v>0</v>
      </c>
      <c r="AL24" s="20">
        <f t="shared" si="15"/>
        <v>0</v>
      </c>
      <c r="AM24" s="20">
        <f t="shared" si="16"/>
        <v>3.156169255766355</v>
      </c>
      <c r="AO24">
        <f t="shared" si="17"/>
        <v>0.40199768473076208</v>
      </c>
      <c r="AP24">
        <f t="shared" si="17"/>
        <v>0</v>
      </c>
      <c r="AQ24">
        <f t="shared" si="17"/>
        <v>0</v>
      </c>
      <c r="AR24">
        <f t="shared" si="17"/>
        <v>0</v>
      </c>
      <c r="AS24">
        <f t="shared" si="18"/>
        <v>0.40199768473076208</v>
      </c>
      <c r="AU24">
        <f t="shared" si="19"/>
        <v>4.136159809681808</v>
      </c>
      <c r="AV24">
        <f t="shared" si="19"/>
        <v>0</v>
      </c>
      <c r="AW24">
        <f t="shared" si="19"/>
        <v>0</v>
      </c>
      <c r="AX24">
        <f t="shared" si="19"/>
        <v>0</v>
      </c>
      <c r="AY24">
        <f t="shared" si="20"/>
        <v>4.136159809681808</v>
      </c>
    </row>
    <row r="25" spans="1:53" ht="15" x14ac:dyDescent="0.25">
      <c r="A25" s="1"/>
      <c r="B25" s="2"/>
      <c r="C25" s="1" t="s">
        <v>12</v>
      </c>
      <c r="D25">
        <v>0</v>
      </c>
      <c r="E25" s="360">
        <v>0</v>
      </c>
      <c r="F25">
        <v>0</v>
      </c>
      <c r="G25">
        <v>0</v>
      </c>
      <c r="H25">
        <v>0</v>
      </c>
      <c r="J25">
        <v>0</v>
      </c>
      <c r="K25" s="14">
        <v>0</v>
      </c>
      <c r="L25">
        <v>0</v>
      </c>
      <c r="M25">
        <v>0</v>
      </c>
      <c r="N25">
        <v>0</v>
      </c>
      <c r="O25" s="20"/>
      <c r="P25" s="20"/>
      <c r="Q25" s="438"/>
      <c r="R25" s="197">
        <v>0.3</v>
      </c>
      <c r="S25" s="197">
        <v>2.29</v>
      </c>
      <c r="T25" s="197">
        <v>0.50078889239507718</v>
      </c>
      <c r="U25" s="197">
        <v>0.75268470790377973</v>
      </c>
      <c r="V25" s="20">
        <f t="shared" si="11"/>
        <v>0</v>
      </c>
      <c r="W25" s="20">
        <f t="shared" si="11"/>
        <v>0</v>
      </c>
      <c r="X25" s="20">
        <f t="shared" si="11"/>
        <v>0</v>
      </c>
      <c r="Y25" s="20">
        <f t="shared" si="11"/>
        <v>0</v>
      </c>
      <c r="Z25" s="20">
        <f t="shared" si="12"/>
        <v>0</v>
      </c>
      <c r="AA25" s="20">
        <f t="shared" si="12"/>
        <v>0</v>
      </c>
      <c r="AB25" s="20">
        <f t="shared" si="12"/>
        <v>0</v>
      </c>
      <c r="AC25" s="20">
        <f t="shared" si="12"/>
        <v>0</v>
      </c>
      <c r="AD25" s="20">
        <f t="shared" si="13"/>
        <v>0</v>
      </c>
      <c r="AE25" s="20">
        <f t="shared" si="14"/>
        <v>0</v>
      </c>
      <c r="AF25" s="20">
        <f t="shared" si="14"/>
        <v>0</v>
      </c>
      <c r="AG25" s="20">
        <f t="shared" si="14"/>
        <v>0</v>
      </c>
      <c r="AH25" s="20">
        <f t="shared" si="14"/>
        <v>0</v>
      </c>
      <c r="AI25" s="20">
        <f t="shared" si="15"/>
        <v>0</v>
      </c>
      <c r="AJ25" s="20">
        <f t="shared" si="15"/>
        <v>0</v>
      </c>
      <c r="AK25" s="20">
        <f t="shared" si="15"/>
        <v>0</v>
      </c>
      <c r="AL25" s="20">
        <f t="shared" si="15"/>
        <v>0</v>
      </c>
      <c r="AM25" s="20">
        <f t="shared" si="16"/>
        <v>0</v>
      </c>
      <c r="AO25">
        <f t="shared" si="17"/>
        <v>0</v>
      </c>
      <c r="AP25">
        <f t="shared" si="17"/>
        <v>0</v>
      </c>
      <c r="AQ25">
        <f t="shared" si="17"/>
        <v>0</v>
      </c>
      <c r="AR25">
        <f t="shared" si="17"/>
        <v>0</v>
      </c>
      <c r="AS25">
        <f t="shared" si="18"/>
        <v>0</v>
      </c>
      <c r="AU25">
        <f t="shared" si="19"/>
        <v>0</v>
      </c>
      <c r="AV25">
        <f t="shared" si="19"/>
        <v>0</v>
      </c>
      <c r="AW25">
        <f t="shared" si="19"/>
        <v>0</v>
      </c>
      <c r="AX25">
        <f t="shared" si="19"/>
        <v>0</v>
      </c>
      <c r="AY25">
        <f t="shared" si="20"/>
        <v>0</v>
      </c>
    </row>
    <row r="26" spans="1:53" ht="15" x14ac:dyDescent="0.25">
      <c r="A26" s="1"/>
      <c r="B26" s="2"/>
      <c r="C26" s="1" t="s">
        <v>13</v>
      </c>
      <c r="D26">
        <v>0</v>
      </c>
      <c r="E26" s="360">
        <v>3.5499999999999997E-2</v>
      </c>
      <c r="F26">
        <v>0</v>
      </c>
      <c r="G26">
        <v>0</v>
      </c>
      <c r="H26">
        <v>0</v>
      </c>
      <c r="J26">
        <v>0</v>
      </c>
      <c r="K26" s="14">
        <v>-1.4578033836145998</v>
      </c>
      <c r="L26">
        <v>0</v>
      </c>
      <c r="M26">
        <v>0</v>
      </c>
      <c r="N26">
        <v>0</v>
      </c>
      <c r="O26" s="20"/>
      <c r="P26" s="20"/>
      <c r="Q26" s="438">
        <v>0.27269239715951754</v>
      </c>
      <c r="R26" s="197">
        <v>0.3</v>
      </c>
      <c r="S26" s="197">
        <v>2.29</v>
      </c>
      <c r="T26" s="197">
        <v>0.50078889239507718</v>
      </c>
      <c r="U26" s="197">
        <v>0.75268470790377973</v>
      </c>
      <c r="V26" s="20">
        <f t="shared" si="11"/>
        <v>2.9041740297488617E-2</v>
      </c>
      <c r="W26" s="20">
        <f t="shared" si="11"/>
        <v>0</v>
      </c>
      <c r="X26" s="20">
        <f t="shared" si="11"/>
        <v>0</v>
      </c>
      <c r="Y26" s="20">
        <f t="shared" si="11"/>
        <v>0</v>
      </c>
      <c r="Z26" s="20">
        <f t="shared" si="12"/>
        <v>1.7189698537665159E-2</v>
      </c>
      <c r="AA26" s="20">
        <f t="shared" si="12"/>
        <v>0</v>
      </c>
      <c r="AB26" s="20">
        <f t="shared" si="12"/>
        <v>0</v>
      </c>
      <c r="AC26" s="20">
        <f t="shared" si="12"/>
        <v>0</v>
      </c>
      <c r="AD26" s="20">
        <f t="shared" si="13"/>
        <v>1.7189698537665159E-2</v>
      </c>
      <c r="AE26" s="20">
        <f t="shared" si="14"/>
        <v>0.22168528427082976</v>
      </c>
      <c r="AF26" s="20">
        <f t="shared" si="14"/>
        <v>0</v>
      </c>
      <c r="AG26" s="20">
        <f t="shared" si="14"/>
        <v>0</v>
      </c>
      <c r="AH26" s="20">
        <f t="shared" si="14"/>
        <v>0</v>
      </c>
      <c r="AI26" s="20">
        <f t="shared" si="15"/>
        <v>0.17686504906030873</v>
      </c>
      <c r="AJ26" s="20">
        <f t="shared" si="15"/>
        <v>0</v>
      </c>
      <c r="AK26" s="20">
        <f t="shared" si="15"/>
        <v>0</v>
      </c>
      <c r="AL26" s="20">
        <f t="shared" si="15"/>
        <v>0</v>
      </c>
      <c r="AM26" s="20">
        <f t="shared" si="16"/>
        <v>0.17686504906030873</v>
      </c>
      <c r="AO26">
        <f t="shared" si="17"/>
        <v>2.2527099933610191E-2</v>
      </c>
      <c r="AP26">
        <f t="shared" si="17"/>
        <v>0</v>
      </c>
      <c r="AQ26">
        <f t="shared" si="17"/>
        <v>0</v>
      </c>
      <c r="AR26">
        <f t="shared" si="17"/>
        <v>0</v>
      </c>
      <c r="AS26">
        <f t="shared" si="18"/>
        <v>2.2527099933610191E-2</v>
      </c>
      <c r="AU26">
        <f t="shared" si="19"/>
        <v>0.23178164679353458</v>
      </c>
      <c r="AV26">
        <f t="shared" si="19"/>
        <v>0</v>
      </c>
      <c r="AW26">
        <f t="shared" si="19"/>
        <v>0</v>
      </c>
      <c r="AX26">
        <f t="shared" si="19"/>
        <v>0</v>
      </c>
      <c r="AY26">
        <f t="shared" si="20"/>
        <v>0.23178164679353458</v>
      </c>
    </row>
    <row r="27" spans="1:53" ht="15" x14ac:dyDescent="0.25">
      <c r="A27" s="7"/>
      <c r="B27" s="8" t="s">
        <v>14</v>
      </c>
      <c r="C27" s="7"/>
      <c r="D27" s="357">
        <f t="shared" ref="D27:H27" si="21">SUM(D21:D26)</f>
        <v>0</v>
      </c>
      <c r="E27" s="363">
        <f>SUM(E21:E26)</f>
        <v>19.063399999999998</v>
      </c>
      <c r="F27" s="357">
        <f t="shared" si="21"/>
        <v>0</v>
      </c>
      <c r="G27" s="357">
        <f t="shared" si="21"/>
        <v>0</v>
      </c>
      <c r="H27" s="357">
        <f t="shared" si="21"/>
        <v>0</v>
      </c>
      <c r="J27">
        <v>0</v>
      </c>
      <c r="K27" s="14">
        <v>-51.114502991655911</v>
      </c>
      <c r="L27">
        <v>0</v>
      </c>
      <c r="M27">
        <v>0</v>
      </c>
      <c r="N27">
        <v>0</v>
      </c>
      <c r="O27" s="20"/>
      <c r="P27" s="20"/>
      <c r="Q27" s="438">
        <v>0.17667594089251742</v>
      </c>
      <c r="R27" s="197"/>
      <c r="S27" s="197"/>
      <c r="T27" s="197"/>
      <c r="U27" s="197"/>
      <c r="BA27" s="319">
        <f>(E27*10000*Q27*AU$10)</f>
        <v>44138.218344754503</v>
      </c>
    </row>
    <row r="28" spans="1:53" ht="15" x14ac:dyDescent="0.25">
      <c r="A28" s="5"/>
      <c r="B28" s="9" t="s">
        <v>15</v>
      </c>
      <c r="C28" s="5"/>
      <c r="E28" s="363">
        <f>SUM(E27)</f>
        <v>19.063399999999998</v>
      </c>
      <c r="H28" s="358">
        <f>SUM(D27:H27)</f>
        <v>19.063399999999998</v>
      </c>
      <c r="K28" s="14"/>
      <c r="N28">
        <v>0</v>
      </c>
      <c r="O28" s="20"/>
      <c r="P28" s="20"/>
      <c r="Q28" s="438"/>
      <c r="R28" s="197"/>
      <c r="S28" s="197"/>
      <c r="T28" s="197"/>
      <c r="U28" s="197"/>
    </row>
    <row r="29" spans="1:53" ht="15.75" x14ac:dyDescent="0.25">
      <c r="A29" s="1"/>
      <c r="B29" s="2"/>
      <c r="C29" s="1"/>
      <c r="E29" s="361"/>
      <c r="K29" s="14"/>
      <c r="O29" s="20"/>
      <c r="P29" s="20"/>
      <c r="Q29" s="439"/>
      <c r="R29" s="197"/>
      <c r="S29" s="197"/>
      <c r="T29" s="197"/>
      <c r="U29" s="197"/>
    </row>
    <row r="30" spans="1:53" ht="15" x14ac:dyDescent="0.25">
      <c r="A30" s="1">
        <v>3</v>
      </c>
      <c r="B30" s="2" t="s">
        <v>17</v>
      </c>
      <c r="C30" s="1" t="s">
        <v>8</v>
      </c>
      <c r="D30">
        <v>0</v>
      </c>
      <c r="E30" s="360">
        <v>23.123049999999999</v>
      </c>
      <c r="F30">
        <v>0</v>
      </c>
      <c r="G30">
        <v>0</v>
      </c>
      <c r="H30">
        <v>0</v>
      </c>
      <c r="J30">
        <v>0</v>
      </c>
      <c r="K30" s="14">
        <v>3.4634967865729998</v>
      </c>
      <c r="L30">
        <v>0</v>
      </c>
      <c r="M30">
        <v>0</v>
      </c>
      <c r="N30">
        <v>0</v>
      </c>
      <c r="O30" s="20"/>
      <c r="P30" s="20"/>
      <c r="Q30" s="438">
        <v>0.25537332290283477</v>
      </c>
      <c r="R30" s="197">
        <v>0.49</v>
      </c>
      <c r="S30" s="197">
        <v>2.42</v>
      </c>
      <c r="T30" s="197">
        <v>0.50078889239507718</v>
      </c>
      <c r="U30" s="197">
        <v>0.75268470790377973</v>
      </c>
      <c r="V30" s="20">
        <f t="shared" ref="V30:Y35" si="22">IF(K30&gt;0,((E30-K30)*$Q30*$R30*10)+(K30*$O$12*$Q30*$R30*10),(E30*$Q30*$R30*10))</f>
        <v>26.194402762347487</v>
      </c>
      <c r="W30" s="20">
        <f t="shared" si="22"/>
        <v>0</v>
      </c>
      <c r="X30" s="20">
        <f t="shared" si="22"/>
        <v>0</v>
      </c>
      <c r="Y30" s="20">
        <f t="shared" si="22"/>
        <v>0</v>
      </c>
      <c r="Z30" s="20">
        <f t="shared" ref="Z30:AC35" si="23">V30*(EXP(1.01-0.34*LN(Z$8))*(1-$T30)+(1*$T30))</f>
        <v>15.504369994585833</v>
      </c>
      <c r="AA30" s="20">
        <f t="shared" si="23"/>
        <v>0</v>
      </c>
      <c r="AB30" s="20">
        <f t="shared" si="23"/>
        <v>0</v>
      </c>
      <c r="AC30" s="20">
        <f t="shared" si="23"/>
        <v>0</v>
      </c>
      <c r="AD30" s="20">
        <f t="shared" ref="AD30:AD35" si="24">SUM(Z30:AC30)</f>
        <v>15.504369994585833</v>
      </c>
      <c r="AE30" s="20">
        <f t="shared" ref="AE30:AH35" si="25">IF(K30&gt;0,((E30-K30)*$Q30*$S30*10)+(K30*$P$12*$Q30*$S30)*10,(E30*$Q30*$S30*10))</f>
        <v>133.89272474300407</v>
      </c>
      <c r="AF30" s="20">
        <f t="shared" si="25"/>
        <v>0</v>
      </c>
      <c r="AG30" s="20">
        <f t="shared" si="25"/>
        <v>0</v>
      </c>
      <c r="AH30" s="20">
        <f t="shared" si="25"/>
        <v>0</v>
      </c>
      <c r="AI30" s="20">
        <f t="shared" ref="AI30:AL35" si="26">AE30*(EXP(1.01-0.34*LN(AI$8))*(1-$U30)+(1*$U30))</f>
        <v>106.82235137249415</v>
      </c>
      <c r="AJ30" s="20">
        <f t="shared" si="26"/>
        <v>0</v>
      </c>
      <c r="AK30" s="20">
        <f t="shared" si="26"/>
        <v>0</v>
      </c>
      <c r="AL30" s="20">
        <f t="shared" si="26"/>
        <v>0</v>
      </c>
      <c r="AM30" s="20">
        <f t="shared" ref="AM30:AM35" si="27">SUM(AI30:AL30)</f>
        <v>106.82235137249415</v>
      </c>
      <c r="AO30">
        <f t="shared" ref="AO30:AR35" si="28">Z30*AO$10</f>
        <v>20.318476877904732</v>
      </c>
      <c r="AP30">
        <f t="shared" si="28"/>
        <v>0</v>
      </c>
      <c r="AQ30">
        <f t="shared" si="28"/>
        <v>0</v>
      </c>
      <c r="AR30">
        <f t="shared" si="28"/>
        <v>0</v>
      </c>
      <c r="AS30">
        <f t="shared" ref="AS30:AS35" si="29">SUM(AO30:AR30)</f>
        <v>20.318476877904732</v>
      </c>
      <c r="AU30">
        <f t="shared" ref="AU30:AX35" si="30">AI30*AU$10</f>
        <v>139.99069147365358</v>
      </c>
      <c r="AV30">
        <f t="shared" si="30"/>
        <v>0</v>
      </c>
      <c r="AW30">
        <f t="shared" si="30"/>
        <v>0</v>
      </c>
      <c r="AX30">
        <f t="shared" si="30"/>
        <v>0</v>
      </c>
      <c r="AY30">
        <f t="shared" ref="AY30:AY35" si="31">SUM(AU30:AX30)</f>
        <v>139.99069147365358</v>
      </c>
    </row>
    <row r="31" spans="1:53" ht="15" x14ac:dyDescent="0.25">
      <c r="A31" s="1"/>
      <c r="B31" s="2"/>
      <c r="C31" s="1" t="s">
        <v>9</v>
      </c>
      <c r="D31">
        <v>0</v>
      </c>
      <c r="E31" s="360">
        <v>3.0118</v>
      </c>
      <c r="F31">
        <v>0</v>
      </c>
      <c r="G31">
        <v>0</v>
      </c>
      <c r="H31">
        <v>0</v>
      </c>
      <c r="J31">
        <v>0</v>
      </c>
      <c r="K31" s="14">
        <v>3.0118</v>
      </c>
      <c r="L31">
        <v>0</v>
      </c>
      <c r="M31">
        <v>0</v>
      </c>
      <c r="N31">
        <v>0</v>
      </c>
      <c r="O31" s="20"/>
      <c r="P31" s="20"/>
      <c r="Q31" s="438">
        <v>0.28574664580566955</v>
      </c>
      <c r="R31" s="197">
        <v>0.49</v>
      </c>
      <c r="S31" s="197">
        <v>2.42</v>
      </c>
      <c r="T31" s="197">
        <v>0.50078889239507718</v>
      </c>
      <c r="U31" s="197">
        <v>0.75268470790377973</v>
      </c>
      <c r="V31" s="20">
        <f t="shared" si="22"/>
        <v>1.5508094789146134</v>
      </c>
      <c r="W31" s="20">
        <f t="shared" si="22"/>
        <v>0</v>
      </c>
      <c r="X31" s="20">
        <f t="shared" si="22"/>
        <v>0</v>
      </c>
      <c r="Y31" s="20">
        <f t="shared" si="22"/>
        <v>0</v>
      </c>
      <c r="Z31" s="20">
        <f t="shared" si="23"/>
        <v>0.91791838776965584</v>
      </c>
      <c r="AA31" s="20">
        <f t="shared" si="23"/>
        <v>0</v>
      </c>
      <c r="AB31" s="20">
        <f t="shared" si="23"/>
        <v>0</v>
      </c>
      <c r="AC31" s="20">
        <f t="shared" si="23"/>
        <v>0</v>
      </c>
      <c r="AD31" s="20">
        <f t="shared" si="24"/>
        <v>0.91791838776965584</v>
      </c>
      <c r="AE31" s="20">
        <f t="shared" si="25"/>
        <v>12.061431300113393</v>
      </c>
      <c r="AF31" s="20">
        <f t="shared" si="25"/>
        <v>0</v>
      </c>
      <c r="AG31" s="20">
        <f t="shared" si="25"/>
        <v>0</v>
      </c>
      <c r="AH31" s="20">
        <f t="shared" si="25"/>
        <v>0</v>
      </c>
      <c r="AI31" s="20">
        <f t="shared" si="26"/>
        <v>9.6228563192581724</v>
      </c>
      <c r="AJ31" s="20">
        <f t="shared" si="26"/>
        <v>0</v>
      </c>
      <c r="AK31" s="20">
        <f t="shared" si="26"/>
        <v>0</v>
      </c>
      <c r="AL31" s="20">
        <f t="shared" si="26"/>
        <v>0</v>
      </c>
      <c r="AM31" s="20">
        <f t="shared" si="27"/>
        <v>9.6228563192581724</v>
      </c>
      <c r="AO31">
        <f t="shared" si="28"/>
        <v>1.2029320471721341</v>
      </c>
      <c r="AP31">
        <f t="shared" si="28"/>
        <v>0</v>
      </c>
      <c r="AQ31">
        <f t="shared" si="28"/>
        <v>0</v>
      </c>
      <c r="AR31">
        <f t="shared" si="28"/>
        <v>0</v>
      </c>
      <c r="AS31">
        <f t="shared" si="29"/>
        <v>1.2029320471721341</v>
      </c>
      <c r="AU31">
        <f t="shared" si="30"/>
        <v>12.610753206387836</v>
      </c>
      <c r="AV31">
        <f t="shared" si="30"/>
        <v>0</v>
      </c>
      <c r="AW31">
        <f t="shared" si="30"/>
        <v>0</v>
      </c>
      <c r="AX31">
        <f t="shared" si="30"/>
        <v>0</v>
      </c>
      <c r="AY31">
        <f t="shared" si="31"/>
        <v>12.610753206387836</v>
      </c>
    </row>
    <row r="32" spans="1:53" ht="15" x14ac:dyDescent="0.25">
      <c r="A32" s="1"/>
      <c r="B32" s="2"/>
      <c r="C32" s="1" t="s">
        <v>10</v>
      </c>
      <c r="D32">
        <v>0</v>
      </c>
      <c r="E32" s="360">
        <v>1.19706</v>
      </c>
      <c r="F32">
        <v>0</v>
      </c>
      <c r="G32">
        <v>0</v>
      </c>
      <c r="H32">
        <v>0</v>
      </c>
      <c r="J32">
        <v>0</v>
      </c>
      <c r="K32" s="14">
        <v>2.7851047800000472E-3</v>
      </c>
      <c r="L32">
        <v>0</v>
      </c>
      <c r="M32">
        <v>0</v>
      </c>
      <c r="N32">
        <v>0</v>
      </c>
      <c r="O32" s="20"/>
      <c r="P32" s="20"/>
      <c r="Q32" s="438">
        <v>0.31611996870850428</v>
      </c>
      <c r="R32" s="197">
        <v>0.49</v>
      </c>
      <c r="S32" s="197">
        <v>2.42</v>
      </c>
      <c r="T32" s="197">
        <v>0.50078889239507718</v>
      </c>
      <c r="U32" s="197">
        <v>0.75268470790377973</v>
      </c>
      <c r="V32" s="20">
        <f t="shared" si="22"/>
        <v>1.8515038149724661</v>
      </c>
      <c r="W32" s="20">
        <f t="shared" si="22"/>
        <v>0</v>
      </c>
      <c r="X32" s="20">
        <f t="shared" si="22"/>
        <v>0</v>
      </c>
      <c r="Y32" s="20">
        <f t="shared" si="22"/>
        <v>0</v>
      </c>
      <c r="Z32" s="20">
        <f t="shared" si="23"/>
        <v>1.095898251781622</v>
      </c>
      <c r="AA32" s="20">
        <f t="shared" si="23"/>
        <v>0</v>
      </c>
      <c r="AB32" s="20">
        <f t="shared" si="23"/>
        <v>0</v>
      </c>
      <c r="AC32" s="20">
        <f t="shared" si="23"/>
        <v>0</v>
      </c>
      <c r="AD32" s="20">
        <f t="shared" si="24"/>
        <v>1.095898251781622</v>
      </c>
      <c r="AE32" s="20">
        <f t="shared" si="25"/>
        <v>9.1486653930427781</v>
      </c>
      <c r="AF32" s="20">
        <f t="shared" si="25"/>
        <v>0</v>
      </c>
      <c r="AG32" s="20">
        <f t="shared" si="25"/>
        <v>0</v>
      </c>
      <c r="AH32" s="20">
        <f t="shared" si="25"/>
        <v>0</v>
      </c>
      <c r="AI32" s="20">
        <f t="shared" si="26"/>
        <v>7.298992167653652</v>
      </c>
      <c r="AJ32" s="20">
        <f t="shared" si="26"/>
        <v>0</v>
      </c>
      <c r="AK32" s="20">
        <f t="shared" si="26"/>
        <v>0</v>
      </c>
      <c r="AL32" s="20">
        <f t="shared" si="26"/>
        <v>0</v>
      </c>
      <c r="AM32" s="20">
        <f t="shared" si="27"/>
        <v>7.298992167653652</v>
      </c>
      <c r="AO32">
        <f t="shared" si="28"/>
        <v>1.4361746589598157</v>
      </c>
      <c r="AP32">
        <f t="shared" si="28"/>
        <v>0</v>
      </c>
      <c r="AQ32">
        <f t="shared" si="28"/>
        <v>0</v>
      </c>
      <c r="AR32">
        <f t="shared" si="28"/>
        <v>0</v>
      </c>
      <c r="AS32">
        <f t="shared" si="29"/>
        <v>1.4361746589598157</v>
      </c>
      <c r="AU32">
        <f t="shared" si="30"/>
        <v>9.5653292357101112</v>
      </c>
      <c r="AV32">
        <f t="shared" si="30"/>
        <v>0</v>
      </c>
      <c r="AW32">
        <f t="shared" si="30"/>
        <v>0</v>
      </c>
      <c r="AX32">
        <f t="shared" si="30"/>
        <v>0</v>
      </c>
      <c r="AY32">
        <f t="shared" si="31"/>
        <v>9.5653292357101112</v>
      </c>
    </row>
    <row r="33" spans="1:53" ht="15" x14ac:dyDescent="0.25">
      <c r="A33" s="1"/>
      <c r="B33" s="2"/>
      <c r="C33" s="1" t="s">
        <v>11</v>
      </c>
      <c r="D33">
        <v>0</v>
      </c>
      <c r="E33" s="360">
        <v>6.4028799999999997</v>
      </c>
      <c r="F33">
        <v>0</v>
      </c>
      <c r="G33">
        <v>0</v>
      </c>
      <c r="H33">
        <v>0</v>
      </c>
      <c r="J33">
        <v>0</v>
      </c>
      <c r="K33" s="14">
        <v>6.2604168422762765</v>
      </c>
      <c r="L33">
        <v>0</v>
      </c>
      <c r="M33">
        <v>0</v>
      </c>
      <c r="N33">
        <v>0</v>
      </c>
      <c r="O33" s="20"/>
      <c r="P33" s="20"/>
      <c r="Q33" s="438">
        <v>0.34649329161133902</v>
      </c>
      <c r="R33" s="197">
        <v>0.49</v>
      </c>
      <c r="S33" s="197">
        <v>2.42</v>
      </c>
      <c r="T33" s="197">
        <v>0.50078889239507718</v>
      </c>
      <c r="U33" s="197">
        <v>0.75268470790377973</v>
      </c>
      <c r="V33" s="20">
        <f t="shared" si="22"/>
        <v>4.1507286723797652</v>
      </c>
      <c r="W33" s="20">
        <f t="shared" si="22"/>
        <v>0</v>
      </c>
      <c r="X33" s="20">
        <f t="shared" si="22"/>
        <v>0</v>
      </c>
      <c r="Y33" s="20">
        <f t="shared" si="22"/>
        <v>0</v>
      </c>
      <c r="Z33" s="20">
        <f t="shared" si="23"/>
        <v>2.4568009306254024</v>
      </c>
      <c r="AA33" s="20">
        <f t="shared" si="23"/>
        <v>0</v>
      </c>
      <c r="AB33" s="20">
        <f t="shared" si="23"/>
        <v>0</v>
      </c>
      <c r="AC33" s="20">
        <f t="shared" si="23"/>
        <v>0</v>
      </c>
      <c r="AD33" s="20">
        <f t="shared" si="24"/>
        <v>2.4568009306254024</v>
      </c>
      <c r="AE33" s="20">
        <f t="shared" si="25"/>
        <v>31.595698481019785</v>
      </c>
      <c r="AF33" s="20">
        <f t="shared" si="25"/>
        <v>0</v>
      </c>
      <c r="AG33" s="20">
        <f t="shared" si="25"/>
        <v>0</v>
      </c>
      <c r="AH33" s="20">
        <f t="shared" si="25"/>
        <v>0</v>
      </c>
      <c r="AI33" s="20">
        <f t="shared" si="26"/>
        <v>25.207693782295863</v>
      </c>
      <c r="AJ33" s="20">
        <f t="shared" si="26"/>
        <v>0</v>
      </c>
      <c r="AK33" s="20">
        <f t="shared" si="26"/>
        <v>0</v>
      </c>
      <c r="AL33" s="20">
        <f t="shared" si="26"/>
        <v>0</v>
      </c>
      <c r="AM33" s="20">
        <f t="shared" si="27"/>
        <v>25.207693782295863</v>
      </c>
      <c r="AO33">
        <f t="shared" si="28"/>
        <v>3.2196376195845899</v>
      </c>
      <c r="AP33">
        <f t="shared" si="28"/>
        <v>0</v>
      </c>
      <c r="AQ33">
        <f t="shared" si="28"/>
        <v>0</v>
      </c>
      <c r="AR33">
        <f t="shared" si="28"/>
        <v>0</v>
      </c>
      <c r="AS33">
        <f t="shared" si="29"/>
        <v>3.2196376195845899</v>
      </c>
      <c r="AU33">
        <f t="shared" si="30"/>
        <v>33.034682701698728</v>
      </c>
      <c r="AV33">
        <f t="shared" si="30"/>
        <v>0</v>
      </c>
      <c r="AW33">
        <f t="shared" si="30"/>
        <v>0</v>
      </c>
      <c r="AX33">
        <f t="shared" si="30"/>
        <v>0</v>
      </c>
      <c r="AY33">
        <f t="shared" si="31"/>
        <v>33.034682701698728</v>
      </c>
    </row>
    <row r="34" spans="1:53" ht="15" x14ac:dyDescent="0.25">
      <c r="A34" s="1"/>
      <c r="B34" s="2"/>
      <c r="C34" s="1" t="s">
        <v>12</v>
      </c>
      <c r="D34">
        <v>0</v>
      </c>
      <c r="E34" s="360">
        <v>0</v>
      </c>
      <c r="F34">
        <v>0</v>
      </c>
      <c r="G34">
        <v>0</v>
      </c>
      <c r="H34">
        <v>0</v>
      </c>
      <c r="J34">
        <v>0</v>
      </c>
      <c r="K34" s="14">
        <v>0</v>
      </c>
      <c r="L34">
        <v>0</v>
      </c>
      <c r="M34">
        <v>0</v>
      </c>
      <c r="N34">
        <v>0</v>
      </c>
      <c r="O34" s="20"/>
      <c r="P34" s="20"/>
      <c r="Q34" s="438"/>
      <c r="R34" s="197">
        <v>0.49</v>
      </c>
      <c r="S34" s="197">
        <v>2.42</v>
      </c>
      <c r="T34" s="197">
        <v>0.50078889239507718</v>
      </c>
      <c r="U34" s="197">
        <v>0.75268470790377973</v>
      </c>
      <c r="V34" s="20">
        <f t="shared" si="22"/>
        <v>0</v>
      </c>
      <c r="W34" s="20">
        <f t="shared" si="22"/>
        <v>0</v>
      </c>
      <c r="X34" s="20">
        <f t="shared" si="22"/>
        <v>0</v>
      </c>
      <c r="Y34" s="20">
        <f t="shared" si="22"/>
        <v>0</v>
      </c>
      <c r="Z34" s="20">
        <f t="shared" si="23"/>
        <v>0</v>
      </c>
      <c r="AA34" s="20">
        <f t="shared" si="23"/>
        <v>0</v>
      </c>
      <c r="AB34" s="20">
        <f t="shared" si="23"/>
        <v>0</v>
      </c>
      <c r="AC34" s="20">
        <f t="shared" si="23"/>
        <v>0</v>
      </c>
      <c r="AD34" s="20">
        <f t="shared" si="24"/>
        <v>0</v>
      </c>
      <c r="AE34" s="20">
        <f t="shared" si="25"/>
        <v>0</v>
      </c>
      <c r="AF34" s="20">
        <f t="shared" si="25"/>
        <v>0</v>
      </c>
      <c r="AG34" s="20">
        <f t="shared" si="25"/>
        <v>0</v>
      </c>
      <c r="AH34" s="20">
        <f t="shared" si="25"/>
        <v>0</v>
      </c>
      <c r="AI34" s="20">
        <f t="shared" si="26"/>
        <v>0</v>
      </c>
      <c r="AJ34" s="20">
        <f t="shared" si="26"/>
        <v>0</v>
      </c>
      <c r="AK34" s="20">
        <f t="shared" si="26"/>
        <v>0</v>
      </c>
      <c r="AL34" s="20">
        <f t="shared" si="26"/>
        <v>0</v>
      </c>
      <c r="AM34" s="20">
        <f t="shared" si="27"/>
        <v>0</v>
      </c>
      <c r="AO34">
        <f t="shared" si="28"/>
        <v>0</v>
      </c>
      <c r="AP34">
        <f t="shared" si="28"/>
        <v>0</v>
      </c>
      <c r="AQ34">
        <f t="shared" si="28"/>
        <v>0</v>
      </c>
      <c r="AR34">
        <f t="shared" si="28"/>
        <v>0</v>
      </c>
      <c r="AS34">
        <f t="shared" si="29"/>
        <v>0</v>
      </c>
      <c r="AU34">
        <f t="shared" si="30"/>
        <v>0</v>
      </c>
      <c r="AV34">
        <f t="shared" si="30"/>
        <v>0</v>
      </c>
      <c r="AW34">
        <f t="shared" si="30"/>
        <v>0</v>
      </c>
      <c r="AX34">
        <f t="shared" si="30"/>
        <v>0</v>
      </c>
      <c r="AY34">
        <f t="shared" si="31"/>
        <v>0</v>
      </c>
    </row>
    <row r="35" spans="1:53" ht="15" x14ac:dyDescent="0.25">
      <c r="A35" s="1"/>
      <c r="B35" s="2"/>
      <c r="C35" s="1" t="s">
        <v>13</v>
      </c>
      <c r="D35">
        <v>0</v>
      </c>
      <c r="E35" s="360">
        <v>4.8399999999999999E-2</v>
      </c>
      <c r="F35">
        <v>0</v>
      </c>
      <c r="G35">
        <v>0</v>
      </c>
      <c r="H35">
        <v>0</v>
      </c>
      <c r="J35">
        <v>0</v>
      </c>
      <c r="K35" s="14">
        <v>-0.1467011429</v>
      </c>
      <c r="L35">
        <v>0</v>
      </c>
      <c r="M35">
        <v>0</v>
      </c>
      <c r="N35">
        <v>0</v>
      </c>
      <c r="O35" s="20"/>
      <c r="P35" s="20"/>
      <c r="Q35" s="438">
        <v>0.34649329161133902</v>
      </c>
      <c r="R35" s="197">
        <v>0.49</v>
      </c>
      <c r="S35" s="197">
        <v>2.42</v>
      </c>
      <c r="T35" s="197">
        <v>0.50078889239507718</v>
      </c>
      <c r="U35" s="197">
        <v>0.75268470790377973</v>
      </c>
      <c r="V35" s="20">
        <f t="shared" si="22"/>
        <v>8.2174349038545161E-2</v>
      </c>
      <c r="W35" s="20">
        <f t="shared" si="22"/>
        <v>0</v>
      </c>
      <c r="X35" s="20">
        <f t="shared" si="22"/>
        <v>0</v>
      </c>
      <c r="Y35" s="20">
        <f t="shared" si="22"/>
        <v>0</v>
      </c>
      <c r="Z35" s="20">
        <f t="shared" si="23"/>
        <v>4.8638692896224835E-2</v>
      </c>
      <c r="AA35" s="20">
        <f t="shared" si="23"/>
        <v>0</v>
      </c>
      <c r="AB35" s="20">
        <f t="shared" si="23"/>
        <v>0</v>
      </c>
      <c r="AC35" s="20">
        <f t="shared" si="23"/>
        <v>0</v>
      </c>
      <c r="AD35" s="20">
        <f t="shared" si="24"/>
        <v>4.8638692896224835E-2</v>
      </c>
      <c r="AE35" s="20">
        <f t="shared" si="25"/>
        <v>0.40584066259852913</v>
      </c>
      <c r="AF35" s="20">
        <f t="shared" si="25"/>
        <v>0</v>
      </c>
      <c r="AG35" s="20">
        <f t="shared" si="25"/>
        <v>0</v>
      </c>
      <c r="AH35" s="20">
        <f t="shared" si="25"/>
        <v>0</v>
      </c>
      <c r="AI35" s="20">
        <f t="shared" si="26"/>
        <v>0.3237879723828021</v>
      </c>
      <c r="AJ35" s="20">
        <f t="shared" si="26"/>
        <v>0</v>
      </c>
      <c r="AK35" s="20">
        <f t="shared" si="26"/>
        <v>0</v>
      </c>
      <c r="AL35" s="20">
        <f t="shared" si="26"/>
        <v>0</v>
      </c>
      <c r="AM35" s="20">
        <f t="shared" si="27"/>
        <v>0.3237879723828021</v>
      </c>
      <c r="AO35">
        <f t="shared" si="28"/>
        <v>6.3741007040502645E-2</v>
      </c>
      <c r="AP35">
        <f t="shared" si="28"/>
        <v>0</v>
      </c>
      <c r="AQ35">
        <f t="shared" si="28"/>
        <v>0</v>
      </c>
      <c r="AR35">
        <f t="shared" si="28"/>
        <v>0</v>
      </c>
      <c r="AS35">
        <f t="shared" si="29"/>
        <v>6.3741007040502645E-2</v>
      </c>
      <c r="AU35">
        <f t="shared" si="30"/>
        <v>0.42432413780766215</v>
      </c>
      <c r="AV35">
        <f t="shared" si="30"/>
        <v>0</v>
      </c>
      <c r="AW35">
        <f t="shared" si="30"/>
        <v>0</v>
      </c>
      <c r="AX35">
        <f t="shared" si="30"/>
        <v>0</v>
      </c>
      <c r="AY35">
        <f t="shared" si="31"/>
        <v>0.42432413780766215</v>
      </c>
    </row>
    <row r="36" spans="1:53" ht="15" x14ac:dyDescent="0.25">
      <c r="A36" s="7"/>
      <c r="B36" s="8" t="s">
        <v>14</v>
      </c>
      <c r="C36" s="7"/>
      <c r="D36" s="357">
        <f t="shared" ref="D36:H36" si="32">SUM(D30:D35)</f>
        <v>0</v>
      </c>
      <c r="E36" s="363">
        <f>SUM(E30:E35)</f>
        <v>33.783190000000005</v>
      </c>
      <c r="F36" s="357">
        <f t="shared" si="32"/>
        <v>0</v>
      </c>
      <c r="G36" s="357">
        <f t="shared" si="32"/>
        <v>0</v>
      </c>
      <c r="H36" s="357">
        <f t="shared" si="32"/>
        <v>0</v>
      </c>
      <c r="J36">
        <v>0</v>
      </c>
      <c r="K36" s="14">
        <v>12.591797590729282</v>
      </c>
      <c r="L36">
        <v>0</v>
      </c>
      <c r="M36">
        <v>0</v>
      </c>
      <c r="N36">
        <v>0</v>
      </c>
      <c r="O36" s="20"/>
      <c r="P36" s="20"/>
      <c r="Q36" s="438">
        <v>0.27763398524634614</v>
      </c>
      <c r="R36" s="197"/>
      <c r="S36" s="197"/>
      <c r="T36" s="197"/>
      <c r="U36" s="197"/>
      <c r="BA36" s="319">
        <f>(E36*10000*Q36*AU$10)</f>
        <v>122916.53473822225</v>
      </c>
    </row>
    <row r="37" spans="1:53" ht="15" x14ac:dyDescent="0.25">
      <c r="A37" s="5"/>
      <c r="B37" s="9" t="s">
        <v>15</v>
      </c>
      <c r="C37" s="5"/>
      <c r="E37" s="363">
        <f>SUM(E36)</f>
        <v>33.783190000000005</v>
      </c>
      <c r="H37" s="358">
        <f>SUM(D36:H36)</f>
        <v>33.783190000000005</v>
      </c>
      <c r="K37" s="14"/>
      <c r="N37">
        <v>0</v>
      </c>
      <c r="O37" s="20"/>
      <c r="P37" s="20"/>
      <c r="Q37" s="438"/>
      <c r="R37" s="197"/>
      <c r="S37" s="197"/>
      <c r="T37" s="197"/>
      <c r="U37" s="197"/>
    </row>
    <row r="38" spans="1:53" ht="15.75" x14ac:dyDescent="0.25">
      <c r="A38" s="1"/>
      <c r="B38" s="2"/>
      <c r="C38" s="1"/>
      <c r="E38" s="362"/>
      <c r="K38" s="14"/>
      <c r="O38" s="20"/>
      <c r="P38" s="20"/>
      <c r="Q38" s="439"/>
      <c r="R38" s="197"/>
      <c r="S38" s="197"/>
      <c r="T38" s="197"/>
      <c r="U38" s="197"/>
    </row>
    <row r="39" spans="1:53" ht="15" x14ac:dyDescent="0.25">
      <c r="A39" s="1">
        <v>4</v>
      </c>
      <c r="B39" s="2" t="s">
        <v>18</v>
      </c>
      <c r="C39" s="1" t="s">
        <v>8</v>
      </c>
      <c r="D39">
        <v>0</v>
      </c>
      <c r="E39" s="360">
        <v>45.117100000000001</v>
      </c>
      <c r="F39">
        <v>0</v>
      </c>
      <c r="G39">
        <v>0</v>
      </c>
      <c r="H39">
        <v>0</v>
      </c>
      <c r="J39">
        <v>0</v>
      </c>
      <c r="K39" s="14">
        <v>42.497645392392101</v>
      </c>
      <c r="L39">
        <v>0</v>
      </c>
      <c r="M39">
        <v>0</v>
      </c>
      <c r="N39">
        <v>0</v>
      </c>
      <c r="O39" s="20"/>
      <c r="P39" s="20"/>
      <c r="Q39" s="438">
        <v>0.38429865832226784</v>
      </c>
      <c r="R39" s="197">
        <v>0.19500000000000001</v>
      </c>
      <c r="S39" s="197">
        <v>1.22</v>
      </c>
      <c r="T39" s="197">
        <v>0.4144562334217507</v>
      </c>
      <c r="U39" s="197">
        <v>0.6566321730950142</v>
      </c>
      <c r="V39" s="20">
        <f t="shared" ref="V39:Y44" si="33">IF(K39&gt;0,((E39-K39)*$Q39*$R39*10)+(K39*$O$12*$Q39*$R39*10),(E39*$Q39*$R39*10))</f>
        <v>13.674767669660547</v>
      </c>
      <c r="W39" s="20">
        <f t="shared" si="33"/>
        <v>0</v>
      </c>
      <c r="X39" s="20">
        <f t="shared" si="33"/>
        <v>0</v>
      </c>
      <c r="Y39" s="20">
        <f t="shared" si="33"/>
        <v>0</v>
      </c>
      <c r="Z39" s="20">
        <f t="shared" ref="Z39:AC44" si="34">V39*(EXP(1.01-0.34*LN(Z$8))*(1-$T39)+(1*$T39))</f>
        <v>7.128924225535985</v>
      </c>
      <c r="AA39" s="20">
        <f t="shared" si="34"/>
        <v>0</v>
      </c>
      <c r="AB39" s="20">
        <f t="shared" si="34"/>
        <v>0</v>
      </c>
      <c r="AC39" s="20">
        <f t="shared" si="34"/>
        <v>0</v>
      </c>
      <c r="AD39" s="20">
        <f t="shared" ref="AD39:AD44" si="35">SUM(Z39:AC39)</f>
        <v>7.128924225535985</v>
      </c>
      <c r="AE39" s="20">
        <f t="shared" ref="AE39:AH44" si="36">IF(K39&gt;0,((E39-K39)*$Q39*$S39*10)+(K39*$P$12*$Q39*$S39)*10,(E39*$Q39*$S39*10))</f>
        <v>127.67159179782684</v>
      </c>
      <c r="AF39" s="20">
        <f t="shared" si="36"/>
        <v>0</v>
      </c>
      <c r="AG39" s="20">
        <f t="shared" si="36"/>
        <v>0</v>
      </c>
      <c r="AH39" s="20">
        <f t="shared" si="36"/>
        <v>0</v>
      </c>
      <c r="AI39" s="20">
        <f t="shared" ref="AI39:AL44" si="37">AE39*(EXP(1.01-0.34*LN(AI$8))*(1-$U39)+(1*$U39))</f>
        <v>91.833888577146226</v>
      </c>
      <c r="AJ39" s="20">
        <f t="shared" si="37"/>
        <v>0</v>
      </c>
      <c r="AK39" s="20">
        <f t="shared" si="37"/>
        <v>0</v>
      </c>
      <c r="AL39" s="20">
        <f t="shared" si="37"/>
        <v>0</v>
      </c>
      <c r="AM39" s="20">
        <f t="shared" ref="AM39:AM44" si="38">SUM(AI39:AL39)</f>
        <v>91.833888577146226</v>
      </c>
      <c r="AO39">
        <f t="shared" ref="AO39:AR44" si="39">Z39*AO$10</f>
        <v>9.3424551975649077</v>
      </c>
      <c r="AP39">
        <f t="shared" si="39"/>
        <v>0</v>
      </c>
      <c r="AQ39">
        <f t="shared" si="39"/>
        <v>0</v>
      </c>
      <c r="AR39">
        <f t="shared" si="39"/>
        <v>0</v>
      </c>
      <c r="AS39">
        <f t="shared" ref="AS39:AS44" si="40">SUM(AO39:AR39)</f>
        <v>9.3424551975649077</v>
      </c>
      <c r="AU39">
        <f t="shared" ref="AU39:AX44" si="41">AI39*AU$10</f>
        <v>120.34831098035013</v>
      </c>
      <c r="AV39">
        <f t="shared" si="41"/>
        <v>0</v>
      </c>
      <c r="AW39">
        <f t="shared" si="41"/>
        <v>0</v>
      </c>
      <c r="AX39">
        <f t="shared" si="41"/>
        <v>0</v>
      </c>
      <c r="AY39">
        <f t="shared" ref="AY39:AY44" si="42">SUM(AU39:AX39)</f>
        <v>120.34831098035013</v>
      </c>
    </row>
    <row r="40" spans="1:53" ht="15" x14ac:dyDescent="0.25">
      <c r="A40" s="1"/>
      <c r="B40" s="2"/>
      <c r="C40" s="1" t="s">
        <v>9</v>
      </c>
      <c r="D40">
        <v>0</v>
      </c>
      <c r="E40" s="360">
        <v>26.16705</v>
      </c>
      <c r="F40">
        <v>0</v>
      </c>
      <c r="G40">
        <v>0</v>
      </c>
      <c r="H40">
        <v>0</v>
      </c>
      <c r="J40">
        <v>0</v>
      </c>
      <c r="K40" s="14">
        <v>26.16705</v>
      </c>
      <c r="L40">
        <v>0</v>
      </c>
      <c r="M40">
        <v>0</v>
      </c>
      <c r="N40">
        <v>0</v>
      </c>
      <c r="O40" s="20"/>
      <c r="P40" s="20"/>
      <c r="Q40" s="438">
        <v>0.40859731664453564</v>
      </c>
      <c r="R40" s="197">
        <v>0.19500000000000001</v>
      </c>
      <c r="S40" s="197">
        <v>1.22</v>
      </c>
      <c r="T40" s="197">
        <v>0.4144562334217507</v>
      </c>
      <c r="U40" s="197">
        <v>0.6566321730950142</v>
      </c>
      <c r="V40" s="20">
        <f t="shared" si="33"/>
        <v>7.6672563255199826</v>
      </c>
      <c r="W40" s="20">
        <f t="shared" si="33"/>
        <v>0</v>
      </c>
      <c r="X40" s="20">
        <f t="shared" si="33"/>
        <v>0</v>
      </c>
      <c r="Y40" s="20">
        <f t="shared" si="33"/>
        <v>0</v>
      </c>
      <c r="Z40" s="20">
        <f t="shared" si="34"/>
        <v>3.9970908963713496</v>
      </c>
      <c r="AA40" s="20">
        <f t="shared" si="34"/>
        <v>0</v>
      </c>
      <c r="AB40" s="20">
        <f t="shared" si="34"/>
        <v>0</v>
      </c>
      <c r="AC40" s="20">
        <f t="shared" si="34"/>
        <v>0</v>
      </c>
      <c r="AD40" s="20">
        <f t="shared" si="35"/>
        <v>3.9970908963713496</v>
      </c>
      <c r="AE40" s="20">
        <f t="shared" si="36"/>
        <v>75.541623897008378</v>
      </c>
      <c r="AF40" s="20">
        <f t="shared" si="36"/>
        <v>0</v>
      </c>
      <c r="AG40" s="20">
        <f t="shared" si="36"/>
        <v>0</v>
      </c>
      <c r="AH40" s="20">
        <f t="shared" si="36"/>
        <v>0</v>
      </c>
      <c r="AI40" s="20">
        <f t="shared" si="37"/>
        <v>54.336920016474934</v>
      </c>
      <c r="AJ40" s="20">
        <f t="shared" si="37"/>
        <v>0</v>
      </c>
      <c r="AK40" s="20">
        <f t="shared" si="37"/>
        <v>0</v>
      </c>
      <c r="AL40" s="20">
        <f t="shared" si="37"/>
        <v>0</v>
      </c>
      <c r="AM40" s="20">
        <f t="shared" si="38"/>
        <v>54.336920016474934</v>
      </c>
      <c r="AO40">
        <f t="shared" si="39"/>
        <v>5.2381876196946537</v>
      </c>
      <c r="AP40">
        <f t="shared" si="39"/>
        <v>0</v>
      </c>
      <c r="AQ40">
        <f t="shared" si="39"/>
        <v>0</v>
      </c>
      <c r="AR40">
        <f t="shared" si="39"/>
        <v>0</v>
      </c>
      <c r="AS40">
        <f t="shared" si="40"/>
        <v>5.2381876196946537</v>
      </c>
      <c r="AU40">
        <f t="shared" si="41"/>
        <v>71.208533681590396</v>
      </c>
      <c r="AV40">
        <f t="shared" si="41"/>
        <v>0</v>
      </c>
      <c r="AW40">
        <f t="shared" si="41"/>
        <v>0</v>
      </c>
      <c r="AX40">
        <f t="shared" si="41"/>
        <v>0</v>
      </c>
      <c r="AY40">
        <f t="shared" si="42"/>
        <v>71.208533681590396</v>
      </c>
    </row>
    <row r="41" spans="1:53" ht="15" x14ac:dyDescent="0.25">
      <c r="A41" s="1"/>
      <c r="B41" s="2"/>
      <c r="C41" s="1" t="s">
        <v>10</v>
      </c>
      <c r="D41">
        <v>0</v>
      </c>
      <c r="E41" s="360">
        <v>0</v>
      </c>
      <c r="F41">
        <v>0</v>
      </c>
      <c r="G41">
        <v>0</v>
      </c>
      <c r="H41">
        <v>0</v>
      </c>
      <c r="J41">
        <v>0</v>
      </c>
      <c r="K41" s="14">
        <v>0</v>
      </c>
      <c r="L41">
        <v>0</v>
      </c>
      <c r="M41">
        <v>0</v>
      </c>
      <c r="N41">
        <v>0</v>
      </c>
      <c r="O41" s="20"/>
      <c r="P41" s="20"/>
      <c r="Q41" s="438"/>
      <c r="R41" s="197">
        <v>0.19500000000000001</v>
      </c>
      <c r="S41" s="197">
        <v>1.22</v>
      </c>
      <c r="T41" s="197">
        <v>0.4144562334217507</v>
      </c>
      <c r="U41" s="197">
        <v>0.6566321730950142</v>
      </c>
      <c r="V41" s="20">
        <f t="shared" si="33"/>
        <v>0</v>
      </c>
      <c r="W41" s="20">
        <f t="shared" si="33"/>
        <v>0</v>
      </c>
      <c r="X41" s="20">
        <f t="shared" si="33"/>
        <v>0</v>
      </c>
      <c r="Y41" s="20">
        <f t="shared" si="33"/>
        <v>0</v>
      </c>
      <c r="Z41" s="20">
        <f t="shared" si="34"/>
        <v>0</v>
      </c>
      <c r="AA41" s="20">
        <f t="shared" si="34"/>
        <v>0</v>
      </c>
      <c r="AB41" s="20">
        <f t="shared" si="34"/>
        <v>0</v>
      </c>
      <c r="AC41" s="20">
        <f t="shared" si="34"/>
        <v>0</v>
      </c>
      <c r="AD41" s="20">
        <f t="shared" si="35"/>
        <v>0</v>
      </c>
      <c r="AE41" s="20">
        <f t="shared" si="36"/>
        <v>0</v>
      </c>
      <c r="AF41" s="20">
        <f t="shared" si="36"/>
        <v>0</v>
      </c>
      <c r="AG41" s="20">
        <f t="shared" si="36"/>
        <v>0</v>
      </c>
      <c r="AH41" s="20">
        <f t="shared" si="36"/>
        <v>0</v>
      </c>
      <c r="AI41" s="20">
        <f t="shared" si="37"/>
        <v>0</v>
      </c>
      <c r="AJ41" s="20">
        <f t="shared" si="37"/>
        <v>0</v>
      </c>
      <c r="AK41" s="20">
        <f t="shared" si="37"/>
        <v>0</v>
      </c>
      <c r="AL41" s="20">
        <f t="shared" si="37"/>
        <v>0</v>
      </c>
      <c r="AM41" s="20">
        <f t="shared" si="38"/>
        <v>0</v>
      </c>
      <c r="AO41">
        <f t="shared" si="39"/>
        <v>0</v>
      </c>
      <c r="AP41">
        <f t="shared" si="39"/>
        <v>0</v>
      </c>
      <c r="AQ41">
        <f t="shared" si="39"/>
        <v>0</v>
      </c>
      <c r="AR41">
        <f t="shared" si="39"/>
        <v>0</v>
      </c>
      <c r="AS41">
        <f t="shared" si="40"/>
        <v>0</v>
      </c>
      <c r="AU41">
        <f t="shared" si="41"/>
        <v>0</v>
      </c>
      <c r="AV41">
        <f t="shared" si="41"/>
        <v>0</v>
      </c>
      <c r="AW41">
        <f t="shared" si="41"/>
        <v>0</v>
      </c>
      <c r="AX41">
        <f t="shared" si="41"/>
        <v>0</v>
      </c>
      <c r="AY41">
        <f t="shared" si="42"/>
        <v>0</v>
      </c>
    </row>
    <row r="42" spans="1:53" ht="15" x14ac:dyDescent="0.25">
      <c r="A42" s="1"/>
      <c r="B42" s="2"/>
      <c r="C42" s="1" t="s">
        <v>11</v>
      </c>
      <c r="D42">
        <v>0</v>
      </c>
      <c r="E42" s="360">
        <v>3.6983999999999999</v>
      </c>
      <c r="F42">
        <v>0</v>
      </c>
      <c r="G42">
        <v>0</v>
      </c>
      <c r="H42">
        <v>0</v>
      </c>
      <c r="J42">
        <v>0</v>
      </c>
      <c r="K42" s="14">
        <v>3.6943102895907001</v>
      </c>
      <c r="L42">
        <v>0</v>
      </c>
      <c r="M42">
        <v>0</v>
      </c>
      <c r="N42">
        <v>0</v>
      </c>
      <c r="O42" s="20"/>
      <c r="P42" s="20"/>
      <c r="Q42" s="438">
        <v>0.45719463328907117</v>
      </c>
      <c r="R42" s="197">
        <v>0.19500000000000001</v>
      </c>
      <c r="S42" s="197">
        <v>1.22</v>
      </c>
      <c r="T42" s="197">
        <v>0.4144562334217507</v>
      </c>
      <c r="U42" s="197">
        <v>0.6566321730950142</v>
      </c>
      <c r="V42" s="20">
        <f t="shared" si="33"/>
        <v>1.2148693552049454</v>
      </c>
      <c r="W42" s="20">
        <f t="shared" si="33"/>
        <v>0</v>
      </c>
      <c r="X42" s="20">
        <f t="shared" si="33"/>
        <v>0</v>
      </c>
      <c r="Y42" s="20">
        <f t="shared" si="33"/>
        <v>0</v>
      </c>
      <c r="Z42" s="20">
        <f t="shared" si="34"/>
        <v>0.63333518977414593</v>
      </c>
      <c r="AA42" s="20">
        <f t="shared" si="34"/>
        <v>0</v>
      </c>
      <c r="AB42" s="20">
        <f t="shared" si="34"/>
        <v>0</v>
      </c>
      <c r="AC42" s="20">
        <f t="shared" si="34"/>
        <v>0</v>
      </c>
      <c r="AD42" s="20">
        <f t="shared" si="35"/>
        <v>0.63333518977414593</v>
      </c>
      <c r="AE42" s="20">
        <f t="shared" si="36"/>
        <v>11.956385618481402</v>
      </c>
      <c r="AF42" s="20">
        <f t="shared" si="36"/>
        <v>0</v>
      </c>
      <c r="AG42" s="20">
        <f t="shared" si="36"/>
        <v>0</v>
      </c>
      <c r="AH42" s="20">
        <f t="shared" si="36"/>
        <v>0</v>
      </c>
      <c r="AI42" s="20">
        <f t="shared" si="37"/>
        <v>8.6002012602125646</v>
      </c>
      <c r="AJ42" s="20">
        <f t="shared" si="37"/>
        <v>0</v>
      </c>
      <c r="AK42" s="20">
        <f t="shared" si="37"/>
        <v>0</v>
      </c>
      <c r="AL42" s="20">
        <f t="shared" si="37"/>
        <v>0</v>
      </c>
      <c r="AM42" s="20">
        <f t="shared" si="38"/>
        <v>8.6002012602125646</v>
      </c>
      <c r="AO42">
        <f t="shared" si="39"/>
        <v>0.8299857661990182</v>
      </c>
      <c r="AP42">
        <f t="shared" si="39"/>
        <v>0</v>
      </c>
      <c r="AQ42">
        <f t="shared" si="39"/>
        <v>0</v>
      </c>
      <c r="AR42">
        <f t="shared" si="39"/>
        <v>0</v>
      </c>
      <c r="AS42">
        <f t="shared" si="40"/>
        <v>0.8299857661990182</v>
      </c>
      <c r="AU42">
        <f t="shared" si="41"/>
        <v>11.270563751508567</v>
      </c>
      <c r="AV42">
        <f t="shared" si="41"/>
        <v>0</v>
      </c>
      <c r="AW42">
        <f t="shared" si="41"/>
        <v>0</v>
      </c>
      <c r="AX42">
        <f t="shared" si="41"/>
        <v>0</v>
      </c>
      <c r="AY42">
        <f t="shared" si="42"/>
        <v>11.270563751508567</v>
      </c>
    </row>
    <row r="43" spans="1:53" ht="15" x14ac:dyDescent="0.25">
      <c r="A43" s="1"/>
      <c r="B43" s="2"/>
      <c r="C43" s="1" t="s">
        <v>12</v>
      </c>
      <c r="D43">
        <v>0</v>
      </c>
      <c r="E43" s="360">
        <v>0</v>
      </c>
      <c r="F43">
        <v>0</v>
      </c>
      <c r="G43">
        <v>0</v>
      </c>
      <c r="H43">
        <v>0</v>
      </c>
      <c r="J43">
        <v>0</v>
      </c>
      <c r="K43" s="14">
        <v>0</v>
      </c>
      <c r="L43">
        <v>0</v>
      </c>
      <c r="M43">
        <v>0</v>
      </c>
      <c r="N43">
        <v>0</v>
      </c>
      <c r="O43" s="20"/>
      <c r="P43" s="20"/>
      <c r="Q43" s="438"/>
      <c r="R43" s="197">
        <v>0.19500000000000001</v>
      </c>
      <c r="S43" s="197">
        <v>1.22</v>
      </c>
      <c r="T43" s="197">
        <v>0.4144562334217507</v>
      </c>
      <c r="U43" s="197">
        <v>0.6566321730950142</v>
      </c>
      <c r="V43" s="20">
        <f t="shared" si="33"/>
        <v>0</v>
      </c>
      <c r="W43" s="20">
        <f t="shared" si="33"/>
        <v>0</v>
      </c>
      <c r="X43" s="20">
        <f t="shared" si="33"/>
        <v>0</v>
      </c>
      <c r="Y43" s="20">
        <f t="shared" si="33"/>
        <v>0</v>
      </c>
      <c r="Z43" s="20">
        <f t="shared" si="34"/>
        <v>0</v>
      </c>
      <c r="AA43" s="20">
        <f t="shared" si="34"/>
        <v>0</v>
      </c>
      <c r="AB43" s="20">
        <f t="shared" si="34"/>
        <v>0</v>
      </c>
      <c r="AC43" s="20">
        <f t="shared" si="34"/>
        <v>0</v>
      </c>
      <c r="AD43" s="20">
        <f t="shared" si="35"/>
        <v>0</v>
      </c>
      <c r="AE43" s="20">
        <f t="shared" si="36"/>
        <v>0</v>
      </c>
      <c r="AF43" s="20">
        <f t="shared" si="36"/>
        <v>0</v>
      </c>
      <c r="AG43" s="20">
        <f t="shared" si="36"/>
        <v>0</v>
      </c>
      <c r="AH43" s="20">
        <f t="shared" si="36"/>
        <v>0</v>
      </c>
      <c r="AI43" s="20">
        <f t="shared" si="37"/>
        <v>0</v>
      </c>
      <c r="AJ43" s="20">
        <f t="shared" si="37"/>
        <v>0</v>
      </c>
      <c r="AK43" s="20">
        <f t="shared" si="37"/>
        <v>0</v>
      </c>
      <c r="AL43" s="20">
        <f t="shared" si="37"/>
        <v>0</v>
      </c>
      <c r="AM43" s="20">
        <f t="shared" si="38"/>
        <v>0</v>
      </c>
      <c r="AO43">
        <f t="shared" si="39"/>
        <v>0</v>
      </c>
      <c r="AP43">
        <f t="shared" si="39"/>
        <v>0</v>
      </c>
      <c r="AQ43">
        <f t="shared" si="39"/>
        <v>0</v>
      </c>
      <c r="AR43">
        <f t="shared" si="39"/>
        <v>0</v>
      </c>
      <c r="AS43">
        <f t="shared" si="40"/>
        <v>0</v>
      </c>
      <c r="AU43">
        <f t="shared" si="41"/>
        <v>0</v>
      </c>
      <c r="AV43">
        <f t="shared" si="41"/>
        <v>0</v>
      </c>
      <c r="AW43">
        <f t="shared" si="41"/>
        <v>0</v>
      </c>
      <c r="AX43">
        <f t="shared" si="41"/>
        <v>0</v>
      </c>
      <c r="AY43">
        <f t="shared" si="42"/>
        <v>0</v>
      </c>
    </row>
    <row r="44" spans="1:53" ht="15" x14ac:dyDescent="0.25">
      <c r="A44" s="1"/>
      <c r="B44" s="2"/>
      <c r="C44" s="1" t="s">
        <v>13</v>
      </c>
      <c r="D44">
        <v>0</v>
      </c>
      <c r="E44" s="360">
        <v>2.7449999999999999E-2</v>
      </c>
      <c r="F44">
        <v>0</v>
      </c>
      <c r="G44">
        <v>0</v>
      </c>
      <c r="H44">
        <v>0</v>
      </c>
      <c r="J44">
        <v>0</v>
      </c>
      <c r="K44" s="14">
        <v>2.7449999999999999E-2</v>
      </c>
      <c r="L44">
        <v>0</v>
      </c>
      <c r="M44">
        <v>0</v>
      </c>
      <c r="N44">
        <v>0</v>
      </c>
      <c r="O44" s="20"/>
      <c r="P44" s="20"/>
      <c r="Q44" s="438">
        <v>0.45719463328907117</v>
      </c>
      <c r="R44" s="197">
        <v>0.19500000000000001</v>
      </c>
      <c r="S44" s="197">
        <v>1.22</v>
      </c>
      <c r="T44" s="197">
        <v>0.4144562334217507</v>
      </c>
      <c r="U44" s="197">
        <v>0.6566321730950142</v>
      </c>
      <c r="V44" s="20">
        <f t="shared" si="33"/>
        <v>8.9998066795883899E-3</v>
      </c>
      <c r="W44" s="20">
        <f t="shared" si="33"/>
        <v>0</v>
      </c>
      <c r="X44" s="20">
        <f t="shared" si="33"/>
        <v>0</v>
      </c>
      <c r="Y44" s="20">
        <f t="shared" si="33"/>
        <v>0</v>
      </c>
      <c r="Z44" s="20">
        <f t="shared" si="34"/>
        <v>4.6917754957990368E-3</v>
      </c>
      <c r="AA44" s="20">
        <f t="shared" si="34"/>
        <v>0</v>
      </c>
      <c r="AB44" s="20">
        <f t="shared" si="34"/>
        <v>0</v>
      </c>
      <c r="AC44" s="20">
        <f t="shared" si="34"/>
        <v>0</v>
      </c>
      <c r="AD44" s="20">
        <f t="shared" si="35"/>
        <v>4.6917754957990368E-3</v>
      </c>
      <c r="AE44" s="20">
        <f t="shared" si="36"/>
        <v>8.8670572949593254E-2</v>
      </c>
      <c r="AF44" s="20">
        <f t="shared" si="36"/>
        <v>0</v>
      </c>
      <c r="AG44" s="20">
        <f t="shared" si="36"/>
        <v>0</v>
      </c>
      <c r="AH44" s="20">
        <f t="shared" si="36"/>
        <v>0</v>
      </c>
      <c r="AI44" s="20">
        <f t="shared" si="37"/>
        <v>6.3780543515266713E-2</v>
      </c>
      <c r="AJ44" s="20">
        <f t="shared" si="37"/>
        <v>0</v>
      </c>
      <c r="AK44" s="20">
        <f t="shared" si="37"/>
        <v>0</v>
      </c>
      <c r="AL44" s="20">
        <f t="shared" si="37"/>
        <v>0</v>
      </c>
      <c r="AM44" s="20">
        <f t="shared" si="38"/>
        <v>6.3780543515266713E-2</v>
      </c>
      <c r="AO44">
        <f t="shared" si="39"/>
        <v>6.1485717872446378E-3</v>
      </c>
      <c r="AP44">
        <f t="shared" si="39"/>
        <v>0</v>
      </c>
      <c r="AQ44">
        <f t="shared" si="39"/>
        <v>0</v>
      </c>
      <c r="AR44">
        <f t="shared" si="39"/>
        <v>0</v>
      </c>
      <c r="AS44">
        <f t="shared" si="40"/>
        <v>6.1485717872446378E-3</v>
      </c>
      <c r="AU44">
        <f t="shared" si="41"/>
        <v>8.3584402276757022E-2</v>
      </c>
      <c r="AV44">
        <f t="shared" si="41"/>
        <v>0</v>
      </c>
      <c r="AW44">
        <f t="shared" si="41"/>
        <v>0</v>
      </c>
      <c r="AX44">
        <f t="shared" si="41"/>
        <v>0</v>
      </c>
      <c r="AY44">
        <f t="shared" si="42"/>
        <v>8.3584402276757022E-2</v>
      </c>
    </row>
    <row r="45" spans="1:53" ht="15" x14ac:dyDescent="0.25">
      <c r="A45" s="7"/>
      <c r="B45" s="8" t="s">
        <v>14</v>
      </c>
      <c r="C45" s="7"/>
      <c r="D45" s="357">
        <f t="shared" ref="D45:H45" si="43">SUM(D39:D44)</f>
        <v>0</v>
      </c>
      <c r="E45" s="363">
        <f>SUM(E39:E44)</f>
        <v>75.010000000000005</v>
      </c>
      <c r="F45" s="357">
        <f t="shared" si="43"/>
        <v>0</v>
      </c>
      <c r="G45" s="357">
        <f t="shared" si="43"/>
        <v>0</v>
      </c>
      <c r="H45" s="357">
        <f t="shared" si="43"/>
        <v>0</v>
      </c>
      <c r="J45">
        <v>0</v>
      </c>
      <c r="K45" s="14">
        <v>72.38645568198281</v>
      </c>
      <c r="L45">
        <v>0</v>
      </c>
      <c r="M45">
        <v>0</v>
      </c>
      <c r="N45">
        <v>0</v>
      </c>
      <c r="O45" s="20"/>
      <c r="P45" s="20"/>
      <c r="Q45" s="438">
        <v>0.39639602768077686</v>
      </c>
      <c r="R45" s="197"/>
      <c r="S45" s="197"/>
      <c r="T45" s="197"/>
      <c r="U45" s="197"/>
      <c r="BA45" s="319">
        <f>(E45*10000*Q45*AU$10)</f>
        <v>389659.69340617111</v>
      </c>
    </row>
    <row r="46" spans="1:53" ht="15" x14ac:dyDescent="0.25">
      <c r="A46" s="10"/>
      <c r="B46" s="9" t="s">
        <v>15</v>
      </c>
      <c r="C46" s="5"/>
      <c r="E46" s="363">
        <f>SUM(E45)</f>
        <v>75.010000000000005</v>
      </c>
      <c r="H46" s="358">
        <f>SUM(D45:H45)</f>
        <v>75.010000000000005</v>
      </c>
      <c r="K46" s="14"/>
      <c r="N46">
        <v>0</v>
      </c>
      <c r="O46" s="20"/>
      <c r="P46" s="20"/>
      <c r="Q46" s="438"/>
      <c r="R46" s="197"/>
      <c r="S46" s="197"/>
      <c r="T46" s="197"/>
      <c r="U46" s="197"/>
    </row>
    <row r="47" spans="1:53" ht="15.75" x14ac:dyDescent="0.25">
      <c r="A47" s="1"/>
      <c r="B47" s="2"/>
      <c r="C47" s="1"/>
      <c r="E47" s="361"/>
      <c r="K47" s="14"/>
      <c r="O47" s="20"/>
      <c r="P47" s="20"/>
      <c r="Q47" s="439"/>
      <c r="R47" s="197"/>
      <c r="S47" s="197"/>
      <c r="T47" s="197"/>
      <c r="U47" s="197"/>
    </row>
    <row r="48" spans="1:53" ht="15" x14ac:dyDescent="0.25">
      <c r="A48" s="1">
        <v>5</v>
      </c>
      <c r="B48" s="2" t="s">
        <v>19</v>
      </c>
      <c r="C48" s="1" t="s">
        <v>8</v>
      </c>
      <c r="D48">
        <v>0</v>
      </c>
      <c r="E48" s="360">
        <v>38.547699999999999</v>
      </c>
      <c r="F48">
        <v>0</v>
      </c>
      <c r="G48">
        <v>0</v>
      </c>
      <c r="H48">
        <v>0</v>
      </c>
      <c r="J48">
        <v>0</v>
      </c>
      <c r="K48" s="14">
        <v>26.9039327586814</v>
      </c>
      <c r="L48">
        <v>0</v>
      </c>
      <c r="M48">
        <v>0</v>
      </c>
      <c r="N48">
        <v>0</v>
      </c>
      <c r="O48" s="20"/>
      <c r="P48" s="20"/>
      <c r="Q48" s="438">
        <v>0.4272737701287454</v>
      </c>
      <c r="R48" s="197">
        <v>0.43</v>
      </c>
      <c r="S48" s="197">
        <v>2.83</v>
      </c>
      <c r="T48" s="197">
        <v>0.76744186046511631</v>
      </c>
      <c r="U48" s="197">
        <v>0.76744186046511631</v>
      </c>
      <c r="V48" s="20">
        <f t="shared" ref="V48:Y53" si="44">IF(K48&gt;0,((E48-K48)*$Q48*$R48*10)+(K48*$O$12*$Q48*$R48*10),(E48*$Q48*$R48*10))</f>
        <v>39.570805389289561</v>
      </c>
      <c r="W48" s="20">
        <f t="shared" si="44"/>
        <v>0</v>
      </c>
      <c r="X48" s="20">
        <f t="shared" si="44"/>
        <v>0</v>
      </c>
      <c r="Y48" s="20">
        <f t="shared" si="44"/>
        <v>0</v>
      </c>
      <c r="Z48" s="20">
        <f t="shared" ref="Z48:AC53" si="45">V48*(EXP(1.01-0.34*LN(Z$8))*(1-$T48)+(1*$T48))</f>
        <v>32.047776499452127</v>
      </c>
      <c r="AA48" s="20">
        <f t="shared" si="45"/>
        <v>0</v>
      </c>
      <c r="AB48" s="20">
        <f t="shared" si="45"/>
        <v>0</v>
      </c>
      <c r="AC48" s="20">
        <f t="shared" si="45"/>
        <v>0</v>
      </c>
      <c r="AD48" s="20">
        <f t="shared" ref="AD48:AD53" si="46">SUM(Z48:AC48)</f>
        <v>32.047776499452127</v>
      </c>
      <c r="AE48" s="20">
        <f t="shared" ref="AE48:AH53" si="47">IF(K48&gt;0,((E48-K48)*$Q48*$S48*10)+(K48*$P$12*$Q48*$S48)*10,(E48*$Q48*$S48*10))</f>
        <v>329.19628689454385</v>
      </c>
      <c r="AF48" s="20">
        <f t="shared" si="47"/>
        <v>0</v>
      </c>
      <c r="AG48" s="20">
        <f t="shared" si="47"/>
        <v>0</v>
      </c>
      <c r="AH48" s="20">
        <f t="shared" si="47"/>
        <v>0</v>
      </c>
      <c r="AI48" s="20">
        <f t="shared" ref="AI48:AL53" si="48">AE48*(EXP(1.01-0.34*LN(AI$8))*(1-$U48)+(1*$U48))</f>
        <v>266.61092497504188</v>
      </c>
      <c r="AJ48" s="20">
        <f t="shared" si="48"/>
        <v>0</v>
      </c>
      <c r="AK48" s="20">
        <f t="shared" si="48"/>
        <v>0</v>
      </c>
      <c r="AL48" s="20">
        <f t="shared" si="48"/>
        <v>0</v>
      </c>
      <c r="AM48" s="20">
        <f t="shared" ref="AM48:AM53" si="49">SUM(AI48:AL48)</f>
        <v>266.61092497504188</v>
      </c>
      <c r="AO48">
        <f t="shared" ref="AO48:AR53" si="50">Z48*AO$10</f>
        <v>41.99861110253201</v>
      </c>
      <c r="AP48">
        <f t="shared" si="50"/>
        <v>0</v>
      </c>
      <c r="AQ48">
        <f t="shared" si="50"/>
        <v>0</v>
      </c>
      <c r="AR48">
        <f t="shared" si="50"/>
        <v>0</v>
      </c>
      <c r="AS48">
        <f t="shared" ref="AS48:AS53" si="51">SUM(AO48:AR48)</f>
        <v>41.99861110253201</v>
      </c>
      <c r="AU48">
        <f t="shared" ref="AU48:AX53" si="52">AI48*AU$10</f>
        <v>349.39361717979239</v>
      </c>
      <c r="AV48">
        <f t="shared" si="52"/>
        <v>0</v>
      </c>
      <c r="AW48">
        <f t="shared" si="52"/>
        <v>0</v>
      </c>
      <c r="AX48">
        <f t="shared" si="52"/>
        <v>0</v>
      </c>
      <c r="AY48">
        <f t="shared" ref="AY48:AY53" si="53">SUM(AU48:AX48)</f>
        <v>349.39361717979239</v>
      </c>
    </row>
    <row r="49" spans="1:53" ht="15" x14ac:dyDescent="0.25">
      <c r="A49" s="1"/>
      <c r="B49" s="2"/>
      <c r="C49" s="1" t="s">
        <v>9</v>
      </c>
      <c r="D49">
        <v>0</v>
      </c>
      <c r="E49" s="360">
        <v>14.5405</v>
      </c>
      <c r="F49">
        <v>0</v>
      </c>
      <c r="G49">
        <v>0</v>
      </c>
      <c r="H49">
        <v>0</v>
      </c>
      <c r="J49">
        <v>0</v>
      </c>
      <c r="K49" s="14">
        <v>2.7821109557028958</v>
      </c>
      <c r="L49">
        <v>0</v>
      </c>
      <c r="M49">
        <v>0</v>
      </c>
      <c r="N49">
        <v>0</v>
      </c>
      <c r="O49" s="20"/>
      <c r="P49" s="20"/>
      <c r="Q49" s="438">
        <v>0.449547540257491</v>
      </c>
      <c r="R49" s="197">
        <v>0.43</v>
      </c>
      <c r="S49" s="197">
        <v>2.83</v>
      </c>
      <c r="T49" s="197">
        <v>0.76744186046511631</v>
      </c>
      <c r="U49" s="197">
        <v>0.76744186046511631</v>
      </c>
      <c r="V49" s="20">
        <f t="shared" si="44"/>
        <v>24.707366111718741</v>
      </c>
      <c r="W49" s="20">
        <f t="shared" si="44"/>
        <v>0</v>
      </c>
      <c r="X49" s="20">
        <f t="shared" si="44"/>
        <v>0</v>
      </c>
      <c r="Y49" s="20">
        <f t="shared" si="44"/>
        <v>0</v>
      </c>
      <c r="Z49" s="20">
        <f t="shared" si="45"/>
        <v>20.01010945440137</v>
      </c>
      <c r="AA49" s="20">
        <f t="shared" si="45"/>
        <v>0</v>
      </c>
      <c r="AB49" s="20">
        <f t="shared" si="45"/>
        <v>0</v>
      </c>
      <c r="AC49" s="20">
        <f t="shared" si="45"/>
        <v>0</v>
      </c>
      <c r="AD49" s="20">
        <f t="shared" si="46"/>
        <v>20.01010945440137</v>
      </c>
      <c r="AE49" s="20">
        <f t="shared" si="47"/>
        <v>170.09058095280011</v>
      </c>
      <c r="AF49" s="20">
        <f t="shared" si="47"/>
        <v>0</v>
      </c>
      <c r="AG49" s="20">
        <f t="shared" si="47"/>
        <v>0</v>
      </c>
      <c r="AH49" s="20">
        <f t="shared" si="47"/>
        <v>0</v>
      </c>
      <c r="AI49" s="20">
        <f t="shared" si="48"/>
        <v>137.75370173569198</v>
      </c>
      <c r="AJ49" s="20">
        <f t="shared" si="48"/>
        <v>0</v>
      </c>
      <c r="AK49" s="20">
        <f t="shared" si="48"/>
        <v>0</v>
      </c>
      <c r="AL49" s="20">
        <f t="shared" si="48"/>
        <v>0</v>
      </c>
      <c r="AM49" s="20">
        <f t="shared" si="49"/>
        <v>137.75370173569198</v>
      </c>
      <c r="AO49">
        <f t="shared" si="50"/>
        <v>26.223248439992997</v>
      </c>
      <c r="AP49">
        <f t="shared" si="50"/>
        <v>0</v>
      </c>
      <c r="AQ49">
        <f t="shared" si="50"/>
        <v>0</v>
      </c>
      <c r="AR49">
        <f t="shared" si="50"/>
        <v>0</v>
      </c>
      <c r="AS49">
        <f t="shared" si="51"/>
        <v>26.223248439992997</v>
      </c>
      <c r="AU49">
        <f t="shared" si="52"/>
        <v>180.52622612462434</v>
      </c>
      <c r="AV49">
        <f t="shared" si="52"/>
        <v>0</v>
      </c>
      <c r="AW49">
        <f t="shared" si="52"/>
        <v>0</v>
      </c>
      <c r="AX49">
        <f t="shared" si="52"/>
        <v>0</v>
      </c>
      <c r="AY49">
        <f t="shared" si="53"/>
        <v>180.52622612462434</v>
      </c>
    </row>
    <row r="50" spans="1:53" ht="15" x14ac:dyDescent="0.25">
      <c r="A50" s="1"/>
      <c r="B50" s="2"/>
      <c r="C50" s="1" t="s">
        <v>10</v>
      </c>
      <c r="D50">
        <v>0</v>
      </c>
      <c r="E50" s="360">
        <v>1.9340999999999999</v>
      </c>
      <c r="F50">
        <v>0</v>
      </c>
      <c r="G50">
        <v>0</v>
      </c>
      <c r="H50">
        <v>0</v>
      </c>
      <c r="J50">
        <v>0</v>
      </c>
      <c r="K50" s="14">
        <v>0.76237952362999994</v>
      </c>
      <c r="L50">
        <v>0</v>
      </c>
      <c r="M50">
        <v>0</v>
      </c>
      <c r="N50">
        <v>0</v>
      </c>
      <c r="O50" s="20"/>
      <c r="P50" s="20"/>
      <c r="Q50" s="438">
        <v>0.47182131038623648</v>
      </c>
      <c r="R50" s="197">
        <v>0.43</v>
      </c>
      <c r="S50" s="197">
        <v>2.83</v>
      </c>
      <c r="T50" s="197">
        <v>0.76744186046511631</v>
      </c>
      <c r="U50" s="197">
        <v>0.76744186046511631</v>
      </c>
      <c r="V50" s="20">
        <f t="shared" si="44"/>
        <v>2.9460402557263654</v>
      </c>
      <c r="W50" s="20">
        <f t="shared" si="44"/>
        <v>0</v>
      </c>
      <c r="X50" s="20">
        <f t="shared" si="44"/>
        <v>0</v>
      </c>
      <c r="Y50" s="20">
        <f t="shared" si="44"/>
        <v>0</v>
      </c>
      <c r="Z50" s="20">
        <f t="shared" si="45"/>
        <v>2.385951934641743</v>
      </c>
      <c r="AA50" s="20">
        <f t="shared" si="45"/>
        <v>0</v>
      </c>
      <c r="AB50" s="20">
        <f t="shared" si="45"/>
        <v>0</v>
      </c>
      <c r="AC50" s="20">
        <f t="shared" si="45"/>
        <v>0</v>
      </c>
      <c r="AD50" s="20">
        <f t="shared" si="46"/>
        <v>2.385951934641743</v>
      </c>
      <c r="AE50" s="20">
        <f t="shared" si="47"/>
        <v>21.540822969250407</v>
      </c>
      <c r="AF50" s="20">
        <f t="shared" si="47"/>
        <v>0</v>
      </c>
      <c r="AG50" s="20">
        <f t="shared" si="47"/>
        <v>0</v>
      </c>
      <c r="AH50" s="20">
        <f t="shared" si="47"/>
        <v>0</v>
      </c>
      <c r="AI50" s="20">
        <f t="shared" si="48"/>
        <v>17.445575679883724</v>
      </c>
      <c r="AJ50" s="20">
        <f t="shared" si="48"/>
        <v>0</v>
      </c>
      <c r="AK50" s="20">
        <f t="shared" si="48"/>
        <v>0</v>
      </c>
      <c r="AL50" s="20">
        <f t="shared" si="48"/>
        <v>0</v>
      </c>
      <c r="AM50" s="20">
        <f t="shared" si="49"/>
        <v>17.445575679883724</v>
      </c>
      <c r="AO50">
        <f t="shared" si="50"/>
        <v>3.1267900103480044</v>
      </c>
      <c r="AP50">
        <f t="shared" si="50"/>
        <v>0</v>
      </c>
      <c r="AQ50">
        <f t="shared" si="50"/>
        <v>0</v>
      </c>
      <c r="AR50">
        <f t="shared" si="50"/>
        <v>0</v>
      </c>
      <c r="AS50">
        <f t="shared" si="51"/>
        <v>3.1267900103480044</v>
      </c>
      <c r="AU50">
        <f t="shared" si="52"/>
        <v>22.862426928487622</v>
      </c>
      <c r="AV50">
        <f t="shared" si="52"/>
        <v>0</v>
      </c>
      <c r="AW50">
        <f t="shared" si="52"/>
        <v>0</v>
      </c>
      <c r="AX50">
        <f t="shared" si="52"/>
        <v>0</v>
      </c>
      <c r="AY50">
        <f t="shared" si="53"/>
        <v>22.862426928487622</v>
      </c>
    </row>
    <row r="51" spans="1:53" ht="15" x14ac:dyDescent="0.25">
      <c r="A51" s="1"/>
      <c r="B51" s="2"/>
      <c r="C51" s="1" t="s">
        <v>11</v>
      </c>
      <c r="D51">
        <v>0</v>
      </c>
      <c r="E51" s="360">
        <v>31.224499999999999</v>
      </c>
      <c r="F51">
        <v>0</v>
      </c>
      <c r="G51">
        <v>0</v>
      </c>
      <c r="H51">
        <v>0</v>
      </c>
      <c r="J51">
        <v>0</v>
      </c>
      <c r="K51" s="14">
        <v>23.721428580574699</v>
      </c>
      <c r="L51">
        <v>0</v>
      </c>
      <c r="M51">
        <v>0</v>
      </c>
      <c r="N51">
        <v>0</v>
      </c>
      <c r="O51" s="20"/>
      <c r="P51" s="20"/>
      <c r="Q51" s="438">
        <v>0.49409508051498197</v>
      </c>
      <c r="R51" s="197">
        <v>0.43</v>
      </c>
      <c r="S51" s="197">
        <v>2.83</v>
      </c>
      <c r="T51" s="197">
        <v>0.76744186046511631</v>
      </c>
      <c r="U51" s="197">
        <v>0.76744186046511631</v>
      </c>
      <c r="V51" s="20">
        <f t="shared" si="44"/>
        <v>34.475337876420625</v>
      </c>
      <c r="W51" s="20">
        <f t="shared" si="44"/>
        <v>0</v>
      </c>
      <c r="X51" s="20">
        <f t="shared" si="44"/>
        <v>0</v>
      </c>
      <c r="Y51" s="20">
        <f t="shared" si="44"/>
        <v>0</v>
      </c>
      <c r="Z51" s="20">
        <f t="shared" si="45"/>
        <v>27.921037040749017</v>
      </c>
      <c r="AA51" s="20">
        <f t="shared" si="45"/>
        <v>0</v>
      </c>
      <c r="AB51" s="20">
        <f t="shared" si="45"/>
        <v>0</v>
      </c>
      <c r="AC51" s="20">
        <f t="shared" si="45"/>
        <v>0</v>
      </c>
      <c r="AD51" s="20">
        <f t="shared" si="46"/>
        <v>27.921037040749017</v>
      </c>
      <c r="AE51" s="20">
        <f t="shared" si="47"/>
        <v>297.00872405997433</v>
      </c>
      <c r="AF51" s="20">
        <f t="shared" si="47"/>
        <v>0</v>
      </c>
      <c r="AG51" s="20">
        <f t="shared" si="47"/>
        <v>0</v>
      </c>
      <c r="AH51" s="20">
        <f t="shared" si="47"/>
        <v>0</v>
      </c>
      <c r="AI51" s="20">
        <f t="shared" si="48"/>
        <v>240.54272116578716</v>
      </c>
      <c r="AJ51" s="20">
        <f t="shared" si="48"/>
        <v>0</v>
      </c>
      <c r="AK51" s="20">
        <f t="shared" si="48"/>
        <v>0</v>
      </c>
      <c r="AL51" s="20">
        <f t="shared" si="48"/>
        <v>0</v>
      </c>
      <c r="AM51" s="20">
        <f t="shared" si="49"/>
        <v>240.54272116578716</v>
      </c>
      <c r="AO51">
        <f t="shared" si="50"/>
        <v>36.590519041901587</v>
      </c>
      <c r="AP51">
        <f t="shared" si="50"/>
        <v>0</v>
      </c>
      <c r="AQ51">
        <f t="shared" si="50"/>
        <v>0</v>
      </c>
      <c r="AR51">
        <f t="shared" si="50"/>
        <v>0</v>
      </c>
      <c r="AS51">
        <f t="shared" si="51"/>
        <v>36.590519041901587</v>
      </c>
      <c r="AU51">
        <f t="shared" si="52"/>
        <v>315.23123608776405</v>
      </c>
      <c r="AV51">
        <f t="shared" si="52"/>
        <v>0</v>
      </c>
      <c r="AW51">
        <f t="shared" si="52"/>
        <v>0</v>
      </c>
      <c r="AX51">
        <f t="shared" si="52"/>
        <v>0</v>
      </c>
      <c r="AY51">
        <f t="shared" si="53"/>
        <v>315.23123608776405</v>
      </c>
    </row>
    <row r="52" spans="1:53" ht="15" x14ac:dyDescent="0.25">
      <c r="A52" s="1"/>
      <c r="B52" s="2"/>
      <c r="C52" s="1" t="s">
        <v>12</v>
      </c>
      <c r="D52">
        <v>0</v>
      </c>
      <c r="E52" s="360">
        <v>0</v>
      </c>
      <c r="F52">
        <v>0</v>
      </c>
      <c r="G52">
        <v>0</v>
      </c>
      <c r="H52">
        <v>0</v>
      </c>
      <c r="J52">
        <v>0</v>
      </c>
      <c r="K52" s="14">
        <v>0</v>
      </c>
      <c r="L52">
        <v>0</v>
      </c>
      <c r="M52">
        <v>0</v>
      </c>
      <c r="N52">
        <v>0</v>
      </c>
      <c r="O52" s="20"/>
      <c r="P52" s="20"/>
      <c r="Q52" s="438"/>
      <c r="R52" s="197">
        <v>0.43</v>
      </c>
      <c r="S52" s="197">
        <v>2.83</v>
      </c>
      <c r="T52" s="197">
        <v>0.76744186046511631</v>
      </c>
      <c r="U52" s="197">
        <v>0.76744186046511631</v>
      </c>
      <c r="V52" s="20">
        <f t="shared" si="44"/>
        <v>0</v>
      </c>
      <c r="W52" s="20">
        <f t="shared" si="44"/>
        <v>0</v>
      </c>
      <c r="X52" s="20">
        <f t="shared" si="44"/>
        <v>0</v>
      </c>
      <c r="Y52" s="20">
        <f t="shared" si="44"/>
        <v>0</v>
      </c>
      <c r="Z52" s="20">
        <f t="shared" si="45"/>
        <v>0</v>
      </c>
      <c r="AA52" s="20">
        <f t="shared" si="45"/>
        <v>0</v>
      </c>
      <c r="AB52" s="20">
        <f t="shared" si="45"/>
        <v>0</v>
      </c>
      <c r="AC52" s="20">
        <f t="shared" si="45"/>
        <v>0</v>
      </c>
      <c r="AD52" s="20">
        <f t="shared" si="46"/>
        <v>0</v>
      </c>
      <c r="AE52" s="20">
        <f t="shared" si="47"/>
        <v>0</v>
      </c>
      <c r="AF52" s="20">
        <f t="shared" si="47"/>
        <v>0</v>
      </c>
      <c r="AG52" s="20">
        <f t="shared" si="47"/>
        <v>0</v>
      </c>
      <c r="AH52" s="20">
        <f t="shared" si="47"/>
        <v>0</v>
      </c>
      <c r="AI52" s="20">
        <f t="shared" si="48"/>
        <v>0</v>
      </c>
      <c r="AJ52" s="20">
        <f t="shared" si="48"/>
        <v>0</v>
      </c>
      <c r="AK52" s="20">
        <f t="shared" si="48"/>
        <v>0</v>
      </c>
      <c r="AL52" s="20">
        <f t="shared" si="48"/>
        <v>0</v>
      </c>
      <c r="AM52" s="20">
        <f t="shared" si="49"/>
        <v>0</v>
      </c>
      <c r="AO52">
        <f t="shared" si="50"/>
        <v>0</v>
      </c>
      <c r="AP52">
        <f t="shared" si="50"/>
        <v>0</v>
      </c>
      <c r="AQ52">
        <f t="shared" si="50"/>
        <v>0</v>
      </c>
      <c r="AR52">
        <f t="shared" si="50"/>
        <v>0</v>
      </c>
      <c r="AS52">
        <f t="shared" si="51"/>
        <v>0</v>
      </c>
      <c r="AU52">
        <f t="shared" si="52"/>
        <v>0</v>
      </c>
      <c r="AV52">
        <f t="shared" si="52"/>
        <v>0</v>
      </c>
      <c r="AW52">
        <f t="shared" si="52"/>
        <v>0</v>
      </c>
      <c r="AX52">
        <f t="shared" si="52"/>
        <v>0</v>
      </c>
      <c r="AY52">
        <f t="shared" si="53"/>
        <v>0</v>
      </c>
    </row>
    <row r="53" spans="1:53" ht="15" x14ac:dyDescent="0.25">
      <c r="A53" s="1"/>
      <c r="B53" s="2"/>
      <c r="C53" s="1" t="s">
        <v>13</v>
      </c>
      <c r="D53">
        <v>0</v>
      </c>
      <c r="E53" s="360">
        <v>7.3499999999999996E-2</v>
      </c>
      <c r="F53">
        <v>0</v>
      </c>
      <c r="G53">
        <v>0</v>
      </c>
      <c r="H53">
        <v>0</v>
      </c>
      <c r="J53">
        <v>0</v>
      </c>
      <c r="K53" s="14">
        <v>5.4110147222699995E-2</v>
      </c>
      <c r="L53">
        <v>0</v>
      </c>
      <c r="M53">
        <v>0</v>
      </c>
      <c r="N53">
        <v>0</v>
      </c>
      <c r="O53" s="20"/>
      <c r="P53" s="20"/>
      <c r="Q53" s="438">
        <v>0.49409508051498202</v>
      </c>
      <c r="R53" s="197">
        <v>0.43</v>
      </c>
      <c r="S53" s="197">
        <v>2.83</v>
      </c>
      <c r="T53" s="197">
        <v>0.76744186046511631</v>
      </c>
      <c r="U53" s="197">
        <v>0.76744186046511631</v>
      </c>
      <c r="V53" s="20">
        <f t="shared" si="44"/>
        <v>8.3473693400273191E-2</v>
      </c>
      <c r="W53" s="20">
        <f t="shared" si="44"/>
        <v>0</v>
      </c>
      <c r="X53" s="20">
        <f t="shared" si="44"/>
        <v>0</v>
      </c>
      <c r="Y53" s="20">
        <f t="shared" si="44"/>
        <v>0</v>
      </c>
      <c r="Z53" s="20">
        <f t="shared" si="45"/>
        <v>6.7604038971615571E-2</v>
      </c>
      <c r="AA53" s="20">
        <f t="shared" si="45"/>
        <v>0</v>
      </c>
      <c r="AB53" s="20">
        <f t="shared" si="45"/>
        <v>0</v>
      </c>
      <c r="AC53" s="20">
        <f t="shared" si="45"/>
        <v>0</v>
      </c>
      <c r="AD53" s="20">
        <f t="shared" si="46"/>
        <v>6.7604038971615571E-2</v>
      </c>
      <c r="AE53" s="20">
        <f t="shared" si="47"/>
        <v>0.7093055289762944</v>
      </c>
      <c r="AF53" s="20">
        <f t="shared" si="47"/>
        <v>0</v>
      </c>
      <c r="AG53" s="20">
        <f t="shared" si="47"/>
        <v>0</v>
      </c>
      <c r="AH53" s="20">
        <f t="shared" si="47"/>
        <v>0</v>
      </c>
      <c r="AI53" s="20">
        <f t="shared" si="48"/>
        <v>0.57445545620890026</v>
      </c>
      <c r="AJ53" s="20">
        <f t="shared" si="48"/>
        <v>0</v>
      </c>
      <c r="AK53" s="20">
        <f t="shared" si="48"/>
        <v>0</v>
      </c>
      <c r="AL53" s="20">
        <f t="shared" si="48"/>
        <v>0</v>
      </c>
      <c r="AM53" s="20">
        <f t="shared" si="49"/>
        <v>0.57445545620890026</v>
      </c>
      <c r="AO53">
        <f t="shared" si="50"/>
        <v>8.8595093072302206E-2</v>
      </c>
      <c r="AP53">
        <f t="shared" si="50"/>
        <v>0</v>
      </c>
      <c r="AQ53">
        <f t="shared" si="50"/>
        <v>0</v>
      </c>
      <c r="AR53">
        <f t="shared" si="50"/>
        <v>0</v>
      </c>
      <c r="AS53">
        <f t="shared" si="51"/>
        <v>8.8595093072302206E-2</v>
      </c>
      <c r="AU53">
        <f t="shared" si="52"/>
        <v>0.75282387536176376</v>
      </c>
      <c r="AV53">
        <f t="shared" si="52"/>
        <v>0</v>
      </c>
      <c r="AW53">
        <f t="shared" si="52"/>
        <v>0</v>
      </c>
      <c r="AX53">
        <f t="shared" si="52"/>
        <v>0</v>
      </c>
      <c r="AY53">
        <f t="shared" si="53"/>
        <v>0.75282387536176376</v>
      </c>
    </row>
    <row r="54" spans="1:53" ht="15" x14ac:dyDescent="0.25">
      <c r="A54" s="7"/>
      <c r="B54" s="8" t="s">
        <v>14</v>
      </c>
      <c r="C54" s="7"/>
      <c r="D54" s="357">
        <f t="shared" ref="D54:H54" si="54">SUM(D48:D53)</f>
        <v>0</v>
      </c>
      <c r="E54" s="363">
        <f>SUM(E48:E53)</f>
        <v>86.320300000000003</v>
      </c>
      <c r="F54" s="357">
        <f t="shared" si="54"/>
        <v>0</v>
      </c>
      <c r="G54" s="357">
        <f t="shared" si="54"/>
        <v>0</v>
      </c>
      <c r="H54" s="357">
        <f t="shared" si="54"/>
        <v>0</v>
      </c>
      <c r="J54">
        <v>0</v>
      </c>
      <c r="K54" s="14">
        <v>54.223961965811704</v>
      </c>
      <c r="L54">
        <v>0</v>
      </c>
      <c r="M54">
        <v>0</v>
      </c>
      <c r="N54">
        <v>0</v>
      </c>
      <c r="O54" s="20"/>
      <c r="P54" s="20"/>
      <c r="Q54" s="438">
        <v>0.45625194240846945</v>
      </c>
      <c r="R54" s="197"/>
      <c r="S54" s="197"/>
      <c r="T54" s="197"/>
      <c r="U54" s="197"/>
      <c r="BA54" s="319">
        <f>(E54*10000*Q54*AU$10)</f>
        <v>516124.75855281303</v>
      </c>
    </row>
    <row r="55" spans="1:53" ht="15" x14ac:dyDescent="0.25">
      <c r="A55" s="10"/>
      <c r="B55" s="9" t="s">
        <v>15</v>
      </c>
      <c r="C55" s="5"/>
      <c r="E55" s="363">
        <f>SUM(E54)</f>
        <v>86.320300000000003</v>
      </c>
      <c r="H55" s="358">
        <f>SUM(D54:H54)</f>
        <v>86.320300000000003</v>
      </c>
      <c r="K55" s="14">
        <v>54.223961965811704</v>
      </c>
      <c r="N55">
        <v>0</v>
      </c>
      <c r="O55" s="20"/>
      <c r="P55" s="20"/>
      <c r="Q55" s="438"/>
      <c r="R55" s="197"/>
      <c r="S55" s="197"/>
      <c r="T55" s="197"/>
      <c r="U55" s="197"/>
    </row>
    <row r="56" spans="1:53" ht="15.75" x14ac:dyDescent="0.25">
      <c r="A56" s="1"/>
      <c r="B56" s="2"/>
      <c r="C56" s="1"/>
      <c r="E56" s="361"/>
      <c r="K56" s="14"/>
      <c r="O56" s="20"/>
      <c r="P56" s="20"/>
      <c r="Q56" s="439"/>
      <c r="R56" s="197"/>
      <c r="S56" s="197"/>
      <c r="T56" s="197"/>
      <c r="U56" s="197"/>
    </row>
    <row r="57" spans="1:53" ht="15" x14ac:dyDescent="0.25">
      <c r="A57" s="1">
        <v>6</v>
      </c>
      <c r="B57" s="2" t="s">
        <v>20</v>
      </c>
      <c r="C57" s="1" t="s">
        <v>8</v>
      </c>
      <c r="D57">
        <v>0</v>
      </c>
      <c r="E57" s="360">
        <v>11.9978</v>
      </c>
      <c r="F57">
        <v>0</v>
      </c>
      <c r="G57">
        <v>0</v>
      </c>
      <c r="H57">
        <v>0</v>
      </c>
      <c r="J57">
        <v>0</v>
      </c>
      <c r="K57" s="14">
        <v>11.908647118760999</v>
      </c>
      <c r="L57">
        <v>0</v>
      </c>
      <c r="M57">
        <v>0</v>
      </c>
      <c r="N57">
        <v>0</v>
      </c>
      <c r="O57" s="20"/>
      <c r="P57" s="20"/>
      <c r="Q57" s="438">
        <v>0.47024888193522318</v>
      </c>
      <c r="R57" s="197">
        <v>0.33900000000000002</v>
      </c>
      <c r="S57" s="197">
        <v>1.9830000000000001</v>
      </c>
      <c r="T57" s="197">
        <v>0.76146788990825687</v>
      </c>
      <c r="U57" s="197">
        <v>0.76146788990825687</v>
      </c>
      <c r="V57" s="20">
        <f t="shared" ref="V57:Y62" si="55">IF(K57&gt;0,((E57-K57)*$Q57*$R57*10)+(K57*$O$12*$Q57*$R57*10),(E57*$Q57*$R57*10))</f>
        <v>7.1235622291641763</v>
      </c>
      <c r="W57" s="20">
        <f t="shared" si="55"/>
        <v>0</v>
      </c>
      <c r="X57" s="20">
        <f t="shared" si="55"/>
        <v>0</v>
      </c>
      <c r="Y57" s="20">
        <f t="shared" si="55"/>
        <v>0</v>
      </c>
      <c r="Z57" s="20">
        <f t="shared" ref="Z57:AC62" si="56">V57*(EXP(1.01-0.34*LN(Z$8))*(1-$T57)+(1*$T57))</f>
        <v>5.7344722827195618</v>
      </c>
      <c r="AA57" s="20">
        <f t="shared" si="56"/>
        <v>0</v>
      </c>
      <c r="AB57" s="20">
        <f t="shared" si="56"/>
        <v>0</v>
      </c>
      <c r="AC57" s="20">
        <f t="shared" si="56"/>
        <v>0</v>
      </c>
      <c r="AD57" s="20">
        <f t="shared" ref="AD57:AD62" si="57">SUM(Z57:AC57)</f>
        <v>5.7344722827195618</v>
      </c>
      <c r="AE57" s="20">
        <f t="shared" ref="AE57:AH62" si="58">IF(K57&gt;0,((E57-K57)*$Q57*$S57*10)+(K57*$P$12*$Q57*$S57)*10,(E57*$Q57*$S57*10))</f>
        <v>65.142925488755012</v>
      </c>
      <c r="AF57" s="20">
        <f t="shared" si="58"/>
        <v>0</v>
      </c>
      <c r="AG57" s="20">
        <f t="shared" si="58"/>
        <v>0</v>
      </c>
      <c r="AH57" s="20">
        <f t="shared" si="58"/>
        <v>0</v>
      </c>
      <c r="AI57" s="20">
        <f t="shared" ref="AI57:AL62" si="59">AE57*(EXP(1.01-0.34*LN(AI$8))*(1-$U57)+(1*$U57))</f>
        <v>52.440097891074636</v>
      </c>
      <c r="AJ57" s="20">
        <f t="shared" si="59"/>
        <v>0</v>
      </c>
      <c r="AK57" s="20">
        <f t="shared" si="59"/>
        <v>0</v>
      </c>
      <c r="AL57" s="20">
        <f t="shared" si="59"/>
        <v>0</v>
      </c>
      <c r="AM57" s="20">
        <f t="shared" ref="AM57:AM62" si="60">SUM(AI57:AL57)</f>
        <v>52.440097891074636</v>
      </c>
      <c r="AO57">
        <f t="shared" ref="AO57:AR62" si="61">Z57*AO$10</f>
        <v>7.515025926503986</v>
      </c>
      <c r="AP57">
        <f t="shared" si="61"/>
        <v>0</v>
      </c>
      <c r="AQ57">
        <f t="shared" si="61"/>
        <v>0</v>
      </c>
      <c r="AR57">
        <f t="shared" si="61"/>
        <v>0</v>
      </c>
      <c r="AS57">
        <f t="shared" ref="AS57:AS62" si="62">SUM(AO57:AR57)</f>
        <v>7.515025926503986</v>
      </c>
      <c r="AU57">
        <f t="shared" ref="AU57:AX62" si="63">AI57*AU$10</f>
        <v>68.722748286253307</v>
      </c>
      <c r="AV57">
        <f t="shared" si="63"/>
        <v>0</v>
      </c>
      <c r="AW57">
        <f t="shared" si="63"/>
        <v>0</v>
      </c>
      <c r="AX57">
        <f t="shared" si="63"/>
        <v>0</v>
      </c>
      <c r="AY57">
        <f t="shared" ref="AY57:AY62" si="64">SUM(AU57:AX57)</f>
        <v>68.722748286253307</v>
      </c>
    </row>
    <row r="58" spans="1:53" ht="15" x14ac:dyDescent="0.25">
      <c r="A58" s="1"/>
      <c r="B58" s="2"/>
      <c r="C58" s="1" t="s">
        <v>9</v>
      </c>
      <c r="D58">
        <v>0</v>
      </c>
      <c r="E58" s="360">
        <v>3.8092000000000001</v>
      </c>
      <c r="F58">
        <v>0</v>
      </c>
      <c r="G58">
        <v>0</v>
      </c>
      <c r="H58">
        <v>0</v>
      </c>
      <c r="J58">
        <v>0</v>
      </c>
      <c r="K58" s="14">
        <v>2.2897921524700005</v>
      </c>
      <c r="L58">
        <v>0</v>
      </c>
      <c r="M58">
        <v>0</v>
      </c>
      <c r="N58">
        <v>0</v>
      </c>
      <c r="O58" s="20"/>
      <c r="P58" s="20"/>
      <c r="Q58" s="438">
        <v>0.49049776387044636</v>
      </c>
      <c r="R58" s="197">
        <v>0.33900000000000002</v>
      </c>
      <c r="S58" s="197">
        <v>1.9830000000000001</v>
      </c>
      <c r="T58" s="197">
        <v>0.76146788990825687</v>
      </c>
      <c r="U58" s="197">
        <v>0.76146788990825687</v>
      </c>
      <c r="V58" s="20">
        <f t="shared" si="55"/>
        <v>3.9266452126464548</v>
      </c>
      <c r="W58" s="20">
        <f t="shared" si="55"/>
        <v>0</v>
      </c>
      <c r="X58" s="20">
        <f t="shared" si="55"/>
        <v>0</v>
      </c>
      <c r="Y58" s="20">
        <f t="shared" si="55"/>
        <v>0</v>
      </c>
      <c r="Z58" s="20">
        <f t="shared" si="56"/>
        <v>3.1609519804302395</v>
      </c>
      <c r="AA58" s="20">
        <f t="shared" si="56"/>
        <v>0</v>
      </c>
      <c r="AB58" s="20">
        <f t="shared" si="56"/>
        <v>0</v>
      </c>
      <c r="AC58" s="20">
        <f t="shared" si="56"/>
        <v>0</v>
      </c>
      <c r="AD58" s="20">
        <f t="shared" si="57"/>
        <v>3.1609519804302395</v>
      </c>
      <c r="AE58" s="20">
        <f t="shared" si="58"/>
        <v>27.676914306329707</v>
      </c>
      <c r="AF58" s="20">
        <f t="shared" si="58"/>
        <v>0</v>
      </c>
      <c r="AG58" s="20">
        <f t="shared" si="58"/>
        <v>0</v>
      </c>
      <c r="AH58" s="20">
        <f t="shared" si="58"/>
        <v>0</v>
      </c>
      <c r="AI58" s="20">
        <f t="shared" si="59"/>
        <v>22.279934231651165</v>
      </c>
      <c r="AJ58" s="20">
        <f t="shared" si="59"/>
        <v>0</v>
      </c>
      <c r="AK58" s="20">
        <f t="shared" si="59"/>
        <v>0</v>
      </c>
      <c r="AL58" s="20">
        <f t="shared" si="59"/>
        <v>0</v>
      </c>
      <c r="AM58" s="20">
        <f t="shared" si="60"/>
        <v>22.279934231651165</v>
      </c>
      <c r="AO58">
        <f t="shared" si="61"/>
        <v>4.1424275703538287</v>
      </c>
      <c r="AP58">
        <f t="shared" si="61"/>
        <v>0</v>
      </c>
      <c r="AQ58">
        <f t="shared" si="61"/>
        <v>0</v>
      </c>
      <c r="AR58">
        <f t="shared" si="61"/>
        <v>0</v>
      </c>
      <c r="AS58">
        <f t="shared" si="62"/>
        <v>4.1424275703538287</v>
      </c>
      <c r="AU58">
        <f t="shared" si="63"/>
        <v>29.197853810578852</v>
      </c>
      <c r="AV58">
        <f t="shared" si="63"/>
        <v>0</v>
      </c>
      <c r="AW58">
        <f t="shared" si="63"/>
        <v>0</v>
      </c>
      <c r="AX58">
        <f t="shared" si="63"/>
        <v>0</v>
      </c>
      <c r="AY58">
        <f t="shared" si="64"/>
        <v>29.197853810578852</v>
      </c>
    </row>
    <row r="59" spans="1:53" ht="15" x14ac:dyDescent="0.25">
      <c r="A59" s="1"/>
      <c r="B59" s="2"/>
      <c r="C59" s="1" t="s">
        <v>10</v>
      </c>
      <c r="D59">
        <v>0</v>
      </c>
      <c r="E59" s="360">
        <v>0.1384</v>
      </c>
      <c r="F59">
        <v>0</v>
      </c>
      <c r="G59">
        <v>0</v>
      </c>
      <c r="H59">
        <v>0</v>
      </c>
      <c r="J59">
        <v>0</v>
      </c>
      <c r="K59" s="14">
        <v>-8.809080921500001E-2</v>
      </c>
      <c r="L59">
        <v>0</v>
      </c>
      <c r="M59">
        <v>0</v>
      </c>
      <c r="N59">
        <v>0</v>
      </c>
      <c r="O59" s="20"/>
      <c r="P59" s="20"/>
      <c r="Q59" s="438">
        <v>0.51074664580566953</v>
      </c>
      <c r="R59" s="197">
        <v>0.33900000000000002</v>
      </c>
      <c r="S59" s="197">
        <v>1.9830000000000001</v>
      </c>
      <c r="T59" s="197">
        <v>0.76146788990825687</v>
      </c>
      <c r="U59" s="197">
        <v>0.76146788990825687</v>
      </c>
      <c r="V59" s="20">
        <f t="shared" si="55"/>
        <v>0.23963006829252081</v>
      </c>
      <c r="W59" s="20">
        <f t="shared" si="55"/>
        <v>0</v>
      </c>
      <c r="X59" s="20">
        <f t="shared" si="55"/>
        <v>0</v>
      </c>
      <c r="Y59" s="20">
        <f t="shared" si="55"/>
        <v>0</v>
      </c>
      <c r="Z59" s="20">
        <f t="shared" si="56"/>
        <v>0.19290236268363289</v>
      </c>
      <c r="AA59" s="20">
        <f t="shared" si="56"/>
        <v>0</v>
      </c>
      <c r="AB59" s="20">
        <f t="shared" si="56"/>
        <v>0</v>
      </c>
      <c r="AC59" s="20">
        <f t="shared" si="56"/>
        <v>0</v>
      </c>
      <c r="AD59" s="20">
        <f t="shared" si="57"/>
        <v>0.19290236268363289</v>
      </c>
      <c r="AE59" s="20">
        <f t="shared" si="58"/>
        <v>1.4017298685075774</v>
      </c>
      <c r="AF59" s="20">
        <f t="shared" si="58"/>
        <v>0</v>
      </c>
      <c r="AG59" s="20">
        <f t="shared" si="58"/>
        <v>0</v>
      </c>
      <c r="AH59" s="20">
        <f t="shared" si="58"/>
        <v>0</v>
      </c>
      <c r="AI59" s="20">
        <f t="shared" si="59"/>
        <v>1.1283934666715161</v>
      </c>
      <c r="AJ59" s="20">
        <f t="shared" si="59"/>
        <v>0</v>
      </c>
      <c r="AK59" s="20">
        <f t="shared" si="59"/>
        <v>0</v>
      </c>
      <c r="AL59" s="20">
        <f t="shared" si="59"/>
        <v>0</v>
      </c>
      <c r="AM59" s="20">
        <f t="shared" si="60"/>
        <v>1.1283934666715161</v>
      </c>
      <c r="AO59">
        <f t="shared" si="61"/>
        <v>0.25279854629690091</v>
      </c>
      <c r="AP59">
        <f t="shared" si="61"/>
        <v>0</v>
      </c>
      <c r="AQ59">
        <f t="shared" si="61"/>
        <v>0</v>
      </c>
      <c r="AR59">
        <f t="shared" si="61"/>
        <v>0</v>
      </c>
      <c r="AS59">
        <f t="shared" si="62"/>
        <v>0.25279854629690091</v>
      </c>
      <c r="AU59">
        <f t="shared" si="63"/>
        <v>1.4787596380730219</v>
      </c>
      <c r="AV59">
        <f t="shared" si="63"/>
        <v>0</v>
      </c>
      <c r="AW59">
        <f t="shared" si="63"/>
        <v>0</v>
      </c>
      <c r="AX59">
        <f t="shared" si="63"/>
        <v>0</v>
      </c>
      <c r="AY59">
        <f t="shared" si="64"/>
        <v>1.4787596380730219</v>
      </c>
    </row>
    <row r="60" spans="1:53" ht="15" x14ac:dyDescent="0.25">
      <c r="A60" s="1"/>
      <c r="B60" s="2"/>
      <c r="C60" s="1" t="s">
        <v>11</v>
      </c>
      <c r="D60">
        <v>0</v>
      </c>
      <c r="E60" s="360">
        <v>2.6183000000000001</v>
      </c>
      <c r="F60">
        <v>0</v>
      </c>
      <c r="G60">
        <v>0</v>
      </c>
      <c r="H60">
        <v>0</v>
      </c>
      <c r="J60">
        <v>0</v>
      </c>
      <c r="K60" s="14">
        <v>2.1201244640930001</v>
      </c>
      <c r="L60">
        <v>0</v>
      </c>
      <c r="M60">
        <v>0</v>
      </c>
      <c r="N60">
        <v>0</v>
      </c>
      <c r="O60" s="20"/>
      <c r="P60" s="20"/>
      <c r="Q60" s="438">
        <v>0.53099552774089265</v>
      </c>
      <c r="R60" s="197">
        <v>0.33900000000000002</v>
      </c>
      <c r="S60" s="197">
        <v>1.9830000000000001</v>
      </c>
      <c r="T60" s="197">
        <v>0.76146788990825687</v>
      </c>
      <c r="U60" s="197">
        <v>0.76146788990825687</v>
      </c>
      <c r="V60" s="20">
        <f t="shared" si="55"/>
        <v>2.3002357920735936</v>
      </c>
      <c r="W60" s="20">
        <f t="shared" si="55"/>
        <v>0</v>
      </c>
      <c r="X60" s="20">
        <f t="shared" si="55"/>
        <v>0</v>
      </c>
      <c r="Y60" s="20">
        <f t="shared" si="55"/>
        <v>0</v>
      </c>
      <c r="Z60" s="20">
        <f t="shared" si="56"/>
        <v>1.8516913264774255</v>
      </c>
      <c r="AA60" s="20">
        <f t="shared" si="56"/>
        <v>0</v>
      </c>
      <c r="AB60" s="20">
        <f t="shared" si="56"/>
        <v>0</v>
      </c>
      <c r="AC60" s="20">
        <f t="shared" si="56"/>
        <v>0</v>
      </c>
      <c r="AD60" s="20">
        <f t="shared" si="57"/>
        <v>1.8516913264774255</v>
      </c>
      <c r="AE60" s="20">
        <f t="shared" si="58"/>
        <v>18.174199205517308</v>
      </c>
      <c r="AF60" s="20">
        <f t="shared" si="58"/>
        <v>0</v>
      </c>
      <c r="AG60" s="20">
        <f t="shared" si="58"/>
        <v>0</v>
      </c>
      <c r="AH60" s="20">
        <f t="shared" si="58"/>
        <v>0</v>
      </c>
      <c r="AI60" s="20">
        <f t="shared" si="59"/>
        <v>14.630242321458766</v>
      </c>
      <c r="AJ60" s="20">
        <f t="shared" si="59"/>
        <v>0</v>
      </c>
      <c r="AK60" s="20">
        <f t="shared" si="59"/>
        <v>0</v>
      </c>
      <c r="AL60" s="20">
        <f t="shared" si="59"/>
        <v>0</v>
      </c>
      <c r="AM60" s="20">
        <f t="shared" si="60"/>
        <v>14.630242321458766</v>
      </c>
      <c r="AO60">
        <f t="shared" si="61"/>
        <v>2.426641483348666</v>
      </c>
      <c r="AP60">
        <f t="shared" si="61"/>
        <v>0</v>
      </c>
      <c r="AQ60">
        <f t="shared" si="61"/>
        <v>0</v>
      </c>
      <c r="AR60">
        <f t="shared" si="61"/>
        <v>0</v>
      </c>
      <c r="AS60">
        <f t="shared" si="62"/>
        <v>2.426641483348666</v>
      </c>
      <c r="AU60">
        <f t="shared" si="63"/>
        <v>19.172932562271715</v>
      </c>
      <c r="AV60">
        <f t="shared" si="63"/>
        <v>0</v>
      </c>
      <c r="AW60">
        <f t="shared" si="63"/>
        <v>0</v>
      </c>
      <c r="AX60">
        <f t="shared" si="63"/>
        <v>0</v>
      </c>
      <c r="AY60">
        <f t="shared" si="64"/>
        <v>19.172932562271715</v>
      </c>
    </row>
    <row r="61" spans="1:53" ht="15" x14ac:dyDescent="0.25">
      <c r="A61" s="1"/>
      <c r="B61" s="2"/>
      <c r="C61" s="1" t="s">
        <v>12</v>
      </c>
      <c r="D61">
        <v>0</v>
      </c>
      <c r="E61" s="360">
        <v>0</v>
      </c>
      <c r="F61">
        <v>0</v>
      </c>
      <c r="G61">
        <v>0</v>
      </c>
      <c r="H61">
        <v>0</v>
      </c>
      <c r="J61">
        <v>0</v>
      </c>
      <c r="K61" s="14">
        <v>0</v>
      </c>
      <c r="L61">
        <v>0</v>
      </c>
      <c r="M61">
        <v>0</v>
      </c>
      <c r="N61">
        <v>0</v>
      </c>
      <c r="O61" s="20"/>
      <c r="P61" s="20"/>
      <c r="Q61" s="438"/>
      <c r="R61" s="197">
        <v>0.33900000000000002</v>
      </c>
      <c r="S61" s="197">
        <v>1.9830000000000001</v>
      </c>
      <c r="T61" s="197">
        <v>0.76146788990825687</v>
      </c>
      <c r="U61" s="197">
        <v>0.76146788990825687</v>
      </c>
      <c r="V61" s="20">
        <f t="shared" si="55"/>
        <v>0</v>
      </c>
      <c r="W61" s="20">
        <f t="shared" si="55"/>
        <v>0</v>
      </c>
      <c r="X61" s="20">
        <f t="shared" si="55"/>
        <v>0</v>
      </c>
      <c r="Y61" s="20">
        <f t="shared" si="55"/>
        <v>0</v>
      </c>
      <c r="Z61" s="20">
        <f t="shared" si="56"/>
        <v>0</v>
      </c>
      <c r="AA61" s="20">
        <f t="shared" si="56"/>
        <v>0</v>
      </c>
      <c r="AB61" s="20">
        <f t="shared" si="56"/>
        <v>0</v>
      </c>
      <c r="AC61" s="20">
        <f t="shared" si="56"/>
        <v>0</v>
      </c>
      <c r="AD61" s="20">
        <f t="shared" si="57"/>
        <v>0</v>
      </c>
      <c r="AE61" s="20">
        <f t="shared" si="58"/>
        <v>0</v>
      </c>
      <c r="AF61" s="20">
        <f t="shared" si="58"/>
        <v>0</v>
      </c>
      <c r="AG61" s="20">
        <f t="shared" si="58"/>
        <v>0</v>
      </c>
      <c r="AH61" s="20">
        <f t="shared" si="58"/>
        <v>0</v>
      </c>
      <c r="AI61" s="20">
        <f t="shared" si="59"/>
        <v>0</v>
      </c>
      <c r="AJ61" s="20">
        <f t="shared" si="59"/>
        <v>0</v>
      </c>
      <c r="AK61" s="20">
        <f t="shared" si="59"/>
        <v>0</v>
      </c>
      <c r="AL61" s="20">
        <f t="shared" si="59"/>
        <v>0</v>
      </c>
      <c r="AM61" s="20">
        <f t="shared" si="60"/>
        <v>0</v>
      </c>
      <c r="AO61">
        <f t="shared" si="61"/>
        <v>0</v>
      </c>
      <c r="AP61">
        <f t="shared" si="61"/>
        <v>0</v>
      </c>
      <c r="AQ61">
        <f t="shared" si="61"/>
        <v>0</v>
      </c>
      <c r="AR61">
        <f t="shared" si="61"/>
        <v>0</v>
      </c>
      <c r="AS61">
        <f t="shared" si="62"/>
        <v>0</v>
      </c>
      <c r="AU61">
        <f t="shared" si="63"/>
        <v>0</v>
      </c>
      <c r="AV61">
        <f t="shared" si="63"/>
        <v>0</v>
      </c>
      <c r="AW61">
        <f t="shared" si="63"/>
        <v>0</v>
      </c>
      <c r="AX61">
        <f t="shared" si="63"/>
        <v>0</v>
      </c>
      <c r="AY61">
        <f t="shared" si="64"/>
        <v>0</v>
      </c>
    </row>
    <row r="62" spans="1:53" ht="15" x14ac:dyDescent="0.25">
      <c r="A62" s="1"/>
      <c r="B62" s="2"/>
      <c r="C62" s="1" t="s">
        <v>13</v>
      </c>
      <c r="D62">
        <v>0</v>
      </c>
      <c r="E62" s="360">
        <v>1.4E-3</v>
      </c>
      <c r="F62">
        <v>0</v>
      </c>
      <c r="G62">
        <v>0</v>
      </c>
      <c r="H62">
        <v>0</v>
      </c>
      <c r="J62">
        <v>0</v>
      </c>
      <c r="K62" s="14">
        <v>1.4E-3</v>
      </c>
      <c r="L62">
        <v>0</v>
      </c>
      <c r="M62">
        <v>0</v>
      </c>
      <c r="N62">
        <v>0</v>
      </c>
      <c r="O62" s="20"/>
      <c r="P62" s="20"/>
      <c r="Q62" s="438">
        <v>0.53099552774089276</v>
      </c>
      <c r="R62" s="197">
        <v>0.33900000000000002</v>
      </c>
      <c r="S62" s="197">
        <v>1.9830000000000001</v>
      </c>
      <c r="T62" s="197">
        <v>0.76146788990825687</v>
      </c>
      <c r="U62" s="197">
        <v>0.76146788990825687</v>
      </c>
      <c r="V62" s="20">
        <f t="shared" si="55"/>
        <v>9.2677368499987517E-4</v>
      </c>
      <c r="W62" s="20">
        <f t="shared" si="55"/>
        <v>0</v>
      </c>
      <c r="X62" s="20">
        <f t="shared" si="55"/>
        <v>0</v>
      </c>
      <c r="Y62" s="20">
        <f t="shared" si="55"/>
        <v>0</v>
      </c>
      <c r="Z62" s="20">
        <f t="shared" si="56"/>
        <v>7.4605342636407674E-4</v>
      </c>
      <c r="AA62" s="20">
        <f t="shared" si="56"/>
        <v>0</v>
      </c>
      <c r="AB62" s="20">
        <f t="shared" si="56"/>
        <v>0</v>
      </c>
      <c r="AC62" s="20">
        <f t="shared" si="56"/>
        <v>0</v>
      </c>
      <c r="AD62" s="20">
        <f t="shared" si="57"/>
        <v>7.4605342636407674E-4</v>
      </c>
      <c r="AE62" s="20">
        <f t="shared" si="58"/>
        <v>8.5372465660332759E-3</v>
      </c>
      <c r="AF62" s="20">
        <f t="shared" si="58"/>
        <v>0</v>
      </c>
      <c r="AG62" s="20">
        <f t="shared" si="58"/>
        <v>0</v>
      </c>
      <c r="AH62" s="20">
        <f t="shared" si="58"/>
        <v>0</v>
      </c>
      <c r="AI62" s="20">
        <f t="shared" si="59"/>
        <v>6.8724891042897182E-3</v>
      </c>
      <c r="AJ62" s="20">
        <f t="shared" si="59"/>
        <v>0</v>
      </c>
      <c r="AK62" s="20">
        <f t="shared" si="59"/>
        <v>0</v>
      </c>
      <c r="AL62" s="20">
        <f t="shared" si="59"/>
        <v>0</v>
      </c>
      <c r="AM62" s="20">
        <f t="shared" si="60"/>
        <v>6.8724891042897182E-3</v>
      </c>
      <c r="AO62">
        <f t="shared" si="61"/>
        <v>9.7770301525012247E-4</v>
      </c>
      <c r="AP62">
        <f t="shared" si="61"/>
        <v>0</v>
      </c>
      <c r="AQ62">
        <f t="shared" si="61"/>
        <v>0</v>
      </c>
      <c r="AR62">
        <f t="shared" si="61"/>
        <v>0</v>
      </c>
      <c r="AS62">
        <f t="shared" si="62"/>
        <v>9.7770301525012247E-4</v>
      </c>
      <c r="AU62">
        <f t="shared" si="63"/>
        <v>9.0063969711716759E-3</v>
      </c>
      <c r="AV62">
        <f t="shared" si="63"/>
        <v>0</v>
      </c>
      <c r="AW62">
        <f t="shared" si="63"/>
        <v>0</v>
      </c>
      <c r="AX62">
        <f t="shared" si="63"/>
        <v>0</v>
      </c>
      <c r="AY62">
        <f t="shared" si="64"/>
        <v>9.0063969711716759E-3</v>
      </c>
    </row>
    <row r="63" spans="1:53" ht="15" x14ac:dyDescent="0.25">
      <c r="A63" s="7"/>
      <c r="B63" s="8" t="s">
        <v>14</v>
      </c>
      <c r="C63" s="7"/>
      <c r="D63" s="357">
        <f t="shared" ref="D63:H63" si="65">SUM(D57:D62)</f>
        <v>0</v>
      </c>
      <c r="E63" s="363">
        <f>SUM(E57:E62)</f>
        <v>18.565100000000001</v>
      </c>
      <c r="F63" s="357">
        <f t="shared" si="65"/>
        <v>0</v>
      </c>
      <c r="G63" s="357">
        <f t="shared" si="65"/>
        <v>0</v>
      </c>
      <c r="H63" s="357">
        <f t="shared" si="65"/>
        <v>0</v>
      </c>
      <c r="J63">
        <v>0</v>
      </c>
      <c r="K63" s="14">
        <v>16.231872926109002</v>
      </c>
      <c r="L63">
        <v>0</v>
      </c>
      <c r="M63">
        <v>0</v>
      </c>
      <c r="N63">
        <v>0</v>
      </c>
      <c r="O63" s="20"/>
      <c r="P63" s="20"/>
      <c r="Q63" s="438">
        <v>0.48327735577077657</v>
      </c>
      <c r="R63" s="197"/>
      <c r="S63" s="197"/>
      <c r="T63" s="197"/>
      <c r="U63" s="197"/>
      <c r="BA63" s="319">
        <f>(E63*10000*Q63*AU$10)</f>
        <v>117579.27139501068</v>
      </c>
    </row>
    <row r="64" spans="1:53" ht="15" x14ac:dyDescent="0.25">
      <c r="A64" s="10"/>
      <c r="B64" s="9" t="s">
        <v>15</v>
      </c>
      <c r="C64" s="5"/>
      <c r="E64" s="363">
        <f>SUM(E63)</f>
        <v>18.565100000000001</v>
      </c>
      <c r="H64" s="358">
        <f>SUM(D63:H63)</f>
        <v>18.565100000000001</v>
      </c>
      <c r="K64" s="14"/>
      <c r="N64">
        <v>0</v>
      </c>
      <c r="O64" s="20"/>
      <c r="P64" s="20"/>
      <c r="Q64" s="438"/>
      <c r="R64" s="197"/>
      <c r="S64" s="197"/>
      <c r="T64" s="197"/>
      <c r="U64" s="197"/>
    </row>
    <row r="65" spans="1:53" ht="15.75" x14ac:dyDescent="0.25">
      <c r="A65" s="3"/>
      <c r="B65" s="11"/>
      <c r="C65" s="3"/>
      <c r="E65" s="361"/>
      <c r="K65" s="14"/>
      <c r="O65" s="20"/>
      <c r="P65" s="20"/>
      <c r="Q65" s="439"/>
      <c r="R65" s="197"/>
      <c r="S65" s="197"/>
      <c r="T65" s="197"/>
      <c r="U65" s="197"/>
    </row>
    <row r="66" spans="1:53" ht="15" x14ac:dyDescent="0.25">
      <c r="A66" s="3">
        <v>7</v>
      </c>
      <c r="B66" s="11" t="s">
        <v>21</v>
      </c>
      <c r="C66" s="3" t="s">
        <v>8</v>
      </c>
      <c r="D66">
        <v>0</v>
      </c>
      <c r="E66" s="360">
        <v>3.6787999999999998</v>
      </c>
      <c r="F66">
        <v>0</v>
      </c>
      <c r="G66">
        <v>0</v>
      </c>
      <c r="H66">
        <v>0</v>
      </c>
      <c r="J66">
        <v>0</v>
      </c>
      <c r="K66" s="14">
        <v>0.48486916860059948</v>
      </c>
      <c r="L66">
        <v>0</v>
      </c>
      <c r="M66">
        <v>0</v>
      </c>
      <c r="N66">
        <v>0</v>
      </c>
      <c r="O66" s="20"/>
      <c r="P66" s="20"/>
      <c r="Q66" s="438">
        <v>4.9092786231741875E-2</v>
      </c>
      <c r="R66" s="197">
        <v>0.15</v>
      </c>
      <c r="S66" s="197">
        <v>1.18</v>
      </c>
      <c r="T66" s="197">
        <v>0.46666666666666673</v>
      </c>
      <c r="U66" s="197">
        <v>0.6566321730950142</v>
      </c>
      <c r="V66" s="20">
        <f t="shared" ref="V66:Y71" si="66">IF(K66&gt;0,((E66-K66)*$Q66*$R66*10)+(K66*$O$12*$Q66*$R66*10),(E66*$Q66*$R66*10))</f>
        <v>0.24832916730135446</v>
      </c>
      <c r="W66" s="20">
        <f t="shared" si="66"/>
        <v>0</v>
      </c>
      <c r="X66" s="20">
        <f t="shared" si="66"/>
        <v>0</v>
      </c>
      <c r="Y66" s="20">
        <f t="shared" si="66"/>
        <v>0</v>
      </c>
      <c r="Z66" s="20">
        <f t="shared" ref="Z66:AC71" si="67">V66*(EXP(1.01-0.34*LN(Z$8))*(1-$T66)+(1*$T66))</f>
        <v>0.14005801577807553</v>
      </c>
      <c r="AA66" s="20">
        <f t="shared" si="67"/>
        <v>0</v>
      </c>
      <c r="AB66" s="20">
        <f t="shared" si="67"/>
        <v>0</v>
      </c>
      <c r="AC66" s="20">
        <f t="shared" si="67"/>
        <v>0</v>
      </c>
      <c r="AD66" s="20">
        <f t="shared" ref="AD66:AD71" si="68">SUM(Z66:AC66)</f>
        <v>0.14005801577807553</v>
      </c>
      <c r="AE66" s="20">
        <f t="shared" ref="AE66:AH71" si="69">IF(K66&gt;0,((E66-K66)*$Q66*$S66*10)+(K66*$P$12*$Q66*$S66)*10,(E66*$Q66*$S66*10))</f>
        <v>2.0128951488288584</v>
      </c>
      <c r="AF66" s="20">
        <f t="shared" si="69"/>
        <v>0</v>
      </c>
      <c r="AG66" s="20">
        <f t="shared" si="69"/>
        <v>0</v>
      </c>
      <c r="AH66" s="20">
        <f t="shared" si="69"/>
        <v>0</v>
      </c>
      <c r="AI66" s="20">
        <f t="shared" ref="AI66:AL71" si="70">AE66*(EXP(1.01-0.34*LN(AI$8))*(1-$U66)+(1*$U66))</f>
        <v>1.4478709493005162</v>
      </c>
      <c r="AJ66" s="20">
        <f t="shared" si="70"/>
        <v>0</v>
      </c>
      <c r="AK66" s="20">
        <f t="shared" si="70"/>
        <v>0</v>
      </c>
      <c r="AL66" s="20">
        <f t="shared" si="70"/>
        <v>0</v>
      </c>
      <c r="AM66" s="20">
        <f t="shared" ref="AM66:AM71" si="71">SUM(AI66:AL66)</f>
        <v>1.4478709493005162</v>
      </c>
      <c r="AO66">
        <f t="shared" ref="AO66:AR71" si="72">Z66*AO$10</f>
        <v>0.18354602967716799</v>
      </c>
      <c r="AP66">
        <f t="shared" si="72"/>
        <v>0</v>
      </c>
      <c r="AQ66">
        <f t="shared" si="72"/>
        <v>0</v>
      </c>
      <c r="AR66">
        <f t="shared" si="72"/>
        <v>0</v>
      </c>
      <c r="AS66">
        <f t="shared" ref="AS66:AS71" si="73">SUM(AO66:AR66)</f>
        <v>0.18354602967716799</v>
      </c>
      <c r="AU66">
        <f t="shared" ref="AU66:AX71" si="74">AI66*AU$10</f>
        <v>1.8974348790583264</v>
      </c>
      <c r="AV66">
        <f t="shared" si="74"/>
        <v>0</v>
      </c>
      <c r="AW66">
        <f t="shared" si="74"/>
        <v>0</v>
      </c>
      <c r="AX66">
        <f t="shared" si="74"/>
        <v>0</v>
      </c>
      <c r="AY66">
        <f t="shared" ref="AY66:AY71" si="75">SUM(AU66:AX66)</f>
        <v>1.8974348790583264</v>
      </c>
    </row>
    <row r="67" spans="1:53" ht="15" x14ac:dyDescent="0.25">
      <c r="A67" s="3"/>
      <c r="B67" s="11"/>
      <c r="C67" s="3" t="s">
        <v>9</v>
      </c>
      <c r="D67">
        <v>0</v>
      </c>
      <c r="E67" s="360">
        <v>4.2149000000000001</v>
      </c>
      <c r="F67">
        <v>0</v>
      </c>
      <c r="G67">
        <v>0</v>
      </c>
      <c r="H67">
        <v>0</v>
      </c>
      <c r="J67">
        <v>0</v>
      </c>
      <c r="K67" s="14">
        <v>-24.0944119095</v>
      </c>
      <c r="L67">
        <v>0</v>
      </c>
      <c r="M67">
        <v>0</v>
      </c>
      <c r="N67">
        <v>0</v>
      </c>
      <c r="O67" s="20"/>
      <c r="P67" s="20"/>
      <c r="Q67" s="438">
        <v>8.9185572463483756E-2</v>
      </c>
      <c r="R67" s="197">
        <v>0.15</v>
      </c>
      <c r="S67" s="197">
        <v>1.18</v>
      </c>
      <c r="T67" s="197">
        <v>0.46666666666666673</v>
      </c>
      <c r="U67" s="197">
        <v>0.6566321730950142</v>
      </c>
      <c r="V67" s="20">
        <f t="shared" si="66"/>
        <v>0.56386240406450661</v>
      </c>
      <c r="W67" s="20">
        <f t="shared" si="66"/>
        <v>0</v>
      </c>
      <c r="X67" s="20">
        <f t="shared" si="66"/>
        <v>0</v>
      </c>
      <c r="Y67" s="20">
        <f t="shared" si="66"/>
        <v>0</v>
      </c>
      <c r="Z67" s="20">
        <f t="shared" si="67"/>
        <v>0.31801922562440582</v>
      </c>
      <c r="AA67" s="20">
        <f t="shared" si="67"/>
        <v>0</v>
      </c>
      <c r="AB67" s="20">
        <f t="shared" si="67"/>
        <v>0</v>
      </c>
      <c r="AC67" s="20">
        <f t="shared" si="67"/>
        <v>0</v>
      </c>
      <c r="AD67" s="20">
        <f t="shared" si="68"/>
        <v>0.31801922562440582</v>
      </c>
      <c r="AE67" s="20">
        <f t="shared" si="69"/>
        <v>4.4357175786407845</v>
      </c>
      <c r="AF67" s="20">
        <f t="shared" si="69"/>
        <v>0</v>
      </c>
      <c r="AG67" s="20">
        <f t="shared" si="69"/>
        <v>0</v>
      </c>
      <c r="AH67" s="20">
        <f t="shared" si="69"/>
        <v>0</v>
      </c>
      <c r="AI67" s="20">
        <f t="shared" si="70"/>
        <v>3.1906016690200016</v>
      </c>
      <c r="AJ67" s="20">
        <f t="shared" si="70"/>
        <v>0</v>
      </c>
      <c r="AK67" s="20">
        <f t="shared" si="70"/>
        <v>0</v>
      </c>
      <c r="AL67" s="20">
        <f t="shared" si="70"/>
        <v>0</v>
      </c>
      <c r="AM67" s="20">
        <f t="shared" si="71"/>
        <v>3.1906016690200016</v>
      </c>
      <c r="AO67">
        <f t="shared" si="72"/>
        <v>0.41676419518078384</v>
      </c>
      <c r="AP67">
        <f t="shared" si="72"/>
        <v>0</v>
      </c>
      <c r="AQ67">
        <f t="shared" si="72"/>
        <v>0</v>
      </c>
      <c r="AR67">
        <f t="shared" si="72"/>
        <v>0</v>
      </c>
      <c r="AS67">
        <f t="shared" si="73"/>
        <v>0.41676419518078384</v>
      </c>
      <c r="AU67">
        <f t="shared" si="74"/>
        <v>4.1812834872507123</v>
      </c>
      <c r="AV67">
        <f t="shared" si="74"/>
        <v>0</v>
      </c>
      <c r="AW67">
        <f t="shared" si="74"/>
        <v>0</v>
      </c>
      <c r="AX67">
        <f t="shared" si="74"/>
        <v>0</v>
      </c>
      <c r="AY67">
        <f t="shared" si="75"/>
        <v>4.1812834872507123</v>
      </c>
    </row>
    <row r="68" spans="1:53" ht="15" x14ac:dyDescent="0.25">
      <c r="A68" s="3"/>
      <c r="B68" s="11"/>
      <c r="C68" s="3" t="s">
        <v>10</v>
      </c>
      <c r="D68">
        <v>0</v>
      </c>
      <c r="E68" s="360">
        <v>0</v>
      </c>
      <c r="F68">
        <v>0</v>
      </c>
      <c r="G68">
        <v>0</v>
      </c>
      <c r="H68">
        <v>0</v>
      </c>
      <c r="J68">
        <v>0</v>
      </c>
      <c r="K68" s="14">
        <v>0</v>
      </c>
      <c r="L68">
        <v>0</v>
      </c>
      <c r="M68">
        <v>0</v>
      </c>
      <c r="N68">
        <v>0</v>
      </c>
      <c r="O68" s="20"/>
      <c r="P68" s="20"/>
      <c r="Q68" s="438"/>
      <c r="R68" s="197">
        <v>0.15</v>
      </c>
      <c r="S68" s="197">
        <v>1.18</v>
      </c>
      <c r="T68" s="197">
        <v>0.46666666666666673</v>
      </c>
      <c r="U68" s="197">
        <v>0.6566321730950142</v>
      </c>
      <c r="V68" s="20">
        <f t="shared" si="66"/>
        <v>0</v>
      </c>
      <c r="W68" s="20">
        <f t="shared" si="66"/>
        <v>0</v>
      </c>
      <c r="X68" s="20">
        <f t="shared" si="66"/>
        <v>0</v>
      </c>
      <c r="Y68" s="20">
        <f t="shared" si="66"/>
        <v>0</v>
      </c>
      <c r="Z68" s="20">
        <f t="shared" si="67"/>
        <v>0</v>
      </c>
      <c r="AA68" s="20">
        <f t="shared" si="67"/>
        <v>0</v>
      </c>
      <c r="AB68" s="20">
        <f t="shared" si="67"/>
        <v>0</v>
      </c>
      <c r="AC68" s="20">
        <f t="shared" si="67"/>
        <v>0</v>
      </c>
      <c r="AD68" s="20">
        <f t="shared" si="68"/>
        <v>0</v>
      </c>
      <c r="AE68" s="20">
        <f t="shared" si="69"/>
        <v>0</v>
      </c>
      <c r="AF68" s="20">
        <f t="shared" si="69"/>
        <v>0</v>
      </c>
      <c r="AG68" s="20">
        <f t="shared" si="69"/>
        <v>0</v>
      </c>
      <c r="AH68" s="20">
        <f t="shared" si="69"/>
        <v>0</v>
      </c>
      <c r="AI68" s="20">
        <f t="shared" si="70"/>
        <v>0</v>
      </c>
      <c r="AJ68" s="20">
        <f t="shared" si="70"/>
        <v>0</v>
      </c>
      <c r="AK68" s="20">
        <f t="shared" si="70"/>
        <v>0</v>
      </c>
      <c r="AL68" s="20">
        <f t="shared" si="70"/>
        <v>0</v>
      </c>
      <c r="AM68" s="20">
        <f t="shared" si="71"/>
        <v>0</v>
      </c>
      <c r="AO68">
        <f t="shared" si="72"/>
        <v>0</v>
      </c>
      <c r="AP68">
        <f t="shared" si="72"/>
        <v>0</v>
      </c>
      <c r="AQ68">
        <f t="shared" si="72"/>
        <v>0</v>
      </c>
      <c r="AR68">
        <f t="shared" si="72"/>
        <v>0</v>
      </c>
      <c r="AS68">
        <f t="shared" si="73"/>
        <v>0</v>
      </c>
      <c r="AU68">
        <f t="shared" si="74"/>
        <v>0</v>
      </c>
      <c r="AV68">
        <f t="shared" si="74"/>
        <v>0</v>
      </c>
      <c r="AW68">
        <f t="shared" si="74"/>
        <v>0</v>
      </c>
      <c r="AX68">
        <f t="shared" si="74"/>
        <v>0</v>
      </c>
      <c r="AY68">
        <f t="shared" si="75"/>
        <v>0</v>
      </c>
    </row>
    <row r="69" spans="1:53" ht="15" x14ac:dyDescent="0.25">
      <c r="A69" s="3"/>
      <c r="B69" s="11"/>
      <c r="C69" s="3" t="s">
        <v>11</v>
      </c>
      <c r="D69">
        <v>0</v>
      </c>
      <c r="E69" s="360">
        <v>0.18565999999999999</v>
      </c>
      <c r="F69">
        <v>0</v>
      </c>
      <c r="G69">
        <v>0</v>
      </c>
      <c r="H69">
        <v>0</v>
      </c>
      <c r="J69">
        <v>0</v>
      </c>
      <c r="K69" s="14">
        <v>-0.24479512371430001</v>
      </c>
      <c r="L69">
        <v>0</v>
      </c>
      <c r="M69">
        <v>0</v>
      </c>
      <c r="N69">
        <v>0</v>
      </c>
      <c r="O69" s="20"/>
      <c r="P69" s="20"/>
      <c r="Q69" s="438">
        <v>0.1693711449269675</v>
      </c>
      <c r="R69" s="197">
        <v>0.15</v>
      </c>
      <c r="S69" s="197">
        <v>1.18</v>
      </c>
      <c r="T69" s="197">
        <v>0.46666666666666673</v>
      </c>
      <c r="U69" s="197">
        <v>0.6566321730950142</v>
      </c>
      <c r="V69" s="20">
        <f t="shared" si="66"/>
        <v>4.7168170150711168E-2</v>
      </c>
      <c r="W69" s="20">
        <f t="shared" si="66"/>
        <v>0</v>
      </c>
      <c r="X69" s="20">
        <f t="shared" si="66"/>
        <v>0</v>
      </c>
      <c r="Y69" s="20">
        <f t="shared" si="66"/>
        <v>0</v>
      </c>
      <c r="Z69" s="20">
        <f t="shared" si="67"/>
        <v>2.6602917373674224E-2</v>
      </c>
      <c r="AA69" s="20">
        <f t="shared" si="67"/>
        <v>0</v>
      </c>
      <c r="AB69" s="20">
        <f t="shared" si="67"/>
        <v>0</v>
      </c>
      <c r="AC69" s="20">
        <f t="shared" si="67"/>
        <v>0</v>
      </c>
      <c r="AD69" s="20">
        <f t="shared" si="68"/>
        <v>2.6602917373674224E-2</v>
      </c>
      <c r="AE69" s="20">
        <f t="shared" si="69"/>
        <v>0.3710562718522612</v>
      </c>
      <c r="AF69" s="20">
        <f t="shared" si="69"/>
        <v>0</v>
      </c>
      <c r="AG69" s="20">
        <f t="shared" si="69"/>
        <v>0</v>
      </c>
      <c r="AH69" s="20">
        <f t="shared" si="69"/>
        <v>0</v>
      </c>
      <c r="AI69" s="20">
        <f t="shared" si="70"/>
        <v>0.26689994105416842</v>
      </c>
      <c r="AJ69" s="20">
        <f t="shared" si="70"/>
        <v>0</v>
      </c>
      <c r="AK69" s="20">
        <f t="shared" si="70"/>
        <v>0</v>
      </c>
      <c r="AL69" s="20">
        <f t="shared" si="70"/>
        <v>0</v>
      </c>
      <c r="AM69" s="20">
        <f t="shared" si="71"/>
        <v>0.26689994105416842</v>
      </c>
      <c r="AO69">
        <f t="shared" si="72"/>
        <v>3.4863123218200072E-2</v>
      </c>
      <c r="AP69">
        <f t="shared" si="72"/>
        <v>0</v>
      </c>
      <c r="AQ69">
        <f t="shared" si="72"/>
        <v>0</v>
      </c>
      <c r="AR69">
        <f t="shared" si="72"/>
        <v>0</v>
      </c>
      <c r="AS69">
        <f t="shared" si="73"/>
        <v>3.4863123218200072E-2</v>
      </c>
      <c r="AU69">
        <f t="shared" si="74"/>
        <v>0.3497723727514877</v>
      </c>
      <c r="AV69">
        <f t="shared" si="74"/>
        <v>0</v>
      </c>
      <c r="AW69">
        <f t="shared" si="74"/>
        <v>0</v>
      </c>
      <c r="AX69">
        <f t="shared" si="74"/>
        <v>0</v>
      </c>
      <c r="AY69">
        <f t="shared" si="75"/>
        <v>0.3497723727514877</v>
      </c>
    </row>
    <row r="70" spans="1:53" ht="15" x14ac:dyDescent="0.25">
      <c r="A70" s="3"/>
      <c r="B70" s="12"/>
      <c r="C70" s="3" t="s">
        <v>12</v>
      </c>
      <c r="D70">
        <v>0</v>
      </c>
      <c r="E70" s="360">
        <v>0</v>
      </c>
      <c r="F70">
        <v>0</v>
      </c>
      <c r="G70">
        <v>0</v>
      </c>
      <c r="H70">
        <v>0</v>
      </c>
      <c r="J70">
        <v>0</v>
      </c>
      <c r="K70" s="14">
        <v>0</v>
      </c>
      <c r="L70">
        <v>0</v>
      </c>
      <c r="M70">
        <v>0</v>
      </c>
      <c r="N70">
        <v>0</v>
      </c>
      <c r="O70" s="20"/>
      <c r="P70" s="20"/>
      <c r="Q70" s="438"/>
      <c r="R70" s="197">
        <v>0.15</v>
      </c>
      <c r="S70" s="197">
        <v>1.18</v>
      </c>
      <c r="T70" s="197">
        <v>0.46666666666666673</v>
      </c>
      <c r="U70" s="197">
        <v>0.6566321730950142</v>
      </c>
      <c r="V70" s="20">
        <f t="shared" si="66"/>
        <v>0</v>
      </c>
      <c r="W70" s="20">
        <f t="shared" si="66"/>
        <v>0</v>
      </c>
      <c r="X70" s="20">
        <f t="shared" si="66"/>
        <v>0</v>
      </c>
      <c r="Y70" s="20">
        <f t="shared" si="66"/>
        <v>0</v>
      </c>
      <c r="Z70" s="20">
        <f t="shared" si="67"/>
        <v>0</v>
      </c>
      <c r="AA70" s="20">
        <f t="shared" si="67"/>
        <v>0</v>
      </c>
      <c r="AB70" s="20">
        <f t="shared" si="67"/>
        <v>0</v>
      </c>
      <c r="AC70" s="20">
        <f t="shared" si="67"/>
        <v>0</v>
      </c>
      <c r="AD70" s="20">
        <f t="shared" si="68"/>
        <v>0</v>
      </c>
      <c r="AE70" s="20">
        <f t="shared" si="69"/>
        <v>0</v>
      </c>
      <c r="AF70" s="20">
        <f t="shared" si="69"/>
        <v>0</v>
      </c>
      <c r="AG70" s="20">
        <f t="shared" si="69"/>
        <v>0</v>
      </c>
      <c r="AH70" s="20">
        <f t="shared" si="69"/>
        <v>0</v>
      </c>
      <c r="AI70" s="20">
        <f t="shared" si="70"/>
        <v>0</v>
      </c>
      <c r="AJ70" s="20">
        <f t="shared" si="70"/>
        <v>0</v>
      </c>
      <c r="AK70" s="20">
        <f t="shared" si="70"/>
        <v>0</v>
      </c>
      <c r="AL70" s="20">
        <f t="shared" si="70"/>
        <v>0</v>
      </c>
      <c r="AM70" s="20">
        <f t="shared" si="71"/>
        <v>0</v>
      </c>
      <c r="AO70">
        <f t="shared" si="72"/>
        <v>0</v>
      </c>
      <c r="AP70">
        <f t="shared" si="72"/>
        <v>0</v>
      </c>
      <c r="AQ70">
        <f t="shared" si="72"/>
        <v>0</v>
      </c>
      <c r="AR70">
        <f t="shared" si="72"/>
        <v>0</v>
      </c>
      <c r="AS70">
        <f t="shared" si="73"/>
        <v>0</v>
      </c>
      <c r="AU70">
        <f t="shared" si="74"/>
        <v>0</v>
      </c>
      <c r="AV70">
        <f t="shared" si="74"/>
        <v>0</v>
      </c>
      <c r="AW70">
        <f t="shared" si="74"/>
        <v>0</v>
      </c>
      <c r="AX70">
        <f t="shared" si="74"/>
        <v>0</v>
      </c>
      <c r="AY70">
        <f t="shared" si="75"/>
        <v>0</v>
      </c>
    </row>
    <row r="71" spans="1:53" ht="15" x14ac:dyDescent="0.25">
      <c r="A71" s="3"/>
      <c r="B71" s="12"/>
      <c r="C71" s="3" t="s">
        <v>13</v>
      </c>
      <c r="D71">
        <v>0</v>
      </c>
      <c r="E71" s="360">
        <v>0</v>
      </c>
      <c r="F71">
        <v>0</v>
      </c>
      <c r="G71">
        <v>0</v>
      </c>
      <c r="H71">
        <v>0</v>
      </c>
      <c r="J71">
        <v>0</v>
      </c>
      <c r="K71" s="14">
        <v>-3.8476341248699999</v>
      </c>
      <c r="L71">
        <v>0</v>
      </c>
      <c r="M71">
        <v>0</v>
      </c>
      <c r="N71">
        <v>0</v>
      </c>
      <c r="O71" s="20"/>
      <c r="P71" s="20"/>
      <c r="Q71" s="438"/>
      <c r="R71" s="197">
        <v>0.15</v>
      </c>
      <c r="S71" s="197">
        <v>1.18</v>
      </c>
      <c r="T71" s="197">
        <v>0.46666666666666673</v>
      </c>
      <c r="U71" s="197">
        <v>0.6566321730950142</v>
      </c>
      <c r="V71" s="20">
        <f t="shared" si="66"/>
        <v>0</v>
      </c>
      <c r="W71" s="20">
        <f t="shared" si="66"/>
        <v>0</v>
      </c>
      <c r="X71" s="20">
        <f t="shared" si="66"/>
        <v>0</v>
      </c>
      <c r="Y71" s="20">
        <f t="shared" si="66"/>
        <v>0</v>
      </c>
      <c r="Z71" s="20">
        <f t="shared" si="67"/>
        <v>0</v>
      </c>
      <c r="AA71" s="20">
        <f t="shared" si="67"/>
        <v>0</v>
      </c>
      <c r="AB71" s="20">
        <f t="shared" si="67"/>
        <v>0</v>
      </c>
      <c r="AC71" s="20">
        <f t="shared" si="67"/>
        <v>0</v>
      </c>
      <c r="AD71" s="20">
        <f t="shared" si="68"/>
        <v>0</v>
      </c>
      <c r="AE71" s="20">
        <f t="shared" si="69"/>
        <v>0</v>
      </c>
      <c r="AF71" s="20">
        <f t="shared" si="69"/>
        <v>0</v>
      </c>
      <c r="AG71" s="20">
        <f t="shared" si="69"/>
        <v>0</v>
      </c>
      <c r="AH71" s="20">
        <f t="shared" si="69"/>
        <v>0</v>
      </c>
      <c r="AI71" s="20">
        <f t="shared" si="70"/>
        <v>0</v>
      </c>
      <c r="AJ71" s="20">
        <f t="shared" si="70"/>
        <v>0</v>
      </c>
      <c r="AK71" s="20">
        <f t="shared" si="70"/>
        <v>0</v>
      </c>
      <c r="AL71" s="20">
        <f t="shared" si="70"/>
        <v>0</v>
      </c>
      <c r="AM71" s="20">
        <f t="shared" si="71"/>
        <v>0</v>
      </c>
      <c r="AO71">
        <f t="shared" si="72"/>
        <v>0</v>
      </c>
      <c r="AP71">
        <f t="shared" si="72"/>
        <v>0</v>
      </c>
      <c r="AQ71">
        <f t="shared" si="72"/>
        <v>0</v>
      </c>
      <c r="AR71">
        <f t="shared" si="72"/>
        <v>0</v>
      </c>
      <c r="AS71">
        <f t="shared" si="73"/>
        <v>0</v>
      </c>
      <c r="AU71">
        <f t="shared" si="74"/>
        <v>0</v>
      </c>
      <c r="AV71">
        <f t="shared" si="74"/>
        <v>0</v>
      </c>
      <c r="AW71">
        <f t="shared" si="74"/>
        <v>0</v>
      </c>
      <c r="AX71">
        <f t="shared" si="74"/>
        <v>0</v>
      </c>
      <c r="AY71">
        <f t="shared" si="75"/>
        <v>0</v>
      </c>
    </row>
    <row r="72" spans="1:53" ht="15" x14ac:dyDescent="0.25">
      <c r="A72" s="7"/>
      <c r="B72" s="8" t="s">
        <v>14</v>
      </c>
      <c r="C72" s="7"/>
      <c r="D72" s="357">
        <f t="shared" ref="D72:H72" si="76">SUM(D66:D71)</f>
        <v>0</v>
      </c>
      <c r="E72" s="363">
        <f>SUM(E66:E71)</f>
        <v>8.0793599999999994</v>
      </c>
      <c r="F72" s="357">
        <f t="shared" si="76"/>
        <v>0</v>
      </c>
      <c r="G72" s="357">
        <f t="shared" si="76"/>
        <v>0</v>
      </c>
      <c r="H72" s="357">
        <f t="shared" si="76"/>
        <v>0</v>
      </c>
      <c r="J72">
        <v>0</v>
      </c>
      <c r="K72" s="14">
        <v>-27.701971989483695</v>
      </c>
      <c r="L72">
        <v>0</v>
      </c>
      <c r="M72">
        <v>0</v>
      </c>
      <c r="N72">
        <v>0</v>
      </c>
      <c r="O72" s="20"/>
      <c r="P72" s="20"/>
      <c r="Q72" s="438">
        <v>7.277262779883685E-2</v>
      </c>
      <c r="R72" s="197"/>
      <c r="S72" s="197"/>
      <c r="T72" s="197"/>
      <c r="U72" s="197"/>
      <c r="BA72" s="319">
        <f>(E72*10000*Q72*AU$10)</f>
        <v>7705.1667628304804</v>
      </c>
    </row>
    <row r="73" spans="1:53" ht="15" x14ac:dyDescent="0.25">
      <c r="A73" s="10"/>
      <c r="B73" s="9" t="s">
        <v>15</v>
      </c>
      <c r="C73" s="5"/>
      <c r="E73" s="363">
        <f>SUM(E72)</f>
        <v>8.0793599999999994</v>
      </c>
      <c r="H73" s="358">
        <f>SUM(D72:H72)</f>
        <v>8.0793599999999994</v>
      </c>
      <c r="K73" s="14"/>
      <c r="N73">
        <v>0</v>
      </c>
      <c r="O73" s="20"/>
      <c r="P73" s="20"/>
      <c r="Q73" s="438"/>
      <c r="R73" s="197"/>
      <c r="S73" s="197"/>
      <c r="T73" s="197"/>
      <c r="U73" s="197"/>
    </row>
    <row r="74" spans="1:53" ht="15.75" x14ac:dyDescent="0.25">
      <c r="A74" s="1"/>
      <c r="B74" s="2"/>
      <c r="C74" s="1"/>
      <c r="E74" s="361"/>
      <c r="K74" s="14"/>
      <c r="O74" s="20"/>
      <c r="P74" s="20"/>
      <c r="Q74" s="439"/>
      <c r="R74" s="197"/>
      <c r="S74" s="197"/>
      <c r="T74" s="197"/>
      <c r="U74" s="197"/>
    </row>
    <row r="75" spans="1:53" ht="15" x14ac:dyDescent="0.25">
      <c r="A75" s="1">
        <v>8</v>
      </c>
      <c r="B75" s="2" t="s">
        <v>22</v>
      </c>
      <c r="C75" s="1" t="s">
        <v>8</v>
      </c>
      <c r="D75">
        <v>0</v>
      </c>
      <c r="E75" s="360">
        <v>0</v>
      </c>
      <c r="F75">
        <v>0</v>
      </c>
      <c r="G75">
        <v>0</v>
      </c>
      <c r="H75">
        <v>0</v>
      </c>
      <c r="J75">
        <v>0</v>
      </c>
      <c r="K75">
        <v>0</v>
      </c>
      <c r="L75">
        <v>0</v>
      </c>
      <c r="M75">
        <v>0</v>
      </c>
      <c r="N75">
        <v>0</v>
      </c>
      <c r="O75" s="20"/>
      <c r="P75" s="20"/>
      <c r="Q75" s="438"/>
      <c r="R75" s="197">
        <v>5.6499999999999995E-2</v>
      </c>
      <c r="S75" s="197">
        <v>1.25</v>
      </c>
      <c r="T75" s="197">
        <v>0.50078889239507718</v>
      </c>
      <c r="U75" s="197">
        <v>0.75268470790377973</v>
      </c>
      <c r="V75" s="20">
        <f t="shared" ref="V75:Y80" si="77">IF(K75&gt;0,((E75-K75)*$Q75*$R75*10)+(K75*$O$12*$Q75*$R75*10),(E75*$Q75*$R75*10))</f>
        <v>0</v>
      </c>
      <c r="W75" s="20">
        <f t="shared" si="77"/>
        <v>0</v>
      </c>
      <c r="X75" s="20">
        <f t="shared" si="77"/>
        <v>0</v>
      </c>
      <c r="Y75" s="20">
        <f t="shared" si="77"/>
        <v>0</v>
      </c>
      <c r="Z75" s="20">
        <f t="shared" ref="Z75:AC80" si="78">V75*(EXP(1.01-0.34*LN(Z$8))*(1-$T75)+(1*$T75))</f>
        <v>0</v>
      </c>
      <c r="AA75" s="20">
        <f t="shared" si="78"/>
        <v>0</v>
      </c>
      <c r="AB75" s="20">
        <f t="shared" si="78"/>
        <v>0</v>
      </c>
      <c r="AC75" s="20">
        <f t="shared" si="78"/>
        <v>0</v>
      </c>
      <c r="AD75" s="20">
        <f t="shared" ref="AD75:AD80" si="79">SUM(Z75:AC75)</f>
        <v>0</v>
      </c>
      <c r="AE75" s="20">
        <f t="shared" ref="AE75:AH80" si="80">IF(K75&gt;0,((E75-K75)*$Q75*$S75*10)+(K75*$P$12*$Q75*$S75)*10,(E75*$Q75*$S75*10))</f>
        <v>0</v>
      </c>
      <c r="AF75" s="20">
        <f t="shared" si="80"/>
        <v>0</v>
      </c>
      <c r="AG75" s="20">
        <f t="shared" si="80"/>
        <v>0</v>
      </c>
      <c r="AH75" s="20">
        <f t="shared" si="80"/>
        <v>0</v>
      </c>
      <c r="AI75" s="20">
        <f t="shared" ref="AI75:AL80" si="81">AE75*(EXP(1.01-0.34*LN(AI$8))*(1-$U75)+(1*$U75))</f>
        <v>0</v>
      </c>
      <c r="AJ75" s="20">
        <f t="shared" si="81"/>
        <v>0</v>
      </c>
      <c r="AK75" s="20">
        <f t="shared" si="81"/>
        <v>0</v>
      </c>
      <c r="AL75" s="20">
        <f t="shared" si="81"/>
        <v>0</v>
      </c>
      <c r="AM75" s="20">
        <f t="shared" ref="AM75:AM80" si="82">SUM(AI75:AL75)</f>
        <v>0</v>
      </c>
      <c r="AO75">
        <f t="shared" ref="AO75:AR80" si="83">Z75*AO$10</f>
        <v>0</v>
      </c>
      <c r="AP75">
        <f t="shared" si="83"/>
        <v>0</v>
      </c>
      <c r="AQ75">
        <f t="shared" si="83"/>
        <v>0</v>
      </c>
      <c r="AR75">
        <f t="shared" si="83"/>
        <v>0</v>
      </c>
      <c r="AS75">
        <f t="shared" ref="AS75:AS80" si="84">SUM(AO75:AR75)</f>
        <v>0</v>
      </c>
      <c r="AU75">
        <f t="shared" ref="AU75:AX80" si="85">AI75*AU$10</f>
        <v>0</v>
      </c>
      <c r="AV75">
        <f t="shared" si="85"/>
        <v>0</v>
      </c>
      <c r="AW75">
        <f t="shared" si="85"/>
        <v>0</v>
      </c>
      <c r="AX75">
        <f t="shared" si="85"/>
        <v>0</v>
      </c>
      <c r="AY75">
        <f t="shared" ref="AY75:AY80" si="86">SUM(AU75:AX75)</f>
        <v>0</v>
      </c>
    </row>
    <row r="76" spans="1:53" ht="15" x14ac:dyDescent="0.25">
      <c r="A76" s="1"/>
      <c r="B76" s="2"/>
      <c r="C76" s="1" t="s">
        <v>9</v>
      </c>
      <c r="D76">
        <v>0</v>
      </c>
      <c r="E76" s="360">
        <v>0</v>
      </c>
      <c r="F76">
        <v>0</v>
      </c>
      <c r="G76">
        <v>0</v>
      </c>
      <c r="H76">
        <v>0</v>
      </c>
      <c r="J76">
        <v>0</v>
      </c>
      <c r="K76">
        <v>0</v>
      </c>
      <c r="L76">
        <v>0</v>
      </c>
      <c r="M76">
        <v>0</v>
      </c>
      <c r="N76">
        <v>0</v>
      </c>
      <c r="O76" s="20"/>
      <c r="P76" s="20"/>
      <c r="Q76" s="438"/>
      <c r="R76" s="197">
        <v>5.6499999999999995E-2</v>
      </c>
      <c r="S76" s="197">
        <v>1.25</v>
      </c>
      <c r="T76" s="197">
        <v>0.50078889239507718</v>
      </c>
      <c r="U76" s="197">
        <v>0.75268470790377973</v>
      </c>
      <c r="V76" s="20">
        <f t="shared" si="77"/>
        <v>0</v>
      </c>
      <c r="W76" s="20">
        <f t="shared" si="77"/>
        <v>0</v>
      </c>
      <c r="X76" s="20">
        <f t="shared" si="77"/>
        <v>0</v>
      </c>
      <c r="Y76" s="20">
        <f t="shared" si="77"/>
        <v>0</v>
      </c>
      <c r="Z76" s="20">
        <f t="shared" si="78"/>
        <v>0</v>
      </c>
      <c r="AA76" s="20">
        <f t="shared" si="78"/>
        <v>0</v>
      </c>
      <c r="AB76" s="20">
        <f t="shared" si="78"/>
        <v>0</v>
      </c>
      <c r="AC76" s="20">
        <f t="shared" si="78"/>
        <v>0</v>
      </c>
      <c r="AD76" s="20">
        <f t="shared" si="79"/>
        <v>0</v>
      </c>
      <c r="AE76" s="20">
        <f t="shared" si="80"/>
        <v>0</v>
      </c>
      <c r="AF76" s="20">
        <f t="shared" si="80"/>
        <v>0</v>
      </c>
      <c r="AG76" s="20">
        <f t="shared" si="80"/>
        <v>0</v>
      </c>
      <c r="AH76" s="20">
        <f t="shared" si="80"/>
        <v>0</v>
      </c>
      <c r="AI76" s="20">
        <f t="shared" si="81"/>
        <v>0</v>
      </c>
      <c r="AJ76" s="20">
        <f t="shared" si="81"/>
        <v>0</v>
      </c>
      <c r="AK76" s="20">
        <f t="shared" si="81"/>
        <v>0</v>
      </c>
      <c r="AL76" s="20">
        <f t="shared" si="81"/>
        <v>0</v>
      </c>
      <c r="AM76" s="20">
        <f t="shared" si="82"/>
        <v>0</v>
      </c>
      <c r="AO76">
        <f t="shared" si="83"/>
        <v>0</v>
      </c>
      <c r="AP76">
        <f t="shared" si="83"/>
        <v>0</v>
      </c>
      <c r="AQ76">
        <f t="shared" si="83"/>
        <v>0</v>
      </c>
      <c r="AR76">
        <f t="shared" si="83"/>
        <v>0</v>
      </c>
      <c r="AS76">
        <f t="shared" si="84"/>
        <v>0</v>
      </c>
      <c r="AU76">
        <f t="shared" si="85"/>
        <v>0</v>
      </c>
      <c r="AV76">
        <f t="shared" si="85"/>
        <v>0</v>
      </c>
      <c r="AW76">
        <f t="shared" si="85"/>
        <v>0</v>
      </c>
      <c r="AX76">
        <f t="shared" si="85"/>
        <v>0</v>
      </c>
      <c r="AY76">
        <f t="shared" si="86"/>
        <v>0</v>
      </c>
    </row>
    <row r="77" spans="1:53" ht="15" x14ac:dyDescent="0.25">
      <c r="A77" s="1"/>
      <c r="B77" s="2"/>
      <c r="C77" s="1" t="s">
        <v>10</v>
      </c>
      <c r="D77">
        <v>0</v>
      </c>
      <c r="E77" s="360">
        <v>0</v>
      </c>
      <c r="F77">
        <v>0</v>
      </c>
      <c r="G77">
        <v>0</v>
      </c>
      <c r="H77">
        <v>0</v>
      </c>
      <c r="J77">
        <v>0</v>
      </c>
      <c r="K77">
        <v>0</v>
      </c>
      <c r="L77">
        <v>0</v>
      </c>
      <c r="M77">
        <v>0</v>
      </c>
      <c r="N77">
        <v>0</v>
      </c>
      <c r="O77" s="20"/>
      <c r="P77" s="20"/>
      <c r="Q77" s="438"/>
      <c r="R77" s="197">
        <v>5.6499999999999995E-2</v>
      </c>
      <c r="S77" s="197">
        <v>1.25</v>
      </c>
      <c r="T77" s="197">
        <v>0.50078889239507718</v>
      </c>
      <c r="U77" s="197">
        <v>0.75268470790377973</v>
      </c>
      <c r="V77" s="20">
        <f t="shared" si="77"/>
        <v>0</v>
      </c>
      <c r="W77" s="20">
        <f t="shared" si="77"/>
        <v>0</v>
      </c>
      <c r="X77" s="20">
        <f t="shared" si="77"/>
        <v>0</v>
      </c>
      <c r="Y77" s="20">
        <f t="shared" si="77"/>
        <v>0</v>
      </c>
      <c r="Z77" s="20">
        <f t="shared" si="78"/>
        <v>0</v>
      </c>
      <c r="AA77" s="20">
        <f t="shared" si="78"/>
        <v>0</v>
      </c>
      <c r="AB77" s="20">
        <f t="shared" si="78"/>
        <v>0</v>
      </c>
      <c r="AC77" s="20">
        <f t="shared" si="78"/>
        <v>0</v>
      </c>
      <c r="AD77" s="20">
        <f t="shared" si="79"/>
        <v>0</v>
      </c>
      <c r="AE77" s="20">
        <f t="shared" si="80"/>
        <v>0</v>
      </c>
      <c r="AF77" s="20">
        <f t="shared" si="80"/>
        <v>0</v>
      </c>
      <c r="AG77" s="20">
        <f t="shared" si="80"/>
        <v>0</v>
      </c>
      <c r="AH77" s="20">
        <f t="shared" si="80"/>
        <v>0</v>
      </c>
      <c r="AI77" s="20">
        <f t="shared" si="81"/>
        <v>0</v>
      </c>
      <c r="AJ77" s="20">
        <f t="shared" si="81"/>
        <v>0</v>
      </c>
      <c r="AK77" s="20">
        <f t="shared" si="81"/>
        <v>0</v>
      </c>
      <c r="AL77" s="20">
        <f t="shared" si="81"/>
        <v>0</v>
      </c>
      <c r="AM77" s="20">
        <f t="shared" si="82"/>
        <v>0</v>
      </c>
      <c r="AO77">
        <f t="shared" si="83"/>
        <v>0</v>
      </c>
      <c r="AP77">
        <f t="shared" si="83"/>
        <v>0</v>
      </c>
      <c r="AQ77">
        <f t="shared" si="83"/>
        <v>0</v>
      </c>
      <c r="AR77">
        <f t="shared" si="83"/>
        <v>0</v>
      </c>
      <c r="AS77">
        <f t="shared" si="84"/>
        <v>0</v>
      </c>
      <c r="AU77">
        <f t="shared" si="85"/>
        <v>0</v>
      </c>
      <c r="AV77">
        <f t="shared" si="85"/>
        <v>0</v>
      </c>
      <c r="AW77">
        <f t="shared" si="85"/>
        <v>0</v>
      </c>
      <c r="AX77">
        <f t="shared" si="85"/>
        <v>0</v>
      </c>
      <c r="AY77">
        <f t="shared" si="86"/>
        <v>0</v>
      </c>
    </row>
    <row r="78" spans="1:53" ht="15" x14ac:dyDescent="0.25">
      <c r="A78" s="1"/>
      <c r="B78" s="2"/>
      <c r="C78" s="1" t="s">
        <v>11</v>
      </c>
      <c r="D78">
        <v>0</v>
      </c>
      <c r="E78" s="360">
        <v>0</v>
      </c>
      <c r="F78">
        <v>0</v>
      </c>
      <c r="G78">
        <v>0</v>
      </c>
      <c r="H78">
        <v>0</v>
      </c>
      <c r="J78">
        <v>0</v>
      </c>
      <c r="K78">
        <v>0</v>
      </c>
      <c r="L78">
        <v>0</v>
      </c>
      <c r="M78">
        <v>0</v>
      </c>
      <c r="N78">
        <v>0</v>
      </c>
      <c r="O78" s="20"/>
      <c r="P78" s="20"/>
      <c r="Q78" s="438"/>
      <c r="R78" s="197">
        <v>5.6499999999999995E-2</v>
      </c>
      <c r="S78" s="197">
        <v>1.25</v>
      </c>
      <c r="T78" s="197">
        <v>0.50078889239507718</v>
      </c>
      <c r="U78" s="197">
        <v>0.75268470790377973</v>
      </c>
      <c r="V78" s="20">
        <f t="shared" si="77"/>
        <v>0</v>
      </c>
      <c r="W78" s="20">
        <f t="shared" si="77"/>
        <v>0</v>
      </c>
      <c r="X78" s="20">
        <f t="shared" si="77"/>
        <v>0</v>
      </c>
      <c r="Y78" s="20">
        <f t="shared" si="77"/>
        <v>0</v>
      </c>
      <c r="Z78" s="20">
        <f t="shared" si="78"/>
        <v>0</v>
      </c>
      <c r="AA78" s="20">
        <f t="shared" si="78"/>
        <v>0</v>
      </c>
      <c r="AB78" s="20">
        <f t="shared" si="78"/>
        <v>0</v>
      </c>
      <c r="AC78" s="20">
        <f t="shared" si="78"/>
        <v>0</v>
      </c>
      <c r="AD78" s="20">
        <f t="shared" si="79"/>
        <v>0</v>
      </c>
      <c r="AE78" s="20">
        <f t="shared" si="80"/>
        <v>0</v>
      </c>
      <c r="AF78" s="20">
        <f t="shared" si="80"/>
        <v>0</v>
      </c>
      <c r="AG78" s="20">
        <f t="shared" si="80"/>
        <v>0</v>
      </c>
      <c r="AH78" s="20">
        <f t="shared" si="80"/>
        <v>0</v>
      </c>
      <c r="AI78" s="20">
        <f t="shared" si="81"/>
        <v>0</v>
      </c>
      <c r="AJ78" s="20">
        <f t="shared" si="81"/>
        <v>0</v>
      </c>
      <c r="AK78" s="20">
        <f t="shared" si="81"/>
        <v>0</v>
      </c>
      <c r="AL78" s="20">
        <f t="shared" si="81"/>
        <v>0</v>
      </c>
      <c r="AM78" s="20">
        <f t="shared" si="82"/>
        <v>0</v>
      </c>
      <c r="AO78">
        <f t="shared" si="83"/>
        <v>0</v>
      </c>
      <c r="AP78">
        <f t="shared" si="83"/>
        <v>0</v>
      </c>
      <c r="AQ78">
        <f t="shared" si="83"/>
        <v>0</v>
      </c>
      <c r="AR78">
        <f t="shared" si="83"/>
        <v>0</v>
      </c>
      <c r="AS78">
        <f t="shared" si="84"/>
        <v>0</v>
      </c>
      <c r="AU78">
        <f t="shared" si="85"/>
        <v>0</v>
      </c>
      <c r="AV78">
        <f t="shared" si="85"/>
        <v>0</v>
      </c>
      <c r="AW78">
        <f t="shared" si="85"/>
        <v>0</v>
      </c>
      <c r="AX78">
        <f t="shared" si="85"/>
        <v>0</v>
      </c>
      <c r="AY78">
        <f t="shared" si="86"/>
        <v>0</v>
      </c>
    </row>
    <row r="79" spans="1:53" ht="15" x14ac:dyDescent="0.25">
      <c r="A79" s="1"/>
      <c r="B79" s="13"/>
      <c r="C79" s="1" t="s">
        <v>12</v>
      </c>
      <c r="D79">
        <v>0</v>
      </c>
      <c r="E79" s="360">
        <v>0</v>
      </c>
      <c r="F79">
        <v>0</v>
      </c>
      <c r="G79">
        <v>0</v>
      </c>
      <c r="H79">
        <v>0</v>
      </c>
      <c r="J79">
        <v>0</v>
      </c>
      <c r="K79">
        <v>0</v>
      </c>
      <c r="L79">
        <v>0</v>
      </c>
      <c r="M79">
        <v>0</v>
      </c>
      <c r="N79">
        <v>0</v>
      </c>
      <c r="O79" s="20"/>
      <c r="P79" s="20"/>
      <c r="Q79" s="438"/>
      <c r="R79" s="197">
        <v>5.6499999999999995E-2</v>
      </c>
      <c r="S79" s="197">
        <v>1.25</v>
      </c>
      <c r="T79" s="197">
        <v>0.50078889239507718</v>
      </c>
      <c r="U79" s="197">
        <v>0.75268470790377973</v>
      </c>
      <c r="V79" s="20">
        <f t="shared" si="77"/>
        <v>0</v>
      </c>
      <c r="W79" s="20">
        <f t="shared" si="77"/>
        <v>0</v>
      </c>
      <c r="X79" s="20">
        <f t="shared" si="77"/>
        <v>0</v>
      </c>
      <c r="Y79" s="20">
        <f t="shared" si="77"/>
        <v>0</v>
      </c>
      <c r="Z79" s="20">
        <f t="shared" si="78"/>
        <v>0</v>
      </c>
      <c r="AA79" s="20">
        <f t="shared" si="78"/>
        <v>0</v>
      </c>
      <c r="AB79" s="20">
        <f t="shared" si="78"/>
        <v>0</v>
      </c>
      <c r="AC79" s="20">
        <f t="shared" si="78"/>
        <v>0</v>
      </c>
      <c r="AD79" s="20">
        <f t="shared" si="79"/>
        <v>0</v>
      </c>
      <c r="AE79" s="20">
        <f t="shared" si="80"/>
        <v>0</v>
      </c>
      <c r="AF79" s="20">
        <f t="shared" si="80"/>
        <v>0</v>
      </c>
      <c r="AG79" s="20">
        <f t="shared" si="80"/>
        <v>0</v>
      </c>
      <c r="AH79" s="20">
        <f t="shared" si="80"/>
        <v>0</v>
      </c>
      <c r="AI79" s="20">
        <f t="shared" si="81"/>
        <v>0</v>
      </c>
      <c r="AJ79" s="20">
        <f t="shared" si="81"/>
        <v>0</v>
      </c>
      <c r="AK79" s="20">
        <f t="shared" si="81"/>
        <v>0</v>
      </c>
      <c r="AL79" s="20">
        <f t="shared" si="81"/>
        <v>0</v>
      </c>
      <c r="AM79" s="20">
        <f t="shared" si="82"/>
        <v>0</v>
      </c>
      <c r="AO79">
        <f t="shared" si="83"/>
        <v>0</v>
      </c>
      <c r="AP79">
        <f t="shared" si="83"/>
        <v>0</v>
      </c>
      <c r="AQ79">
        <f t="shared" si="83"/>
        <v>0</v>
      </c>
      <c r="AR79">
        <f t="shared" si="83"/>
        <v>0</v>
      </c>
      <c r="AS79">
        <f t="shared" si="84"/>
        <v>0</v>
      </c>
      <c r="AU79">
        <f t="shared" si="85"/>
        <v>0</v>
      </c>
      <c r="AV79">
        <f t="shared" si="85"/>
        <v>0</v>
      </c>
      <c r="AW79">
        <f t="shared" si="85"/>
        <v>0</v>
      </c>
      <c r="AX79">
        <f t="shared" si="85"/>
        <v>0</v>
      </c>
      <c r="AY79">
        <f t="shared" si="86"/>
        <v>0</v>
      </c>
    </row>
    <row r="80" spans="1:53" ht="15" x14ac:dyDescent="0.25">
      <c r="A80" s="1"/>
      <c r="B80" s="13"/>
      <c r="C80" s="1" t="s">
        <v>13</v>
      </c>
      <c r="D80">
        <v>0</v>
      </c>
      <c r="E80" s="360">
        <v>0</v>
      </c>
      <c r="F80">
        <v>0</v>
      </c>
      <c r="G80">
        <v>0</v>
      </c>
      <c r="H80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20"/>
      <c r="P80" s="20"/>
      <c r="Q80" s="438"/>
      <c r="R80" s="197">
        <v>5.6499999999999995E-2</v>
      </c>
      <c r="S80" s="197">
        <v>1.25</v>
      </c>
      <c r="T80" s="197">
        <v>0.50078889239507718</v>
      </c>
      <c r="U80" s="197">
        <v>0.75268470790377973</v>
      </c>
      <c r="V80" s="20">
        <f t="shared" si="77"/>
        <v>0</v>
      </c>
      <c r="W80" s="20">
        <f t="shared" si="77"/>
        <v>0</v>
      </c>
      <c r="X80" s="20">
        <f t="shared" si="77"/>
        <v>0</v>
      </c>
      <c r="Y80" s="20">
        <f t="shared" si="77"/>
        <v>0</v>
      </c>
      <c r="Z80" s="20">
        <f t="shared" si="78"/>
        <v>0</v>
      </c>
      <c r="AA80" s="20">
        <f t="shared" si="78"/>
        <v>0</v>
      </c>
      <c r="AB80" s="20">
        <f t="shared" si="78"/>
        <v>0</v>
      </c>
      <c r="AC80" s="20">
        <f t="shared" si="78"/>
        <v>0</v>
      </c>
      <c r="AD80" s="20">
        <f t="shared" si="79"/>
        <v>0</v>
      </c>
      <c r="AE80" s="20">
        <f t="shared" si="80"/>
        <v>0</v>
      </c>
      <c r="AF80" s="20">
        <f t="shared" si="80"/>
        <v>0</v>
      </c>
      <c r="AG80" s="20">
        <f t="shared" si="80"/>
        <v>0</v>
      </c>
      <c r="AH80" s="20">
        <f t="shared" si="80"/>
        <v>0</v>
      </c>
      <c r="AI80" s="20">
        <f t="shared" si="81"/>
        <v>0</v>
      </c>
      <c r="AJ80" s="20">
        <f t="shared" si="81"/>
        <v>0</v>
      </c>
      <c r="AK80" s="20">
        <f t="shared" si="81"/>
        <v>0</v>
      </c>
      <c r="AL80" s="20">
        <f t="shared" si="81"/>
        <v>0</v>
      </c>
      <c r="AM80" s="20">
        <f t="shared" si="82"/>
        <v>0</v>
      </c>
      <c r="AO80">
        <f t="shared" si="83"/>
        <v>0</v>
      </c>
      <c r="AP80">
        <f t="shared" si="83"/>
        <v>0</v>
      </c>
      <c r="AQ80">
        <f t="shared" si="83"/>
        <v>0</v>
      </c>
      <c r="AR80">
        <f t="shared" si="83"/>
        <v>0</v>
      </c>
      <c r="AS80">
        <f t="shared" si="84"/>
        <v>0</v>
      </c>
      <c r="AU80">
        <f t="shared" si="85"/>
        <v>0</v>
      </c>
      <c r="AV80">
        <f t="shared" si="85"/>
        <v>0</v>
      </c>
      <c r="AW80">
        <f t="shared" si="85"/>
        <v>0</v>
      </c>
      <c r="AX80">
        <f t="shared" si="85"/>
        <v>0</v>
      </c>
      <c r="AY80">
        <f t="shared" si="86"/>
        <v>0</v>
      </c>
    </row>
    <row r="81" spans="1:53" ht="15" x14ac:dyDescent="0.25">
      <c r="A81" s="7"/>
      <c r="B81" s="8" t="s">
        <v>14</v>
      </c>
      <c r="C81" s="7"/>
      <c r="D81" s="357">
        <f t="shared" ref="D81:H81" si="87">SUM(D75:D80)</f>
        <v>0</v>
      </c>
      <c r="E81" s="363">
        <f>SUM(E75:E80)</f>
        <v>0</v>
      </c>
      <c r="F81" s="357">
        <f t="shared" si="87"/>
        <v>0</v>
      </c>
      <c r="G81" s="357">
        <f t="shared" si="87"/>
        <v>0</v>
      </c>
      <c r="H81" s="357">
        <f t="shared" si="87"/>
        <v>0</v>
      </c>
      <c r="J81">
        <v>0</v>
      </c>
      <c r="K81">
        <v>0</v>
      </c>
      <c r="L81">
        <v>0</v>
      </c>
      <c r="M81">
        <v>0</v>
      </c>
      <c r="N81">
        <v>0</v>
      </c>
      <c r="O81" s="20"/>
      <c r="P81" s="20"/>
      <c r="Q81" s="438"/>
      <c r="R81" s="197"/>
      <c r="S81" s="197"/>
      <c r="T81" s="197"/>
      <c r="U81" s="197"/>
      <c r="BA81" s="319">
        <f>(E81*10000*Q81*AU$10)</f>
        <v>0</v>
      </c>
    </row>
    <row r="82" spans="1:53" ht="15" x14ac:dyDescent="0.25">
      <c r="A82" s="10"/>
      <c r="B82" s="9" t="s">
        <v>15</v>
      </c>
      <c r="C82" s="5"/>
      <c r="E82" s="363">
        <f>SUM(E81)</f>
        <v>0</v>
      </c>
      <c r="H82" s="358">
        <f>SUM(D81:H81)</f>
        <v>0</v>
      </c>
      <c r="K82" s="14"/>
      <c r="N82">
        <v>0</v>
      </c>
      <c r="O82" s="20"/>
      <c r="P82" s="20"/>
      <c r="Q82" s="438"/>
      <c r="R82" s="197"/>
      <c r="S82" s="197"/>
      <c r="T82" s="197"/>
      <c r="U82" s="197"/>
    </row>
    <row r="83" spans="1:53" ht="15.75" x14ac:dyDescent="0.25">
      <c r="A83" s="1"/>
      <c r="B83" s="2"/>
      <c r="C83" s="1"/>
      <c r="E83" s="361"/>
      <c r="K83" s="14"/>
      <c r="O83" s="20"/>
      <c r="P83" s="20"/>
      <c r="Q83" s="439"/>
      <c r="R83" s="197"/>
      <c r="S83" s="197"/>
      <c r="T83" s="197"/>
      <c r="U83" s="197"/>
    </row>
    <row r="84" spans="1:53" ht="15" x14ac:dyDescent="0.25">
      <c r="A84" s="1">
        <v>9</v>
      </c>
      <c r="B84" s="2" t="s">
        <v>23</v>
      </c>
      <c r="C84" s="1" t="s">
        <v>8</v>
      </c>
      <c r="D84">
        <v>0</v>
      </c>
      <c r="E84" s="360">
        <v>81.6173</v>
      </c>
      <c r="F84">
        <v>0</v>
      </c>
      <c r="G84">
        <v>0</v>
      </c>
      <c r="H84">
        <v>0</v>
      </c>
      <c r="J84">
        <v>0</v>
      </c>
      <c r="K84">
        <v>0</v>
      </c>
      <c r="L84">
        <v>0</v>
      </c>
      <c r="M84">
        <v>0</v>
      </c>
      <c r="N84">
        <v>0</v>
      </c>
      <c r="O84" s="20"/>
      <c r="P84" s="20"/>
      <c r="Q84" s="438">
        <v>4.9092786231741875E-2</v>
      </c>
      <c r="R84" s="197">
        <v>0.38700000000000001</v>
      </c>
      <c r="S84" s="197">
        <v>2.48</v>
      </c>
      <c r="T84" s="197">
        <v>0.72182006204756977</v>
      </c>
      <c r="U84" s="197">
        <v>0.90789473684210531</v>
      </c>
      <c r="V84" s="20">
        <f t="shared" ref="V84:Y89" si="88">IF(K84&gt;0,((E84-K84)*$Q84*$R84*10)+(K84*$O$12*$Q84*$R84*10),(E84*$Q84*$R84*10))</f>
        <v>15.506395960825232</v>
      </c>
      <c r="W84" s="20">
        <f t="shared" si="88"/>
        <v>0</v>
      </c>
      <c r="X84" s="20">
        <f t="shared" si="88"/>
        <v>0</v>
      </c>
      <c r="Y84" s="20">
        <f t="shared" si="88"/>
        <v>0</v>
      </c>
      <c r="Z84" s="20">
        <f t="shared" ref="Z84:AC89" si="89">V84*(EXP(1.01-0.34*LN(Z$8))*(1-$T84)+(1*$T84))</f>
        <v>11.980065804693663</v>
      </c>
      <c r="AA84" s="20">
        <f t="shared" si="89"/>
        <v>0</v>
      </c>
      <c r="AB84" s="20">
        <f t="shared" si="89"/>
        <v>0</v>
      </c>
      <c r="AC84" s="20">
        <f t="shared" si="89"/>
        <v>0</v>
      </c>
      <c r="AD84" s="20">
        <f t="shared" ref="AD84:AD89" si="90">SUM(Z84:AC84)</f>
        <v>11.980065804693663</v>
      </c>
      <c r="AE84" s="20">
        <f t="shared" ref="AE84:AH89" si="91">IF(K84&gt;0,((E84-K84)*$Q84*$S84*10)+(K84*$P$12*$Q84*$S84)*10,(E84*$Q84*$S84*10))</f>
        <v>99.369152410456252</v>
      </c>
      <c r="AF84" s="20">
        <f t="shared" si="91"/>
        <v>0</v>
      </c>
      <c r="AG84" s="20">
        <f t="shared" si="91"/>
        <v>0</v>
      </c>
      <c r="AH84" s="20">
        <f t="shared" si="91"/>
        <v>0</v>
      </c>
      <c r="AI84" s="20">
        <f t="shared" ref="AI84:AL89" si="92">AE84*(EXP(1.01-0.34*LN(AI$8))*(1-$U84)+(1*$U84))</f>
        <v>91.887072732965876</v>
      </c>
      <c r="AJ84" s="20">
        <f t="shared" si="92"/>
        <v>0</v>
      </c>
      <c r="AK84" s="20">
        <f t="shared" si="92"/>
        <v>0</v>
      </c>
      <c r="AL84" s="20">
        <f t="shared" si="92"/>
        <v>0</v>
      </c>
      <c r="AM84" s="20">
        <f t="shared" ref="AM84:AM89" si="93">SUM(AI84:AL84)</f>
        <v>91.887072732965876</v>
      </c>
      <c r="AO84">
        <f t="shared" ref="AO84:AR89" si="94">Z84*AO$10</f>
        <v>15.699876237051045</v>
      </c>
      <c r="AP84">
        <f t="shared" si="94"/>
        <v>0</v>
      </c>
      <c r="AQ84">
        <f t="shared" si="94"/>
        <v>0</v>
      </c>
      <c r="AR84">
        <f t="shared" si="94"/>
        <v>0</v>
      </c>
      <c r="AS84">
        <f t="shared" ref="AS84:AS89" si="95">SUM(AO84:AR84)</f>
        <v>15.699876237051045</v>
      </c>
      <c r="AU84">
        <f t="shared" ref="AU84:AX89" si="96">AI84*AU$10</f>
        <v>120.41800881655178</v>
      </c>
      <c r="AV84">
        <f t="shared" si="96"/>
        <v>0</v>
      </c>
      <c r="AW84">
        <f t="shared" si="96"/>
        <v>0</v>
      </c>
      <c r="AX84">
        <f t="shared" si="96"/>
        <v>0</v>
      </c>
      <c r="AY84">
        <f t="shared" ref="AY84:AY89" si="97">SUM(AU84:AX84)</f>
        <v>120.41800881655178</v>
      </c>
    </row>
    <row r="85" spans="1:53" ht="15" x14ac:dyDescent="0.25">
      <c r="A85" s="1"/>
      <c r="B85" s="2"/>
      <c r="C85" s="1" t="s">
        <v>9</v>
      </c>
      <c r="D85">
        <v>0</v>
      </c>
      <c r="E85" s="360">
        <v>7.3124000000000002</v>
      </c>
      <c r="F85">
        <v>0</v>
      </c>
      <c r="G85">
        <v>0</v>
      </c>
      <c r="H85">
        <v>0</v>
      </c>
      <c r="J85">
        <v>0</v>
      </c>
      <c r="K85">
        <v>0</v>
      </c>
      <c r="L85">
        <v>0</v>
      </c>
      <c r="M85">
        <v>0</v>
      </c>
      <c r="N85">
        <v>0</v>
      </c>
      <c r="O85" s="20"/>
      <c r="P85" s="20"/>
      <c r="Q85" s="438">
        <v>8.9185572463483742E-2</v>
      </c>
      <c r="R85" s="197">
        <v>0.38700000000000001</v>
      </c>
      <c r="S85" s="197">
        <v>2.48</v>
      </c>
      <c r="T85" s="197">
        <v>0.72182006204756977</v>
      </c>
      <c r="U85" s="197">
        <v>0.90789473684210531</v>
      </c>
      <c r="V85" s="20">
        <f t="shared" si="88"/>
        <v>2.5238614449172569</v>
      </c>
      <c r="W85" s="20">
        <f t="shared" si="88"/>
        <v>0</v>
      </c>
      <c r="X85" s="20">
        <f t="shared" si="88"/>
        <v>0</v>
      </c>
      <c r="Y85" s="20">
        <f t="shared" si="88"/>
        <v>0</v>
      </c>
      <c r="Z85" s="20">
        <f t="shared" si="89"/>
        <v>1.9499067525700435</v>
      </c>
      <c r="AA85" s="20">
        <f t="shared" si="89"/>
        <v>0</v>
      </c>
      <c r="AB85" s="20">
        <f t="shared" si="89"/>
        <v>0</v>
      </c>
      <c r="AC85" s="20">
        <f t="shared" si="89"/>
        <v>0</v>
      </c>
      <c r="AD85" s="20">
        <f t="shared" si="90"/>
        <v>1.9499067525700435</v>
      </c>
      <c r="AE85" s="20">
        <f t="shared" si="91"/>
        <v>16.173582386033068</v>
      </c>
      <c r="AF85" s="20">
        <f t="shared" si="91"/>
        <v>0</v>
      </c>
      <c r="AG85" s="20">
        <f t="shared" si="91"/>
        <v>0</v>
      </c>
      <c r="AH85" s="20">
        <f t="shared" si="91"/>
        <v>0</v>
      </c>
      <c r="AI85" s="20">
        <f t="shared" si="92"/>
        <v>14.955779585593556</v>
      </c>
      <c r="AJ85" s="20">
        <f t="shared" si="92"/>
        <v>0</v>
      </c>
      <c r="AK85" s="20">
        <f t="shared" si="92"/>
        <v>0</v>
      </c>
      <c r="AL85" s="20">
        <f t="shared" si="92"/>
        <v>0</v>
      </c>
      <c r="AM85" s="20">
        <f t="shared" si="93"/>
        <v>14.955779585593556</v>
      </c>
      <c r="AO85">
        <f t="shared" si="94"/>
        <v>2.555352799243042</v>
      </c>
      <c r="AP85">
        <f t="shared" si="94"/>
        <v>0</v>
      </c>
      <c r="AQ85">
        <f t="shared" si="94"/>
        <v>0</v>
      </c>
      <c r="AR85">
        <f t="shared" si="94"/>
        <v>0</v>
      </c>
      <c r="AS85">
        <f t="shared" si="95"/>
        <v>2.555352799243042</v>
      </c>
      <c r="AU85">
        <f t="shared" si="96"/>
        <v>19.599549146920353</v>
      </c>
      <c r="AV85">
        <f t="shared" si="96"/>
        <v>0</v>
      </c>
      <c r="AW85">
        <f t="shared" si="96"/>
        <v>0</v>
      </c>
      <c r="AX85">
        <f t="shared" si="96"/>
        <v>0</v>
      </c>
      <c r="AY85">
        <f t="shared" si="97"/>
        <v>19.599549146920353</v>
      </c>
    </row>
    <row r="86" spans="1:53" ht="15" x14ac:dyDescent="0.25">
      <c r="A86" s="1"/>
      <c r="B86" s="2"/>
      <c r="C86" s="1" t="s">
        <v>10</v>
      </c>
      <c r="D86">
        <v>0</v>
      </c>
      <c r="E86" s="360">
        <v>0.68179999999999996</v>
      </c>
      <c r="F86">
        <v>0</v>
      </c>
      <c r="G86">
        <v>0</v>
      </c>
      <c r="H86">
        <v>0</v>
      </c>
      <c r="J86">
        <v>0</v>
      </c>
      <c r="K86">
        <v>0</v>
      </c>
      <c r="L86">
        <v>0</v>
      </c>
      <c r="M86">
        <v>0</v>
      </c>
      <c r="N86">
        <v>0</v>
      </c>
      <c r="O86" s="20"/>
      <c r="P86" s="20"/>
      <c r="Q86" s="438">
        <v>0.12927835869522561</v>
      </c>
      <c r="R86" s="197">
        <v>0.38700000000000001</v>
      </c>
      <c r="S86" s="197">
        <v>2.48</v>
      </c>
      <c r="T86" s="197">
        <v>0.72182006204756977</v>
      </c>
      <c r="U86" s="197">
        <v>0.90789473684210531</v>
      </c>
      <c r="V86" s="20">
        <f t="shared" si="88"/>
        <v>0.34110948178902667</v>
      </c>
      <c r="W86" s="20">
        <f t="shared" si="88"/>
        <v>0</v>
      </c>
      <c r="X86" s="20">
        <f t="shared" si="88"/>
        <v>0</v>
      </c>
      <c r="Y86" s="20">
        <f t="shared" si="88"/>
        <v>0</v>
      </c>
      <c r="Z86" s="20">
        <f t="shared" si="89"/>
        <v>0.26353732026200721</v>
      </c>
      <c r="AA86" s="20">
        <f t="shared" si="89"/>
        <v>0</v>
      </c>
      <c r="AB86" s="20">
        <f t="shared" si="89"/>
        <v>0</v>
      </c>
      <c r="AC86" s="20">
        <f t="shared" si="89"/>
        <v>0</v>
      </c>
      <c r="AD86" s="20">
        <f t="shared" si="90"/>
        <v>0.26353732026200721</v>
      </c>
      <c r="AE86" s="20">
        <f t="shared" si="91"/>
        <v>2.1859212269684396</v>
      </c>
      <c r="AF86" s="20">
        <f t="shared" si="91"/>
        <v>0</v>
      </c>
      <c r="AG86" s="20">
        <f t="shared" si="91"/>
        <v>0</v>
      </c>
      <c r="AH86" s="20">
        <f t="shared" si="91"/>
        <v>0</v>
      </c>
      <c r="AI86" s="20">
        <f t="shared" si="92"/>
        <v>2.021330542715261</v>
      </c>
      <c r="AJ86" s="20">
        <f t="shared" si="92"/>
        <v>0</v>
      </c>
      <c r="AK86" s="20">
        <f t="shared" si="92"/>
        <v>0</v>
      </c>
      <c r="AL86" s="20">
        <f t="shared" si="92"/>
        <v>0</v>
      </c>
      <c r="AM86" s="20">
        <f t="shared" si="93"/>
        <v>2.021330542715261</v>
      </c>
      <c r="AO86">
        <f t="shared" si="94"/>
        <v>0.34536565820336046</v>
      </c>
      <c r="AP86">
        <f t="shared" si="94"/>
        <v>0</v>
      </c>
      <c r="AQ86">
        <f t="shared" si="94"/>
        <v>0</v>
      </c>
      <c r="AR86">
        <f t="shared" si="94"/>
        <v>0</v>
      </c>
      <c r="AS86">
        <f t="shared" si="95"/>
        <v>0.34536565820336046</v>
      </c>
      <c r="AU86">
        <f t="shared" si="96"/>
        <v>2.6489536762283494</v>
      </c>
      <c r="AV86">
        <f t="shared" si="96"/>
        <v>0</v>
      </c>
      <c r="AW86">
        <f t="shared" si="96"/>
        <v>0</v>
      </c>
      <c r="AX86">
        <f t="shared" si="96"/>
        <v>0</v>
      </c>
      <c r="AY86">
        <f t="shared" si="97"/>
        <v>2.6489536762283494</v>
      </c>
    </row>
    <row r="87" spans="1:53" ht="15" x14ac:dyDescent="0.25">
      <c r="A87" s="1"/>
      <c r="B87" s="2"/>
      <c r="C87" s="1" t="s">
        <v>11</v>
      </c>
      <c r="D87">
        <v>0</v>
      </c>
      <c r="E87" s="360">
        <v>34.516599999999997</v>
      </c>
      <c r="F87">
        <v>0</v>
      </c>
      <c r="G87">
        <v>0</v>
      </c>
      <c r="H87">
        <v>0</v>
      </c>
      <c r="J87">
        <v>0</v>
      </c>
      <c r="K87">
        <v>0</v>
      </c>
      <c r="L87">
        <v>0</v>
      </c>
      <c r="M87">
        <v>0</v>
      </c>
      <c r="N87">
        <v>0</v>
      </c>
      <c r="O87" s="20"/>
      <c r="P87" s="20"/>
      <c r="Q87" s="438">
        <v>0.1693711449269675</v>
      </c>
      <c r="R87" s="197">
        <v>0.38700000000000001</v>
      </c>
      <c r="S87" s="197">
        <v>2.48</v>
      </c>
      <c r="T87" s="197">
        <v>0.72182006204756977</v>
      </c>
      <c r="U87" s="197">
        <v>0.90789473684210531</v>
      </c>
      <c r="V87" s="20">
        <f t="shared" si="88"/>
        <v>22.624469156016463</v>
      </c>
      <c r="W87" s="20">
        <f t="shared" si="88"/>
        <v>0</v>
      </c>
      <c r="X87" s="20">
        <f t="shared" si="88"/>
        <v>0</v>
      </c>
      <c r="Y87" s="20">
        <f t="shared" si="88"/>
        <v>0</v>
      </c>
      <c r="Z87" s="20">
        <f t="shared" si="89"/>
        <v>17.479408495055271</v>
      </c>
      <c r="AA87" s="20">
        <f t="shared" si="89"/>
        <v>0</v>
      </c>
      <c r="AB87" s="20">
        <f t="shared" si="89"/>
        <v>0</v>
      </c>
      <c r="AC87" s="20">
        <f t="shared" si="89"/>
        <v>0</v>
      </c>
      <c r="AD87" s="20">
        <f t="shared" si="90"/>
        <v>17.479408495055271</v>
      </c>
      <c r="AE87" s="20">
        <f t="shared" si="91"/>
        <v>144.9836783124569</v>
      </c>
      <c r="AF87" s="20">
        <f t="shared" si="91"/>
        <v>0</v>
      </c>
      <c r="AG87" s="20">
        <f t="shared" si="91"/>
        <v>0</v>
      </c>
      <c r="AH87" s="20">
        <f t="shared" si="91"/>
        <v>0</v>
      </c>
      <c r="AI87" s="20">
        <f t="shared" si="92"/>
        <v>134.06701648375756</v>
      </c>
      <c r="AJ87" s="20">
        <f t="shared" si="92"/>
        <v>0</v>
      </c>
      <c r="AK87" s="20">
        <f t="shared" si="92"/>
        <v>0</v>
      </c>
      <c r="AL87" s="20">
        <f t="shared" si="92"/>
        <v>0</v>
      </c>
      <c r="AM87" s="20">
        <f t="shared" si="93"/>
        <v>134.06701648375756</v>
      </c>
      <c r="AO87">
        <f t="shared" si="94"/>
        <v>22.906764832769934</v>
      </c>
      <c r="AP87">
        <f t="shared" si="94"/>
        <v>0</v>
      </c>
      <c r="AQ87">
        <f t="shared" si="94"/>
        <v>0</v>
      </c>
      <c r="AR87">
        <f t="shared" si="94"/>
        <v>0</v>
      </c>
      <c r="AS87">
        <f t="shared" si="95"/>
        <v>22.906764832769934</v>
      </c>
      <c r="AU87">
        <f t="shared" si="96"/>
        <v>175.69482510196428</v>
      </c>
      <c r="AV87">
        <f t="shared" si="96"/>
        <v>0</v>
      </c>
      <c r="AW87">
        <f t="shared" si="96"/>
        <v>0</v>
      </c>
      <c r="AX87">
        <f t="shared" si="96"/>
        <v>0</v>
      </c>
      <c r="AY87">
        <f t="shared" si="97"/>
        <v>175.69482510196428</v>
      </c>
    </row>
    <row r="88" spans="1:53" ht="15" x14ac:dyDescent="0.25">
      <c r="A88" s="1"/>
      <c r="B88" s="2"/>
      <c r="C88" s="1" t="s">
        <v>12</v>
      </c>
      <c r="D88">
        <v>0</v>
      </c>
      <c r="E88" s="360">
        <v>0</v>
      </c>
      <c r="F88">
        <v>0</v>
      </c>
      <c r="G88">
        <v>0</v>
      </c>
      <c r="H88">
        <v>0</v>
      </c>
      <c r="J88">
        <v>0</v>
      </c>
      <c r="K88">
        <v>0</v>
      </c>
      <c r="L88">
        <v>0</v>
      </c>
      <c r="M88">
        <v>0</v>
      </c>
      <c r="N88">
        <v>0</v>
      </c>
      <c r="O88" s="20"/>
      <c r="P88" s="20"/>
      <c r="Q88" s="438"/>
      <c r="R88" s="197">
        <v>0.38700000000000001</v>
      </c>
      <c r="S88" s="197">
        <v>2.48</v>
      </c>
      <c r="T88" s="197">
        <v>0.72182006204756977</v>
      </c>
      <c r="U88" s="197">
        <v>0.90789473684210531</v>
      </c>
      <c r="V88" s="20">
        <f t="shared" si="88"/>
        <v>0</v>
      </c>
      <c r="W88" s="20">
        <f t="shared" si="88"/>
        <v>0</v>
      </c>
      <c r="X88" s="20">
        <f t="shared" si="88"/>
        <v>0</v>
      </c>
      <c r="Y88" s="20">
        <f t="shared" si="88"/>
        <v>0</v>
      </c>
      <c r="Z88" s="20">
        <f t="shared" si="89"/>
        <v>0</v>
      </c>
      <c r="AA88" s="20">
        <f t="shared" si="89"/>
        <v>0</v>
      </c>
      <c r="AB88" s="20">
        <f t="shared" si="89"/>
        <v>0</v>
      </c>
      <c r="AC88" s="20">
        <f t="shared" si="89"/>
        <v>0</v>
      </c>
      <c r="AD88" s="20">
        <f t="shared" si="90"/>
        <v>0</v>
      </c>
      <c r="AE88" s="20">
        <f t="shared" si="91"/>
        <v>0</v>
      </c>
      <c r="AF88" s="20">
        <f t="shared" si="91"/>
        <v>0</v>
      </c>
      <c r="AG88" s="20">
        <f t="shared" si="91"/>
        <v>0</v>
      </c>
      <c r="AH88" s="20">
        <f t="shared" si="91"/>
        <v>0</v>
      </c>
      <c r="AI88" s="20">
        <f t="shared" si="92"/>
        <v>0</v>
      </c>
      <c r="AJ88" s="20">
        <f t="shared" si="92"/>
        <v>0</v>
      </c>
      <c r="AK88" s="20">
        <f t="shared" si="92"/>
        <v>0</v>
      </c>
      <c r="AL88" s="20">
        <f t="shared" si="92"/>
        <v>0</v>
      </c>
      <c r="AM88" s="20">
        <f t="shared" si="93"/>
        <v>0</v>
      </c>
      <c r="AO88">
        <f t="shared" si="94"/>
        <v>0</v>
      </c>
      <c r="AP88">
        <f t="shared" si="94"/>
        <v>0</v>
      </c>
      <c r="AQ88">
        <f t="shared" si="94"/>
        <v>0</v>
      </c>
      <c r="AR88">
        <f t="shared" si="94"/>
        <v>0</v>
      </c>
      <c r="AS88">
        <f t="shared" si="95"/>
        <v>0</v>
      </c>
      <c r="AU88">
        <f t="shared" si="96"/>
        <v>0</v>
      </c>
      <c r="AV88">
        <f t="shared" si="96"/>
        <v>0</v>
      </c>
      <c r="AW88">
        <f t="shared" si="96"/>
        <v>0</v>
      </c>
      <c r="AX88">
        <f t="shared" si="96"/>
        <v>0</v>
      </c>
      <c r="AY88">
        <f t="shared" si="97"/>
        <v>0</v>
      </c>
    </row>
    <row r="89" spans="1:53" ht="15" x14ac:dyDescent="0.25">
      <c r="A89" s="1"/>
      <c r="B89" s="2"/>
      <c r="C89" s="1" t="s">
        <v>13</v>
      </c>
      <c r="D89">
        <v>0</v>
      </c>
      <c r="E89" s="360">
        <v>0.19370000000000001</v>
      </c>
      <c r="F89">
        <v>0</v>
      </c>
      <c r="G89">
        <v>0</v>
      </c>
      <c r="H89">
        <v>0</v>
      </c>
      <c r="J89">
        <v>0</v>
      </c>
      <c r="K89">
        <v>0</v>
      </c>
      <c r="L89">
        <v>0</v>
      </c>
      <c r="M89">
        <v>0</v>
      </c>
      <c r="N89">
        <v>0</v>
      </c>
      <c r="O89" s="20"/>
      <c r="P89" s="20"/>
      <c r="Q89" s="438">
        <v>0.16937114492696753</v>
      </c>
      <c r="R89" s="197">
        <v>0.38700000000000001</v>
      </c>
      <c r="S89" s="197">
        <v>2.48</v>
      </c>
      <c r="T89" s="197">
        <v>0.72182006204756977</v>
      </c>
      <c r="U89" s="197">
        <v>0.90789473684210531</v>
      </c>
      <c r="V89" s="20">
        <f t="shared" si="88"/>
        <v>0.12696382828900848</v>
      </c>
      <c r="W89" s="20">
        <f t="shared" si="88"/>
        <v>0</v>
      </c>
      <c r="X89" s="20">
        <f t="shared" si="88"/>
        <v>0</v>
      </c>
      <c r="Y89" s="20">
        <f t="shared" si="88"/>
        <v>0</v>
      </c>
      <c r="Z89" s="20">
        <f t="shared" si="89"/>
        <v>9.8090815013419846E-2</v>
      </c>
      <c r="AA89" s="20">
        <f t="shared" si="89"/>
        <v>0</v>
      </c>
      <c r="AB89" s="20">
        <f t="shared" si="89"/>
        <v>0</v>
      </c>
      <c r="AC89" s="20">
        <f t="shared" si="89"/>
        <v>0</v>
      </c>
      <c r="AD89" s="20">
        <f t="shared" si="90"/>
        <v>9.8090815013419846E-2</v>
      </c>
      <c r="AE89" s="20">
        <f t="shared" si="91"/>
        <v>0.81361833115436966</v>
      </c>
      <c r="AF89" s="20">
        <f t="shared" si="91"/>
        <v>0</v>
      </c>
      <c r="AG89" s="20">
        <f t="shared" si="91"/>
        <v>0</v>
      </c>
      <c r="AH89" s="20">
        <f t="shared" si="91"/>
        <v>0</v>
      </c>
      <c r="AI89" s="20">
        <f t="shared" si="92"/>
        <v>0.75235628923195941</v>
      </c>
      <c r="AJ89" s="20">
        <f t="shared" si="92"/>
        <v>0</v>
      </c>
      <c r="AK89" s="20">
        <f t="shared" si="92"/>
        <v>0</v>
      </c>
      <c r="AL89" s="20">
        <f t="shared" si="92"/>
        <v>0</v>
      </c>
      <c r="AM89" s="20">
        <f t="shared" si="93"/>
        <v>0.75235628923195941</v>
      </c>
      <c r="AO89">
        <f t="shared" si="94"/>
        <v>0.1285480130750867</v>
      </c>
      <c r="AP89">
        <f t="shared" si="94"/>
        <v>0</v>
      </c>
      <c r="AQ89">
        <f t="shared" si="94"/>
        <v>0</v>
      </c>
      <c r="AR89">
        <f t="shared" si="94"/>
        <v>0</v>
      </c>
      <c r="AS89">
        <f t="shared" si="95"/>
        <v>0.1285480130750867</v>
      </c>
      <c r="AU89">
        <f t="shared" si="96"/>
        <v>0.98596291703848282</v>
      </c>
      <c r="AV89">
        <f t="shared" si="96"/>
        <v>0</v>
      </c>
      <c r="AW89">
        <f t="shared" si="96"/>
        <v>0</v>
      </c>
      <c r="AX89">
        <f t="shared" si="96"/>
        <v>0</v>
      </c>
      <c r="AY89">
        <f t="shared" si="97"/>
        <v>0.98596291703848282</v>
      </c>
    </row>
    <row r="90" spans="1:53" ht="15" x14ac:dyDescent="0.25">
      <c r="A90" s="7"/>
      <c r="B90" s="8" t="s">
        <v>14</v>
      </c>
      <c r="C90" s="7"/>
      <c r="D90" s="357">
        <f t="shared" ref="D90:H90" si="98">SUM(D84:D89)</f>
        <v>0</v>
      </c>
      <c r="E90" s="363">
        <f>SUM(E84:E89)</f>
        <v>124.3218</v>
      </c>
      <c r="F90" s="357">
        <f t="shared" si="98"/>
        <v>0</v>
      </c>
      <c r="G90" s="357">
        <f t="shared" si="98"/>
        <v>0</v>
      </c>
      <c r="H90" s="357">
        <f t="shared" si="98"/>
        <v>0</v>
      </c>
      <c r="J90">
        <v>0</v>
      </c>
      <c r="K90">
        <v>0</v>
      </c>
      <c r="L90">
        <v>0</v>
      </c>
      <c r="M90">
        <v>0</v>
      </c>
      <c r="N90">
        <v>0</v>
      </c>
      <c r="O90" s="20"/>
      <c r="P90" s="20"/>
      <c r="Q90" s="438">
        <v>8.5472109304328345E-2</v>
      </c>
      <c r="R90" s="197"/>
      <c r="S90" s="197"/>
      <c r="T90" s="197"/>
      <c r="U90" s="197"/>
      <c r="BA90" s="319">
        <f>(E90*10000*Q90*AU$10)</f>
        <v>139254.33910088465</v>
      </c>
    </row>
    <row r="91" spans="1:53" ht="15" x14ac:dyDescent="0.25">
      <c r="A91" s="10"/>
      <c r="B91" s="9" t="s">
        <v>15</v>
      </c>
      <c r="C91" s="5"/>
      <c r="E91" s="363">
        <f>SUM(E90)</f>
        <v>124.3218</v>
      </c>
      <c r="H91" s="358">
        <f>SUM(D90:H90)</f>
        <v>124.3218</v>
      </c>
      <c r="K91" s="14"/>
      <c r="N91">
        <v>0</v>
      </c>
      <c r="O91" s="20"/>
      <c r="P91" s="20"/>
      <c r="Q91" s="438"/>
      <c r="R91" s="197"/>
      <c r="S91" s="197"/>
      <c r="T91" s="197"/>
      <c r="U91" s="197"/>
    </row>
    <row r="92" spans="1:53" ht="15.75" x14ac:dyDescent="0.25">
      <c r="A92" s="1"/>
      <c r="B92" s="2"/>
      <c r="C92" s="1"/>
      <c r="E92" s="361"/>
      <c r="K92" s="14"/>
      <c r="O92" s="20"/>
      <c r="P92" s="20"/>
      <c r="Q92" s="439"/>
      <c r="R92" s="197"/>
      <c r="S92" s="197"/>
      <c r="T92" s="197"/>
      <c r="U92" s="197"/>
    </row>
    <row r="93" spans="1:53" ht="15" x14ac:dyDescent="0.25">
      <c r="A93" s="1">
        <v>10</v>
      </c>
      <c r="B93" s="2" t="s">
        <v>24</v>
      </c>
      <c r="C93" s="1" t="s">
        <v>8</v>
      </c>
      <c r="D93">
        <v>0</v>
      </c>
      <c r="E93" s="360">
        <v>148.16669999999999</v>
      </c>
      <c r="F93">
        <v>0</v>
      </c>
      <c r="G93">
        <v>0</v>
      </c>
      <c r="H93">
        <v>0</v>
      </c>
      <c r="J93">
        <v>0</v>
      </c>
      <c r="K93">
        <v>0</v>
      </c>
      <c r="L93">
        <v>0</v>
      </c>
      <c r="M93">
        <v>0</v>
      </c>
      <c r="N93">
        <v>0</v>
      </c>
      <c r="O93" s="20"/>
      <c r="P93" s="20"/>
      <c r="Q93" s="438">
        <v>4.9092786231741875E-2</v>
      </c>
      <c r="R93" s="197">
        <v>0.66599999999999993</v>
      </c>
      <c r="S93" s="197">
        <v>4.5549999999999997</v>
      </c>
      <c r="T93" s="197">
        <v>0.60039794540960334</v>
      </c>
      <c r="U93" s="197">
        <v>0.90789473684210531</v>
      </c>
      <c r="V93" s="20">
        <f t="shared" ref="V93:Y98" si="99">IF(K93&gt;0,((E93-K93)*$Q93*$R93*10)+(K93*$O$12*$Q93*$R93*10),(E93*$Q93*$R93*10))</f>
        <v>48.444281424219106</v>
      </c>
      <c r="W93" s="20">
        <f t="shared" si="99"/>
        <v>0</v>
      </c>
      <c r="X93" s="20">
        <f t="shared" si="99"/>
        <v>0</v>
      </c>
      <c r="Y93" s="20">
        <f t="shared" si="99"/>
        <v>0</v>
      </c>
      <c r="Z93" s="20">
        <f t="shared" ref="Z93:AC98" si="100">V93*(EXP(1.01-0.34*LN(Z$8))*(1-$T93)+(1*$T93))</f>
        <v>32.618814721847976</v>
      </c>
      <c r="AA93" s="20">
        <f t="shared" si="100"/>
        <v>0</v>
      </c>
      <c r="AB93" s="20">
        <f t="shared" si="100"/>
        <v>0</v>
      </c>
      <c r="AC93" s="20">
        <f t="shared" si="100"/>
        <v>0</v>
      </c>
      <c r="AD93" s="20">
        <f t="shared" ref="AD93:AD98" si="101">SUM(Z93:AC93)</f>
        <v>32.618814721847976</v>
      </c>
      <c r="AE93" s="20">
        <f t="shared" ref="AE93:AH98" si="102">IF(K93&gt;0,((E93-K93)*$Q93*$S93*10)+(K93*$P$12*$Q93*$S93)*10,(E93*$Q93*$S93*10))</f>
        <v>331.32687971068771</v>
      </c>
      <c r="AF93" s="20">
        <f t="shared" si="102"/>
        <v>0</v>
      </c>
      <c r="AG93" s="20">
        <f t="shared" si="102"/>
        <v>0</v>
      </c>
      <c r="AH93" s="20">
        <f t="shared" si="102"/>
        <v>0</v>
      </c>
      <c r="AI93" s="20">
        <f t="shared" ref="AI93:AL98" si="103">AE93*(EXP(1.01-0.34*LN(AI$8))*(1-$U93)+(1*$U93))</f>
        <v>306.37935773676799</v>
      </c>
      <c r="AJ93" s="20">
        <f t="shared" si="103"/>
        <v>0</v>
      </c>
      <c r="AK93" s="20">
        <f t="shared" si="103"/>
        <v>0</v>
      </c>
      <c r="AL93" s="20">
        <f t="shared" si="103"/>
        <v>0</v>
      </c>
      <c r="AM93" s="20">
        <f t="shared" ref="AM93:AM98" si="104">SUM(AI93:AL93)</f>
        <v>306.37935773676799</v>
      </c>
      <c r="AO93">
        <f t="shared" ref="AO93:AR98" si="105">Z93*AO$10</f>
        <v>42.746956692981769</v>
      </c>
      <c r="AP93">
        <f t="shared" si="105"/>
        <v>0</v>
      </c>
      <c r="AQ93">
        <f t="shared" si="105"/>
        <v>0</v>
      </c>
      <c r="AR93">
        <f t="shared" si="105"/>
        <v>0</v>
      </c>
      <c r="AS93">
        <f t="shared" ref="AS93:AS98" si="106">SUM(AO93:AR93)</f>
        <v>42.746956692981769</v>
      </c>
      <c r="AU93">
        <f t="shared" ref="AU93:AX98" si="107">AI93*AU$10</f>
        <v>401.51014831403444</v>
      </c>
      <c r="AV93">
        <f t="shared" si="107"/>
        <v>0</v>
      </c>
      <c r="AW93">
        <f t="shared" si="107"/>
        <v>0</v>
      </c>
      <c r="AX93">
        <f t="shared" si="107"/>
        <v>0</v>
      </c>
      <c r="AY93">
        <f t="shared" ref="AY93:AY98" si="108">SUM(AU93:AX93)</f>
        <v>401.51014831403444</v>
      </c>
    </row>
    <row r="94" spans="1:53" ht="15" x14ac:dyDescent="0.25">
      <c r="A94" s="1"/>
      <c r="B94" s="2"/>
      <c r="C94" s="1" t="s">
        <v>9</v>
      </c>
      <c r="D94">
        <v>0</v>
      </c>
      <c r="E94" s="360">
        <v>16.532399999999999</v>
      </c>
      <c r="F94">
        <v>0</v>
      </c>
      <c r="G94">
        <v>0</v>
      </c>
      <c r="H94">
        <v>0</v>
      </c>
      <c r="J94">
        <v>0</v>
      </c>
      <c r="K94">
        <v>0</v>
      </c>
      <c r="L94">
        <v>0</v>
      </c>
      <c r="M94">
        <v>0</v>
      </c>
      <c r="N94">
        <v>0</v>
      </c>
      <c r="O94" s="20"/>
      <c r="P94" s="20"/>
      <c r="Q94" s="438">
        <v>8.9185572463483742E-2</v>
      </c>
      <c r="R94" s="197">
        <v>0.66599999999999993</v>
      </c>
      <c r="S94" s="197">
        <v>4.5549999999999997</v>
      </c>
      <c r="T94" s="197">
        <v>0.60039794540960334</v>
      </c>
      <c r="U94" s="197">
        <v>0.90789473684210531</v>
      </c>
      <c r="V94" s="20">
        <f t="shared" si="99"/>
        <v>9.8198473775806878</v>
      </c>
      <c r="W94" s="20">
        <f t="shared" si="99"/>
        <v>0</v>
      </c>
      <c r="X94" s="20">
        <f t="shared" si="99"/>
        <v>0</v>
      </c>
      <c r="Y94" s="20">
        <f t="shared" si="99"/>
        <v>0</v>
      </c>
      <c r="Z94" s="20">
        <f t="shared" si="100"/>
        <v>6.6119627082752706</v>
      </c>
      <c r="AA94" s="20">
        <f t="shared" si="100"/>
        <v>0</v>
      </c>
      <c r="AB94" s="20">
        <f t="shared" si="100"/>
        <v>0</v>
      </c>
      <c r="AC94" s="20">
        <f t="shared" si="100"/>
        <v>0</v>
      </c>
      <c r="AD94" s="20">
        <f t="shared" si="101"/>
        <v>6.6119627082752706</v>
      </c>
      <c r="AE94" s="20">
        <f t="shared" si="102"/>
        <v>67.16126847579585</v>
      </c>
      <c r="AF94" s="20">
        <f t="shared" si="102"/>
        <v>0</v>
      </c>
      <c r="AG94" s="20">
        <f t="shared" si="102"/>
        <v>0</v>
      </c>
      <c r="AH94" s="20">
        <f t="shared" si="102"/>
        <v>0</v>
      </c>
      <c r="AI94" s="20">
        <f t="shared" si="103"/>
        <v>62.104307137315615</v>
      </c>
      <c r="AJ94" s="20">
        <f t="shared" si="103"/>
        <v>0</v>
      </c>
      <c r="AK94" s="20">
        <f t="shared" si="103"/>
        <v>0</v>
      </c>
      <c r="AL94" s="20">
        <f t="shared" si="103"/>
        <v>0</v>
      </c>
      <c r="AM94" s="20">
        <f t="shared" si="104"/>
        <v>62.104307137315615</v>
      </c>
      <c r="AO94">
        <f t="shared" si="105"/>
        <v>8.6649771291947424</v>
      </c>
      <c r="AP94">
        <f t="shared" si="105"/>
        <v>0</v>
      </c>
      <c r="AQ94">
        <f t="shared" si="105"/>
        <v>0</v>
      </c>
      <c r="AR94">
        <f t="shared" si="105"/>
        <v>0</v>
      </c>
      <c r="AS94">
        <f t="shared" si="106"/>
        <v>8.6649771291947424</v>
      </c>
      <c r="AU94">
        <f t="shared" si="107"/>
        <v>81.38769450345211</v>
      </c>
      <c r="AV94">
        <f t="shared" si="107"/>
        <v>0</v>
      </c>
      <c r="AW94">
        <f t="shared" si="107"/>
        <v>0</v>
      </c>
      <c r="AX94">
        <f t="shared" si="107"/>
        <v>0</v>
      </c>
      <c r="AY94">
        <f t="shared" si="108"/>
        <v>81.38769450345211</v>
      </c>
    </row>
    <row r="95" spans="1:53" ht="15" x14ac:dyDescent="0.25">
      <c r="A95" s="1"/>
      <c r="B95" s="2"/>
      <c r="C95" s="1" t="s">
        <v>10</v>
      </c>
      <c r="D95">
        <v>0</v>
      </c>
      <c r="E95" s="360"/>
      <c r="F95">
        <v>0</v>
      </c>
      <c r="G95">
        <v>0</v>
      </c>
      <c r="H95">
        <v>0</v>
      </c>
      <c r="J95">
        <v>0</v>
      </c>
      <c r="K95">
        <v>0</v>
      </c>
      <c r="L95">
        <v>0</v>
      </c>
      <c r="M95">
        <v>0</v>
      </c>
      <c r="N95">
        <v>0</v>
      </c>
      <c r="O95" s="20"/>
      <c r="P95" s="20"/>
      <c r="Q95" s="438"/>
      <c r="R95" s="197">
        <v>0.66599999999999993</v>
      </c>
      <c r="S95" s="197">
        <v>4.5549999999999997</v>
      </c>
      <c r="T95" s="197">
        <v>0.60039794540960334</v>
      </c>
      <c r="U95" s="197">
        <v>0.90789473684210531</v>
      </c>
      <c r="V95" s="20">
        <f t="shared" si="99"/>
        <v>0</v>
      </c>
      <c r="W95" s="20">
        <f t="shared" si="99"/>
        <v>0</v>
      </c>
      <c r="X95" s="20">
        <f t="shared" si="99"/>
        <v>0</v>
      </c>
      <c r="Y95" s="20">
        <f t="shared" si="99"/>
        <v>0</v>
      </c>
      <c r="Z95" s="20">
        <f t="shared" si="100"/>
        <v>0</v>
      </c>
      <c r="AA95" s="20">
        <f t="shared" si="100"/>
        <v>0</v>
      </c>
      <c r="AB95" s="20">
        <f t="shared" si="100"/>
        <v>0</v>
      </c>
      <c r="AC95" s="20">
        <f t="shared" si="100"/>
        <v>0</v>
      </c>
      <c r="AD95" s="20">
        <f t="shared" si="101"/>
        <v>0</v>
      </c>
      <c r="AE95" s="20">
        <f t="shared" si="102"/>
        <v>0</v>
      </c>
      <c r="AF95" s="20">
        <f t="shared" si="102"/>
        <v>0</v>
      </c>
      <c r="AG95" s="20">
        <f t="shared" si="102"/>
        <v>0</v>
      </c>
      <c r="AH95" s="20">
        <f t="shared" si="102"/>
        <v>0</v>
      </c>
      <c r="AI95" s="20">
        <f t="shared" si="103"/>
        <v>0</v>
      </c>
      <c r="AJ95" s="20">
        <f t="shared" si="103"/>
        <v>0</v>
      </c>
      <c r="AK95" s="20">
        <f t="shared" si="103"/>
        <v>0</v>
      </c>
      <c r="AL95" s="20">
        <f t="shared" si="103"/>
        <v>0</v>
      </c>
      <c r="AM95" s="20">
        <f t="shared" si="104"/>
        <v>0</v>
      </c>
      <c r="AO95">
        <f t="shared" si="105"/>
        <v>0</v>
      </c>
      <c r="AP95">
        <f t="shared" si="105"/>
        <v>0</v>
      </c>
      <c r="AQ95">
        <f t="shared" si="105"/>
        <v>0</v>
      </c>
      <c r="AR95">
        <f t="shared" si="105"/>
        <v>0</v>
      </c>
      <c r="AS95">
        <f t="shared" si="106"/>
        <v>0</v>
      </c>
      <c r="AU95">
        <f t="shared" si="107"/>
        <v>0</v>
      </c>
      <c r="AV95">
        <f t="shared" si="107"/>
        <v>0</v>
      </c>
      <c r="AW95">
        <f t="shared" si="107"/>
        <v>0</v>
      </c>
      <c r="AX95">
        <f t="shared" si="107"/>
        <v>0</v>
      </c>
      <c r="AY95">
        <f t="shared" si="108"/>
        <v>0</v>
      </c>
    </row>
    <row r="96" spans="1:53" ht="15" x14ac:dyDescent="0.25">
      <c r="A96" s="1"/>
      <c r="B96" s="2"/>
      <c r="C96" s="1" t="s">
        <v>11</v>
      </c>
      <c r="D96">
        <v>0</v>
      </c>
      <c r="E96" s="360">
        <v>104.04470000000001</v>
      </c>
      <c r="F96">
        <v>0</v>
      </c>
      <c r="G96">
        <v>0</v>
      </c>
      <c r="H96">
        <v>0</v>
      </c>
      <c r="J96">
        <v>0</v>
      </c>
      <c r="K96">
        <v>0</v>
      </c>
      <c r="L96">
        <v>0</v>
      </c>
      <c r="M96">
        <v>0</v>
      </c>
      <c r="N96">
        <v>0</v>
      </c>
      <c r="O96" s="20"/>
      <c r="P96" s="20"/>
      <c r="Q96" s="438">
        <v>0.16937114492696753</v>
      </c>
      <c r="R96" s="197">
        <v>0.66599999999999993</v>
      </c>
      <c r="S96" s="197">
        <v>4.5549999999999997</v>
      </c>
      <c r="T96" s="197">
        <v>0.60039794540960334</v>
      </c>
      <c r="U96" s="197">
        <v>0.90789473684210531</v>
      </c>
      <c r="V96" s="20">
        <f t="shared" si="99"/>
        <v>117.36365195080182</v>
      </c>
      <c r="W96" s="20">
        <f t="shared" si="99"/>
        <v>0</v>
      </c>
      <c r="X96" s="20">
        <f t="shared" si="99"/>
        <v>0</v>
      </c>
      <c r="Y96" s="20">
        <f t="shared" si="99"/>
        <v>0</v>
      </c>
      <c r="Z96" s="20">
        <f t="shared" si="100"/>
        <v>79.024047947767983</v>
      </c>
      <c r="AA96" s="20">
        <f t="shared" si="100"/>
        <v>0</v>
      </c>
      <c r="AB96" s="20">
        <f t="shared" si="100"/>
        <v>0</v>
      </c>
      <c r="AC96" s="20">
        <f t="shared" si="100"/>
        <v>0</v>
      </c>
      <c r="AD96" s="20">
        <f t="shared" si="101"/>
        <v>79.024047947767983</v>
      </c>
      <c r="AE96" s="20">
        <f t="shared" si="102"/>
        <v>802.68984179564927</v>
      </c>
      <c r="AF96" s="20">
        <f t="shared" si="102"/>
        <v>0</v>
      </c>
      <c r="AG96" s="20">
        <f t="shared" si="102"/>
        <v>0</v>
      </c>
      <c r="AH96" s="20">
        <f t="shared" si="102"/>
        <v>0</v>
      </c>
      <c r="AI96" s="20">
        <f t="shared" si="103"/>
        <v>742.25066920595498</v>
      </c>
      <c r="AJ96" s="20">
        <f t="shared" si="103"/>
        <v>0</v>
      </c>
      <c r="AK96" s="20">
        <f t="shared" si="103"/>
        <v>0</v>
      </c>
      <c r="AL96" s="20">
        <f t="shared" si="103"/>
        <v>0</v>
      </c>
      <c r="AM96" s="20">
        <f t="shared" si="104"/>
        <v>742.25066920595498</v>
      </c>
      <c r="AO96">
        <f t="shared" si="105"/>
        <v>103.56101483554994</v>
      </c>
      <c r="AP96">
        <f t="shared" si="105"/>
        <v>0</v>
      </c>
      <c r="AQ96">
        <f t="shared" si="105"/>
        <v>0</v>
      </c>
      <c r="AR96">
        <f t="shared" si="105"/>
        <v>0</v>
      </c>
      <c r="AS96">
        <f t="shared" si="106"/>
        <v>103.56101483554994</v>
      </c>
      <c r="AU96">
        <f t="shared" si="107"/>
        <v>972.71950199440403</v>
      </c>
      <c r="AV96">
        <f t="shared" si="107"/>
        <v>0</v>
      </c>
      <c r="AW96">
        <f t="shared" si="107"/>
        <v>0</v>
      </c>
      <c r="AX96">
        <f t="shared" si="107"/>
        <v>0</v>
      </c>
      <c r="AY96">
        <f t="shared" si="108"/>
        <v>972.71950199440403</v>
      </c>
    </row>
    <row r="97" spans="1:53" ht="15" x14ac:dyDescent="0.25">
      <c r="A97" s="1"/>
      <c r="B97" s="2"/>
      <c r="C97" s="1" t="s">
        <v>12</v>
      </c>
      <c r="D97">
        <v>0</v>
      </c>
      <c r="E97" s="360">
        <v>0</v>
      </c>
      <c r="F97">
        <v>0</v>
      </c>
      <c r="G97">
        <v>0</v>
      </c>
      <c r="H9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20"/>
      <c r="P97" s="20"/>
      <c r="Q97" s="438"/>
      <c r="R97" s="197">
        <v>0.66599999999999993</v>
      </c>
      <c r="S97" s="197">
        <v>4.5549999999999997</v>
      </c>
      <c r="T97" s="197">
        <v>0.60039794540960334</v>
      </c>
      <c r="U97" s="197">
        <v>0.90789473684210531</v>
      </c>
      <c r="V97" s="20">
        <f t="shared" si="99"/>
        <v>0</v>
      </c>
      <c r="W97" s="20">
        <f t="shared" si="99"/>
        <v>0</v>
      </c>
      <c r="X97" s="20">
        <f t="shared" si="99"/>
        <v>0</v>
      </c>
      <c r="Y97" s="20">
        <f t="shared" si="99"/>
        <v>0</v>
      </c>
      <c r="Z97" s="20">
        <f t="shared" si="100"/>
        <v>0</v>
      </c>
      <c r="AA97" s="20">
        <f t="shared" si="100"/>
        <v>0</v>
      </c>
      <c r="AB97" s="20">
        <f t="shared" si="100"/>
        <v>0</v>
      </c>
      <c r="AC97" s="20">
        <f t="shared" si="100"/>
        <v>0</v>
      </c>
      <c r="AD97" s="20">
        <f t="shared" si="101"/>
        <v>0</v>
      </c>
      <c r="AE97" s="20">
        <f t="shared" si="102"/>
        <v>0</v>
      </c>
      <c r="AF97" s="20">
        <f t="shared" si="102"/>
        <v>0</v>
      </c>
      <c r="AG97" s="20">
        <f t="shared" si="102"/>
        <v>0</v>
      </c>
      <c r="AH97" s="20">
        <f t="shared" si="102"/>
        <v>0</v>
      </c>
      <c r="AI97" s="20">
        <f t="shared" si="103"/>
        <v>0</v>
      </c>
      <c r="AJ97" s="20">
        <f t="shared" si="103"/>
        <v>0</v>
      </c>
      <c r="AK97" s="20">
        <f t="shared" si="103"/>
        <v>0</v>
      </c>
      <c r="AL97" s="20">
        <f t="shared" si="103"/>
        <v>0</v>
      </c>
      <c r="AM97" s="20">
        <f t="shared" si="104"/>
        <v>0</v>
      </c>
      <c r="AO97">
        <f t="shared" si="105"/>
        <v>0</v>
      </c>
      <c r="AP97">
        <f t="shared" si="105"/>
        <v>0</v>
      </c>
      <c r="AQ97">
        <f t="shared" si="105"/>
        <v>0</v>
      </c>
      <c r="AR97">
        <f t="shared" si="105"/>
        <v>0</v>
      </c>
      <c r="AS97">
        <f t="shared" si="106"/>
        <v>0</v>
      </c>
      <c r="AU97">
        <f t="shared" si="107"/>
        <v>0</v>
      </c>
      <c r="AV97">
        <f t="shared" si="107"/>
        <v>0</v>
      </c>
      <c r="AW97">
        <f t="shared" si="107"/>
        <v>0</v>
      </c>
      <c r="AX97">
        <f t="shared" si="107"/>
        <v>0</v>
      </c>
      <c r="AY97">
        <f t="shared" si="108"/>
        <v>0</v>
      </c>
    </row>
    <row r="98" spans="1:53" ht="15" x14ac:dyDescent="0.25">
      <c r="A98" s="1"/>
      <c r="B98" s="2"/>
      <c r="C98" s="1" t="s">
        <v>13</v>
      </c>
      <c r="D98">
        <v>0</v>
      </c>
      <c r="E98" s="360">
        <v>1.4752000000000001</v>
      </c>
      <c r="F98">
        <v>0</v>
      </c>
      <c r="G98">
        <v>0</v>
      </c>
      <c r="H98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20"/>
      <c r="P98" s="20"/>
      <c r="Q98" s="438">
        <v>0.1693711449269675</v>
      </c>
      <c r="R98" s="197">
        <v>0.66599999999999993</v>
      </c>
      <c r="S98" s="197">
        <v>4.5549999999999997</v>
      </c>
      <c r="T98" s="197">
        <v>0.60039794540960334</v>
      </c>
      <c r="U98" s="197">
        <v>0.90789473684210531</v>
      </c>
      <c r="V98" s="20">
        <f t="shared" si="99"/>
        <v>1.664043044555108</v>
      </c>
      <c r="W98" s="20">
        <f t="shared" si="99"/>
        <v>0</v>
      </c>
      <c r="X98" s="20">
        <f t="shared" si="99"/>
        <v>0</v>
      </c>
      <c r="Y98" s="20">
        <f t="shared" si="99"/>
        <v>0</v>
      </c>
      <c r="Z98" s="20">
        <f t="shared" si="100"/>
        <v>1.1204441507596958</v>
      </c>
      <c r="AA98" s="20">
        <f t="shared" si="100"/>
        <v>0</v>
      </c>
      <c r="AB98" s="20">
        <f t="shared" si="100"/>
        <v>0</v>
      </c>
      <c r="AC98" s="20">
        <f t="shared" si="100"/>
        <v>0</v>
      </c>
      <c r="AD98" s="20">
        <f t="shared" si="101"/>
        <v>1.1204441507596958</v>
      </c>
      <c r="AE98" s="20">
        <f t="shared" si="102"/>
        <v>11.380955056979756</v>
      </c>
      <c r="AF98" s="20">
        <f t="shared" si="102"/>
        <v>0</v>
      </c>
      <c r="AG98" s="20">
        <f t="shared" si="102"/>
        <v>0</v>
      </c>
      <c r="AH98" s="20">
        <f t="shared" si="102"/>
        <v>0</v>
      </c>
      <c r="AI98" s="20">
        <f t="shared" si="103"/>
        <v>10.524016958217235</v>
      </c>
      <c r="AJ98" s="20">
        <f t="shared" si="103"/>
        <v>0</v>
      </c>
      <c r="AK98" s="20">
        <f t="shared" si="103"/>
        <v>0</v>
      </c>
      <c r="AL98" s="20">
        <f t="shared" si="103"/>
        <v>0</v>
      </c>
      <c r="AM98" s="20">
        <f t="shared" si="104"/>
        <v>10.524016958217235</v>
      </c>
      <c r="AO98">
        <f t="shared" si="105"/>
        <v>1.4683420595705814</v>
      </c>
      <c r="AP98">
        <f t="shared" si="105"/>
        <v>0</v>
      </c>
      <c r="AQ98">
        <f t="shared" si="105"/>
        <v>0</v>
      </c>
      <c r="AR98">
        <f t="shared" si="105"/>
        <v>0</v>
      </c>
      <c r="AS98">
        <f t="shared" si="106"/>
        <v>1.4683420595705814</v>
      </c>
      <c r="AU98">
        <f t="shared" si="107"/>
        <v>13.791724223743687</v>
      </c>
      <c r="AV98">
        <f t="shared" si="107"/>
        <v>0</v>
      </c>
      <c r="AW98">
        <f t="shared" si="107"/>
        <v>0</v>
      </c>
      <c r="AX98">
        <f t="shared" si="107"/>
        <v>0</v>
      </c>
      <c r="AY98">
        <f t="shared" si="108"/>
        <v>13.791724223743687</v>
      </c>
    </row>
    <row r="99" spans="1:53" ht="15" x14ac:dyDescent="0.25">
      <c r="A99" s="7"/>
      <c r="B99" s="8" t="s">
        <v>14</v>
      </c>
      <c r="C99" s="7"/>
      <c r="D99" s="357">
        <f t="shared" ref="D99:H99" si="109">SUM(D93:D98)</f>
        <v>0</v>
      </c>
      <c r="E99" s="363">
        <f>SUM(E93:E98)</f>
        <v>270.21899999999994</v>
      </c>
      <c r="F99" s="357">
        <f t="shared" si="109"/>
        <v>0</v>
      </c>
      <c r="G99" s="357">
        <f t="shared" si="109"/>
        <v>0</v>
      </c>
      <c r="H99" s="357">
        <f t="shared" si="109"/>
        <v>0</v>
      </c>
      <c r="J99">
        <v>0</v>
      </c>
      <c r="K99">
        <v>0</v>
      </c>
      <c r="L99">
        <v>0</v>
      </c>
      <c r="M99">
        <v>0</v>
      </c>
      <c r="N99">
        <v>0</v>
      </c>
      <c r="O99" s="20"/>
      <c r="P99" s="20"/>
      <c r="Q99" s="438">
        <v>9.8514145798545089E-2</v>
      </c>
      <c r="R99" s="197"/>
      <c r="S99" s="197"/>
      <c r="T99" s="197"/>
      <c r="U99" s="197"/>
      <c r="BA99" s="319">
        <f>(E99*10000*Q99*AU$10)</f>
        <v>348860.26289215306</v>
      </c>
    </row>
    <row r="100" spans="1:53" ht="15" x14ac:dyDescent="0.25">
      <c r="A100" s="10"/>
      <c r="B100" s="9" t="s">
        <v>15</v>
      </c>
      <c r="C100" s="5"/>
      <c r="E100" s="363">
        <f>SUM(E99)</f>
        <v>270.21899999999994</v>
      </c>
      <c r="H100" s="358">
        <f>SUM(D99:H99)</f>
        <v>270.21899999999994</v>
      </c>
      <c r="K100" s="14"/>
      <c r="N100">
        <v>0</v>
      </c>
      <c r="O100" s="20"/>
      <c r="P100" s="20"/>
      <c r="Q100" s="438"/>
      <c r="R100" s="197"/>
      <c r="S100" s="197"/>
      <c r="T100" s="197"/>
      <c r="U100" s="197"/>
    </row>
    <row r="101" spans="1:53" ht="15.75" x14ac:dyDescent="0.25">
      <c r="A101" s="1"/>
      <c r="B101" s="2"/>
      <c r="C101" s="1"/>
      <c r="E101" s="361"/>
      <c r="K101" s="14"/>
      <c r="O101" s="20"/>
      <c r="P101" s="20"/>
      <c r="Q101" s="439"/>
      <c r="R101" s="197"/>
      <c r="S101" s="197"/>
      <c r="T101" s="197"/>
      <c r="U101" s="197"/>
    </row>
    <row r="102" spans="1:53" ht="15" x14ac:dyDescent="0.25">
      <c r="A102" s="1">
        <v>11</v>
      </c>
      <c r="B102" s="2" t="s">
        <v>25</v>
      </c>
      <c r="C102" s="1" t="s">
        <v>8</v>
      </c>
      <c r="D102">
        <v>0</v>
      </c>
      <c r="E102" s="360">
        <v>9.1846999999999994</v>
      </c>
      <c r="F102">
        <v>0</v>
      </c>
      <c r="G102">
        <v>0</v>
      </c>
      <c r="H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 s="20"/>
      <c r="P102" s="20"/>
      <c r="Q102" s="438">
        <v>4.9092786231741882E-2</v>
      </c>
      <c r="R102" s="197">
        <v>0.14000000000000001</v>
      </c>
      <c r="S102" s="197">
        <v>2.0499999999999998</v>
      </c>
      <c r="T102" s="197">
        <v>0.62857142857142845</v>
      </c>
      <c r="U102" s="197">
        <v>0.90789473684210531</v>
      </c>
      <c r="V102" s="20">
        <f t="shared" ref="V102:Y107" si="110">IF(K102&gt;0,((E102-K102)*$Q102*$R102*10)+(K102*$O$12*$Q102*$R102*10),(E102*$Q102*$R102*10))</f>
        <v>0.63126351918375145</v>
      </c>
      <c r="W102" s="20">
        <f t="shared" si="110"/>
        <v>0</v>
      </c>
      <c r="X102" s="20">
        <f t="shared" si="110"/>
        <v>0</v>
      </c>
      <c r="Y102" s="20">
        <f t="shared" si="110"/>
        <v>0</v>
      </c>
      <c r="Z102" s="20">
        <f t="shared" ref="Z102:AC107" si="111">V102*(EXP(1.01-0.34*LN(Z$8))*(1-$T102)+(1*$T102))</f>
        <v>0.43958550753083947</v>
      </c>
      <c r="AA102" s="20">
        <f t="shared" si="111"/>
        <v>0</v>
      </c>
      <c r="AB102" s="20">
        <f t="shared" si="111"/>
        <v>0</v>
      </c>
      <c r="AC102" s="20">
        <f t="shared" si="111"/>
        <v>0</v>
      </c>
      <c r="AD102" s="20">
        <f t="shared" ref="AD102:AD107" si="112">SUM(Z102:AC102)</f>
        <v>0.43958550753083947</v>
      </c>
      <c r="AE102" s="20">
        <f t="shared" ref="AE102:AH107" si="113">IF(K102&gt;0,((E102-K102)*$Q102*$S102*10)+(K102*$P$12*$Q102*$S102)*10,(E102*$Q102*$S102*10))</f>
        <v>9.2435015309049327</v>
      </c>
      <c r="AF102" s="20">
        <f t="shared" si="113"/>
        <v>0</v>
      </c>
      <c r="AG102" s="20">
        <f t="shared" si="113"/>
        <v>0</v>
      </c>
      <c r="AH102" s="20">
        <f t="shared" si="113"/>
        <v>0</v>
      </c>
      <c r="AI102" s="20">
        <f t="shared" ref="AI102:AL107" si="114">AE102*(EXP(1.01-0.34*LN(AI$8))*(1-$U102)+(1*$U102))</f>
        <v>8.5475047021551127</v>
      </c>
      <c r="AJ102" s="20">
        <f t="shared" si="114"/>
        <v>0</v>
      </c>
      <c r="AK102" s="20">
        <f t="shared" si="114"/>
        <v>0</v>
      </c>
      <c r="AL102" s="20">
        <f t="shared" si="114"/>
        <v>0</v>
      </c>
      <c r="AM102" s="20">
        <f t="shared" ref="AM102:AM107" si="115">SUM(AI102:AL102)</f>
        <v>8.5475047021551127</v>
      </c>
      <c r="AO102">
        <f t="shared" ref="AO102:AR107" si="116">Z102*AO$10</f>
        <v>0.57607680761916513</v>
      </c>
      <c r="AP102">
        <f t="shared" si="116"/>
        <v>0</v>
      </c>
      <c r="AQ102">
        <f t="shared" si="116"/>
        <v>0</v>
      </c>
      <c r="AR102">
        <f t="shared" si="116"/>
        <v>0</v>
      </c>
      <c r="AS102">
        <f t="shared" ref="AS102:AS107" si="117">SUM(AO102:AR102)</f>
        <v>0.57607680761916513</v>
      </c>
      <c r="AU102">
        <f t="shared" ref="AU102:AX107" si="118">AI102*AU$10</f>
        <v>11.201504912174276</v>
      </c>
      <c r="AV102">
        <f t="shared" si="118"/>
        <v>0</v>
      </c>
      <c r="AW102">
        <f t="shared" si="118"/>
        <v>0</v>
      </c>
      <c r="AX102">
        <f t="shared" si="118"/>
        <v>0</v>
      </c>
      <c r="AY102">
        <f t="shared" ref="AY102:AY107" si="119">SUM(AU102:AX102)</f>
        <v>11.201504912174276</v>
      </c>
    </row>
    <row r="103" spans="1:53" ht="15" x14ac:dyDescent="0.25">
      <c r="A103" s="1"/>
      <c r="B103" s="2"/>
      <c r="C103" s="1" t="s">
        <v>9</v>
      </c>
      <c r="D103">
        <v>0</v>
      </c>
      <c r="E103" s="360">
        <v>0</v>
      </c>
      <c r="F103">
        <v>0</v>
      </c>
      <c r="G103">
        <v>0</v>
      </c>
      <c r="H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 s="20"/>
      <c r="P103" s="20"/>
      <c r="Q103" s="438"/>
      <c r="R103" s="197">
        <v>0.14000000000000001</v>
      </c>
      <c r="S103" s="197">
        <v>2.0499999999999998</v>
      </c>
      <c r="T103" s="197">
        <v>0.62857142857142845</v>
      </c>
      <c r="U103" s="197">
        <v>0.90789473684210531</v>
      </c>
      <c r="V103" s="20">
        <f t="shared" si="110"/>
        <v>0</v>
      </c>
      <c r="W103" s="20">
        <f t="shared" si="110"/>
        <v>0</v>
      </c>
      <c r="X103" s="20">
        <f t="shared" si="110"/>
        <v>0</v>
      </c>
      <c r="Y103" s="20">
        <f t="shared" si="110"/>
        <v>0</v>
      </c>
      <c r="Z103" s="20">
        <f t="shared" si="111"/>
        <v>0</v>
      </c>
      <c r="AA103" s="20">
        <f t="shared" si="111"/>
        <v>0</v>
      </c>
      <c r="AB103" s="20">
        <f t="shared" si="111"/>
        <v>0</v>
      </c>
      <c r="AC103" s="20">
        <f t="shared" si="111"/>
        <v>0</v>
      </c>
      <c r="AD103" s="20">
        <f t="shared" si="112"/>
        <v>0</v>
      </c>
      <c r="AE103" s="20">
        <f t="shared" si="113"/>
        <v>0</v>
      </c>
      <c r="AF103" s="20">
        <f t="shared" si="113"/>
        <v>0</v>
      </c>
      <c r="AG103" s="20">
        <f t="shared" si="113"/>
        <v>0</v>
      </c>
      <c r="AH103" s="20">
        <f t="shared" si="113"/>
        <v>0</v>
      </c>
      <c r="AI103" s="20">
        <f t="shared" si="114"/>
        <v>0</v>
      </c>
      <c r="AJ103" s="20">
        <f t="shared" si="114"/>
        <v>0</v>
      </c>
      <c r="AK103" s="20">
        <f t="shared" si="114"/>
        <v>0</v>
      </c>
      <c r="AL103" s="20">
        <f t="shared" si="114"/>
        <v>0</v>
      </c>
      <c r="AM103" s="20">
        <f t="shared" si="115"/>
        <v>0</v>
      </c>
      <c r="AO103">
        <f t="shared" si="116"/>
        <v>0</v>
      </c>
      <c r="AP103">
        <f t="shared" si="116"/>
        <v>0</v>
      </c>
      <c r="AQ103">
        <f t="shared" si="116"/>
        <v>0</v>
      </c>
      <c r="AR103">
        <f t="shared" si="116"/>
        <v>0</v>
      </c>
      <c r="AS103">
        <f t="shared" si="117"/>
        <v>0</v>
      </c>
      <c r="AU103">
        <f t="shared" si="118"/>
        <v>0</v>
      </c>
      <c r="AV103">
        <f t="shared" si="118"/>
        <v>0</v>
      </c>
      <c r="AW103">
        <f t="shared" si="118"/>
        <v>0</v>
      </c>
      <c r="AX103">
        <f t="shared" si="118"/>
        <v>0</v>
      </c>
      <c r="AY103">
        <f t="shared" si="119"/>
        <v>0</v>
      </c>
    </row>
    <row r="104" spans="1:53" ht="15" x14ac:dyDescent="0.25">
      <c r="A104" s="1"/>
      <c r="B104" s="2"/>
      <c r="C104" s="1" t="s">
        <v>10</v>
      </c>
      <c r="D104">
        <v>0</v>
      </c>
      <c r="E104" s="360">
        <v>0</v>
      </c>
      <c r="F104">
        <v>0</v>
      </c>
      <c r="G104">
        <v>0</v>
      </c>
      <c r="H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 s="20"/>
      <c r="P104" s="20"/>
      <c r="Q104" s="438"/>
      <c r="R104" s="197">
        <v>0.14000000000000001</v>
      </c>
      <c r="S104" s="197">
        <v>2.0499999999999998</v>
      </c>
      <c r="T104" s="197">
        <v>0.62857142857142845</v>
      </c>
      <c r="U104" s="197">
        <v>0.90789473684210531</v>
      </c>
      <c r="V104" s="20">
        <f t="shared" si="110"/>
        <v>0</v>
      </c>
      <c r="W104" s="20">
        <f t="shared" si="110"/>
        <v>0</v>
      </c>
      <c r="X104" s="20">
        <f t="shared" si="110"/>
        <v>0</v>
      </c>
      <c r="Y104" s="20">
        <f t="shared" si="110"/>
        <v>0</v>
      </c>
      <c r="Z104" s="20">
        <f t="shared" si="111"/>
        <v>0</v>
      </c>
      <c r="AA104" s="20">
        <f t="shared" si="111"/>
        <v>0</v>
      </c>
      <c r="AB104" s="20">
        <f t="shared" si="111"/>
        <v>0</v>
      </c>
      <c r="AC104" s="20">
        <f t="shared" si="111"/>
        <v>0</v>
      </c>
      <c r="AD104" s="20">
        <f t="shared" si="112"/>
        <v>0</v>
      </c>
      <c r="AE104" s="20">
        <f t="shared" si="113"/>
        <v>0</v>
      </c>
      <c r="AF104" s="20">
        <f t="shared" si="113"/>
        <v>0</v>
      </c>
      <c r="AG104" s="20">
        <f t="shared" si="113"/>
        <v>0</v>
      </c>
      <c r="AH104" s="20">
        <f t="shared" si="113"/>
        <v>0</v>
      </c>
      <c r="AI104" s="20">
        <f t="shared" si="114"/>
        <v>0</v>
      </c>
      <c r="AJ104" s="20">
        <f t="shared" si="114"/>
        <v>0</v>
      </c>
      <c r="AK104" s="20">
        <f t="shared" si="114"/>
        <v>0</v>
      </c>
      <c r="AL104" s="20">
        <f t="shared" si="114"/>
        <v>0</v>
      </c>
      <c r="AM104" s="20">
        <f t="shared" si="115"/>
        <v>0</v>
      </c>
      <c r="AO104">
        <f t="shared" si="116"/>
        <v>0</v>
      </c>
      <c r="AP104">
        <f t="shared" si="116"/>
        <v>0</v>
      </c>
      <c r="AQ104">
        <f t="shared" si="116"/>
        <v>0</v>
      </c>
      <c r="AR104">
        <f t="shared" si="116"/>
        <v>0</v>
      </c>
      <c r="AS104">
        <f t="shared" si="117"/>
        <v>0</v>
      </c>
      <c r="AU104">
        <f t="shared" si="118"/>
        <v>0</v>
      </c>
      <c r="AV104">
        <f t="shared" si="118"/>
        <v>0</v>
      </c>
      <c r="AW104">
        <f t="shared" si="118"/>
        <v>0</v>
      </c>
      <c r="AX104">
        <f t="shared" si="118"/>
        <v>0</v>
      </c>
      <c r="AY104">
        <f t="shared" si="119"/>
        <v>0</v>
      </c>
    </row>
    <row r="105" spans="1:53" ht="15" x14ac:dyDescent="0.25">
      <c r="A105" s="1"/>
      <c r="B105" s="2"/>
      <c r="C105" s="1" t="s">
        <v>11</v>
      </c>
      <c r="D105">
        <v>0</v>
      </c>
      <c r="E105" s="360">
        <v>6.8169999999999994E-2</v>
      </c>
      <c r="F105">
        <v>0</v>
      </c>
      <c r="G105">
        <v>0</v>
      </c>
      <c r="H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 s="20"/>
      <c r="P105" s="20"/>
      <c r="Q105" s="438">
        <v>0.16937114492696748</v>
      </c>
      <c r="R105" s="197">
        <v>0.14000000000000001</v>
      </c>
      <c r="S105" s="197">
        <v>2.0499999999999998</v>
      </c>
      <c r="T105" s="197">
        <v>0.62857142857142845</v>
      </c>
      <c r="U105" s="197">
        <v>0.90789473684210531</v>
      </c>
      <c r="V105" s="20">
        <f t="shared" si="110"/>
        <v>1.616444332953992E-2</v>
      </c>
      <c r="W105" s="20">
        <f t="shared" si="110"/>
        <v>0</v>
      </c>
      <c r="X105" s="20">
        <f t="shared" si="110"/>
        <v>0</v>
      </c>
      <c r="Y105" s="20">
        <f t="shared" si="110"/>
        <v>0</v>
      </c>
      <c r="Z105" s="20">
        <f t="shared" si="111"/>
        <v>1.1256242138239178E-2</v>
      </c>
      <c r="AA105" s="20">
        <f t="shared" si="111"/>
        <v>0</v>
      </c>
      <c r="AB105" s="20">
        <f t="shared" si="111"/>
        <v>0</v>
      </c>
      <c r="AC105" s="20">
        <f t="shared" si="111"/>
        <v>0</v>
      </c>
      <c r="AD105" s="20">
        <f t="shared" si="112"/>
        <v>1.1256242138239178E-2</v>
      </c>
      <c r="AE105" s="20">
        <f t="shared" si="113"/>
        <v>0.23669363446826311</v>
      </c>
      <c r="AF105" s="20">
        <f t="shared" si="113"/>
        <v>0</v>
      </c>
      <c r="AG105" s="20">
        <f t="shared" si="113"/>
        <v>0</v>
      </c>
      <c r="AH105" s="20">
        <f t="shared" si="113"/>
        <v>0</v>
      </c>
      <c r="AI105" s="20">
        <f t="shared" si="114"/>
        <v>0.21887159825997221</v>
      </c>
      <c r="AJ105" s="20">
        <f t="shared" si="114"/>
        <v>0</v>
      </c>
      <c r="AK105" s="20">
        <f t="shared" si="114"/>
        <v>0</v>
      </c>
      <c r="AL105" s="20">
        <f t="shared" si="114"/>
        <v>0</v>
      </c>
      <c r="AM105" s="20">
        <f t="shared" si="115"/>
        <v>0.21887159825997221</v>
      </c>
      <c r="AO105">
        <f t="shared" si="116"/>
        <v>1.4751305322162444E-2</v>
      </c>
      <c r="AP105">
        <f t="shared" si="116"/>
        <v>0</v>
      </c>
      <c r="AQ105">
        <f t="shared" si="116"/>
        <v>0</v>
      </c>
      <c r="AR105">
        <f t="shared" si="116"/>
        <v>0</v>
      </c>
      <c r="AS105">
        <f t="shared" si="117"/>
        <v>1.4751305322162444E-2</v>
      </c>
      <c r="AU105">
        <f t="shared" si="118"/>
        <v>0.28683122951969359</v>
      </c>
      <c r="AV105">
        <f t="shared" si="118"/>
        <v>0</v>
      </c>
      <c r="AW105">
        <f t="shared" si="118"/>
        <v>0</v>
      </c>
      <c r="AX105">
        <f t="shared" si="118"/>
        <v>0</v>
      </c>
      <c r="AY105">
        <f t="shared" si="119"/>
        <v>0.28683122951969359</v>
      </c>
    </row>
    <row r="106" spans="1:53" ht="15" x14ac:dyDescent="0.25">
      <c r="A106" s="1"/>
      <c r="B106" s="2"/>
      <c r="C106" s="1" t="s">
        <v>12</v>
      </c>
      <c r="D106">
        <v>0</v>
      </c>
      <c r="E106" s="360">
        <v>0</v>
      </c>
      <c r="F106">
        <v>0</v>
      </c>
      <c r="G106">
        <v>0</v>
      </c>
      <c r="H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 s="20"/>
      <c r="P106" s="20"/>
      <c r="Q106" s="438"/>
      <c r="R106" s="197">
        <v>0.14000000000000001</v>
      </c>
      <c r="S106" s="197">
        <v>2.0499999999999998</v>
      </c>
      <c r="T106" s="197">
        <v>0.62857142857142845</v>
      </c>
      <c r="U106" s="197">
        <v>0.90789473684210531</v>
      </c>
      <c r="V106" s="20">
        <f t="shared" si="110"/>
        <v>0</v>
      </c>
      <c r="W106" s="20">
        <f t="shared" si="110"/>
        <v>0</v>
      </c>
      <c r="X106" s="20">
        <f t="shared" si="110"/>
        <v>0</v>
      </c>
      <c r="Y106" s="20">
        <f t="shared" si="110"/>
        <v>0</v>
      </c>
      <c r="Z106" s="20">
        <f t="shared" si="111"/>
        <v>0</v>
      </c>
      <c r="AA106" s="20">
        <f t="shared" si="111"/>
        <v>0</v>
      </c>
      <c r="AB106" s="20">
        <f t="shared" si="111"/>
        <v>0</v>
      </c>
      <c r="AC106" s="20">
        <f t="shared" si="111"/>
        <v>0</v>
      </c>
      <c r="AD106" s="20">
        <f t="shared" si="112"/>
        <v>0</v>
      </c>
      <c r="AE106" s="20">
        <f t="shared" si="113"/>
        <v>0</v>
      </c>
      <c r="AF106" s="20">
        <f t="shared" si="113"/>
        <v>0</v>
      </c>
      <c r="AG106" s="20">
        <f t="shared" si="113"/>
        <v>0</v>
      </c>
      <c r="AH106" s="20">
        <f t="shared" si="113"/>
        <v>0</v>
      </c>
      <c r="AI106" s="20">
        <f t="shared" si="114"/>
        <v>0</v>
      </c>
      <c r="AJ106" s="20">
        <f t="shared" si="114"/>
        <v>0</v>
      </c>
      <c r="AK106" s="20">
        <f t="shared" si="114"/>
        <v>0</v>
      </c>
      <c r="AL106" s="20">
        <f t="shared" si="114"/>
        <v>0</v>
      </c>
      <c r="AM106" s="20">
        <f t="shared" si="115"/>
        <v>0</v>
      </c>
      <c r="AO106">
        <f t="shared" si="116"/>
        <v>0</v>
      </c>
      <c r="AP106">
        <f t="shared" si="116"/>
        <v>0</v>
      </c>
      <c r="AQ106">
        <f t="shared" si="116"/>
        <v>0</v>
      </c>
      <c r="AR106">
        <f t="shared" si="116"/>
        <v>0</v>
      </c>
      <c r="AS106">
        <f t="shared" si="117"/>
        <v>0</v>
      </c>
      <c r="AU106">
        <f t="shared" si="118"/>
        <v>0</v>
      </c>
      <c r="AV106">
        <f t="shared" si="118"/>
        <v>0</v>
      </c>
      <c r="AW106">
        <f t="shared" si="118"/>
        <v>0</v>
      </c>
      <c r="AX106">
        <f t="shared" si="118"/>
        <v>0</v>
      </c>
      <c r="AY106">
        <f t="shared" si="119"/>
        <v>0</v>
      </c>
    </row>
    <row r="107" spans="1:53" ht="15" x14ac:dyDescent="0.25">
      <c r="A107" s="1"/>
      <c r="B107" s="2"/>
      <c r="C107" s="1" t="s">
        <v>13</v>
      </c>
      <c r="D107">
        <v>0</v>
      </c>
      <c r="E107" s="360">
        <v>2.5700000000000001E-2</v>
      </c>
      <c r="F107">
        <v>0</v>
      </c>
      <c r="G107">
        <v>0</v>
      </c>
      <c r="H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0"/>
      <c r="P107" s="20"/>
      <c r="Q107" s="438">
        <v>0.16937114492696753</v>
      </c>
      <c r="R107" s="197">
        <v>0.14000000000000001</v>
      </c>
      <c r="S107" s="197">
        <v>2.0499999999999998</v>
      </c>
      <c r="T107" s="197">
        <v>0.62857142857142845</v>
      </c>
      <c r="U107" s="197">
        <v>0.90789473684210531</v>
      </c>
      <c r="V107" s="20">
        <f t="shared" si="110"/>
        <v>6.0939737944722917E-3</v>
      </c>
      <c r="W107" s="20">
        <f t="shared" si="110"/>
        <v>0</v>
      </c>
      <c r="X107" s="20">
        <f t="shared" si="110"/>
        <v>0</v>
      </c>
      <c r="Y107" s="20">
        <f t="shared" si="110"/>
        <v>0</v>
      </c>
      <c r="Z107" s="20">
        <f t="shared" si="111"/>
        <v>4.2435884253006744E-3</v>
      </c>
      <c r="AA107" s="20">
        <f t="shared" si="111"/>
        <v>0</v>
      </c>
      <c r="AB107" s="20">
        <f t="shared" si="111"/>
        <v>0</v>
      </c>
      <c r="AC107" s="20">
        <f t="shared" si="111"/>
        <v>0</v>
      </c>
      <c r="AD107" s="20">
        <f t="shared" si="112"/>
        <v>4.2435884253006744E-3</v>
      </c>
      <c r="AE107" s="20">
        <f t="shared" si="113"/>
        <v>8.9233187704772843E-2</v>
      </c>
      <c r="AF107" s="20">
        <f t="shared" si="113"/>
        <v>0</v>
      </c>
      <c r="AG107" s="20">
        <f t="shared" si="113"/>
        <v>0</v>
      </c>
      <c r="AH107" s="20">
        <f t="shared" si="113"/>
        <v>0</v>
      </c>
      <c r="AI107" s="20">
        <f t="shared" si="114"/>
        <v>8.2514303583413356E-2</v>
      </c>
      <c r="AJ107" s="20">
        <f t="shared" si="114"/>
        <v>0</v>
      </c>
      <c r="AK107" s="20">
        <f t="shared" si="114"/>
        <v>0</v>
      </c>
      <c r="AL107" s="20">
        <f t="shared" si="114"/>
        <v>0</v>
      </c>
      <c r="AM107" s="20">
        <f t="shared" si="115"/>
        <v>8.2514303583413356E-2</v>
      </c>
      <c r="AO107">
        <f t="shared" si="116"/>
        <v>5.5612226313565341E-3</v>
      </c>
      <c r="AP107">
        <f t="shared" si="116"/>
        <v>0</v>
      </c>
      <c r="AQ107">
        <f t="shared" si="116"/>
        <v>0</v>
      </c>
      <c r="AR107">
        <f t="shared" si="116"/>
        <v>0</v>
      </c>
      <c r="AS107">
        <f t="shared" si="117"/>
        <v>5.5612226313565341E-3</v>
      </c>
      <c r="AU107">
        <f t="shared" si="118"/>
        <v>0.1081349948460632</v>
      </c>
      <c r="AV107">
        <f t="shared" si="118"/>
        <v>0</v>
      </c>
      <c r="AW107">
        <f t="shared" si="118"/>
        <v>0</v>
      </c>
      <c r="AX107">
        <f t="shared" si="118"/>
        <v>0</v>
      </c>
      <c r="AY107">
        <f t="shared" si="119"/>
        <v>0.1081349948460632</v>
      </c>
    </row>
    <row r="108" spans="1:53" ht="15" x14ac:dyDescent="0.25">
      <c r="A108" s="7"/>
      <c r="B108" s="8" t="s">
        <v>14</v>
      </c>
      <c r="C108" s="7"/>
      <c r="D108" s="357">
        <f t="shared" ref="D108:H108" si="120">SUM(D102:D107)</f>
        <v>0</v>
      </c>
      <c r="E108" s="363">
        <f>SUM(E102:E107)</f>
        <v>9.2785700000000002</v>
      </c>
      <c r="F108" s="357">
        <f t="shared" si="120"/>
        <v>0</v>
      </c>
      <c r="G108" s="357">
        <f t="shared" si="120"/>
        <v>0</v>
      </c>
      <c r="H108" s="357">
        <f t="shared" si="120"/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 s="20"/>
      <c r="P108" s="20"/>
      <c r="Q108" s="438">
        <v>5.0309625629485363E-2</v>
      </c>
      <c r="R108" s="197"/>
      <c r="S108" s="197"/>
      <c r="T108" s="197"/>
      <c r="U108" s="197"/>
      <c r="BA108" s="319">
        <f>(E108*10000*Q108*AU$10)</f>
        <v>6117.4321252237442</v>
      </c>
    </row>
    <row r="109" spans="1:53" ht="15" x14ac:dyDescent="0.25">
      <c r="A109" s="10"/>
      <c r="B109" s="9" t="s">
        <v>15</v>
      </c>
      <c r="C109" s="5"/>
      <c r="E109" s="363">
        <f>SUM(E108)</f>
        <v>9.2785700000000002</v>
      </c>
      <c r="H109" s="358">
        <f>SUM(D108:H108)</f>
        <v>9.2785700000000002</v>
      </c>
      <c r="K109" s="14"/>
      <c r="N109">
        <v>0</v>
      </c>
      <c r="O109" s="20"/>
      <c r="P109" s="20"/>
      <c r="Q109" s="438"/>
      <c r="R109" s="197"/>
      <c r="S109" s="197"/>
      <c r="T109" s="197"/>
      <c r="U109" s="197"/>
    </row>
    <row r="110" spans="1:53" ht="15.75" x14ac:dyDescent="0.25">
      <c r="A110" s="1"/>
      <c r="B110" s="2"/>
      <c r="C110" s="1"/>
      <c r="E110" s="361"/>
      <c r="K110" s="14"/>
      <c r="O110" s="20"/>
      <c r="P110" s="20"/>
      <c r="Q110" s="439"/>
      <c r="R110" s="197"/>
      <c r="S110" s="197"/>
      <c r="T110" s="197"/>
      <c r="U110" s="197"/>
    </row>
    <row r="111" spans="1:53" ht="15" x14ac:dyDescent="0.25">
      <c r="A111" s="1">
        <v>12</v>
      </c>
      <c r="B111" s="2" t="s">
        <v>26</v>
      </c>
      <c r="C111" s="1" t="s">
        <v>8</v>
      </c>
      <c r="D111">
        <v>0</v>
      </c>
      <c r="E111" s="360"/>
      <c r="F111">
        <v>0</v>
      </c>
      <c r="G111">
        <v>0</v>
      </c>
      <c r="H111">
        <v>0</v>
      </c>
      <c r="J111">
        <v>0</v>
      </c>
      <c r="K111" s="14">
        <v>0</v>
      </c>
      <c r="L111">
        <v>0</v>
      </c>
      <c r="M111">
        <v>0</v>
      </c>
      <c r="N111">
        <v>0</v>
      </c>
      <c r="O111" s="20"/>
      <c r="P111" s="20"/>
      <c r="Q111" s="438"/>
      <c r="R111" s="197">
        <v>6.531704360902256</v>
      </c>
      <c r="S111" s="197">
        <v>78.227142857142866</v>
      </c>
      <c r="T111" s="197">
        <v>0.5825685654008439</v>
      </c>
      <c r="U111" s="197">
        <v>0.90789473684210531</v>
      </c>
      <c r="V111" s="20">
        <f t="shared" ref="V111:Y116" si="121">IF(K111&gt;0,((E111-K111)*$Q111*$R111*10)+(K111*$O$12*$Q111*$R111*10),(E111*$Q111*$R111*10))</f>
        <v>0</v>
      </c>
      <c r="W111" s="20">
        <f t="shared" si="121"/>
        <v>0</v>
      </c>
      <c r="X111" s="20">
        <f t="shared" si="121"/>
        <v>0</v>
      </c>
      <c r="Y111" s="20">
        <f t="shared" si="121"/>
        <v>0</v>
      </c>
      <c r="Z111" s="20">
        <f t="shared" ref="Z111:AC116" si="122">V111*(EXP(1.01-0.34*LN(Z$8))*(1-$T111)+(1*$T111))</f>
        <v>0</v>
      </c>
      <c r="AA111" s="20">
        <f t="shared" si="122"/>
        <v>0</v>
      </c>
      <c r="AB111" s="20">
        <f t="shared" si="122"/>
        <v>0</v>
      </c>
      <c r="AC111" s="20">
        <f t="shared" si="122"/>
        <v>0</v>
      </c>
      <c r="AD111" s="20">
        <f t="shared" ref="AD111:AD116" si="123">SUM(Z111:AC111)</f>
        <v>0</v>
      </c>
      <c r="AE111" s="20">
        <f t="shared" ref="AE111:AH116" si="124">IF(K111&gt;0,((E111-K111)*$Q111*$S111*10)+(K111*$P$12*$Q111*$S111)*10,(E111*$Q111*$S111*10))</f>
        <v>0</v>
      </c>
      <c r="AF111" s="20">
        <f t="shared" si="124"/>
        <v>0</v>
      </c>
      <c r="AG111" s="20">
        <f t="shared" si="124"/>
        <v>0</v>
      </c>
      <c r="AH111" s="20">
        <f t="shared" si="124"/>
        <v>0</v>
      </c>
      <c r="AI111" s="20">
        <f t="shared" ref="AI111:AL116" si="125">AE111*(EXP(1.01-0.34*LN(AI$8))*(1-$U111)+(1*$U111))</f>
        <v>0</v>
      </c>
      <c r="AJ111" s="20">
        <f t="shared" si="125"/>
        <v>0</v>
      </c>
      <c r="AK111" s="20">
        <f t="shared" si="125"/>
        <v>0</v>
      </c>
      <c r="AL111" s="20">
        <f t="shared" si="125"/>
        <v>0</v>
      </c>
      <c r="AM111" s="20">
        <f t="shared" ref="AM111:AM116" si="126">SUM(AI111:AL111)</f>
        <v>0</v>
      </c>
      <c r="AO111">
        <f t="shared" ref="AO111:AR116" si="127">Z111*AO$10</f>
        <v>0</v>
      </c>
      <c r="AP111">
        <f t="shared" si="127"/>
        <v>0</v>
      </c>
      <c r="AQ111">
        <f t="shared" si="127"/>
        <v>0</v>
      </c>
      <c r="AR111">
        <f t="shared" si="127"/>
        <v>0</v>
      </c>
      <c r="AS111">
        <f t="shared" ref="AS111:AS116" si="128">SUM(AO111:AR111)</f>
        <v>0</v>
      </c>
      <c r="AU111">
        <f t="shared" ref="AU111:AX116" si="129">AI111*AU$10</f>
        <v>0</v>
      </c>
      <c r="AV111">
        <f t="shared" si="129"/>
        <v>0</v>
      </c>
      <c r="AW111">
        <f t="shared" si="129"/>
        <v>0</v>
      </c>
      <c r="AX111">
        <f t="shared" si="129"/>
        <v>0</v>
      </c>
      <c r="AY111">
        <f t="shared" ref="AY111:AY116" si="130">SUM(AU111:AX111)</f>
        <v>0</v>
      </c>
    </row>
    <row r="112" spans="1:53" ht="15" x14ac:dyDescent="0.25">
      <c r="A112" s="1"/>
      <c r="B112" s="2"/>
      <c r="C112" s="1" t="s">
        <v>9</v>
      </c>
      <c r="D112">
        <v>0</v>
      </c>
      <c r="E112" s="360"/>
      <c r="F112">
        <v>0</v>
      </c>
      <c r="G112">
        <v>0</v>
      </c>
      <c r="H112">
        <v>0</v>
      </c>
      <c r="J112">
        <v>0</v>
      </c>
      <c r="K112" s="14">
        <v>0</v>
      </c>
      <c r="L112">
        <v>0</v>
      </c>
      <c r="M112">
        <v>0</v>
      </c>
      <c r="N112">
        <v>0</v>
      </c>
      <c r="O112" s="20"/>
      <c r="P112" s="20"/>
      <c r="Q112" s="438"/>
      <c r="R112" s="197">
        <v>6.531704360902256</v>
      </c>
      <c r="S112" s="197">
        <v>78.227142857142866</v>
      </c>
      <c r="T112" s="197">
        <v>0.5825685654008439</v>
      </c>
      <c r="U112" s="197">
        <v>0.90789473684210531</v>
      </c>
      <c r="V112" s="20">
        <f t="shared" si="121"/>
        <v>0</v>
      </c>
      <c r="W112" s="20">
        <f t="shared" si="121"/>
        <v>0</v>
      </c>
      <c r="X112" s="20">
        <f t="shared" si="121"/>
        <v>0</v>
      </c>
      <c r="Y112" s="20">
        <f t="shared" si="121"/>
        <v>0</v>
      </c>
      <c r="Z112" s="20">
        <f t="shared" si="122"/>
        <v>0</v>
      </c>
      <c r="AA112" s="20">
        <f t="shared" si="122"/>
        <v>0</v>
      </c>
      <c r="AB112" s="20">
        <f t="shared" si="122"/>
        <v>0</v>
      </c>
      <c r="AC112" s="20">
        <f t="shared" si="122"/>
        <v>0</v>
      </c>
      <c r="AD112" s="20">
        <f t="shared" si="123"/>
        <v>0</v>
      </c>
      <c r="AE112" s="20">
        <f t="shared" si="124"/>
        <v>0</v>
      </c>
      <c r="AF112" s="20">
        <f t="shared" si="124"/>
        <v>0</v>
      </c>
      <c r="AG112" s="20">
        <f t="shared" si="124"/>
        <v>0</v>
      </c>
      <c r="AH112" s="20">
        <f t="shared" si="124"/>
        <v>0</v>
      </c>
      <c r="AI112" s="20">
        <f t="shared" si="125"/>
        <v>0</v>
      </c>
      <c r="AJ112" s="20">
        <f t="shared" si="125"/>
        <v>0</v>
      </c>
      <c r="AK112" s="20">
        <f t="shared" si="125"/>
        <v>0</v>
      </c>
      <c r="AL112" s="20">
        <f t="shared" si="125"/>
        <v>0</v>
      </c>
      <c r="AM112" s="20">
        <f t="shared" si="126"/>
        <v>0</v>
      </c>
      <c r="AO112">
        <f t="shared" si="127"/>
        <v>0</v>
      </c>
      <c r="AP112">
        <f t="shared" si="127"/>
        <v>0</v>
      </c>
      <c r="AQ112">
        <f t="shared" si="127"/>
        <v>0</v>
      </c>
      <c r="AR112">
        <f t="shared" si="127"/>
        <v>0</v>
      </c>
      <c r="AS112">
        <f t="shared" si="128"/>
        <v>0</v>
      </c>
      <c r="AU112">
        <f t="shared" si="129"/>
        <v>0</v>
      </c>
      <c r="AV112">
        <f t="shared" si="129"/>
        <v>0</v>
      </c>
      <c r="AW112">
        <f t="shared" si="129"/>
        <v>0</v>
      </c>
      <c r="AX112">
        <f t="shared" si="129"/>
        <v>0</v>
      </c>
      <c r="AY112">
        <f t="shared" si="130"/>
        <v>0</v>
      </c>
    </row>
    <row r="113" spans="1:53" ht="15" x14ac:dyDescent="0.25">
      <c r="A113" s="1"/>
      <c r="B113" s="2"/>
      <c r="C113" s="1" t="s">
        <v>10</v>
      </c>
      <c r="D113">
        <v>0</v>
      </c>
      <c r="E113" s="360"/>
      <c r="F113">
        <v>0</v>
      </c>
      <c r="G113">
        <v>0</v>
      </c>
      <c r="H113">
        <v>0</v>
      </c>
      <c r="J113">
        <v>0</v>
      </c>
      <c r="K113" s="14">
        <v>0</v>
      </c>
      <c r="L113">
        <v>0</v>
      </c>
      <c r="M113">
        <v>0</v>
      </c>
      <c r="N113">
        <v>0</v>
      </c>
      <c r="O113" s="20"/>
      <c r="P113" s="20"/>
      <c r="Q113" s="438"/>
      <c r="R113" s="197">
        <v>6.531704360902256</v>
      </c>
      <c r="S113" s="197">
        <v>78.227142857142866</v>
      </c>
      <c r="T113" s="197">
        <v>0.5825685654008439</v>
      </c>
      <c r="U113" s="197">
        <v>0.90789473684210531</v>
      </c>
      <c r="V113" s="20">
        <f t="shared" si="121"/>
        <v>0</v>
      </c>
      <c r="W113" s="20">
        <f t="shared" si="121"/>
        <v>0</v>
      </c>
      <c r="X113" s="20">
        <f t="shared" si="121"/>
        <v>0</v>
      </c>
      <c r="Y113" s="20">
        <f t="shared" si="121"/>
        <v>0</v>
      </c>
      <c r="Z113" s="20">
        <f t="shared" si="122"/>
        <v>0</v>
      </c>
      <c r="AA113" s="20">
        <f t="shared" si="122"/>
        <v>0</v>
      </c>
      <c r="AB113" s="20">
        <f t="shared" si="122"/>
        <v>0</v>
      </c>
      <c r="AC113" s="20">
        <f t="shared" si="122"/>
        <v>0</v>
      </c>
      <c r="AD113" s="20">
        <f t="shared" si="123"/>
        <v>0</v>
      </c>
      <c r="AE113" s="20">
        <f t="shared" si="124"/>
        <v>0</v>
      </c>
      <c r="AF113" s="20">
        <f t="shared" si="124"/>
        <v>0</v>
      </c>
      <c r="AG113" s="20">
        <f t="shared" si="124"/>
        <v>0</v>
      </c>
      <c r="AH113" s="20">
        <f t="shared" si="124"/>
        <v>0</v>
      </c>
      <c r="AI113" s="20">
        <f t="shared" si="125"/>
        <v>0</v>
      </c>
      <c r="AJ113" s="20">
        <f t="shared" si="125"/>
        <v>0</v>
      </c>
      <c r="AK113" s="20">
        <f t="shared" si="125"/>
        <v>0</v>
      </c>
      <c r="AL113" s="20">
        <f t="shared" si="125"/>
        <v>0</v>
      </c>
      <c r="AM113" s="20">
        <f t="shared" si="126"/>
        <v>0</v>
      </c>
      <c r="AO113">
        <f t="shared" si="127"/>
        <v>0</v>
      </c>
      <c r="AP113">
        <f t="shared" si="127"/>
        <v>0</v>
      </c>
      <c r="AQ113">
        <f t="shared" si="127"/>
        <v>0</v>
      </c>
      <c r="AR113">
        <f t="shared" si="127"/>
        <v>0</v>
      </c>
      <c r="AS113">
        <f t="shared" si="128"/>
        <v>0</v>
      </c>
      <c r="AU113">
        <f t="shared" si="129"/>
        <v>0</v>
      </c>
      <c r="AV113">
        <f t="shared" si="129"/>
        <v>0</v>
      </c>
      <c r="AW113">
        <f t="shared" si="129"/>
        <v>0</v>
      </c>
      <c r="AX113">
        <f t="shared" si="129"/>
        <v>0</v>
      </c>
      <c r="AY113">
        <f t="shared" si="130"/>
        <v>0</v>
      </c>
    </row>
    <row r="114" spans="1:53" ht="15" x14ac:dyDescent="0.25">
      <c r="A114" s="1"/>
      <c r="B114" s="2"/>
      <c r="C114" s="1" t="s">
        <v>11</v>
      </c>
      <c r="D114">
        <v>0</v>
      </c>
      <c r="E114" s="360"/>
      <c r="F114">
        <v>0</v>
      </c>
      <c r="G114">
        <v>0</v>
      </c>
      <c r="H114">
        <v>0</v>
      </c>
      <c r="J114">
        <v>0</v>
      </c>
      <c r="K114" s="14">
        <v>0</v>
      </c>
      <c r="L114">
        <v>0</v>
      </c>
      <c r="M114">
        <v>0</v>
      </c>
      <c r="N114">
        <v>0</v>
      </c>
      <c r="O114" s="20"/>
      <c r="P114" s="20"/>
      <c r="Q114" s="438"/>
      <c r="R114" s="197">
        <v>6.531704360902256</v>
      </c>
      <c r="S114" s="197">
        <v>78.227142857142866</v>
      </c>
      <c r="T114" s="197">
        <v>0.5825685654008439</v>
      </c>
      <c r="U114" s="197">
        <v>0.90789473684210531</v>
      </c>
      <c r="V114" s="20">
        <f t="shared" si="121"/>
        <v>0</v>
      </c>
      <c r="W114" s="20">
        <f t="shared" si="121"/>
        <v>0</v>
      </c>
      <c r="X114" s="20">
        <f t="shared" si="121"/>
        <v>0</v>
      </c>
      <c r="Y114" s="20">
        <f t="shared" si="121"/>
        <v>0</v>
      </c>
      <c r="Z114" s="20">
        <f t="shared" si="122"/>
        <v>0</v>
      </c>
      <c r="AA114" s="20">
        <f t="shared" si="122"/>
        <v>0</v>
      </c>
      <c r="AB114" s="20">
        <f t="shared" si="122"/>
        <v>0</v>
      </c>
      <c r="AC114" s="20">
        <f t="shared" si="122"/>
        <v>0</v>
      </c>
      <c r="AD114" s="20">
        <f t="shared" si="123"/>
        <v>0</v>
      </c>
      <c r="AE114" s="20">
        <f t="shared" si="124"/>
        <v>0</v>
      </c>
      <c r="AF114" s="20">
        <f t="shared" si="124"/>
        <v>0</v>
      </c>
      <c r="AG114" s="20">
        <f t="shared" si="124"/>
        <v>0</v>
      </c>
      <c r="AH114" s="20">
        <f t="shared" si="124"/>
        <v>0</v>
      </c>
      <c r="AI114" s="20">
        <f t="shared" si="125"/>
        <v>0</v>
      </c>
      <c r="AJ114" s="20">
        <f t="shared" si="125"/>
        <v>0</v>
      </c>
      <c r="AK114" s="20">
        <f t="shared" si="125"/>
        <v>0</v>
      </c>
      <c r="AL114" s="20">
        <f t="shared" si="125"/>
        <v>0</v>
      </c>
      <c r="AM114" s="20">
        <f t="shared" si="126"/>
        <v>0</v>
      </c>
      <c r="AO114">
        <f t="shared" si="127"/>
        <v>0</v>
      </c>
      <c r="AP114">
        <f t="shared" si="127"/>
        <v>0</v>
      </c>
      <c r="AQ114">
        <f t="shared" si="127"/>
        <v>0</v>
      </c>
      <c r="AR114">
        <f t="shared" si="127"/>
        <v>0</v>
      </c>
      <c r="AS114">
        <f t="shared" si="128"/>
        <v>0</v>
      </c>
      <c r="AU114">
        <f t="shared" si="129"/>
        <v>0</v>
      </c>
      <c r="AV114">
        <f t="shared" si="129"/>
        <v>0</v>
      </c>
      <c r="AW114">
        <f t="shared" si="129"/>
        <v>0</v>
      </c>
      <c r="AX114">
        <f t="shared" si="129"/>
        <v>0</v>
      </c>
      <c r="AY114">
        <f t="shared" si="130"/>
        <v>0</v>
      </c>
    </row>
    <row r="115" spans="1:53" ht="15" x14ac:dyDescent="0.25">
      <c r="A115" s="1"/>
      <c r="B115" s="2"/>
      <c r="C115" s="1" t="s">
        <v>12</v>
      </c>
      <c r="D115">
        <v>0</v>
      </c>
      <c r="E115" s="360"/>
      <c r="F115">
        <v>0</v>
      </c>
      <c r="G115">
        <v>0</v>
      </c>
      <c r="H115">
        <v>0</v>
      </c>
      <c r="J115">
        <v>0</v>
      </c>
      <c r="K115" s="14">
        <v>0</v>
      </c>
      <c r="L115">
        <v>0</v>
      </c>
      <c r="M115">
        <v>0</v>
      </c>
      <c r="N115">
        <v>0</v>
      </c>
      <c r="O115" s="20"/>
      <c r="P115" s="20"/>
      <c r="Q115" s="438"/>
      <c r="R115" s="197">
        <v>6.531704360902256</v>
      </c>
      <c r="S115" s="197">
        <v>78.227142857142866</v>
      </c>
      <c r="T115" s="197">
        <v>0.5825685654008439</v>
      </c>
      <c r="U115" s="197">
        <v>0.90789473684210531</v>
      </c>
      <c r="V115" s="20">
        <f t="shared" si="121"/>
        <v>0</v>
      </c>
      <c r="W115" s="20">
        <f t="shared" si="121"/>
        <v>0</v>
      </c>
      <c r="X115" s="20">
        <f t="shared" si="121"/>
        <v>0</v>
      </c>
      <c r="Y115" s="20">
        <f t="shared" si="121"/>
        <v>0</v>
      </c>
      <c r="Z115" s="20">
        <f t="shared" si="122"/>
        <v>0</v>
      </c>
      <c r="AA115" s="20">
        <f t="shared" si="122"/>
        <v>0</v>
      </c>
      <c r="AB115" s="20">
        <f t="shared" si="122"/>
        <v>0</v>
      </c>
      <c r="AC115" s="20">
        <f t="shared" si="122"/>
        <v>0</v>
      </c>
      <c r="AD115" s="20">
        <f t="shared" si="123"/>
        <v>0</v>
      </c>
      <c r="AE115" s="20">
        <f t="shared" si="124"/>
        <v>0</v>
      </c>
      <c r="AF115" s="20">
        <f t="shared" si="124"/>
        <v>0</v>
      </c>
      <c r="AG115" s="20">
        <f t="shared" si="124"/>
        <v>0</v>
      </c>
      <c r="AH115" s="20">
        <f t="shared" si="124"/>
        <v>0</v>
      </c>
      <c r="AI115" s="20">
        <f t="shared" si="125"/>
        <v>0</v>
      </c>
      <c r="AJ115" s="20">
        <f t="shared" si="125"/>
        <v>0</v>
      </c>
      <c r="AK115" s="20">
        <f t="shared" si="125"/>
        <v>0</v>
      </c>
      <c r="AL115" s="20">
        <f t="shared" si="125"/>
        <v>0</v>
      </c>
      <c r="AM115" s="20">
        <f t="shared" si="126"/>
        <v>0</v>
      </c>
      <c r="AO115">
        <f t="shared" si="127"/>
        <v>0</v>
      </c>
      <c r="AP115">
        <f t="shared" si="127"/>
        <v>0</v>
      </c>
      <c r="AQ115">
        <f t="shared" si="127"/>
        <v>0</v>
      </c>
      <c r="AR115">
        <f t="shared" si="127"/>
        <v>0</v>
      </c>
      <c r="AS115">
        <f t="shared" si="128"/>
        <v>0</v>
      </c>
      <c r="AU115">
        <f t="shared" si="129"/>
        <v>0</v>
      </c>
      <c r="AV115">
        <f t="shared" si="129"/>
        <v>0</v>
      </c>
      <c r="AW115">
        <f t="shared" si="129"/>
        <v>0</v>
      </c>
      <c r="AX115">
        <f t="shared" si="129"/>
        <v>0</v>
      </c>
      <c r="AY115">
        <f t="shared" si="130"/>
        <v>0</v>
      </c>
    </row>
    <row r="116" spans="1:53" ht="15" x14ac:dyDescent="0.25">
      <c r="A116" s="1"/>
      <c r="B116" s="2"/>
      <c r="C116" s="1" t="s">
        <v>13</v>
      </c>
      <c r="D116">
        <v>0</v>
      </c>
      <c r="E116" s="360"/>
      <c r="F116">
        <v>0</v>
      </c>
      <c r="G116">
        <v>0</v>
      </c>
      <c r="H116">
        <v>0</v>
      </c>
      <c r="J116">
        <v>0</v>
      </c>
      <c r="K116" s="14">
        <v>0</v>
      </c>
      <c r="L116">
        <v>0</v>
      </c>
      <c r="M116">
        <v>0</v>
      </c>
      <c r="N116">
        <v>0</v>
      </c>
      <c r="O116" s="20"/>
      <c r="P116" s="20"/>
      <c r="Q116" s="438"/>
      <c r="R116" s="197">
        <v>6.531704360902256</v>
      </c>
      <c r="S116" s="197">
        <v>78.227142857142866</v>
      </c>
      <c r="T116" s="197">
        <v>0.5825685654008439</v>
      </c>
      <c r="U116" s="197">
        <v>0.90789473684210531</v>
      </c>
      <c r="V116" s="20">
        <f t="shared" si="121"/>
        <v>0</v>
      </c>
      <c r="W116" s="20">
        <f t="shared" si="121"/>
        <v>0</v>
      </c>
      <c r="X116" s="20">
        <f t="shared" si="121"/>
        <v>0</v>
      </c>
      <c r="Y116" s="20">
        <f t="shared" si="121"/>
        <v>0</v>
      </c>
      <c r="Z116" s="20">
        <f t="shared" si="122"/>
        <v>0</v>
      </c>
      <c r="AA116" s="20">
        <f t="shared" si="122"/>
        <v>0</v>
      </c>
      <c r="AB116" s="20">
        <f t="shared" si="122"/>
        <v>0</v>
      </c>
      <c r="AC116" s="20">
        <f t="shared" si="122"/>
        <v>0</v>
      </c>
      <c r="AD116" s="20">
        <f t="shared" si="123"/>
        <v>0</v>
      </c>
      <c r="AE116" s="20">
        <f t="shared" si="124"/>
        <v>0</v>
      </c>
      <c r="AF116" s="20">
        <f t="shared" si="124"/>
        <v>0</v>
      </c>
      <c r="AG116" s="20">
        <f t="shared" si="124"/>
        <v>0</v>
      </c>
      <c r="AH116" s="20">
        <f t="shared" si="124"/>
        <v>0</v>
      </c>
      <c r="AI116" s="20">
        <f t="shared" si="125"/>
        <v>0</v>
      </c>
      <c r="AJ116" s="20">
        <f t="shared" si="125"/>
        <v>0</v>
      </c>
      <c r="AK116" s="20">
        <f t="shared" si="125"/>
        <v>0</v>
      </c>
      <c r="AL116" s="20">
        <f t="shared" si="125"/>
        <v>0</v>
      </c>
      <c r="AM116" s="20">
        <f t="shared" si="126"/>
        <v>0</v>
      </c>
      <c r="AO116">
        <f t="shared" si="127"/>
        <v>0</v>
      </c>
      <c r="AP116">
        <f t="shared" si="127"/>
        <v>0</v>
      </c>
      <c r="AQ116">
        <f t="shared" si="127"/>
        <v>0</v>
      </c>
      <c r="AR116">
        <f t="shared" si="127"/>
        <v>0</v>
      </c>
      <c r="AS116">
        <f t="shared" si="128"/>
        <v>0</v>
      </c>
      <c r="AU116">
        <f t="shared" si="129"/>
        <v>0</v>
      </c>
      <c r="AV116">
        <f t="shared" si="129"/>
        <v>0</v>
      </c>
      <c r="AW116">
        <f t="shared" si="129"/>
        <v>0</v>
      </c>
      <c r="AX116">
        <f t="shared" si="129"/>
        <v>0</v>
      </c>
      <c r="AY116">
        <f t="shared" si="130"/>
        <v>0</v>
      </c>
    </row>
    <row r="117" spans="1:53" ht="15" x14ac:dyDescent="0.25">
      <c r="A117" s="7"/>
      <c r="B117" s="8" t="s">
        <v>14</v>
      </c>
      <c r="C117" s="7"/>
      <c r="D117" s="357">
        <f t="shared" ref="D117:H117" si="131">SUM(D111:D116)</f>
        <v>0</v>
      </c>
      <c r="E117" s="363">
        <f>SUM(E111:E116)</f>
        <v>0</v>
      </c>
      <c r="F117" s="357">
        <f t="shared" si="131"/>
        <v>0</v>
      </c>
      <c r="G117" s="357">
        <f t="shared" si="131"/>
        <v>0</v>
      </c>
      <c r="H117" s="357">
        <f t="shared" si="131"/>
        <v>0</v>
      </c>
      <c r="J117">
        <v>0</v>
      </c>
      <c r="K117" s="14">
        <v>0</v>
      </c>
      <c r="L117">
        <v>0</v>
      </c>
      <c r="M117">
        <v>0</v>
      </c>
      <c r="N117">
        <v>0</v>
      </c>
      <c r="O117" s="20"/>
      <c r="P117" s="20"/>
      <c r="Q117" s="438"/>
      <c r="R117" s="197"/>
      <c r="S117" s="197"/>
      <c r="T117" s="197"/>
      <c r="U117" s="197"/>
      <c r="BA117" s="319">
        <f>(E117*10000*Q117*AU$10)</f>
        <v>0</v>
      </c>
    </row>
    <row r="118" spans="1:53" ht="15" x14ac:dyDescent="0.25">
      <c r="A118" s="10"/>
      <c r="B118" s="9" t="s">
        <v>15</v>
      </c>
      <c r="C118" s="5"/>
      <c r="E118" s="363">
        <f>SUM(E117)</f>
        <v>0</v>
      </c>
      <c r="H118" s="358">
        <f>SUM(D117:H117)</f>
        <v>0</v>
      </c>
      <c r="K118" s="14"/>
      <c r="N118">
        <v>0</v>
      </c>
      <c r="O118" s="20"/>
      <c r="P118" s="20"/>
      <c r="Q118" s="438"/>
      <c r="R118" s="197"/>
      <c r="S118" s="197"/>
      <c r="T118" s="197"/>
      <c r="U118" s="197"/>
    </row>
    <row r="119" spans="1:53" ht="15.75" x14ac:dyDescent="0.25">
      <c r="A119" s="1"/>
      <c r="B119" s="2"/>
      <c r="C119" s="1"/>
      <c r="E119" s="361"/>
      <c r="K119" s="14"/>
      <c r="O119" s="20"/>
      <c r="P119" s="20"/>
      <c r="Q119" s="439"/>
      <c r="R119" s="197"/>
      <c r="S119" s="197"/>
      <c r="T119" s="197"/>
      <c r="U119" s="197"/>
    </row>
    <row r="120" spans="1:53" ht="15" x14ac:dyDescent="0.25">
      <c r="A120" s="1">
        <v>13</v>
      </c>
      <c r="B120" s="2" t="s">
        <v>27</v>
      </c>
      <c r="C120" s="1" t="s">
        <v>8</v>
      </c>
      <c r="D120">
        <v>0</v>
      </c>
      <c r="E120" s="360">
        <v>6.2455999999999996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 s="20"/>
      <c r="P120" s="20"/>
      <c r="Q120" s="438">
        <v>4.9092786231741875E-2</v>
      </c>
      <c r="R120" s="197">
        <v>0.49226666666666663</v>
      </c>
      <c r="S120" s="197">
        <v>2.8337500000000002</v>
      </c>
      <c r="T120" s="197">
        <v>0.68718466195761863</v>
      </c>
      <c r="U120" s="197">
        <v>0.90789473684210531</v>
      </c>
      <c r="V120" s="20">
        <f t="shared" ref="V120:Y125" si="132">IF(K120&gt;0,((E120-K120)*$Q120*$R120*10)+(K120*$O$12*$Q120*$R120*10),(E120*$Q120*$R120*10))</f>
        <v>1.5093580530715547</v>
      </c>
      <c r="W120" s="20">
        <f t="shared" si="132"/>
        <v>0</v>
      </c>
      <c r="X120" s="20">
        <f t="shared" si="132"/>
        <v>0</v>
      </c>
      <c r="Y120" s="20">
        <f t="shared" si="132"/>
        <v>0</v>
      </c>
      <c r="Z120" s="20">
        <f t="shared" ref="Z120:AC125" si="133">V120*(EXP(1.01-0.34*LN(Z$8))*(1-$T120)+(1*$T120))</f>
        <v>1.1233764449803882</v>
      </c>
      <c r="AA120" s="20">
        <f t="shared" si="133"/>
        <v>0</v>
      </c>
      <c r="AB120" s="20">
        <f t="shared" si="133"/>
        <v>0</v>
      </c>
      <c r="AC120" s="20">
        <f t="shared" si="133"/>
        <v>0</v>
      </c>
      <c r="AD120" s="20">
        <f t="shared" ref="AD120:AD125" si="134">SUM(Z120:AC120)</f>
        <v>1.1233764449803882</v>
      </c>
      <c r="AE120" s="20">
        <f t="shared" ref="AE120:AH125" si="135">IF(K120&gt;0,((E120-K120)*$Q120*$S120*10)+(K120*$P$12*$Q120*$S120)*10,(E120*$Q120*$S120*10))</f>
        <v>8.6886715524611038</v>
      </c>
      <c r="AF120" s="20">
        <f t="shared" si="135"/>
        <v>0</v>
      </c>
      <c r="AG120" s="20">
        <f t="shared" si="135"/>
        <v>0</v>
      </c>
      <c r="AH120" s="20">
        <f t="shared" si="135"/>
        <v>0</v>
      </c>
      <c r="AI120" s="20">
        <f t="shared" ref="AI120:AL125" si="136">AE120*(EXP(1.01-0.34*LN(AI$8))*(1-$U120)+(1*$U120))</f>
        <v>8.0344510899726131</v>
      </c>
      <c r="AJ120" s="20">
        <f t="shared" si="136"/>
        <v>0</v>
      </c>
      <c r="AK120" s="20">
        <f t="shared" si="136"/>
        <v>0</v>
      </c>
      <c r="AL120" s="20">
        <f t="shared" si="136"/>
        <v>0</v>
      </c>
      <c r="AM120" s="20">
        <f t="shared" ref="AM120:AM125" si="137">SUM(AI120:AL120)</f>
        <v>8.0344510899726131</v>
      </c>
      <c r="AO120">
        <f t="shared" ref="AO120:AR125" si="138">Z120*AO$10</f>
        <v>1.4721848311467989</v>
      </c>
      <c r="AP120">
        <f t="shared" si="138"/>
        <v>0</v>
      </c>
      <c r="AQ120">
        <f t="shared" si="138"/>
        <v>0</v>
      </c>
      <c r="AR120">
        <f t="shared" si="138"/>
        <v>0</v>
      </c>
      <c r="AS120">
        <f t="shared" ref="AS120:AS125" si="139">SUM(AO120:AR120)</f>
        <v>1.4721848311467989</v>
      </c>
      <c r="AU120">
        <f t="shared" ref="AU120:AX125" si="140">AI120*AU$10</f>
        <v>10.529148153409109</v>
      </c>
      <c r="AV120">
        <f t="shared" si="140"/>
        <v>0</v>
      </c>
      <c r="AW120">
        <f t="shared" si="140"/>
        <v>0</v>
      </c>
      <c r="AX120">
        <f t="shared" si="140"/>
        <v>0</v>
      </c>
      <c r="AY120">
        <f t="shared" ref="AY120:AY125" si="141">SUM(AU120:AX120)</f>
        <v>10.529148153409109</v>
      </c>
    </row>
    <row r="121" spans="1:53" ht="15" x14ac:dyDescent="0.25">
      <c r="A121" s="1"/>
      <c r="B121" s="2"/>
      <c r="C121" s="1" t="s">
        <v>9</v>
      </c>
      <c r="D121">
        <v>0</v>
      </c>
      <c r="E121" s="360">
        <v>0.30580000000000002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20"/>
      <c r="P121" s="20"/>
      <c r="Q121" s="438">
        <v>8.9185572463483742E-2</v>
      </c>
      <c r="R121" s="197">
        <v>0.49226666666666663</v>
      </c>
      <c r="S121" s="197">
        <v>2.8337500000000002</v>
      </c>
      <c r="T121" s="197">
        <v>0.68718466195761863</v>
      </c>
      <c r="U121" s="197">
        <v>0.90789473684210531</v>
      </c>
      <c r="V121" s="20">
        <f t="shared" si="132"/>
        <v>0.13425563231341153</v>
      </c>
      <c r="W121" s="20">
        <f t="shared" si="132"/>
        <v>0</v>
      </c>
      <c r="X121" s="20">
        <f t="shared" si="132"/>
        <v>0</v>
      </c>
      <c r="Y121" s="20">
        <f t="shared" si="132"/>
        <v>0</v>
      </c>
      <c r="Z121" s="20">
        <f t="shared" si="133"/>
        <v>9.9923020014976133E-2</v>
      </c>
      <c r="AA121" s="20">
        <f t="shared" si="133"/>
        <v>0</v>
      </c>
      <c r="AB121" s="20">
        <f t="shared" si="133"/>
        <v>0</v>
      </c>
      <c r="AC121" s="20">
        <f t="shared" si="133"/>
        <v>0</v>
      </c>
      <c r="AD121" s="20">
        <f t="shared" si="134"/>
        <v>9.9923020014976133E-2</v>
      </c>
      <c r="AE121" s="20">
        <f t="shared" si="135"/>
        <v>0.77284716563135825</v>
      </c>
      <c r="AF121" s="20">
        <f t="shared" si="135"/>
        <v>0</v>
      </c>
      <c r="AG121" s="20">
        <f t="shared" si="135"/>
        <v>0</v>
      </c>
      <c r="AH121" s="20">
        <f t="shared" si="135"/>
        <v>0</v>
      </c>
      <c r="AI121" s="20">
        <f t="shared" si="136"/>
        <v>0.71465502117297441</v>
      </c>
      <c r="AJ121" s="20">
        <f t="shared" si="136"/>
        <v>0</v>
      </c>
      <c r="AK121" s="20">
        <f t="shared" si="136"/>
        <v>0</v>
      </c>
      <c r="AL121" s="20">
        <f t="shared" si="136"/>
        <v>0</v>
      </c>
      <c r="AM121" s="20">
        <f t="shared" si="137"/>
        <v>0.71465502117297441</v>
      </c>
      <c r="AO121">
        <f t="shared" si="138"/>
        <v>0.13094911772962622</v>
      </c>
      <c r="AP121">
        <f t="shared" si="138"/>
        <v>0</v>
      </c>
      <c r="AQ121">
        <f t="shared" si="138"/>
        <v>0</v>
      </c>
      <c r="AR121">
        <f t="shared" si="138"/>
        <v>0</v>
      </c>
      <c r="AS121">
        <f t="shared" si="139"/>
        <v>0.13094911772962622</v>
      </c>
      <c r="AU121">
        <f t="shared" si="140"/>
        <v>0.93655540524718295</v>
      </c>
      <c r="AV121">
        <f t="shared" si="140"/>
        <v>0</v>
      </c>
      <c r="AW121">
        <f t="shared" si="140"/>
        <v>0</v>
      </c>
      <c r="AX121">
        <f t="shared" si="140"/>
        <v>0</v>
      </c>
      <c r="AY121">
        <f t="shared" si="141"/>
        <v>0.93655540524718295</v>
      </c>
    </row>
    <row r="122" spans="1:53" ht="15" x14ac:dyDescent="0.25">
      <c r="A122" s="1"/>
      <c r="B122" s="2"/>
      <c r="C122" s="1" t="s">
        <v>10</v>
      </c>
      <c r="D122">
        <v>0</v>
      </c>
      <c r="E122" s="360"/>
      <c r="F122">
        <v>0</v>
      </c>
      <c r="G122">
        <v>0</v>
      </c>
      <c r="H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s="20"/>
      <c r="P122" s="20"/>
      <c r="Q122" s="438"/>
      <c r="R122" s="197">
        <v>0.49226666666666663</v>
      </c>
      <c r="S122" s="197">
        <v>2.8337500000000002</v>
      </c>
      <c r="T122" s="197">
        <v>0.68718466195761863</v>
      </c>
      <c r="U122" s="197">
        <v>0.90789473684210531</v>
      </c>
      <c r="V122" s="20">
        <f t="shared" si="132"/>
        <v>0</v>
      </c>
      <c r="W122" s="20">
        <f t="shared" si="132"/>
        <v>0</v>
      </c>
      <c r="X122" s="20">
        <f t="shared" si="132"/>
        <v>0</v>
      </c>
      <c r="Y122" s="20">
        <f t="shared" si="132"/>
        <v>0</v>
      </c>
      <c r="Z122" s="20">
        <f t="shared" si="133"/>
        <v>0</v>
      </c>
      <c r="AA122" s="20">
        <f t="shared" si="133"/>
        <v>0</v>
      </c>
      <c r="AB122" s="20">
        <f t="shared" si="133"/>
        <v>0</v>
      </c>
      <c r="AC122" s="20">
        <f t="shared" si="133"/>
        <v>0</v>
      </c>
      <c r="AD122" s="20">
        <f t="shared" si="134"/>
        <v>0</v>
      </c>
      <c r="AE122" s="20">
        <f t="shared" si="135"/>
        <v>0</v>
      </c>
      <c r="AF122" s="20">
        <f t="shared" si="135"/>
        <v>0</v>
      </c>
      <c r="AG122" s="20">
        <f t="shared" si="135"/>
        <v>0</v>
      </c>
      <c r="AH122" s="20">
        <f t="shared" si="135"/>
        <v>0</v>
      </c>
      <c r="AI122" s="20">
        <f t="shared" si="136"/>
        <v>0</v>
      </c>
      <c r="AJ122" s="20">
        <f t="shared" si="136"/>
        <v>0</v>
      </c>
      <c r="AK122" s="20">
        <f t="shared" si="136"/>
        <v>0</v>
      </c>
      <c r="AL122" s="20">
        <f t="shared" si="136"/>
        <v>0</v>
      </c>
      <c r="AM122" s="20">
        <f t="shared" si="137"/>
        <v>0</v>
      </c>
      <c r="AO122">
        <f t="shared" si="138"/>
        <v>0</v>
      </c>
      <c r="AP122">
        <f t="shared" si="138"/>
        <v>0</v>
      </c>
      <c r="AQ122">
        <f t="shared" si="138"/>
        <v>0</v>
      </c>
      <c r="AR122">
        <f t="shared" si="138"/>
        <v>0</v>
      </c>
      <c r="AS122">
        <f t="shared" si="139"/>
        <v>0</v>
      </c>
      <c r="AU122">
        <f t="shared" si="140"/>
        <v>0</v>
      </c>
      <c r="AV122">
        <f t="shared" si="140"/>
        <v>0</v>
      </c>
      <c r="AW122">
        <f t="shared" si="140"/>
        <v>0</v>
      </c>
      <c r="AX122">
        <f t="shared" si="140"/>
        <v>0</v>
      </c>
      <c r="AY122">
        <f t="shared" si="141"/>
        <v>0</v>
      </c>
    </row>
    <row r="123" spans="1:53" ht="15" x14ac:dyDescent="0.25">
      <c r="A123" s="1"/>
      <c r="B123" s="2"/>
      <c r="C123" s="1" t="s">
        <v>11</v>
      </c>
      <c r="D123">
        <v>0</v>
      </c>
      <c r="E123" s="360">
        <v>1.7323999999999999</v>
      </c>
      <c r="F123">
        <v>0</v>
      </c>
      <c r="G123">
        <v>0</v>
      </c>
      <c r="H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 s="20"/>
      <c r="P123" s="20"/>
      <c r="Q123" s="438">
        <v>0.1693711449269675</v>
      </c>
      <c r="R123" s="197">
        <v>0.49226666666666663</v>
      </c>
      <c r="S123" s="197">
        <v>2.8337500000000002</v>
      </c>
      <c r="T123" s="197">
        <v>0.68718466195761863</v>
      </c>
      <c r="U123" s="197">
        <v>0.90789473684210531</v>
      </c>
      <c r="V123" s="20">
        <f t="shared" si="132"/>
        <v>1.4444018211635981</v>
      </c>
      <c r="W123" s="20">
        <f t="shared" si="132"/>
        <v>0</v>
      </c>
      <c r="X123" s="20">
        <f t="shared" si="132"/>
        <v>0</v>
      </c>
      <c r="Y123" s="20">
        <f t="shared" si="132"/>
        <v>0</v>
      </c>
      <c r="Z123" s="20">
        <f t="shared" si="133"/>
        <v>1.07503118937216</v>
      </c>
      <c r="AA123" s="20">
        <f t="shared" si="133"/>
        <v>0</v>
      </c>
      <c r="AB123" s="20">
        <f t="shared" si="133"/>
        <v>0</v>
      </c>
      <c r="AC123" s="20">
        <f t="shared" si="133"/>
        <v>0</v>
      </c>
      <c r="AD123" s="20">
        <f t="shared" si="134"/>
        <v>1.07503118937216</v>
      </c>
      <c r="AE123" s="20">
        <f t="shared" si="135"/>
        <v>8.314748769073022</v>
      </c>
      <c r="AF123" s="20">
        <f t="shared" si="135"/>
        <v>0</v>
      </c>
      <c r="AG123" s="20">
        <f t="shared" si="135"/>
        <v>0</v>
      </c>
      <c r="AH123" s="20">
        <f t="shared" si="135"/>
        <v>0</v>
      </c>
      <c r="AI123" s="20">
        <f t="shared" si="136"/>
        <v>7.6886831211388733</v>
      </c>
      <c r="AJ123" s="20">
        <f t="shared" si="136"/>
        <v>0</v>
      </c>
      <c r="AK123" s="20">
        <f t="shared" si="136"/>
        <v>0</v>
      </c>
      <c r="AL123" s="20">
        <f t="shared" si="136"/>
        <v>0</v>
      </c>
      <c r="AM123" s="20">
        <f t="shared" si="137"/>
        <v>7.6886831211388733</v>
      </c>
      <c r="AO123">
        <f t="shared" si="138"/>
        <v>1.4088283736722158</v>
      </c>
      <c r="AP123">
        <f t="shared" si="138"/>
        <v>0</v>
      </c>
      <c r="AQ123">
        <f t="shared" si="138"/>
        <v>0</v>
      </c>
      <c r="AR123">
        <f t="shared" si="138"/>
        <v>0</v>
      </c>
      <c r="AS123">
        <f t="shared" si="139"/>
        <v>1.4088283736722158</v>
      </c>
      <c r="AU123">
        <f t="shared" si="140"/>
        <v>10.076019230252493</v>
      </c>
      <c r="AV123">
        <f t="shared" si="140"/>
        <v>0</v>
      </c>
      <c r="AW123">
        <f t="shared" si="140"/>
        <v>0</v>
      </c>
      <c r="AX123">
        <f t="shared" si="140"/>
        <v>0</v>
      </c>
      <c r="AY123">
        <f t="shared" si="141"/>
        <v>10.076019230252493</v>
      </c>
    </row>
    <row r="124" spans="1:53" ht="15" x14ac:dyDescent="0.25">
      <c r="A124" s="1"/>
      <c r="B124" s="2"/>
      <c r="C124" s="1" t="s">
        <v>12</v>
      </c>
      <c r="D124">
        <v>0</v>
      </c>
      <c r="E124" s="360"/>
      <c r="F124">
        <v>0</v>
      </c>
      <c r="G124">
        <v>0</v>
      </c>
      <c r="H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 s="20"/>
      <c r="P124" s="20"/>
      <c r="Q124" s="438"/>
      <c r="R124" s="197">
        <v>0.49226666666666663</v>
      </c>
      <c r="S124" s="197">
        <v>2.8337500000000002</v>
      </c>
      <c r="T124" s="197">
        <v>0.68718466195761863</v>
      </c>
      <c r="U124" s="197">
        <v>0.90789473684210531</v>
      </c>
      <c r="V124" s="20">
        <f t="shared" si="132"/>
        <v>0</v>
      </c>
      <c r="W124" s="20">
        <f t="shared" si="132"/>
        <v>0</v>
      </c>
      <c r="X124" s="20">
        <f t="shared" si="132"/>
        <v>0</v>
      </c>
      <c r="Y124" s="20">
        <f t="shared" si="132"/>
        <v>0</v>
      </c>
      <c r="Z124" s="20">
        <f t="shared" si="133"/>
        <v>0</v>
      </c>
      <c r="AA124" s="20">
        <f t="shared" si="133"/>
        <v>0</v>
      </c>
      <c r="AB124" s="20">
        <f t="shared" si="133"/>
        <v>0</v>
      </c>
      <c r="AC124" s="20">
        <f t="shared" si="133"/>
        <v>0</v>
      </c>
      <c r="AD124" s="20">
        <f t="shared" si="134"/>
        <v>0</v>
      </c>
      <c r="AE124" s="20">
        <f t="shared" si="135"/>
        <v>0</v>
      </c>
      <c r="AF124" s="20">
        <f t="shared" si="135"/>
        <v>0</v>
      </c>
      <c r="AG124" s="20">
        <f t="shared" si="135"/>
        <v>0</v>
      </c>
      <c r="AH124" s="20">
        <f t="shared" si="135"/>
        <v>0</v>
      </c>
      <c r="AI124" s="20">
        <f t="shared" si="136"/>
        <v>0</v>
      </c>
      <c r="AJ124" s="20">
        <f t="shared" si="136"/>
        <v>0</v>
      </c>
      <c r="AK124" s="20">
        <f t="shared" si="136"/>
        <v>0</v>
      </c>
      <c r="AL124" s="20">
        <f t="shared" si="136"/>
        <v>0</v>
      </c>
      <c r="AM124" s="20">
        <f t="shared" si="137"/>
        <v>0</v>
      </c>
      <c r="AO124">
        <f t="shared" si="138"/>
        <v>0</v>
      </c>
      <c r="AP124">
        <f t="shared" si="138"/>
        <v>0</v>
      </c>
      <c r="AQ124">
        <f t="shared" si="138"/>
        <v>0</v>
      </c>
      <c r="AR124">
        <f t="shared" si="138"/>
        <v>0</v>
      </c>
      <c r="AS124">
        <f t="shared" si="139"/>
        <v>0</v>
      </c>
      <c r="AU124">
        <f t="shared" si="140"/>
        <v>0</v>
      </c>
      <c r="AV124">
        <f t="shared" si="140"/>
        <v>0</v>
      </c>
      <c r="AW124">
        <f t="shared" si="140"/>
        <v>0</v>
      </c>
      <c r="AX124">
        <f t="shared" si="140"/>
        <v>0</v>
      </c>
      <c r="AY124">
        <f t="shared" si="141"/>
        <v>0</v>
      </c>
    </row>
    <row r="125" spans="1:53" ht="15" x14ac:dyDescent="0.25">
      <c r="A125" s="1"/>
      <c r="B125" s="2"/>
      <c r="C125" s="1" t="s">
        <v>13</v>
      </c>
      <c r="D125">
        <v>0</v>
      </c>
      <c r="E125" s="360"/>
      <c r="F125">
        <v>0</v>
      </c>
      <c r="G125">
        <v>0</v>
      </c>
      <c r="H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20"/>
      <c r="P125" s="20"/>
      <c r="Q125" s="438"/>
      <c r="R125" s="197">
        <v>0.49226666666666663</v>
      </c>
      <c r="S125" s="197">
        <v>2.8337500000000002</v>
      </c>
      <c r="T125" s="197">
        <v>0.68718466195761863</v>
      </c>
      <c r="U125" s="197">
        <v>0.90789473684210531</v>
      </c>
      <c r="V125" s="20">
        <f t="shared" si="132"/>
        <v>0</v>
      </c>
      <c r="W125" s="20">
        <f t="shared" si="132"/>
        <v>0</v>
      </c>
      <c r="X125" s="20">
        <f t="shared" si="132"/>
        <v>0</v>
      </c>
      <c r="Y125" s="20">
        <f t="shared" si="132"/>
        <v>0</v>
      </c>
      <c r="Z125" s="20">
        <f t="shared" si="133"/>
        <v>0</v>
      </c>
      <c r="AA125" s="20">
        <f t="shared" si="133"/>
        <v>0</v>
      </c>
      <c r="AB125" s="20">
        <f t="shared" si="133"/>
        <v>0</v>
      </c>
      <c r="AC125" s="20">
        <f t="shared" si="133"/>
        <v>0</v>
      </c>
      <c r="AD125" s="20">
        <f t="shared" si="134"/>
        <v>0</v>
      </c>
      <c r="AE125" s="20">
        <f t="shared" si="135"/>
        <v>0</v>
      </c>
      <c r="AF125" s="20">
        <f t="shared" si="135"/>
        <v>0</v>
      </c>
      <c r="AG125" s="20">
        <f t="shared" si="135"/>
        <v>0</v>
      </c>
      <c r="AH125" s="20">
        <f t="shared" si="135"/>
        <v>0</v>
      </c>
      <c r="AI125" s="20">
        <f t="shared" si="136"/>
        <v>0</v>
      </c>
      <c r="AJ125" s="20">
        <f t="shared" si="136"/>
        <v>0</v>
      </c>
      <c r="AK125" s="20">
        <f t="shared" si="136"/>
        <v>0</v>
      </c>
      <c r="AL125" s="20">
        <f t="shared" si="136"/>
        <v>0</v>
      </c>
      <c r="AM125" s="20">
        <f t="shared" si="137"/>
        <v>0</v>
      </c>
      <c r="AO125">
        <f t="shared" si="138"/>
        <v>0</v>
      </c>
      <c r="AP125">
        <f t="shared" si="138"/>
        <v>0</v>
      </c>
      <c r="AQ125">
        <f t="shared" si="138"/>
        <v>0</v>
      </c>
      <c r="AR125">
        <f t="shared" si="138"/>
        <v>0</v>
      </c>
      <c r="AS125">
        <f t="shared" si="139"/>
        <v>0</v>
      </c>
      <c r="AU125">
        <f t="shared" si="140"/>
        <v>0</v>
      </c>
      <c r="AV125">
        <f t="shared" si="140"/>
        <v>0</v>
      </c>
      <c r="AW125">
        <f t="shared" si="140"/>
        <v>0</v>
      </c>
      <c r="AX125">
        <f t="shared" si="140"/>
        <v>0</v>
      </c>
      <c r="AY125">
        <f t="shared" si="141"/>
        <v>0</v>
      </c>
    </row>
    <row r="126" spans="1:53" ht="15" x14ac:dyDescent="0.25">
      <c r="A126" s="7"/>
      <c r="B126" s="8" t="s">
        <v>14</v>
      </c>
      <c r="C126" s="7"/>
      <c r="D126" s="357">
        <f t="shared" ref="D126:H126" si="142">SUM(D120:D125)</f>
        <v>0</v>
      </c>
      <c r="E126" s="363">
        <f>SUM(E120:E125)</f>
        <v>8.2837999999999994</v>
      </c>
      <c r="F126" s="357">
        <f t="shared" si="142"/>
        <v>0</v>
      </c>
      <c r="G126" s="357">
        <f t="shared" si="142"/>
        <v>0</v>
      </c>
      <c r="H126" s="357">
        <f t="shared" si="142"/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 s="20"/>
      <c r="P126" s="20"/>
      <c r="Q126" s="438">
        <v>7.5726770952917605E-2</v>
      </c>
      <c r="R126" s="197"/>
      <c r="S126" s="197"/>
      <c r="T126" s="197"/>
      <c r="U126" s="197"/>
      <c r="BA126" s="319">
        <f>(E126*10000*Q126*AU$10)</f>
        <v>8220.8375975052022</v>
      </c>
    </row>
    <row r="127" spans="1:53" ht="15" x14ac:dyDescent="0.25">
      <c r="A127" s="10"/>
      <c r="B127" s="9" t="s">
        <v>15</v>
      </c>
      <c r="C127" s="5"/>
      <c r="E127" s="363">
        <f>SUM(E126)</f>
        <v>8.2837999999999994</v>
      </c>
      <c r="H127" s="358">
        <f>SUM(D126:H126)</f>
        <v>8.2837999999999994</v>
      </c>
      <c r="K127" s="14"/>
      <c r="N127">
        <v>0</v>
      </c>
      <c r="O127" s="20"/>
      <c r="P127" s="20"/>
      <c r="Q127" s="438"/>
      <c r="R127" s="197"/>
      <c r="S127" s="197"/>
      <c r="T127" s="197"/>
      <c r="U127" s="197"/>
    </row>
    <row r="128" spans="1:53" ht="15.75" x14ac:dyDescent="0.25">
      <c r="A128" s="1"/>
      <c r="B128" s="2"/>
      <c r="C128" s="1"/>
      <c r="E128" s="361"/>
      <c r="K128" s="14"/>
      <c r="O128" s="20"/>
      <c r="P128" s="20"/>
      <c r="Q128" s="439"/>
      <c r="R128" s="197"/>
      <c r="S128" s="197"/>
      <c r="T128" s="197"/>
      <c r="U128" s="197"/>
    </row>
    <row r="129" spans="1:53" ht="15" x14ac:dyDescent="0.25">
      <c r="A129" s="1">
        <v>14</v>
      </c>
      <c r="B129" s="2" t="s">
        <v>28</v>
      </c>
      <c r="C129" s="1" t="s">
        <v>8</v>
      </c>
      <c r="D129">
        <v>0</v>
      </c>
      <c r="E129" s="360">
        <v>281.78219999999999</v>
      </c>
      <c r="F129">
        <v>0</v>
      </c>
      <c r="G129">
        <v>0</v>
      </c>
      <c r="H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 s="20"/>
      <c r="P129" s="20"/>
      <c r="Q129" s="438">
        <v>4.9092786231741882E-2</v>
      </c>
      <c r="R129" s="197">
        <v>5.6499999999999995E-2</v>
      </c>
      <c r="S129" s="197">
        <v>1.25</v>
      </c>
      <c r="T129" s="197">
        <v>0.50078889239507718</v>
      </c>
      <c r="U129" s="197">
        <v>0.75268470790377973</v>
      </c>
      <c r="V129" s="20">
        <f t="shared" ref="V129:Y134" si="143">E129*$Q129*$R129*10</f>
        <v>7.8159124193081144</v>
      </c>
      <c r="W129" s="20">
        <f t="shared" si="143"/>
        <v>0</v>
      </c>
      <c r="X129" s="20">
        <f t="shared" si="143"/>
        <v>0</v>
      </c>
      <c r="Y129" s="20">
        <f t="shared" si="143"/>
        <v>0</v>
      </c>
      <c r="Z129" s="20">
        <f t="shared" ref="Z129:AC134" si="144">V129*(EXP(1.01-0.34*LN(Z$8))*(1-$T129)+(1*$T129))</f>
        <v>4.6262096178966869</v>
      </c>
      <c r="AA129" s="20">
        <f t="shared" si="144"/>
        <v>0</v>
      </c>
      <c r="AB129" s="20">
        <f t="shared" si="144"/>
        <v>0</v>
      </c>
      <c r="AC129" s="20">
        <f t="shared" si="144"/>
        <v>0</v>
      </c>
      <c r="AD129" s="20">
        <f t="shared" ref="AD129:AD134" si="145">SUM(Z129:AC129)</f>
        <v>4.6262096178966869</v>
      </c>
      <c r="AE129" s="20">
        <f t="shared" ref="AE129:AE134" si="146">E129*$Q129*$S129*10</f>
        <v>172.91841635637422</v>
      </c>
      <c r="AF129" s="20">
        <f t="shared" ref="AF129:AH134" si="147">F129*$Q129*$S129*10</f>
        <v>0</v>
      </c>
      <c r="AG129" s="20">
        <f t="shared" si="147"/>
        <v>0</v>
      </c>
      <c r="AH129" s="20">
        <f t="shared" si="147"/>
        <v>0</v>
      </c>
      <c r="AI129" s="20">
        <f t="shared" ref="AI129:AL134" si="148">AE129*(EXP(1.01-0.34*LN(AI$8))*(1-$U129)+(1*$U129))</f>
        <v>137.95784547853853</v>
      </c>
      <c r="AJ129" s="20">
        <f t="shared" si="148"/>
        <v>0</v>
      </c>
      <c r="AK129" s="20">
        <f t="shared" si="148"/>
        <v>0</v>
      </c>
      <c r="AL129" s="20">
        <f t="shared" si="148"/>
        <v>0</v>
      </c>
      <c r="AM129" s="20">
        <f t="shared" ref="AM129:AM134" si="149">SUM(AI129:AL129)</f>
        <v>137.95784547853853</v>
      </c>
      <c r="AO129">
        <f t="shared" ref="AO129:AR134" si="150">Z129*AO$10</f>
        <v>6.0626477042536084</v>
      </c>
      <c r="AP129">
        <f t="shared" si="150"/>
        <v>0</v>
      </c>
      <c r="AQ129">
        <f t="shared" si="150"/>
        <v>0</v>
      </c>
      <c r="AR129">
        <f t="shared" si="150"/>
        <v>0</v>
      </c>
      <c r="AS129">
        <f t="shared" ref="AS129:AS134" si="151">SUM(AO129:AR129)</f>
        <v>6.0626477042536084</v>
      </c>
      <c r="AU129">
        <f t="shared" ref="AU129:AX134" si="152">AI129*AU$10</f>
        <v>180.79375649962475</v>
      </c>
      <c r="AV129">
        <f t="shared" si="152"/>
        <v>0</v>
      </c>
      <c r="AW129">
        <f t="shared" si="152"/>
        <v>0</v>
      </c>
      <c r="AX129">
        <f t="shared" si="152"/>
        <v>0</v>
      </c>
      <c r="AY129">
        <f t="shared" ref="AY129:AY134" si="153">SUM(AU129:AX129)</f>
        <v>180.79375649962475</v>
      </c>
    </row>
    <row r="130" spans="1:53" ht="15" x14ac:dyDescent="0.25">
      <c r="A130" s="1"/>
      <c r="B130" s="2"/>
      <c r="C130" s="1" t="s">
        <v>9</v>
      </c>
      <c r="D130">
        <v>0</v>
      </c>
      <c r="E130" s="360">
        <v>3.4670999999999998</v>
      </c>
      <c r="F130">
        <v>0</v>
      </c>
      <c r="G130">
        <v>0</v>
      </c>
      <c r="H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 s="20"/>
      <c r="P130" s="20"/>
      <c r="Q130" s="438">
        <v>8.9185572463483756E-2</v>
      </c>
      <c r="R130" s="197">
        <v>5.6499999999999995E-2</v>
      </c>
      <c r="S130" s="197">
        <v>1.25</v>
      </c>
      <c r="T130" s="197">
        <v>0.50078889239507718</v>
      </c>
      <c r="U130" s="197">
        <v>0.75268470790377973</v>
      </c>
      <c r="V130" s="20">
        <f t="shared" si="143"/>
        <v>0.17470664353280166</v>
      </c>
      <c r="W130" s="20">
        <f t="shared" si="143"/>
        <v>0</v>
      </c>
      <c r="X130" s="20">
        <f t="shared" si="143"/>
        <v>0</v>
      </c>
      <c r="Y130" s="20">
        <f t="shared" si="143"/>
        <v>0</v>
      </c>
      <c r="Z130" s="20">
        <f t="shared" si="144"/>
        <v>0.10340821535119527</v>
      </c>
      <c r="AA130" s="20">
        <f t="shared" si="144"/>
        <v>0</v>
      </c>
      <c r="AB130" s="20">
        <f t="shared" si="144"/>
        <v>0</v>
      </c>
      <c r="AC130" s="20">
        <f t="shared" si="144"/>
        <v>0</v>
      </c>
      <c r="AD130" s="20">
        <f t="shared" si="145"/>
        <v>0.10340821535119527</v>
      </c>
      <c r="AE130" s="20">
        <f t="shared" si="146"/>
        <v>3.8651912286018062</v>
      </c>
      <c r="AF130" s="20">
        <f t="shared" si="147"/>
        <v>0</v>
      </c>
      <c r="AG130" s="20">
        <f t="shared" si="147"/>
        <v>0</v>
      </c>
      <c r="AH130" s="20">
        <f t="shared" si="147"/>
        <v>0</v>
      </c>
      <c r="AI130" s="20">
        <f t="shared" si="148"/>
        <v>3.0837285321968779</v>
      </c>
      <c r="AJ130" s="20">
        <f t="shared" si="148"/>
        <v>0</v>
      </c>
      <c r="AK130" s="20">
        <f t="shared" si="148"/>
        <v>0</v>
      </c>
      <c r="AL130" s="20">
        <f t="shared" si="148"/>
        <v>0</v>
      </c>
      <c r="AM130" s="20">
        <f t="shared" si="149"/>
        <v>3.0837285321968779</v>
      </c>
      <c r="AO130">
        <f t="shared" si="150"/>
        <v>0.13551646621774138</v>
      </c>
      <c r="AP130">
        <f t="shared" si="150"/>
        <v>0</v>
      </c>
      <c r="AQ130">
        <f t="shared" si="150"/>
        <v>0</v>
      </c>
      <c r="AR130">
        <f t="shared" si="150"/>
        <v>0</v>
      </c>
      <c r="AS130">
        <f t="shared" si="151"/>
        <v>0.13551646621774138</v>
      </c>
      <c r="AU130">
        <f t="shared" si="152"/>
        <v>4.0412262414440088</v>
      </c>
      <c r="AV130">
        <f t="shared" si="152"/>
        <v>0</v>
      </c>
      <c r="AW130">
        <f t="shared" si="152"/>
        <v>0</v>
      </c>
      <c r="AX130">
        <f t="shared" si="152"/>
        <v>0</v>
      </c>
      <c r="AY130">
        <f t="shared" si="153"/>
        <v>4.0412262414440088</v>
      </c>
    </row>
    <row r="131" spans="1:53" ht="15" x14ac:dyDescent="0.25">
      <c r="A131" s="1"/>
      <c r="B131" s="2"/>
      <c r="C131" s="1" t="s">
        <v>10</v>
      </c>
      <c r="D131">
        <v>0</v>
      </c>
      <c r="E131" s="360">
        <v>1.0326</v>
      </c>
      <c r="F131">
        <v>0</v>
      </c>
      <c r="G131">
        <v>0</v>
      </c>
      <c r="H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 s="20"/>
      <c r="P131" s="20"/>
      <c r="Q131" s="438">
        <v>0.12927835869522561</v>
      </c>
      <c r="R131" s="197">
        <v>5.6499999999999995E-2</v>
      </c>
      <c r="S131" s="197">
        <v>1.25</v>
      </c>
      <c r="T131" s="197">
        <v>0.50078889239507718</v>
      </c>
      <c r="U131" s="197">
        <v>0.75268470790377973</v>
      </c>
      <c r="V131" s="20">
        <f t="shared" si="143"/>
        <v>7.5423450751609819E-2</v>
      </c>
      <c r="W131" s="20">
        <f t="shared" si="143"/>
        <v>0</v>
      </c>
      <c r="X131" s="20">
        <f t="shared" si="143"/>
        <v>0</v>
      </c>
      <c r="Y131" s="20">
        <f t="shared" si="143"/>
        <v>0</v>
      </c>
      <c r="Z131" s="20">
        <f t="shared" si="144"/>
        <v>4.4642861199427591E-2</v>
      </c>
      <c r="AA131" s="20">
        <f t="shared" si="144"/>
        <v>0</v>
      </c>
      <c r="AB131" s="20">
        <f t="shared" si="144"/>
        <v>0</v>
      </c>
      <c r="AC131" s="20">
        <f t="shared" si="144"/>
        <v>0</v>
      </c>
      <c r="AD131" s="20">
        <f t="shared" si="145"/>
        <v>4.4642861199427591E-2</v>
      </c>
      <c r="AE131" s="20">
        <f t="shared" si="146"/>
        <v>1.6686604148586246</v>
      </c>
      <c r="AF131" s="20">
        <f t="shared" si="147"/>
        <v>0</v>
      </c>
      <c r="AG131" s="20">
        <f t="shared" si="147"/>
        <v>0</v>
      </c>
      <c r="AH131" s="20">
        <f t="shared" si="147"/>
        <v>0</v>
      </c>
      <c r="AI131" s="20">
        <f t="shared" si="148"/>
        <v>1.3312913715030918</v>
      </c>
      <c r="AJ131" s="20">
        <f t="shared" si="148"/>
        <v>0</v>
      </c>
      <c r="AK131" s="20">
        <f t="shared" si="148"/>
        <v>0</v>
      </c>
      <c r="AL131" s="20">
        <f t="shared" si="148"/>
        <v>0</v>
      </c>
      <c r="AM131" s="20">
        <f t="shared" si="149"/>
        <v>1.3312913715030918</v>
      </c>
      <c r="AO131">
        <f t="shared" si="150"/>
        <v>5.8504469601849858E-2</v>
      </c>
      <c r="AP131">
        <f t="shared" si="150"/>
        <v>0</v>
      </c>
      <c r="AQ131">
        <f t="shared" si="150"/>
        <v>0</v>
      </c>
      <c r="AR131">
        <f t="shared" si="150"/>
        <v>0</v>
      </c>
      <c r="AS131">
        <f t="shared" si="151"/>
        <v>5.8504469601849858E-2</v>
      </c>
      <c r="AU131">
        <f t="shared" si="152"/>
        <v>1.744657342354802</v>
      </c>
      <c r="AV131">
        <f t="shared" si="152"/>
        <v>0</v>
      </c>
      <c r="AW131">
        <f t="shared" si="152"/>
        <v>0</v>
      </c>
      <c r="AX131">
        <f t="shared" si="152"/>
        <v>0</v>
      </c>
      <c r="AY131">
        <f t="shared" si="153"/>
        <v>1.744657342354802</v>
      </c>
    </row>
    <row r="132" spans="1:53" ht="15" x14ac:dyDescent="0.25">
      <c r="A132" s="1"/>
      <c r="B132" s="2"/>
      <c r="C132" s="1" t="s">
        <v>11</v>
      </c>
      <c r="D132">
        <v>0</v>
      </c>
      <c r="E132" s="360">
        <v>113.0378</v>
      </c>
      <c r="F132">
        <v>0</v>
      </c>
      <c r="G132">
        <v>0</v>
      </c>
      <c r="H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 s="20"/>
      <c r="P132" s="20"/>
      <c r="Q132" s="438">
        <v>0.1693711449269675</v>
      </c>
      <c r="R132" s="197">
        <v>5.6499999999999995E-2</v>
      </c>
      <c r="S132" s="197">
        <v>1.25</v>
      </c>
      <c r="T132" s="197">
        <v>0.50078889239507718</v>
      </c>
      <c r="U132" s="197">
        <v>0.75268470790377973</v>
      </c>
      <c r="V132" s="20">
        <f t="shared" si="143"/>
        <v>10.817118007404446</v>
      </c>
      <c r="W132" s="20">
        <f t="shared" si="143"/>
        <v>0</v>
      </c>
      <c r="X132" s="20">
        <f t="shared" si="143"/>
        <v>0</v>
      </c>
      <c r="Y132" s="20">
        <f t="shared" si="143"/>
        <v>0</v>
      </c>
      <c r="Z132" s="20">
        <f t="shared" si="144"/>
        <v>6.4026120917316742</v>
      </c>
      <c r="AA132" s="20">
        <f t="shared" si="144"/>
        <v>0</v>
      </c>
      <c r="AB132" s="20">
        <f t="shared" si="144"/>
        <v>0</v>
      </c>
      <c r="AC132" s="20">
        <f t="shared" si="144"/>
        <v>0</v>
      </c>
      <c r="AD132" s="20">
        <f t="shared" si="145"/>
        <v>6.4026120917316742</v>
      </c>
      <c r="AE132" s="20">
        <f t="shared" si="146"/>
        <v>239.3167700753196</v>
      </c>
      <c r="AF132" s="20">
        <f t="shared" si="147"/>
        <v>0</v>
      </c>
      <c r="AG132" s="20">
        <f t="shared" si="147"/>
        <v>0</v>
      </c>
      <c r="AH132" s="20">
        <f t="shared" si="147"/>
        <v>0</v>
      </c>
      <c r="AI132" s="20">
        <f t="shared" si="148"/>
        <v>190.93180866536909</v>
      </c>
      <c r="AJ132" s="20">
        <f t="shared" si="148"/>
        <v>0</v>
      </c>
      <c r="AK132" s="20">
        <f t="shared" si="148"/>
        <v>0</v>
      </c>
      <c r="AL132" s="20">
        <f t="shared" si="148"/>
        <v>0</v>
      </c>
      <c r="AM132" s="20">
        <f t="shared" si="149"/>
        <v>190.93180866536909</v>
      </c>
      <c r="AO132">
        <f t="shared" si="150"/>
        <v>8.3906231462143595</v>
      </c>
      <c r="AP132">
        <f t="shared" si="150"/>
        <v>0</v>
      </c>
      <c r="AQ132">
        <f t="shared" si="150"/>
        <v>0</v>
      </c>
      <c r="AR132">
        <f t="shared" si="150"/>
        <v>0</v>
      </c>
      <c r="AS132">
        <f t="shared" si="151"/>
        <v>8.3906231462143595</v>
      </c>
      <c r="AU132">
        <f t="shared" si="152"/>
        <v>250.21613525596618</v>
      </c>
      <c r="AV132">
        <f t="shared" si="152"/>
        <v>0</v>
      </c>
      <c r="AW132">
        <f t="shared" si="152"/>
        <v>0</v>
      </c>
      <c r="AX132">
        <f t="shared" si="152"/>
        <v>0</v>
      </c>
      <c r="AY132">
        <f t="shared" si="153"/>
        <v>250.21613525596618</v>
      </c>
    </row>
    <row r="133" spans="1:53" ht="15" x14ac:dyDescent="0.25">
      <c r="A133" s="1"/>
      <c r="B133" s="2"/>
      <c r="C133" s="1" t="s">
        <v>12</v>
      </c>
      <c r="D133">
        <v>0</v>
      </c>
      <c r="E133" s="360">
        <v>0</v>
      </c>
      <c r="F133">
        <v>0</v>
      </c>
      <c r="G133">
        <v>0</v>
      </c>
      <c r="H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 s="20"/>
      <c r="P133" s="20"/>
      <c r="Q133" s="438"/>
      <c r="R133" s="197">
        <v>5.6499999999999995E-2</v>
      </c>
      <c r="S133" s="197">
        <v>1.25</v>
      </c>
      <c r="T133" s="197">
        <v>0.50078889239507718</v>
      </c>
      <c r="U133" s="197">
        <v>0.75268470790377973</v>
      </c>
      <c r="V133" s="20">
        <f t="shared" si="143"/>
        <v>0</v>
      </c>
      <c r="W133" s="20">
        <f t="shared" si="143"/>
        <v>0</v>
      </c>
      <c r="X133" s="20">
        <f t="shared" si="143"/>
        <v>0</v>
      </c>
      <c r="Y133" s="20">
        <f t="shared" si="143"/>
        <v>0</v>
      </c>
      <c r="Z133" s="20">
        <f t="shared" si="144"/>
        <v>0</v>
      </c>
      <c r="AA133" s="20">
        <f t="shared" si="144"/>
        <v>0</v>
      </c>
      <c r="AB133" s="20">
        <f t="shared" si="144"/>
        <v>0</v>
      </c>
      <c r="AC133" s="20">
        <f t="shared" si="144"/>
        <v>0</v>
      </c>
      <c r="AD133" s="20">
        <f t="shared" si="145"/>
        <v>0</v>
      </c>
      <c r="AE133" s="20">
        <f t="shared" si="146"/>
        <v>0</v>
      </c>
      <c r="AF133" s="20">
        <f t="shared" si="147"/>
        <v>0</v>
      </c>
      <c r="AG133" s="20">
        <f t="shared" si="147"/>
        <v>0</v>
      </c>
      <c r="AH133" s="20">
        <f t="shared" si="147"/>
        <v>0</v>
      </c>
      <c r="AI133" s="20">
        <f t="shared" si="148"/>
        <v>0</v>
      </c>
      <c r="AJ133" s="20">
        <f t="shared" si="148"/>
        <v>0</v>
      </c>
      <c r="AK133" s="20">
        <f t="shared" si="148"/>
        <v>0</v>
      </c>
      <c r="AL133" s="20">
        <f t="shared" si="148"/>
        <v>0</v>
      </c>
      <c r="AM133" s="20">
        <f t="shared" si="149"/>
        <v>0</v>
      </c>
      <c r="AO133">
        <f t="shared" si="150"/>
        <v>0</v>
      </c>
      <c r="AP133">
        <f t="shared" si="150"/>
        <v>0</v>
      </c>
      <c r="AQ133">
        <f t="shared" si="150"/>
        <v>0</v>
      </c>
      <c r="AR133">
        <f t="shared" si="150"/>
        <v>0</v>
      </c>
      <c r="AS133">
        <f t="shared" si="151"/>
        <v>0</v>
      </c>
      <c r="AU133">
        <f t="shared" si="152"/>
        <v>0</v>
      </c>
      <c r="AV133">
        <f t="shared" si="152"/>
        <v>0</v>
      </c>
      <c r="AW133">
        <f t="shared" si="152"/>
        <v>0</v>
      </c>
      <c r="AX133">
        <f t="shared" si="152"/>
        <v>0</v>
      </c>
      <c r="AY133">
        <f t="shared" si="153"/>
        <v>0</v>
      </c>
    </row>
    <row r="134" spans="1:53" ht="15" x14ac:dyDescent="0.25">
      <c r="A134" s="1"/>
      <c r="B134" s="2"/>
      <c r="C134" s="1" t="s">
        <v>13</v>
      </c>
      <c r="D134">
        <v>0</v>
      </c>
      <c r="E134" s="360">
        <v>0.78949999999999998</v>
      </c>
      <c r="F134">
        <v>0</v>
      </c>
      <c r="G134">
        <v>0</v>
      </c>
      <c r="H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20"/>
      <c r="P134" s="20"/>
      <c r="Q134" s="438">
        <v>0.16937114492696748</v>
      </c>
      <c r="R134" s="197">
        <v>5.6499999999999995E-2</v>
      </c>
      <c r="S134" s="197">
        <v>1.25</v>
      </c>
      <c r="T134" s="197">
        <v>0.50078889239507718</v>
      </c>
      <c r="U134" s="197">
        <v>0.75268470790377973</v>
      </c>
      <c r="V134" s="20">
        <f t="shared" si="143"/>
        <v>7.5550963189710052E-2</v>
      </c>
      <c r="W134" s="20">
        <f t="shared" si="143"/>
        <v>0</v>
      </c>
      <c r="X134" s="20">
        <f t="shared" si="143"/>
        <v>0</v>
      </c>
      <c r="Y134" s="20">
        <f t="shared" si="143"/>
        <v>0</v>
      </c>
      <c r="Z134" s="20">
        <f t="shared" si="144"/>
        <v>4.4718335339348034E-2</v>
      </c>
      <c r="AA134" s="20">
        <f t="shared" si="144"/>
        <v>0</v>
      </c>
      <c r="AB134" s="20">
        <f t="shared" si="144"/>
        <v>0</v>
      </c>
      <c r="AC134" s="20">
        <f t="shared" si="144"/>
        <v>0</v>
      </c>
      <c r="AD134" s="20">
        <f t="shared" si="145"/>
        <v>4.4718335339348034E-2</v>
      </c>
      <c r="AE134" s="20">
        <f t="shared" si="146"/>
        <v>1.6714814864980103</v>
      </c>
      <c r="AF134" s="20">
        <f t="shared" si="147"/>
        <v>0</v>
      </c>
      <c r="AG134" s="20">
        <f t="shared" si="147"/>
        <v>0</v>
      </c>
      <c r="AH134" s="20">
        <f t="shared" si="147"/>
        <v>0</v>
      </c>
      <c r="AI134" s="20">
        <f t="shared" si="148"/>
        <v>1.3335420800945248</v>
      </c>
      <c r="AJ134" s="20">
        <f t="shared" si="148"/>
        <v>0</v>
      </c>
      <c r="AK134" s="20">
        <f t="shared" si="148"/>
        <v>0</v>
      </c>
      <c r="AL134" s="20">
        <f t="shared" si="148"/>
        <v>0</v>
      </c>
      <c r="AM134" s="20">
        <f t="shared" si="149"/>
        <v>1.3335420800945248</v>
      </c>
      <c r="AO134">
        <f t="shared" si="150"/>
        <v>5.8603378462215597E-2</v>
      </c>
      <c r="AP134">
        <f t="shared" si="150"/>
        <v>0</v>
      </c>
      <c r="AQ134">
        <f t="shared" si="150"/>
        <v>0</v>
      </c>
      <c r="AR134">
        <f t="shared" si="150"/>
        <v>0</v>
      </c>
      <c r="AS134">
        <f t="shared" si="151"/>
        <v>5.8603378462215597E-2</v>
      </c>
      <c r="AU134">
        <f t="shared" si="152"/>
        <v>1.7476068959638746</v>
      </c>
      <c r="AV134">
        <f t="shared" si="152"/>
        <v>0</v>
      </c>
      <c r="AW134">
        <f t="shared" si="152"/>
        <v>0</v>
      </c>
      <c r="AX134">
        <f t="shared" si="152"/>
        <v>0</v>
      </c>
      <c r="AY134">
        <f t="shared" si="153"/>
        <v>1.7476068959638746</v>
      </c>
    </row>
    <row r="135" spans="1:53" ht="15" x14ac:dyDescent="0.25">
      <c r="A135" s="7"/>
      <c r="B135" s="8" t="s">
        <v>14</v>
      </c>
      <c r="C135" s="7"/>
      <c r="D135" s="357">
        <f t="shared" ref="D135:H135" si="154">SUM(D129:D134)</f>
        <v>0</v>
      </c>
      <c r="E135" s="363">
        <f>SUM(E129:E134)</f>
        <v>400.10919999999999</v>
      </c>
      <c r="F135" s="357">
        <f t="shared" si="154"/>
        <v>0</v>
      </c>
      <c r="G135" s="357">
        <f t="shared" si="154"/>
        <v>0</v>
      </c>
      <c r="H135" s="357">
        <f t="shared" si="154"/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 s="20"/>
      <c r="P135" s="20"/>
      <c r="Q135" s="438">
        <v>8.386520871035251E-2</v>
      </c>
      <c r="R135" s="197"/>
      <c r="S135" s="197"/>
      <c r="T135" s="197"/>
      <c r="U135" s="197"/>
      <c r="BA135" s="319">
        <f>(E135*10000*Q135*AU$10)</f>
        <v>439741.44070843613</v>
      </c>
    </row>
    <row r="136" spans="1:53" ht="15" x14ac:dyDescent="0.25">
      <c r="A136" s="10"/>
      <c r="B136" s="9" t="s">
        <v>15</v>
      </c>
      <c r="C136" s="5"/>
      <c r="E136" s="363">
        <f>SUM(E135)</f>
        <v>400.10919999999999</v>
      </c>
      <c r="H136" s="358">
        <f>SUM(D135:H135)</f>
        <v>400.10919999999999</v>
      </c>
      <c r="K136" s="14"/>
      <c r="N136">
        <v>0</v>
      </c>
      <c r="O136" s="20"/>
      <c r="P136" s="20"/>
      <c r="Q136" s="438"/>
      <c r="R136" s="197"/>
      <c r="S136" s="197"/>
      <c r="T136" s="197"/>
      <c r="U136" s="197"/>
    </row>
    <row r="137" spans="1:53" ht="15.75" x14ac:dyDescent="0.25">
      <c r="A137" s="1"/>
      <c r="B137" s="2"/>
      <c r="C137" s="1"/>
      <c r="E137" s="361"/>
      <c r="K137" s="14"/>
      <c r="O137" s="20"/>
      <c r="P137" s="20"/>
      <c r="Q137" s="439"/>
      <c r="R137" s="197"/>
      <c r="S137" s="197"/>
      <c r="T137" s="197"/>
      <c r="U137" s="197"/>
    </row>
    <row r="138" spans="1:53" ht="15" x14ac:dyDescent="0.25">
      <c r="A138" s="1">
        <v>15</v>
      </c>
      <c r="B138" s="2" t="s">
        <v>29</v>
      </c>
      <c r="C138" s="1" t="s">
        <v>8</v>
      </c>
      <c r="D138">
        <v>0</v>
      </c>
      <c r="E138" s="360">
        <v>0.63266</v>
      </c>
      <c r="F138">
        <v>0</v>
      </c>
      <c r="G138">
        <v>0</v>
      </c>
      <c r="H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 s="20"/>
      <c r="P138" s="20"/>
      <c r="Q138" s="438">
        <v>0.77107466458056684</v>
      </c>
      <c r="R138" s="197">
        <v>2.5000000000000001E-2</v>
      </c>
      <c r="S138" s="197">
        <v>0.71599999999999997</v>
      </c>
      <c r="T138" s="197">
        <v>0.11808671869809276</v>
      </c>
      <c r="U138" s="197">
        <v>0.41263016220713056</v>
      </c>
      <c r="V138" s="20">
        <f t="shared" ref="V138:Y143" si="155">E138*$Q138*$R138*10</f>
        <v>0.12195702432338536</v>
      </c>
      <c r="W138" s="20">
        <f t="shared" si="155"/>
        <v>0</v>
      </c>
      <c r="X138" s="20">
        <f t="shared" si="155"/>
        <v>0</v>
      </c>
      <c r="Y138" s="20">
        <f t="shared" si="155"/>
        <v>0</v>
      </c>
      <c r="Z138" s="20">
        <f t="shared" ref="Z138:AC143" si="156">V138*(EXP(1.01-0.34*LN(Z$8))*(1-$T138)+(1*$T138))</f>
        <v>3.4030683888512096E-2</v>
      </c>
      <c r="AA138" s="20">
        <f t="shared" si="156"/>
        <v>0</v>
      </c>
      <c r="AB138" s="20">
        <f t="shared" si="156"/>
        <v>0</v>
      </c>
      <c r="AC138" s="20">
        <f t="shared" si="156"/>
        <v>0</v>
      </c>
      <c r="AD138" s="20">
        <f t="shared" ref="AD138:AD143" si="157">SUM(Z138:AC138)</f>
        <v>3.4030683888512096E-2</v>
      </c>
      <c r="AE138" s="20">
        <f t="shared" ref="AE138:AE143" si="158">E138*$Q138*$S138*10</f>
        <v>3.4928491766217569</v>
      </c>
      <c r="AF138" s="20">
        <f t="shared" ref="AF138:AH143" si="159">F138*$Q138*$S138*10</f>
        <v>0</v>
      </c>
      <c r="AG138" s="20">
        <f t="shared" si="159"/>
        <v>0</v>
      </c>
      <c r="AH138" s="20">
        <f t="shared" si="159"/>
        <v>0</v>
      </c>
      <c r="AI138" s="20">
        <f t="shared" ref="AI138:AL143" si="160">AE138*(EXP(1.01-0.34*LN(AI$8))*(1-$U138)+(1*$U138))</f>
        <v>1.8156765342602927</v>
      </c>
      <c r="AJ138" s="20">
        <f t="shared" si="160"/>
        <v>0</v>
      </c>
      <c r="AK138" s="20">
        <f t="shared" si="160"/>
        <v>0</v>
      </c>
      <c r="AL138" s="20">
        <f t="shared" si="160"/>
        <v>0</v>
      </c>
      <c r="AM138" s="20">
        <f t="shared" ref="AM138:AM143" si="161">SUM(AI138:AL138)</f>
        <v>1.8156765342602927</v>
      </c>
      <c r="AO138">
        <f t="shared" ref="AO138:AR143" si="162">Z138*AO$10</f>
        <v>4.45972112358951E-2</v>
      </c>
      <c r="AP138">
        <f t="shared" si="162"/>
        <v>0</v>
      </c>
      <c r="AQ138">
        <f t="shared" si="162"/>
        <v>0</v>
      </c>
      <c r="AR138">
        <f t="shared" si="162"/>
        <v>0</v>
      </c>
      <c r="AS138">
        <f t="shared" ref="AS138:AS143" si="163">SUM(AO138:AR138)</f>
        <v>4.45972112358951E-2</v>
      </c>
      <c r="AU138">
        <f t="shared" ref="AU138:AX143" si="164">AI138*AU$10</f>
        <v>2.3794440981481135</v>
      </c>
      <c r="AV138">
        <f t="shared" si="164"/>
        <v>0</v>
      </c>
      <c r="AW138">
        <f t="shared" si="164"/>
        <v>0</v>
      </c>
      <c r="AX138">
        <f t="shared" si="164"/>
        <v>0</v>
      </c>
      <c r="AY138">
        <f t="shared" ref="AY138:AY143" si="165">SUM(AU138:AX138)</f>
        <v>2.3794440981481135</v>
      </c>
    </row>
    <row r="139" spans="1:53" ht="15" x14ac:dyDescent="0.25">
      <c r="A139" s="1"/>
      <c r="B139" s="2"/>
      <c r="C139" s="1" t="s">
        <v>9</v>
      </c>
      <c r="D139">
        <v>0</v>
      </c>
      <c r="E139" s="360">
        <v>1.5754999999999999</v>
      </c>
      <c r="F139">
        <v>0</v>
      </c>
      <c r="G139">
        <v>0</v>
      </c>
      <c r="H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 s="20"/>
      <c r="P139" s="20"/>
      <c r="Q139" s="438">
        <v>0.77714932916113388</v>
      </c>
      <c r="R139" s="197">
        <v>2.5000000000000001E-2</v>
      </c>
      <c r="S139" s="197">
        <v>0.71599999999999997</v>
      </c>
      <c r="T139" s="197">
        <v>0.11808671869809276</v>
      </c>
      <c r="U139" s="197">
        <v>0.41263016220713056</v>
      </c>
      <c r="V139" s="20">
        <f t="shared" si="155"/>
        <v>0.30609969202334159</v>
      </c>
      <c r="W139" s="20">
        <f t="shared" si="155"/>
        <v>0</v>
      </c>
      <c r="X139" s="20">
        <f t="shared" si="155"/>
        <v>0</v>
      </c>
      <c r="Y139" s="20">
        <f t="shared" si="155"/>
        <v>0</v>
      </c>
      <c r="Z139" s="20">
        <f t="shared" si="156"/>
        <v>8.5413545594518234E-2</v>
      </c>
      <c r="AA139" s="20">
        <f t="shared" si="156"/>
        <v>0</v>
      </c>
      <c r="AB139" s="20">
        <f t="shared" si="156"/>
        <v>0</v>
      </c>
      <c r="AC139" s="20">
        <f t="shared" si="156"/>
        <v>0</v>
      </c>
      <c r="AD139" s="20">
        <f t="shared" si="157"/>
        <v>8.5413545594518234E-2</v>
      </c>
      <c r="AE139" s="20">
        <f t="shared" si="158"/>
        <v>8.7666951795485026</v>
      </c>
      <c r="AF139" s="20">
        <f t="shared" si="159"/>
        <v>0</v>
      </c>
      <c r="AG139" s="20">
        <f t="shared" si="159"/>
        <v>0</v>
      </c>
      <c r="AH139" s="20">
        <f t="shared" si="159"/>
        <v>0</v>
      </c>
      <c r="AI139" s="20">
        <f t="shared" si="160"/>
        <v>4.5571629107427549</v>
      </c>
      <c r="AJ139" s="20">
        <f t="shared" si="160"/>
        <v>0</v>
      </c>
      <c r="AK139" s="20">
        <f t="shared" si="160"/>
        <v>0</v>
      </c>
      <c r="AL139" s="20">
        <f t="shared" si="160"/>
        <v>0</v>
      </c>
      <c r="AM139" s="20">
        <f t="shared" si="161"/>
        <v>4.5571629107427549</v>
      </c>
      <c r="AO139">
        <f t="shared" si="162"/>
        <v>0.11193445150161614</v>
      </c>
      <c r="AP139">
        <f t="shared" si="162"/>
        <v>0</v>
      </c>
      <c r="AQ139">
        <f t="shared" si="162"/>
        <v>0</v>
      </c>
      <c r="AR139">
        <f t="shared" si="162"/>
        <v>0</v>
      </c>
      <c r="AS139">
        <f t="shared" si="163"/>
        <v>0.11193445150161614</v>
      </c>
      <c r="AU139">
        <f t="shared" si="164"/>
        <v>5.9721619945283804</v>
      </c>
      <c r="AV139">
        <f t="shared" si="164"/>
        <v>0</v>
      </c>
      <c r="AW139">
        <f t="shared" si="164"/>
        <v>0</v>
      </c>
      <c r="AX139">
        <f t="shared" si="164"/>
        <v>0</v>
      </c>
      <c r="AY139">
        <f t="shared" si="165"/>
        <v>5.9721619945283804</v>
      </c>
    </row>
    <row r="140" spans="1:53" ht="15" x14ac:dyDescent="0.25">
      <c r="A140" s="1"/>
      <c r="B140" s="2"/>
      <c r="C140" s="1" t="s">
        <v>10</v>
      </c>
      <c r="D140">
        <v>0</v>
      </c>
      <c r="E140" s="360">
        <v>0</v>
      </c>
      <c r="F140">
        <v>0</v>
      </c>
      <c r="G140">
        <v>0</v>
      </c>
      <c r="H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 s="20"/>
      <c r="P140" s="20"/>
      <c r="Q140" s="438"/>
      <c r="R140" s="197">
        <v>2.5000000000000001E-2</v>
      </c>
      <c r="S140" s="197">
        <v>0.71599999999999997</v>
      </c>
      <c r="T140" s="197">
        <v>0.11808671869809276</v>
      </c>
      <c r="U140" s="197">
        <v>0.41263016220713056</v>
      </c>
      <c r="V140" s="20">
        <f t="shared" si="155"/>
        <v>0</v>
      </c>
      <c r="W140" s="20">
        <f t="shared" si="155"/>
        <v>0</v>
      </c>
      <c r="X140" s="20">
        <f t="shared" si="155"/>
        <v>0</v>
      </c>
      <c r="Y140" s="20">
        <f t="shared" si="155"/>
        <v>0</v>
      </c>
      <c r="Z140" s="20">
        <f t="shared" si="156"/>
        <v>0</v>
      </c>
      <c r="AA140" s="20">
        <f t="shared" si="156"/>
        <v>0</v>
      </c>
      <c r="AB140" s="20">
        <f t="shared" si="156"/>
        <v>0</v>
      </c>
      <c r="AC140" s="20">
        <f t="shared" si="156"/>
        <v>0</v>
      </c>
      <c r="AD140" s="20">
        <f t="shared" si="157"/>
        <v>0</v>
      </c>
      <c r="AE140" s="20">
        <f t="shared" si="158"/>
        <v>0</v>
      </c>
      <c r="AF140" s="20">
        <f t="shared" si="159"/>
        <v>0</v>
      </c>
      <c r="AG140" s="20">
        <f t="shared" si="159"/>
        <v>0</v>
      </c>
      <c r="AH140" s="20">
        <f t="shared" si="159"/>
        <v>0</v>
      </c>
      <c r="AI140" s="20">
        <f t="shared" si="160"/>
        <v>0</v>
      </c>
      <c r="AJ140" s="20">
        <f t="shared" si="160"/>
        <v>0</v>
      </c>
      <c r="AK140" s="20">
        <f t="shared" si="160"/>
        <v>0</v>
      </c>
      <c r="AL140" s="20">
        <f t="shared" si="160"/>
        <v>0</v>
      </c>
      <c r="AM140" s="20">
        <f t="shared" si="161"/>
        <v>0</v>
      </c>
      <c r="AO140">
        <f t="shared" si="162"/>
        <v>0</v>
      </c>
      <c r="AP140">
        <f t="shared" si="162"/>
        <v>0</v>
      </c>
      <c r="AQ140">
        <f t="shared" si="162"/>
        <v>0</v>
      </c>
      <c r="AR140">
        <f t="shared" si="162"/>
        <v>0</v>
      </c>
      <c r="AS140">
        <f t="shared" si="163"/>
        <v>0</v>
      </c>
      <c r="AU140">
        <f t="shared" si="164"/>
        <v>0</v>
      </c>
      <c r="AV140">
        <f t="shared" si="164"/>
        <v>0</v>
      </c>
      <c r="AW140">
        <f t="shared" si="164"/>
        <v>0</v>
      </c>
      <c r="AX140">
        <f t="shared" si="164"/>
        <v>0</v>
      </c>
      <c r="AY140">
        <f t="shared" si="165"/>
        <v>0</v>
      </c>
    </row>
    <row r="141" spans="1:53" ht="15" x14ac:dyDescent="0.25">
      <c r="A141" s="1"/>
      <c r="B141" s="2"/>
      <c r="C141" s="1" t="s">
        <v>11</v>
      </c>
      <c r="D141">
        <v>0</v>
      </c>
      <c r="E141" s="360">
        <v>10.5235</v>
      </c>
      <c r="F141">
        <v>0</v>
      </c>
      <c r="G141">
        <v>0</v>
      </c>
      <c r="H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 s="20"/>
      <c r="P141" s="20"/>
      <c r="Q141" s="438">
        <v>0.78929865832226775</v>
      </c>
      <c r="R141" s="197">
        <v>2.5000000000000001E-2</v>
      </c>
      <c r="S141" s="197">
        <v>0.71599999999999997</v>
      </c>
      <c r="T141" s="197">
        <v>0.11808671869809276</v>
      </c>
      <c r="U141" s="197">
        <v>0.41263016220713056</v>
      </c>
      <c r="V141" s="20">
        <f t="shared" si="155"/>
        <v>2.0765461077135963</v>
      </c>
      <c r="W141" s="20">
        <f t="shared" si="155"/>
        <v>0</v>
      </c>
      <c r="X141" s="20">
        <f t="shared" si="155"/>
        <v>0</v>
      </c>
      <c r="Y141" s="20">
        <f t="shared" si="155"/>
        <v>0</v>
      </c>
      <c r="Z141" s="20">
        <f t="shared" si="156"/>
        <v>0.57943594937295684</v>
      </c>
      <c r="AA141" s="20">
        <f t="shared" si="156"/>
        <v>0</v>
      </c>
      <c r="AB141" s="20">
        <f t="shared" si="156"/>
        <v>0</v>
      </c>
      <c r="AC141" s="20">
        <f t="shared" si="156"/>
        <v>0</v>
      </c>
      <c r="AD141" s="20">
        <f t="shared" si="157"/>
        <v>0.57943594937295684</v>
      </c>
      <c r="AE141" s="20">
        <f t="shared" si="158"/>
        <v>59.472280524917394</v>
      </c>
      <c r="AF141" s="20">
        <f t="shared" si="159"/>
        <v>0</v>
      </c>
      <c r="AG141" s="20">
        <f t="shared" si="159"/>
        <v>0</v>
      </c>
      <c r="AH141" s="20">
        <f t="shared" si="159"/>
        <v>0</v>
      </c>
      <c r="AI141" s="20">
        <f t="shared" si="160"/>
        <v>30.915283978129644</v>
      </c>
      <c r="AJ141" s="20">
        <f t="shared" si="160"/>
        <v>0</v>
      </c>
      <c r="AK141" s="20">
        <f t="shared" si="160"/>
        <v>0</v>
      </c>
      <c r="AL141" s="20">
        <f t="shared" si="160"/>
        <v>0</v>
      </c>
      <c r="AM141" s="20">
        <f t="shared" si="161"/>
        <v>30.915283978129644</v>
      </c>
      <c r="AO141">
        <f t="shared" si="162"/>
        <v>0.75935081165325991</v>
      </c>
      <c r="AP141">
        <f t="shared" si="162"/>
        <v>0</v>
      </c>
      <c r="AQ141">
        <f t="shared" si="162"/>
        <v>0</v>
      </c>
      <c r="AR141">
        <f t="shared" si="162"/>
        <v>0</v>
      </c>
      <c r="AS141">
        <f t="shared" si="163"/>
        <v>0.75935081165325991</v>
      </c>
      <c r="AU141">
        <f t="shared" si="164"/>
        <v>40.514479653338896</v>
      </c>
      <c r="AV141">
        <f t="shared" si="164"/>
        <v>0</v>
      </c>
      <c r="AW141">
        <f t="shared" si="164"/>
        <v>0</v>
      </c>
      <c r="AX141">
        <f t="shared" si="164"/>
        <v>0</v>
      </c>
      <c r="AY141">
        <f t="shared" si="165"/>
        <v>40.514479653338896</v>
      </c>
    </row>
    <row r="142" spans="1:53" ht="15" x14ac:dyDescent="0.25">
      <c r="A142" s="1"/>
      <c r="B142" s="2"/>
      <c r="C142" s="1" t="s">
        <v>12</v>
      </c>
      <c r="D142">
        <v>0</v>
      </c>
      <c r="E142" s="360">
        <v>0</v>
      </c>
      <c r="F142">
        <v>0</v>
      </c>
      <c r="G142">
        <v>0</v>
      </c>
      <c r="H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 s="20"/>
      <c r="P142" s="20"/>
      <c r="Q142" s="438"/>
      <c r="R142" s="197">
        <v>2.5000000000000001E-2</v>
      </c>
      <c r="S142" s="197">
        <v>0.71599999999999997</v>
      </c>
      <c r="T142" s="197">
        <v>0.11808671869809276</v>
      </c>
      <c r="U142" s="197">
        <v>0.41263016220713056</v>
      </c>
      <c r="V142" s="20">
        <f t="shared" si="155"/>
        <v>0</v>
      </c>
      <c r="W142" s="20">
        <f t="shared" si="155"/>
        <v>0</v>
      </c>
      <c r="X142" s="20">
        <f t="shared" si="155"/>
        <v>0</v>
      </c>
      <c r="Y142" s="20">
        <f t="shared" si="155"/>
        <v>0</v>
      </c>
      <c r="Z142" s="20">
        <f t="shared" si="156"/>
        <v>0</v>
      </c>
      <c r="AA142" s="20">
        <f t="shared" si="156"/>
        <v>0</v>
      </c>
      <c r="AB142" s="20">
        <f t="shared" si="156"/>
        <v>0</v>
      </c>
      <c r="AC142" s="20">
        <f t="shared" si="156"/>
        <v>0</v>
      </c>
      <c r="AD142" s="20">
        <f t="shared" si="157"/>
        <v>0</v>
      </c>
      <c r="AE142" s="20">
        <f t="shared" si="158"/>
        <v>0</v>
      </c>
      <c r="AF142" s="20">
        <f t="shared" si="159"/>
        <v>0</v>
      </c>
      <c r="AG142" s="20">
        <f t="shared" si="159"/>
        <v>0</v>
      </c>
      <c r="AH142" s="20">
        <f t="shared" si="159"/>
        <v>0</v>
      </c>
      <c r="AI142" s="20">
        <f t="shared" si="160"/>
        <v>0</v>
      </c>
      <c r="AJ142" s="20">
        <f t="shared" si="160"/>
        <v>0</v>
      </c>
      <c r="AK142" s="20">
        <f t="shared" si="160"/>
        <v>0</v>
      </c>
      <c r="AL142" s="20">
        <f t="shared" si="160"/>
        <v>0</v>
      </c>
      <c r="AM142" s="20">
        <f t="shared" si="161"/>
        <v>0</v>
      </c>
      <c r="AO142">
        <f t="shared" si="162"/>
        <v>0</v>
      </c>
      <c r="AP142">
        <f t="shared" si="162"/>
        <v>0</v>
      </c>
      <c r="AQ142">
        <f t="shared" si="162"/>
        <v>0</v>
      </c>
      <c r="AR142">
        <f t="shared" si="162"/>
        <v>0</v>
      </c>
      <c r="AS142">
        <f t="shared" si="163"/>
        <v>0</v>
      </c>
      <c r="AU142">
        <f t="shared" si="164"/>
        <v>0</v>
      </c>
      <c r="AV142">
        <f t="shared" si="164"/>
        <v>0</v>
      </c>
      <c r="AW142">
        <f t="shared" si="164"/>
        <v>0</v>
      </c>
      <c r="AX142">
        <f t="shared" si="164"/>
        <v>0</v>
      </c>
      <c r="AY142">
        <f t="shared" si="165"/>
        <v>0</v>
      </c>
    </row>
    <row r="143" spans="1:53" ht="15" x14ac:dyDescent="0.25">
      <c r="A143" s="1"/>
      <c r="B143" s="2"/>
      <c r="C143" s="1" t="s">
        <v>13</v>
      </c>
      <c r="D143">
        <v>0</v>
      </c>
      <c r="E143" s="360">
        <v>12.9397</v>
      </c>
      <c r="F143">
        <v>0</v>
      </c>
      <c r="G143">
        <v>0</v>
      </c>
      <c r="H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20"/>
      <c r="P143" s="20"/>
      <c r="Q143" s="438">
        <v>0.78929865832226775</v>
      </c>
      <c r="R143" s="197">
        <v>2.5000000000000001E-2</v>
      </c>
      <c r="S143" s="197">
        <v>0.71599999999999997</v>
      </c>
      <c r="T143" s="197">
        <v>0.11808671869809276</v>
      </c>
      <c r="U143" s="197">
        <v>0.41263016220713056</v>
      </c>
      <c r="V143" s="20">
        <f t="shared" si="155"/>
        <v>2.5533219622731624</v>
      </c>
      <c r="W143" s="20">
        <f t="shared" si="155"/>
        <v>0</v>
      </c>
      <c r="X143" s="20">
        <f t="shared" si="155"/>
        <v>0</v>
      </c>
      <c r="Y143" s="20">
        <f t="shared" si="155"/>
        <v>0</v>
      </c>
      <c r="Z143" s="20">
        <f t="shared" si="156"/>
        <v>0.71247468561802163</v>
      </c>
      <c r="AA143" s="20">
        <f t="shared" si="156"/>
        <v>0</v>
      </c>
      <c r="AB143" s="20">
        <f t="shared" si="156"/>
        <v>0</v>
      </c>
      <c r="AC143" s="20">
        <f t="shared" si="156"/>
        <v>0</v>
      </c>
      <c r="AD143" s="20">
        <f t="shared" si="157"/>
        <v>0.71247468561802163</v>
      </c>
      <c r="AE143" s="20">
        <f t="shared" si="158"/>
        <v>73.127140999503354</v>
      </c>
      <c r="AF143" s="20">
        <f t="shared" si="159"/>
        <v>0</v>
      </c>
      <c r="AG143" s="20">
        <f t="shared" si="159"/>
        <v>0</v>
      </c>
      <c r="AH143" s="20">
        <f t="shared" si="159"/>
        <v>0</v>
      </c>
      <c r="AI143" s="20">
        <f t="shared" si="160"/>
        <v>38.013446105554628</v>
      </c>
      <c r="AJ143" s="20">
        <f t="shared" si="160"/>
        <v>0</v>
      </c>
      <c r="AK143" s="20">
        <f t="shared" si="160"/>
        <v>0</v>
      </c>
      <c r="AL143" s="20">
        <f t="shared" si="160"/>
        <v>0</v>
      </c>
      <c r="AM143" s="20">
        <f t="shared" si="161"/>
        <v>38.013446105554628</v>
      </c>
      <c r="AO143">
        <f t="shared" si="162"/>
        <v>0.93369807550241735</v>
      </c>
      <c r="AP143">
        <f t="shared" si="162"/>
        <v>0</v>
      </c>
      <c r="AQ143">
        <f t="shared" si="162"/>
        <v>0</v>
      </c>
      <c r="AR143">
        <f t="shared" si="162"/>
        <v>0</v>
      </c>
      <c r="AS143">
        <f t="shared" si="163"/>
        <v>0.93369807550241735</v>
      </c>
      <c r="AU143">
        <f t="shared" si="164"/>
        <v>49.816621121329341</v>
      </c>
      <c r="AV143">
        <f t="shared" si="164"/>
        <v>0</v>
      </c>
      <c r="AW143">
        <f t="shared" si="164"/>
        <v>0</v>
      </c>
      <c r="AX143">
        <f t="shared" si="164"/>
        <v>0</v>
      </c>
      <c r="AY143">
        <f t="shared" si="165"/>
        <v>49.816621121329341</v>
      </c>
    </row>
    <row r="144" spans="1:53" ht="15" x14ac:dyDescent="0.25">
      <c r="A144" s="7"/>
      <c r="B144" s="8" t="s">
        <v>14</v>
      </c>
      <c r="C144" s="7"/>
      <c r="D144" s="357">
        <f t="shared" ref="D144:H144" si="166">SUM(D138:D143)</f>
        <v>0</v>
      </c>
      <c r="E144" s="363">
        <f>SUM(E138:E143)</f>
        <v>25.67136</v>
      </c>
      <c r="F144" s="357">
        <f t="shared" si="166"/>
        <v>0</v>
      </c>
      <c r="G144" s="357">
        <f t="shared" si="166"/>
        <v>0</v>
      </c>
      <c r="H144" s="357">
        <f t="shared" si="166"/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 s="20"/>
      <c r="P144" s="20"/>
      <c r="Q144" s="438">
        <v>0.78810390822044263</v>
      </c>
      <c r="R144" s="197"/>
      <c r="S144" s="197"/>
      <c r="T144" s="197"/>
      <c r="U144" s="197"/>
      <c r="BA144" s="319">
        <f>(E144*10000*Q144*AU$10)</f>
        <v>265136.41729960131</v>
      </c>
    </row>
    <row r="145" spans="1:53" ht="15" x14ac:dyDescent="0.25">
      <c r="A145" s="10"/>
      <c r="B145" s="9" t="s">
        <v>15</v>
      </c>
      <c r="C145" s="5"/>
      <c r="E145" s="363">
        <f>SUM(E144)</f>
        <v>25.67136</v>
      </c>
      <c r="H145" s="358">
        <f>SUM(D144:H144)</f>
        <v>25.67136</v>
      </c>
      <c r="K145" s="14"/>
      <c r="N145">
        <v>0</v>
      </c>
      <c r="O145" s="20"/>
      <c r="P145" s="20"/>
      <c r="Q145" s="438"/>
      <c r="R145" s="197"/>
      <c r="S145" s="197"/>
      <c r="T145" s="197"/>
      <c r="U145" s="197"/>
    </row>
    <row r="146" spans="1:53" ht="15.75" x14ac:dyDescent="0.25">
      <c r="A146" s="1"/>
      <c r="B146" s="2"/>
      <c r="C146" s="1"/>
      <c r="E146" s="361"/>
      <c r="K146" s="14"/>
      <c r="O146" s="20"/>
      <c r="P146" s="20"/>
      <c r="Q146" s="439"/>
      <c r="R146" s="197"/>
      <c r="S146" s="197"/>
      <c r="T146" s="197"/>
      <c r="U146" s="197"/>
    </row>
    <row r="147" spans="1:53" ht="15" x14ac:dyDescent="0.25">
      <c r="A147" s="1">
        <v>16</v>
      </c>
      <c r="B147" s="2" t="s">
        <v>30</v>
      </c>
      <c r="C147" s="1" t="s">
        <v>8</v>
      </c>
      <c r="D147">
        <v>0</v>
      </c>
      <c r="E147" s="360">
        <v>69.565200000000004</v>
      </c>
      <c r="F147">
        <v>0</v>
      </c>
      <c r="G147">
        <v>0</v>
      </c>
      <c r="H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 s="20"/>
      <c r="P147" s="20"/>
      <c r="Q147" s="438">
        <v>0.6851244409676116</v>
      </c>
      <c r="R147" s="197">
        <v>5.6499999999999995E-2</v>
      </c>
      <c r="S147" s="197">
        <v>1.25</v>
      </c>
      <c r="T147" s="197">
        <v>0.50650413159351704</v>
      </c>
      <c r="U147" s="197">
        <v>0.77519673403474398</v>
      </c>
      <c r="V147" s="20">
        <f t="shared" ref="V147:Y152" si="167">E147*$Q147*$R147*10</f>
        <v>26.928362599852051</v>
      </c>
      <c r="W147" s="20">
        <f t="shared" si="167"/>
        <v>0</v>
      </c>
      <c r="X147" s="20">
        <f t="shared" si="167"/>
        <v>0</v>
      </c>
      <c r="Y147" s="20">
        <f t="shared" si="167"/>
        <v>0</v>
      </c>
      <c r="Z147" s="20">
        <f t="shared" ref="Z147:AC152" si="168">V147*(EXP(1.01-0.34*LN(Z$8))*(1-$T147)+(1*$T147))</f>
        <v>16.064612592219987</v>
      </c>
      <c r="AA147" s="20">
        <f t="shared" si="168"/>
        <v>0</v>
      </c>
      <c r="AB147" s="20">
        <f t="shared" si="168"/>
        <v>0</v>
      </c>
      <c r="AC147" s="20">
        <f t="shared" si="168"/>
        <v>0</v>
      </c>
      <c r="AD147" s="20">
        <f t="shared" ref="AD147:AD152" si="169">SUM(Z147:AC147)</f>
        <v>16.064612592219987</v>
      </c>
      <c r="AE147" s="20">
        <f t="shared" ref="AE147:AE152" si="170">E147*$Q147*$S147*10</f>
        <v>595.76023451000128</v>
      </c>
      <c r="AF147" s="20">
        <f t="shared" ref="AF147:AH152" si="171">F147*$Q147*$S147*10</f>
        <v>0</v>
      </c>
      <c r="AG147" s="20">
        <f t="shared" si="171"/>
        <v>0</v>
      </c>
      <c r="AH147" s="20">
        <f t="shared" si="171"/>
        <v>0</v>
      </c>
      <c r="AI147" s="20">
        <f t="shared" ref="AI147:AL152" si="172">AE147*(EXP(1.01-0.34*LN(AI$8))*(1-$U147)+(1*$U147))</f>
        <v>486.27377205890667</v>
      </c>
      <c r="AJ147" s="20">
        <f t="shared" si="172"/>
        <v>0</v>
      </c>
      <c r="AK147" s="20">
        <f t="shared" si="172"/>
        <v>0</v>
      </c>
      <c r="AL147" s="20">
        <f t="shared" si="172"/>
        <v>0</v>
      </c>
      <c r="AM147" s="20">
        <f t="shared" ref="AM147:AM152" si="173">SUM(AI147:AL147)</f>
        <v>486.27377205890667</v>
      </c>
      <c r="AO147">
        <f t="shared" ref="AO147:AR152" si="174">Z147*AO$10</f>
        <v>21.052674802104292</v>
      </c>
      <c r="AP147">
        <f t="shared" si="174"/>
        <v>0</v>
      </c>
      <c r="AQ147">
        <f t="shared" si="174"/>
        <v>0</v>
      </c>
      <c r="AR147">
        <f t="shared" si="174"/>
        <v>0</v>
      </c>
      <c r="AS147">
        <f t="shared" ref="AS147:AS152" si="175">SUM(AO147:AR147)</f>
        <v>21.052674802104292</v>
      </c>
      <c r="AU147">
        <f t="shared" ref="AU147:AX152" si="176">AI147*AU$10</f>
        <v>637.26177828319715</v>
      </c>
      <c r="AV147">
        <f t="shared" si="176"/>
        <v>0</v>
      </c>
      <c r="AW147">
        <f t="shared" si="176"/>
        <v>0</v>
      </c>
      <c r="AX147">
        <f t="shared" si="176"/>
        <v>0</v>
      </c>
      <c r="AY147">
        <f t="shared" ref="AY147:AY152" si="177">SUM(AU147:AX147)</f>
        <v>637.26177828319715</v>
      </c>
    </row>
    <row r="148" spans="1:53" ht="15" x14ac:dyDescent="0.25">
      <c r="A148" s="1"/>
      <c r="B148" s="2"/>
      <c r="C148" s="1" t="s">
        <v>9</v>
      </c>
      <c r="D148">
        <v>0</v>
      </c>
      <c r="E148" s="360">
        <v>8.3310999999999993</v>
      </c>
      <c r="F148">
        <v>0</v>
      </c>
      <c r="G148">
        <v>0</v>
      </c>
      <c r="H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 s="20"/>
      <c r="P148" s="20"/>
      <c r="Q148" s="438">
        <v>0.69524888193522316</v>
      </c>
      <c r="R148" s="197">
        <v>5.6499999999999995E-2</v>
      </c>
      <c r="S148" s="197">
        <v>1.25</v>
      </c>
      <c r="T148" s="197">
        <v>0.50650413159351704</v>
      </c>
      <c r="U148" s="197">
        <v>0.77519673403474398</v>
      </c>
      <c r="V148" s="20">
        <f t="shared" si="167"/>
        <v>3.272586197564153</v>
      </c>
      <c r="W148" s="20">
        <f t="shared" si="167"/>
        <v>0</v>
      </c>
      <c r="X148" s="20">
        <f t="shared" si="167"/>
        <v>0</v>
      </c>
      <c r="Y148" s="20">
        <f t="shared" si="167"/>
        <v>0</v>
      </c>
      <c r="Z148" s="20">
        <f t="shared" si="168"/>
        <v>1.9523218035842724</v>
      </c>
      <c r="AA148" s="20">
        <f t="shared" si="168"/>
        <v>0</v>
      </c>
      <c r="AB148" s="20">
        <f t="shared" si="168"/>
        <v>0</v>
      </c>
      <c r="AC148" s="20">
        <f t="shared" si="168"/>
        <v>0</v>
      </c>
      <c r="AD148" s="20">
        <f t="shared" si="169"/>
        <v>1.9523218035842724</v>
      </c>
      <c r="AE148" s="20">
        <f t="shared" si="170"/>
        <v>72.402349503631712</v>
      </c>
      <c r="AF148" s="20">
        <f t="shared" si="171"/>
        <v>0</v>
      </c>
      <c r="AG148" s="20">
        <f t="shared" si="171"/>
        <v>0</v>
      </c>
      <c r="AH148" s="20">
        <f t="shared" si="171"/>
        <v>0</v>
      </c>
      <c r="AI148" s="20">
        <f t="shared" si="172"/>
        <v>59.096531724739108</v>
      </c>
      <c r="AJ148" s="20">
        <f t="shared" si="172"/>
        <v>0</v>
      </c>
      <c r="AK148" s="20">
        <f t="shared" si="172"/>
        <v>0</v>
      </c>
      <c r="AL148" s="20">
        <f t="shared" si="172"/>
        <v>0</v>
      </c>
      <c r="AM148" s="20">
        <f t="shared" si="173"/>
        <v>59.096531724739108</v>
      </c>
      <c r="AO148">
        <f t="shared" si="174"/>
        <v>2.558517723597189</v>
      </c>
      <c r="AP148">
        <f t="shared" si="174"/>
        <v>0</v>
      </c>
      <c r="AQ148">
        <f t="shared" si="174"/>
        <v>0</v>
      </c>
      <c r="AR148">
        <f t="shared" si="174"/>
        <v>0</v>
      </c>
      <c r="AS148">
        <f t="shared" si="175"/>
        <v>2.558517723597189</v>
      </c>
      <c r="AU148">
        <f t="shared" si="176"/>
        <v>77.446004825270606</v>
      </c>
      <c r="AV148">
        <f t="shared" si="176"/>
        <v>0</v>
      </c>
      <c r="AW148">
        <f t="shared" si="176"/>
        <v>0</v>
      </c>
      <c r="AX148">
        <f t="shared" si="176"/>
        <v>0</v>
      </c>
      <c r="AY148">
        <f t="shared" si="177"/>
        <v>77.446004825270606</v>
      </c>
    </row>
    <row r="149" spans="1:53" ht="15" x14ac:dyDescent="0.25">
      <c r="A149" s="1"/>
      <c r="B149" s="2"/>
      <c r="C149" s="1" t="s">
        <v>10</v>
      </c>
      <c r="D149">
        <v>0</v>
      </c>
      <c r="E149" s="360">
        <v>0</v>
      </c>
      <c r="F149">
        <v>0</v>
      </c>
      <c r="G149">
        <v>0</v>
      </c>
      <c r="H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 s="20"/>
      <c r="P149" s="20"/>
      <c r="Q149" s="438"/>
      <c r="R149" s="197">
        <v>5.6499999999999995E-2</v>
      </c>
      <c r="S149" s="197">
        <v>1.25</v>
      </c>
      <c r="T149" s="197">
        <v>0.50650413159351704</v>
      </c>
      <c r="U149" s="197">
        <v>0.77519673403474398</v>
      </c>
      <c r="V149" s="20">
        <f t="shared" si="167"/>
        <v>0</v>
      </c>
      <c r="W149" s="20">
        <f t="shared" si="167"/>
        <v>0</v>
      </c>
      <c r="X149" s="20">
        <f t="shared" si="167"/>
        <v>0</v>
      </c>
      <c r="Y149" s="20">
        <f t="shared" si="167"/>
        <v>0</v>
      </c>
      <c r="Z149" s="20">
        <f t="shared" si="168"/>
        <v>0</v>
      </c>
      <c r="AA149" s="20">
        <f t="shared" si="168"/>
        <v>0</v>
      </c>
      <c r="AB149" s="20">
        <f t="shared" si="168"/>
        <v>0</v>
      </c>
      <c r="AC149" s="20">
        <f t="shared" si="168"/>
        <v>0</v>
      </c>
      <c r="AD149" s="20">
        <f t="shared" si="169"/>
        <v>0</v>
      </c>
      <c r="AE149" s="20">
        <f t="shared" si="170"/>
        <v>0</v>
      </c>
      <c r="AF149" s="20">
        <f t="shared" si="171"/>
        <v>0</v>
      </c>
      <c r="AG149" s="20">
        <f t="shared" si="171"/>
        <v>0</v>
      </c>
      <c r="AH149" s="20">
        <f t="shared" si="171"/>
        <v>0</v>
      </c>
      <c r="AI149" s="20">
        <f t="shared" si="172"/>
        <v>0</v>
      </c>
      <c r="AJ149" s="20">
        <f t="shared" si="172"/>
        <v>0</v>
      </c>
      <c r="AK149" s="20">
        <f t="shared" si="172"/>
        <v>0</v>
      </c>
      <c r="AL149" s="20">
        <f t="shared" si="172"/>
        <v>0</v>
      </c>
      <c r="AM149" s="20">
        <f t="shared" si="173"/>
        <v>0</v>
      </c>
      <c r="AO149">
        <f t="shared" si="174"/>
        <v>0</v>
      </c>
      <c r="AP149">
        <f t="shared" si="174"/>
        <v>0</v>
      </c>
      <c r="AQ149">
        <f t="shared" si="174"/>
        <v>0</v>
      </c>
      <c r="AR149">
        <f t="shared" si="174"/>
        <v>0</v>
      </c>
      <c r="AS149">
        <f t="shared" si="175"/>
        <v>0</v>
      </c>
      <c r="AU149">
        <f t="shared" si="176"/>
        <v>0</v>
      </c>
      <c r="AV149">
        <f t="shared" si="176"/>
        <v>0</v>
      </c>
      <c r="AW149">
        <f t="shared" si="176"/>
        <v>0</v>
      </c>
      <c r="AX149">
        <f t="shared" si="176"/>
        <v>0</v>
      </c>
      <c r="AY149">
        <f t="shared" si="177"/>
        <v>0</v>
      </c>
    </row>
    <row r="150" spans="1:53" ht="15" x14ac:dyDescent="0.25">
      <c r="A150" s="1"/>
      <c r="B150" s="2"/>
      <c r="C150" s="1" t="s">
        <v>11</v>
      </c>
      <c r="D150">
        <v>0</v>
      </c>
      <c r="E150" s="360">
        <v>1293.5411999999999</v>
      </c>
      <c r="F150">
        <v>0</v>
      </c>
      <c r="G150">
        <v>0</v>
      </c>
      <c r="H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s="20"/>
      <c r="P150" s="20"/>
      <c r="Q150" s="438">
        <v>0.71549776387044639</v>
      </c>
      <c r="R150" s="197">
        <v>5.6499999999999995E-2</v>
      </c>
      <c r="S150" s="197">
        <v>1.25</v>
      </c>
      <c r="T150" s="197">
        <v>0.50650413159351704</v>
      </c>
      <c r="U150" s="197">
        <v>0.77519673403474398</v>
      </c>
      <c r="V150" s="20">
        <f t="shared" si="167"/>
        <v>522.92209738197596</v>
      </c>
      <c r="W150" s="20">
        <f t="shared" si="167"/>
        <v>0</v>
      </c>
      <c r="X150" s="20">
        <f t="shared" si="167"/>
        <v>0</v>
      </c>
      <c r="Y150" s="20">
        <f t="shared" si="167"/>
        <v>0</v>
      </c>
      <c r="Z150" s="20">
        <f t="shared" si="168"/>
        <v>311.95884559274066</v>
      </c>
      <c r="AA150" s="20">
        <f t="shared" si="168"/>
        <v>0</v>
      </c>
      <c r="AB150" s="20">
        <f t="shared" si="168"/>
        <v>0</v>
      </c>
      <c r="AC150" s="20">
        <f t="shared" si="168"/>
        <v>0</v>
      </c>
      <c r="AD150" s="20">
        <f t="shared" si="169"/>
        <v>311.95884559274066</v>
      </c>
      <c r="AE150" s="20">
        <f t="shared" si="170"/>
        <v>11569.072950928674</v>
      </c>
      <c r="AF150" s="20">
        <f t="shared" si="171"/>
        <v>0</v>
      </c>
      <c r="AG150" s="20">
        <f t="shared" si="171"/>
        <v>0</v>
      </c>
      <c r="AH150" s="20">
        <f t="shared" si="171"/>
        <v>0</v>
      </c>
      <c r="AI150" s="20">
        <f t="shared" si="172"/>
        <v>9442.9544256168556</v>
      </c>
      <c r="AJ150" s="20">
        <f t="shared" si="172"/>
        <v>0</v>
      </c>
      <c r="AK150" s="20">
        <f t="shared" si="172"/>
        <v>0</v>
      </c>
      <c r="AL150" s="20">
        <f t="shared" si="172"/>
        <v>0</v>
      </c>
      <c r="AM150" s="20">
        <f t="shared" si="173"/>
        <v>9442.9544256168556</v>
      </c>
      <c r="AO150">
        <f t="shared" si="174"/>
        <v>408.82206714928662</v>
      </c>
      <c r="AP150">
        <f t="shared" si="174"/>
        <v>0</v>
      </c>
      <c r="AQ150">
        <f t="shared" si="174"/>
        <v>0</v>
      </c>
      <c r="AR150">
        <f t="shared" si="174"/>
        <v>0</v>
      </c>
      <c r="AS150">
        <f t="shared" si="175"/>
        <v>408.82206714928662</v>
      </c>
      <c r="AU150">
        <f t="shared" si="176"/>
        <v>12374.99177477089</v>
      </c>
      <c r="AV150">
        <f t="shared" si="176"/>
        <v>0</v>
      </c>
      <c r="AW150">
        <f t="shared" si="176"/>
        <v>0</v>
      </c>
      <c r="AX150">
        <f t="shared" si="176"/>
        <v>0</v>
      </c>
      <c r="AY150">
        <f t="shared" si="177"/>
        <v>12374.99177477089</v>
      </c>
    </row>
    <row r="151" spans="1:53" ht="15" x14ac:dyDescent="0.25">
      <c r="A151" s="1"/>
      <c r="B151" s="2"/>
      <c r="C151" s="1" t="s">
        <v>12</v>
      </c>
      <c r="D151">
        <v>0</v>
      </c>
      <c r="E151" s="360">
        <v>0</v>
      </c>
      <c r="F151">
        <v>0</v>
      </c>
      <c r="G151">
        <v>0</v>
      </c>
      <c r="H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 s="20"/>
      <c r="P151" s="20"/>
      <c r="Q151" s="438"/>
      <c r="R151" s="197">
        <v>5.6499999999999995E-2</v>
      </c>
      <c r="S151" s="197">
        <v>1.25</v>
      </c>
      <c r="T151" s="197">
        <v>0.50650413159351704</v>
      </c>
      <c r="U151" s="197">
        <v>0.77519673403474398</v>
      </c>
      <c r="V151" s="20">
        <f t="shared" si="167"/>
        <v>0</v>
      </c>
      <c r="W151" s="20">
        <f t="shared" si="167"/>
        <v>0</v>
      </c>
      <c r="X151" s="20">
        <f t="shared" si="167"/>
        <v>0</v>
      </c>
      <c r="Y151" s="20">
        <f t="shared" si="167"/>
        <v>0</v>
      </c>
      <c r="Z151" s="20">
        <f t="shared" si="168"/>
        <v>0</v>
      </c>
      <c r="AA151" s="20">
        <f t="shared" si="168"/>
        <v>0</v>
      </c>
      <c r="AB151" s="20">
        <f t="shared" si="168"/>
        <v>0</v>
      </c>
      <c r="AC151" s="20">
        <f t="shared" si="168"/>
        <v>0</v>
      </c>
      <c r="AD151" s="20">
        <f t="shared" si="169"/>
        <v>0</v>
      </c>
      <c r="AE151" s="20">
        <f t="shared" si="170"/>
        <v>0</v>
      </c>
      <c r="AF151" s="20">
        <f t="shared" si="171"/>
        <v>0</v>
      </c>
      <c r="AG151" s="20">
        <f t="shared" si="171"/>
        <v>0</v>
      </c>
      <c r="AH151" s="20">
        <f t="shared" si="171"/>
        <v>0</v>
      </c>
      <c r="AI151" s="20">
        <f t="shared" si="172"/>
        <v>0</v>
      </c>
      <c r="AJ151" s="20">
        <f t="shared" si="172"/>
        <v>0</v>
      </c>
      <c r="AK151" s="20">
        <f t="shared" si="172"/>
        <v>0</v>
      </c>
      <c r="AL151" s="20">
        <f t="shared" si="172"/>
        <v>0</v>
      </c>
      <c r="AM151" s="20">
        <f t="shared" si="173"/>
        <v>0</v>
      </c>
      <c r="AO151">
        <f t="shared" si="174"/>
        <v>0</v>
      </c>
      <c r="AP151">
        <f t="shared" si="174"/>
        <v>0</v>
      </c>
      <c r="AQ151">
        <f t="shared" si="174"/>
        <v>0</v>
      </c>
      <c r="AR151">
        <f t="shared" si="174"/>
        <v>0</v>
      </c>
      <c r="AS151">
        <f t="shared" si="175"/>
        <v>0</v>
      </c>
      <c r="AU151">
        <f t="shared" si="176"/>
        <v>0</v>
      </c>
      <c r="AV151">
        <f t="shared" si="176"/>
        <v>0</v>
      </c>
      <c r="AW151">
        <f t="shared" si="176"/>
        <v>0</v>
      </c>
      <c r="AX151">
        <f t="shared" si="176"/>
        <v>0</v>
      </c>
      <c r="AY151">
        <f t="shared" si="177"/>
        <v>0</v>
      </c>
    </row>
    <row r="152" spans="1:53" ht="15" x14ac:dyDescent="0.25">
      <c r="A152" s="1"/>
      <c r="B152" s="2"/>
      <c r="C152" s="1" t="s">
        <v>13</v>
      </c>
      <c r="D152">
        <v>0</v>
      </c>
      <c r="E152" s="360">
        <v>25.831499999999998</v>
      </c>
      <c r="F152">
        <v>0</v>
      </c>
      <c r="G152">
        <v>0</v>
      </c>
      <c r="H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20"/>
      <c r="P152" s="20"/>
      <c r="Q152" s="438">
        <v>0.71549776387044639</v>
      </c>
      <c r="R152" s="197">
        <v>5.6499999999999995E-2</v>
      </c>
      <c r="S152" s="197">
        <v>1.25</v>
      </c>
      <c r="T152" s="197">
        <v>0.50650413159351704</v>
      </c>
      <c r="U152" s="197">
        <v>0.77519673403474398</v>
      </c>
      <c r="V152" s="20">
        <f t="shared" si="167"/>
        <v>10.442544975391979</v>
      </c>
      <c r="W152" s="20">
        <f t="shared" si="167"/>
        <v>0</v>
      </c>
      <c r="X152" s="20">
        <f t="shared" si="167"/>
        <v>0</v>
      </c>
      <c r="Y152" s="20">
        <f t="shared" si="167"/>
        <v>0</v>
      </c>
      <c r="Z152" s="20">
        <f t="shared" si="168"/>
        <v>6.2296932791385995</v>
      </c>
      <c r="AA152" s="20">
        <f t="shared" si="168"/>
        <v>0</v>
      </c>
      <c r="AB152" s="20">
        <f t="shared" si="168"/>
        <v>0</v>
      </c>
      <c r="AC152" s="20">
        <f t="shared" si="168"/>
        <v>0</v>
      </c>
      <c r="AD152" s="20">
        <f t="shared" si="169"/>
        <v>6.2296932791385995</v>
      </c>
      <c r="AE152" s="20">
        <f t="shared" si="170"/>
        <v>231.02975609274293</v>
      </c>
      <c r="AF152" s="20">
        <f t="shared" si="171"/>
        <v>0</v>
      </c>
      <c r="AG152" s="20">
        <f t="shared" si="171"/>
        <v>0</v>
      </c>
      <c r="AH152" s="20">
        <f t="shared" si="171"/>
        <v>0</v>
      </c>
      <c r="AI152" s="20">
        <f t="shared" si="172"/>
        <v>188.5720201608745</v>
      </c>
      <c r="AJ152" s="20">
        <f t="shared" si="172"/>
        <v>0</v>
      </c>
      <c r="AK152" s="20">
        <f t="shared" si="172"/>
        <v>0</v>
      </c>
      <c r="AL152" s="20">
        <f t="shared" si="172"/>
        <v>0</v>
      </c>
      <c r="AM152" s="20">
        <f t="shared" si="173"/>
        <v>188.5720201608745</v>
      </c>
      <c r="AO152">
        <f t="shared" si="174"/>
        <v>8.1640130423111348</v>
      </c>
      <c r="AP152">
        <f t="shared" si="174"/>
        <v>0</v>
      </c>
      <c r="AQ152">
        <f t="shared" si="174"/>
        <v>0</v>
      </c>
      <c r="AR152">
        <f t="shared" si="174"/>
        <v>0</v>
      </c>
      <c r="AS152">
        <f t="shared" si="175"/>
        <v>8.1640130423111348</v>
      </c>
      <c r="AU152">
        <f t="shared" si="176"/>
        <v>247.12363242082603</v>
      </c>
      <c r="AV152">
        <f t="shared" si="176"/>
        <v>0</v>
      </c>
      <c r="AW152">
        <f t="shared" si="176"/>
        <v>0</v>
      </c>
      <c r="AX152">
        <f t="shared" si="176"/>
        <v>0</v>
      </c>
      <c r="AY152">
        <f t="shared" si="177"/>
        <v>247.12363242082603</v>
      </c>
    </row>
    <row r="153" spans="1:53" ht="15" x14ac:dyDescent="0.25">
      <c r="A153" s="7"/>
      <c r="B153" s="8" t="s">
        <v>14</v>
      </c>
      <c r="C153" s="7"/>
      <c r="D153" s="357">
        <f t="shared" ref="D153:H153" si="178">SUM(D147:D152)</f>
        <v>0</v>
      </c>
      <c r="E153" s="363">
        <f>SUM(E147:E152)</f>
        <v>1397.269</v>
      </c>
      <c r="F153" s="357">
        <f t="shared" si="178"/>
        <v>0</v>
      </c>
      <c r="G153" s="357">
        <f t="shared" si="178"/>
        <v>0</v>
      </c>
      <c r="H153" s="357">
        <f t="shared" si="178"/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 s="20"/>
      <c r="P153" s="20"/>
      <c r="Q153" s="438">
        <v>0.7138648487032947</v>
      </c>
      <c r="R153" s="197"/>
      <c r="S153" s="197"/>
      <c r="T153" s="197"/>
      <c r="U153" s="197"/>
      <c r="BA153" s="319">
        <f>(E153*10000*Q153*AU$10)</f>
        <v>13071729.331121147</v>
      </c>
    </row>
    <row r="154" spans="1:53" ht="15" x14ac:dyDescent="0.25">
      <c r="A154" s="10"/>
      <c r="B154" s="9" t="s">
        <v>15</v>
      </c>
      <c r="C154" s="5"/>
      <c r="E154" s="363">
        <f>SUM(E153)</f>
        <v>1397.269</v>
      </c>
      <c r="H154" s="358">
        <f>SUM(D153:H153)</f>
        <v>1397.269</v>
      </c>
      <c r="K154" s="14"/>
      <c r="N154">
        <v>0</v>
      </c>
      <c r="O154" s="20"/>
      <c r="P154" s="20"/>
      <c r="Q154" s="438"/>
      <c r="R154" s="197"/>
      <c r="S154" s="197"/>
      <c r="T154" s="197"/>
      <c r="U154" s="197"/>
    </row>
    <row r="155" spans="1:53" ht="15.75" x14ac:dyDescent="0.25">
      <c r="A155" s="1"/>
      <c r="B155" s="2"/>
      <c r="C155" s="1"/>
      <c r="E155" s="361"/>
      <c r="K155" s="14"/>
      <c r="O155" s="20"/>
      <c r="P155" s="20"/>
      <c r="Q155" s="439"/>
      <c r="R155" s="197"/>
      <c r="S155" s="197"/>
      <c r="T155" s="197"/>
      <c r="U155" s="197"/>
    </row>
    <row r="156" spans="1:53" ht="15" x14ac:dyDescent="0.25">
      <c r="A156" s="1">
        <v>17</v>
      </c>
      <c r="B156" s="2" t="s">
        <v>31</v>
      </c>
      <c r="C156" s="1" t="s">
        <v>8</v>
      </c>
      <c r="D156">
        <v>0</v>
      </c>
      <c r="E156" s="360"/>
      <c r="F156">
        <v>0</v>
      </c>
      <c r="G156">
        <v>0</v>
      </c>
      <c r="H156">
        <v>0</v>
      </c>
      <c r="J156">
        <v>0</v>
      </c>
      <c r="K156" s="14">
        <v>0</v>
      </c>
      <c r="L156">
        <v>0</v>
      </c>
      <c r="M156">
        <v>0</v>
      </c>
      <c r="N156">
        <v>0</v>
      </c>
      <c r="O156" s="20"/>
      <c r="P156" s="20"/>
      <c r="Q156" s="438"/>
      <c r="R156" s="197"/>
      <c r="S156" s="197"/>
      <c r="T156" s="197"/>
      <c r="U156" s="197"/>
      <c r="V156" s="20">
        <f t="shared" ref="V156:Y161" si="179">IF(K156&gt;0,((E156-K156)*$Q156*$R156*10)+(K156*$O$12*$Q156*$R156*10),(E156*$Q156*$R156*10))</f>
        <v>0</v>
      </c>
      <c r="W156" s="20">
        <f t="shared" si="179"/>
        <v>0</v>
      </c>
      <c r="X156" s="20">
        <f t="shared" si="179"/>
        <v>0</v>
      </c>
      <c r="Y156" s="20">
        <f t="shared" si="179"/>
        <v>0</v>
      </c>
      <c r="Z156" s="20">
        <f t="shared" ref="Z156:AC161" si="180">V156*(EXP(1.01-0.34*LN(Z$8))*(1-$T156)+(1*$T156))</f>
        <v>0</v>
      </c>
      <c r="AA156" s="20">
        <f t="shared" si="180"/>
        <v>0</v>
      </c>
      <c r="AB156" s="20">
        <f t="shared" si="180"/>
        <v>0</v>
      </c>
      <c r="AC156" s="20">
        <f t="shared" si="180"/>
        <v>0</v>
      </c>
      <c r="AD156" s="20">
        <f t="shared" ref="AD156:AD161" si="181">SUM(Z156:AC156)</f>
        <v>0</v>
      </c>
      <c r="AE156" s="20">
        <f t="shared" ref="AE156:AH161" si="182">IF(K156&gt;0,((E156-K156)*$Q156*$S156*10)+(K156*$P$12*$Q156*$S156)*10,(E156*$Q156*$S156*10))</f>
        <v>0</v>
      </c>
      <c r="AF156" s="20">
        <f t="shared" si="182"/>
        <v>0</v>
      </c>
      <c r="AG156" s="20">
        <f t="shared" si="182"/>
        <v>0</v>
      </c>
      <c r="AH156" s="20">
        <f t="shared" si="182"/>
        <v>0</v>
      </c>
      <c r="AI156" s="20">
        <f t="shared" ref="AI156:AL161" si="183">AE156*(EXP(1.01-0.34*LN(AI$8))*(1-$U156)+(1*$U156))</f>
        <v>0</v>
      </c>
      <c r="AJ156" s="20">
        <f t="shared" si="183"/>
        <v>0</v>
      </c>
      <c r="AK156" s="20">
        <f t="shared" si="183"/>
        <v>0</v>
      </c>
      <c r="AL156" s="20">
        <f t="shared" si="183"/>
        <v>0</v>
      </c>
      <c r="AM156" s="20">
        <f t="shared" ref="AM156:AM161" si="184">SUM(AI156:AL156)</f>
        <v>0</v>
      </c>
      <c r="AO156">
        <f t="shared" ref="AO156:AR161" si="185">Z156*AO$10</f>
        <v>0</v>
      </c>
      <c r="AP156">
        <f t="shared" si="185"/>
        <v>0</v>
      </c>
      <c r="AQ156">
        <f t="shared" si="185"/>
        <v>0</v>
      </c>
      <c r="AR156">
        <f t="shared" si="185"/>
        <v>0</v>
      </c>
      <c r="AS156">
        <f t="shared" ref="AS156:AS161" si="186">SUM(AO156:AR156)</f>
        <v>0</v>
      </c>
      <c r="AU156">
        <f t="shared" ref="AU156:AX161" si="187">AI156*AU$10</f>
        <v>0</v>
      </c>
      <c r="AV156">
        <f t="shared" si="187"/>
        <v>0</v>
      </c>
      <c r="AW156">
        <f t="shared" si="187"/>
        <v>0</v>
      </c>
      <c r="AX156">
        <f t="shared" si="187"/>
        <v>0</v>
      </c>
      <c r="AY156">
        <f t="shared" ref="AY156:AY161" si="188">SUM(AU156:AX156)</f>
        <v>0</v>
      </c>
    </row>
    <row r="157" spans="1:53" ht="15" x14ac:dyDescent="0.25">
      <c r="A157" s="1"/>
      <c r="B157" s="2"/>
      <c r="C157" s="1" t="s">
        <v>9</v>
      </c>
      <c r="D157">
        <v>0</v>
      </c>
      <c r="E157" s="360"/>
      <c r="F157">
        <v>0</v>
      </c>
      <c r="G157">
        <v>0</v>
      </c>
      <c r="H157">
        <v>0</v>
      </c>
      <c r="J157">
        <v>0</v>
      </c>
      <c r="K157" s="14">
        <v>0</v>
      </c>
      <c r="L157">
        <v>0</v>
      </c>
      <c r="M157">
        <v>0</v>
      </c>
      <c r="N157">
        <v>0</v>
      </c>
      <c r="O157" s="20"/>
      <c r="P157" s="20"/>
      <c r="Q157" s="438"/>
      <c r="R157" s="197"/>
      <c r="S157" s="197"/>
      <c r="T157" s="197"/>
      <c r="U157" s="197"/>
      <c r="V157" s="20">
        <f t="shared" si="179"/>
        <v>0</v>
      </c>
      <c r="W157" s="20">
        <f t="shared" si="179"/>
        <v>0</v>
      </c>
      <c r="X157" s="20">
        <f t="shared" si="179"/>
        <v>0</v>
      </c>
      <c r="Y157" s="20">
        <f t="shared" si="179"/>
        <v>0</v>
      </c>
      <c r="Z157" s="20">
        <f t="shared" si="180"/>
        <v>0</v>
      </c>
      <c r="AA157" s="20">
        <f t="shared" si="180"/>
        <v>0</v>
      </c>
      <c r="AB157" s="20">
        <f t="shared" si="180"/>
        <v>0</v>
      </c>
      <c r="AC157" s="20">
        <f t="shared" si="180"/>
        <v>0</v>
      </c>
      <c r="AD157" s="20">
        <f t="shared" si="181"/>
        <v>0</v>
      </c>
      <c r="AE157" s="20">
        <f t="shared" si="182"/>
        <v>0</v>
      </c>
      <c r="AF157" s="20">
        <f t="shared" si="182"/>
        <v>0</v>
      </c>
      <c r="AG157" s="20">
        <f t="shared" si="182"/>
        <v>0</v>
      </c>
      <c r="AH157" s="20">
        <f t="shared" si="182"/>
        <v>0</v>
      </c>
      <c r="AI157" s="20">
        <f t="shared" si="183"/>
        <v>0</v>
      </c>
      <c r="AJ157" s="20">
        <f t="shared" si="183"/>
        <v>0</v>
      </c>
      <c r="AK157" s="20">
        <f t="shared" si="183"/>
        <v>0</v>
      </c>
      <c r="AL157" s="20">
        <f t="shared" si="183"/>
        <v>0</v>
      </c>
      <c r="AM157" s="20">
        <f t="shared" si="184"/>
        <v>0</v>
      </c>
      <c r="AO157">
        <f t="shared" si="185"/>
        <v>0</v>
      </c>
      <c r="AP157">
        <f t="shared" si="185"/>
        <v>0</v>
      </c>
      <c r="AQ157">
        <f t="shared" si="185"/>
        <v>0</v>
      </c>
      <c r="AR157">
        <f t="shared" si="185"/>
        <v>0</v>
      </c>
      <c r="AS157">
        <f t="shared" si="186"/>
        <v>0</v>
      </c>
      <c r="AU157">
        <f t="shared" si="187"/>
        <v>0</v>
      </c>
      <c r="AV157">
        <f t="shared" si="187"/>
        <v>0</v>
      </c>
      <c r="AW157">
        <f t="shared" si="187"/>
        <v>0</v>
      </c>
      <c r="AX157">
        <f t="shared" si="187"/>
        <v>0</v>
      </c>
      <c r="AY157">
        <f t="shared" si="188"/>
        <v>0</v>
      </c>
    </row>
    <row r="158" spans="1:53" ht="15" x14ac:dyDescent="0.25">
      <c r="A158" s="1"/>
      <c r="B158" s="2"/>
      <c r="C158" s="1" t="s">
        <v>10</v>
      </c>
      <c r="D158">
        <v>0</v>
      </c>
      <c r="E158" s="360"/>
      <c r="F158">
        <v>0</v>
      </c>
      <c r="G158">
        <v>0</v>
      </c>
      <c r="H158">
        <v>0</v>
      </c>
      <c r="J158">
        <v>0</v>
      </c>
      <c r="K158" s="14">
        <v>0</v>
      </c>
      <c r="L158">
        <v>0</v>
      </c>
      <c r="M158">
        <v>0</v>
      </c>
      <c r="N158">
        <v>0</v>
      </c>
      <c r="O158" s="20"/>
      <c r="P158" s="20"/>
      <c r="Q158" s="438"/>
      <c r="R158" s="197"/>
      <c r="S158" s="197"/>
      <c r="T158" s="197"/>
      <c r="U158" s="197"/>
      <c r="V158" s="20">
        <f t="shared" si="179"/>
        <v>0</v>
      </c>
      <c r="W158" s="20">
        <f t="shared" si="179"/>
        <v>0</v>
      </c>
      <c r="X158" s="20">
        <f t="shared" si="179"/>
        <v>0</v>
      </c>
      <c r="Y158" s="20">
        <f t="shared" si="179"/>
        <v>0</v>
      </c>
      <c r="Z158" s="20">
        <f t="shared" si="180"/>
        <v>0</v>
      </c>
      <c r="AA158" s="20">
        <f t="shared" si="180"/>
        <v>0</v>
      </c>
      <c r="AB158" s="20">
        <f t="shared" si="180"/>
        <v>0</v>
      </c>
      <c r="AC158" s="20">
        <f t="shared" si="180"/>
        <v>0</v>
      </c>
      <c r="AD158" s="20">
        <f t="shared" si="181"/>
        <v>0</v>
      </c>
      <c r="AE158" s="20">
        <f t="shared" si="182"/>
        <v>0</v>
      </c>
      <c r="AF158" s="20">
        <f t="shared" si="182"/>
        <v>0</v>
      </c>
      <c r="AG158" s="20">
        <f t="shared" si="182"/>
        <v>0</v>
      </c>
      <c r="AH158" s="20">
        <f t="shared" si="182"/>
        <v>0</v>
      </c>
      <c r="AI158" s="20">
        <f t="shared" si="183"/>
        <v>0</v>
      </c>
      <c r="AJ158" s="20">
        <f t="shared" si="183"/>
        <v>0</v>
      </c>
      <c r="AK158" s="20">
        <f t="shared" si="183"/>
        <v>0</v>
      </c>
      <c r="AL158" s="20">
        <f t="shared" si="183"/>
        <v>0</v>
      </c>
      <c r="AM158" s="20">
        <f t="shared" si="184"/>
        <v>0</v>
      </c>
      <c r="AO158">
        <f t="shared" si="185"/>
        <v>0</v>
      </c>
      <c r="AP158">
        <f t="shared" si="185"/>
        <v>0</v>
      </c>
      <c r="AQ158">
        <f t="shared" si="185"/>
        <v>0</v>
      </c>
      <c r="AR158">
        <f t="shared" si="185"/>
        <v>0</v>
      </c>
      <c r="AS158">
        <f t="shared" si="186"/>
        <v>0</v>
      </c>
      <c r="AU158">
        <f t="shared" si="187"/>
        <v>0</v>
      </c>
      <c r="AV158">
        <f t="shared" si="187"/>
        <v>0</v>
      </c>
      <c r="AW158">
        <f t="shared" si="187"/>
        <v>0</v>
      </c>
      <c r="AX158">
        <f t="shared" si="187"/>
        <v>0</v>
      </c>
      <c r="AY158">
        <f t="shared" si="188"/>
        <v>0</v>
      </c>
    </row>
    <row r="159" spans="1:53" ht="15" x14ac:dyDescent="0.25">
      <c r="A159" s="1"/>
      <c r="B159" s="2"/>
      <c r="C159" s="1" t="s">
        <v>11</v>
      </c>
      <c r="D159">
        <v>0</v>
      </c>
      <c r="E159" s="360"/>
      <c r="F159">
        <v>0</v>
      </c>
      <c r="G159">
        <v>0</v>
      </c>
      <c r="H159">
        <v>0</v>
      </c>
      <c r="J159">
        <v>0</v>
      </c>
      <c r="K159" s="14">
        <v>0</v>
      </c>
      <c r="L159">
        <v>0</v>
      </c>
      <c r="M159">
        <v>0</v>
      </c>
      <c r="N159">
        <v>0</v>
      </c>
      <c r="O159" s="20"/>
      <c r="P159" s="20"/>
      <c r="Q159" s="438"/>
      <c r="R159" s="197"/>
      <c r="S159" s="197"/>
      <c r="T159" s="197"/>
      <c r="U159" s="197"/>
      <c r="V159" s="20">
        <f t="shared" si="179"/>
        <v>0</v>
      </c>
      <c r="W159" s="20">
        <f t="shared" si="179"/>
        <v>0</v>
      </c>
      <c r="X159" s="20">
        <f t="shared" si="179"/>
        <v>0</v>
      </c>
      <c r="Y159" s="20">
        <f t="shared" si="179"/>
        <v>0</v>
      </c>
      <c r="Z159" s="20">
        <f t="shared" si="180"/>
        <v>0</v>
      </c>
      <c r="AA159" s="20">
        <f t="shared" si="180"/>
        <v>0</v>
      </c>
      <c r="AB159" s="20">
        <f t="shared" si="180"/>
        <v>0</v>
      </c>
      <c r="AC159" s="20">
        <f t="shared" si="180"/>
        <v>0</v>
      </c>
      <c r="AD159" s="20">
        <f t="shared" si="181"/>
        <v>0</v>
      </c>
      <c r="AE159" s="20">
        <f t="shared" si="182"/>
        <v>0</v>
      </c>
      <c r="AF159" s="20">
        <f t="shared" si="182"/>
        <v>0</v>
      </c>
      <c r="AG159" s="20">
        <f t="shared" si="182"/>
        <v>0</v>
      </c>
      <c r="AH159" s="20">
        <f t="shared" si="182"/>
        <v>0</v>
      </c>
      <c r="AI159" s="20">
        <f t="shared" si="183"/>
        <v>0</v>
      </c>
      <c r="AJ159" s="20">
        <f t="shared" si="183"/>
        <v>0</v>
      </c>
      <c r="AK159" s="20">
        <f t="shared" si="183"/>
        <v>0</v>
      </c>
      <c r="AL159" s="20">
        <f t="shared" si="183"/>
        <v>0</v>
      </c>
      <c r="AM159" s="20">
        <f t="shared" si="184"/>
        <v>0</v>
      </c>
      <c r="AO159">
        <f t="shared" si="185"/>
        <v>0</v>
      </c>
      <c r="AP159">
        <f t="shared" si="185"/>
        <v>0</v>
      </c>
      <c r="AQ159">
        <f t="shared" si="185"/>
        <v>0</v>
      </c>
      <c r="AR159">
        <f t="shared" si="185"/>
        <v>0</v>
      </c>
      <c r="AS159">
        <f t="shared" si="186"/>
        <v>0</v>
      </c>
      <c r="AU159">
        <f t="shared" si="187"/>
        <v>0</v>
      </c>
      <c r="AV159">
        <f t="shared" si="187"/>
        <v>0</v>
      </c>
      <c r="AW159">
        <f t="shared" si="187"/>
        <v>0</v>
      </c>
      <c r="AX159">
        <f t="shared" si="187"/>
        <v>0</v>
      </c>
      <c r="AY159">
        <f t="shared" si="188"/>
        <v>0</v>
      </c>
    </row>
    <row r="160" spans="1:53" ht="15" x14ac:dyDescent="0.25">
      <c r="A160" s="1"/>
      <c r="B160" s="2"/>
      <c r="C160" s="1" t="s">
        <v>12</v>
      </c>
      <c r="D160">
        <v>0</v>
      </c>
      <c r="E160" s="360"/>
      <c r="F160">
        <v>0</v>
      </c>
      <c r="G160">
        <v>0</v>
      </c>
      <c r="H160">
        <v>0</v>
      </c>
      <c r="J160">
        <v>0</v>
      </c>
      <c r="K160" s="14">
        <v>0</v>
      </c>
      <c r="L160">
        <v>0</v>
      </c>
      <c r="M160">
        <v>0</v>
      </c>
      <c r="N160">
        <v>0</v>
      </c>
      <c r="O160" s="20"/>
      <c r="P160" s="20"/>
      <c r="Q160" s="438"/>
      <c r="R160" s="197"/>
      <c r="S160" s="197"/>
      <c r="T160" s="197"/>
      <c r="U160" s="197"/>
      <c r="V160" s="20">
        <f t="shared" si="179"/>
        <v>0</v>
      </c>
      <c r="W160" s="20">
        <f t="shared" si="179"/>
        <v>0</v>
      </c>
      <c r="X160" s="20">
        <f t="shared" si="179"/>
        <v>0</v>
      </c>
      <c r="Y160" s="20">
        <f t="shared" si="179"/>
        <v>0</v>
      </c>
      <c r="Z160" s="20">
        <f t="shared" si="180"/>
        <v>0</v>
      </c>
      <c r="AA160" s="20">
        <f t="shared" si="180"/>
        <v>0</v>
      </c>
      <c r="AB160" s="20">
        <f t="shared" si="180"/>
        <v>0</v>
      </c>
      <c r="AC160" s="20">
        <f t="shared" si="180"/>
        <v>0</v>
      </c>
      <c r="AD160" s="20">
        <f t="shared" si="181"/>
        <v>0</v>
      </c>
      <c r="AE160" s="20">
        <f t="shared" si="182"/>
        <v>0</v>
      </c>
      <c r="AF160" s="20">
        <f t="shared" si="182"/>
        <v>0</v>
      </c>
      <c r="AG160" s="20">
        <f t="shared" si="182"/>
        <v>0</v>
      </c>
      <c r="AH160" s="20">
        <f t="shared" si="182"/>
        <v>0</v>
      </c>
      <c r="AI160" s="20">
        <f t="shared" si="183"/>
        <v>0</v>
      </c>
      <c r="AJ160" s="20">
        <f t="shared" si="183"/>
        <v>0</v>
      </c>
      <c r="AK160" s="20">
        <f t="shared" si="183"/>
        <v>0</v>
      </c>
      <c r="AL160" s="20">
        <f t="shared" si="183"/>
        <v>0</v>
      </c>
      <c r="AM160" s="20">
        <f t="shared" si="184"/>
        <v>0</v>
      </c>
      <c r="AO160">
        <f t="shared" si="185"/>
        <v>0</v>
      </c>
      <c r="AP160">
        <f t="shared" si="185"/>
        <v>0</v>
      </c>
      <c r="AQ160">
        <f t="shared" si="185"/>
        <v>0</v>
      </c>
      <c r="AR160">
        <f t="shared" si="185"/>
        <v>0</v>
      </c>
      <c r="AS160">
        <f t="shared" si="186"/>
        <v>0</v>
      </c>
      <c r="AU160">
        <f t="shared" si="187"/>
        <v>0</v>
      </c>
      <c r="AV160">
        <f t="shared" si="187"/>
        <v>0</v>
      </c>
      <c r="AW160">
        <f t="shared" si="187"/>
        <v>0</v>
      </c>
      <c r="AX160">
        <f t="shared" si="187"/>
        <v>0</v>
      </c>
      <c r="AY160">
        <f t="shared" si="188"/>
        <v>0</v>
      </c>
    </row>
    <row r="161" spans="1:53" ht="15" x14ac:dyDescent="0.25">
      <c r="A161" s="1"/>
      <c r="B161" s="2"/>
      <c r="C161" s="1" t="s">
        <v>13</v>
      </c>
      <c r="D161">
        <v>0</v>
      </c>
      <c r="E161" s="360"/>
      <c r="F161">
        <v>0</v>
      </c>
      <c r="G161">
        <v>0</v>
      </c>
      <c r="H161">
        <v>0</v>
      </c>
      <c r="J161">
        <v>0</v>
      </c>
      <c r="K161" s="14">
        <v>0</v>
      </c>
      <c r="L161">
        <v>0</v>
      </c>
      <c r="M161">
        <v>0</v>
      </c>
      <c r="N161">
        <v>0</v>
      </c>
      <c r="O161" s="20"/>
      <c r="P161" s="20"/>
      <c r="Q161" s="438"/>
      <c r="R161" s="197"/>
      <c r="S161" s="197"/>
      <c r="T161" s="197"/>
      <c r="U161" s="197"/>
      <c r="V161" s="20">
        <f t="shared" si="179"/>
        <v>0</v>
      </c>
      <c r="W161" s="20">
        <f t="shared" si="179"/>
        <v>0</v>
      </c>
      <c r="X161" s="20">
        <f t="shared" si="179"/>
        <v>0</v>
      </c>
      <c r="Y161" s="20">
        <f t="shared" si="179"/>
        <v>0</v>
      </c>
      <c r="Z161" s="20">
        <f t="shared" si="180"/>
        <v>0</v>
      </c>
      <c r="AA161" s="20">
        <f t="shared" si="180"/>
        <v>0</v>
      </c>
      <c r="AB161" s="20">
        <f t="shared" si="180"/>
        <v>0</v>
      </c>
      <c r="AC161" s="20">
        <f t="shared" si="180"/>
        <v>0</v>
      </c>
      <c r="AD161" s="20">
        <f t="shared" si="181"/>
        <v>0</v>
      </c>
      <c r="AE161" s="20">
        <f t="shared" si="182"/>
        <v>0</v>
      </c>
      <c r="AF161" s="20">
        <f t="shared" si="182"/>
        <v>0</v>
      </c>
      <c r="AG161" s="20">
        <f t="shared" si="182"/>
        <v>0</v>
      </c>
      <c r="AH161" s="20">
        <f t="shared" si="182"/>
        <v>0</v>
      </c>
      <c r="AI161" s="20">
        <f t="shared" si="183"/>
        <v>0</v>
      </c>
      <c r="AJ161" s="20">
        <f t="shared" si="183"/>
        <v>0</v>
      </c>
      <c r="AK161" s="20">
        <f t="shared" si="183"/>
        <v>0</v>
      </c>
      <c r="AL161" s="20">
        <f t="shared" si="183"/>
        <v>0</v>
      </c>
      <c r="AM161" s="20">
        <f t="shared" si="184"/>
        <v>0</v>
      </c>
      <c r="AO161">
        <f t="shared" si="185"/>
        <v>0</v>
      </c>
      <c r="AP161">
        <f t="shared" si="185"/>
        <v>0</v>
      </c>
      <c r="AQ161">
        <f t="shared" si="185"/>
        <v>0</v>
      </c>
      <c r="AR161">
        <f t="shared" si="185"/>
        <v>0</v>
      </c>
      <c r="AS161">
        <f t="shared" si="186"/>
        <v>0</v>
      </c>
      <c r="AU161">
        <f t="shared" si="187"/>
        <v>0</v>
      </c>
      <c r="AV161">
        <f t="shared" si="187"/>
        <v>0</v>
      </c>
      <c r="AW161">
        <f t="shared" si="187"/>
        <v>0</v>
      </c>
      <c r="AX161">
        <f t="shared" si="187"/>
        <v>0</v>
      </c>
      <c r="AY161">
        <f t="shared" si="188"/>
        <v>0</v>
      </c>
    </row>
    <row r="162" spans="1:53" ht="15" x14ac:dyDescent="0.25">
      <c r="A162" s="7"/>
      <c r="B162" s="8" t="s">
        <v>14</v>
      </c>
      <c r="C162" s="7"/>
      <c r="D162" s="357">
        <f t="shared" ref="D162:H162" si="189">SUM(D156:D161)</f>
        <v>0</v>
      </c>
      <c r="E162" s="363">
        <f>SUM(E156:E161)</f>
        <v>0</v>
      </c>
      <c r="F162" s="357">
        <f t="shared" si="189"/>
        <v>0</v>
      </c>
      <c r="G162" s="357">
        <f t="shared" si="189"/>
        <v>0</v>
      </c>
      <c r="H162" s="357">
        <f t="shared" si="189"/>
        <v>0</v>
      </c>
      <c r="J162">
        <v>0</v>
      </c>
      <c r="K162" s="14">
        <v>0</v>
      </c>
      <c r="L162">
        <v>0</v>
      </c>
      <c r="M162">
        <v>0</v>
      </c>
      <c r="N162">
        <v>0</v>
      </c>
      <c r="O162" s="20"/>
      <c r="P162" s="20"/>
      <c r="Q162" s="438"/>
      <c r="R162" s="197"/>
      <c r="S162" s="197"/>
      <c r="T162" s="197"/>
      <c r="U162" s="197"/>
      <c r="BA162" s="319">
        <f>(E162*10000*Q162*AU$10)</f>
        <v>0</v>
      </c>
    </row>
    <row r="163" spans="1:53" ht="15" x14ac:dyDescent="0.25">
      <c r="A163" s="10"/>
      <c r="B163" s="9" t="s">
        <v>15</v>
      </c>
      <c r="C163" s="5"/>
      <c r="E163" s="363">
        <f>SUM(E162)</f>
        <v>0</v>
      </c>
      <c r="H163" s="358">
        <f>SUM(D162:H162)</f>
        <v>0</v>
      </c>
      <c r="K163" s="14"/>
      <c r="N163">
        <v>0</v>
      </c>
      <c r="O163" s="20"/>
      <c r="P163" s="20"/>
      <c r="Q163" s="438"/>
      <c r="R163" s="197"/>
      <c r="S163" s="197"/>
      <c r="T163" s="197"/>
      <c r="U163" s="197"/>
    </row>
    <row r="164" spans="1:53" ht="15.75" x14ac:dyDescent="0.25">
      <c r="A164" s="1"/>
      <c r="B164" s="2"/>
      <c r="C164" s="1"/>
      <c r="E164" s="361"/>
      <c r="K164" s="14"/>
      <c r="O164" s="20"/>
      <c r="P164" s="20"/>
      <c r="Q164" s="439"/>
      <c r="R164" s="197"/>
      <c r="S164" s="197"/>
      <c r="T164" s="197"/>
      <c r="U164" s="197"/>
    </row>
    <row r="165" spans="1:53" ht="15" x14ac:dyDescent="0.25">
      <c r="A165" s="1">
        <v>18</v>
      </c>
      <c r="B165" s="2" t="s">
        <v>709</v>
      </c>
      <c r="C165" s="1" t="s">
        <v>8</v>
      </c>
      <c r="D165">
        <v>0</v>
      </c>
      <c r="E165" s="360"/>
      <c r="F165">
        <v>0</v>
      </c>
      <c r="G165">
        <v>0</v>
      </c>
      <c r="H165">
        <v>0</v>
      </c>
      <c r="J165">
        <v>0</v>
      </c>
      <c r="K165" s="14">
        <v>0</v>
      </c>
      <c r="L165">
        <v>0</v>
      </c>
      <c r="M165">
        <v>0</v>
      </c>
      <c r="N165">
        <v>0</v>
      </c>
      <c r="O165" s="20"/>
      <c r="P165" s="20"/>
      <c r="Q165" s="438"/>
      <c r="R165" s="197">
        <v>0.66599999999999993</v>
      </c>
      <c r="S165" s="197">
        <v>4.5549999999999997</v>
      </c>
      <c r="T165" s="197">
        <v>0.60039794540960334</v>
      </c>
      <c r="U165" s="197">
        <v>0.90789473684210531</v>
      </c>
      <c r="V165" s="20">
        <f t="shared" ref="V165:Y170" si="190">IF(K165&gt;0,((E165-K165)*$Q165*$R165*10)+(K165*$O$12*$Q165*$R165*10),(E165*$Q165*$R165*10))</f>
        <v>0</v>
      </c>
      <c r="W165" s="20">
        <f t="shared" si="190"/>
        <v>0</v>
      </c>
      <c r="X165" s="20">
        <f t="shared" si="190"/>
        <v>0</v>
      </c>
      <c r="Y165" s="20">
        <f t="shared" si="190"/>
        <v>0</v>
      </c>
      <c r="Z165" s="20">
        <f t="shared" ref="Z165:AC170" si="191">V165*(EXP(1.01-0.34*LN(Z$8))*(1-$T165)+(1*$T165))</f>
        <v>0</v>
      </c>
      <c r="AA165" s="20">
        <f t="shared" si="191"/>
        <v>0</v>
      </c>
      <c r="AB165" s="20">
        <f t="shared" si="191"/>
        <v>0</v>
      </c>
      <c r="AC165" s="20">
        <f t="shared" si="191"/>
        <v>0</v>
      </c>
      <c r="AD165" s="20">
        <f t="shared" ref="AD165:AD170" si="192">SUM(Z165:AC165)</f>
        <v>0</v>
      </c>
      <c r="AE165" s="20">
        <f t="shared" ref="AE165:AH170" si="193">IF(K165&gt;0,((E165-K165)*$Q165*$S165*10)+(K165*$P$12*$Q165*$S165)*10,(E165*$Q165*$S165*10))</f>
        <v>0</v>
      </c>
      <c r="AF165" s="20">
        <f t="shared" si="193"/>
        <v>0</v>
      </c>
      <c r="AG165" s="20">
        <f t="shared" si="193"/>
        <v>0</v>
      </c>
      <c r="AH165" s="20">
        <f t="shared" si="193"/>
        <v>0</v>
      </c>
      <c r="AI165" s="20">
        <f t="shared" ref="AI165:AL170" si="194">AE165*(EXP(1.01-0.34*LN(AI$8))*(1-$U165)+(1*$U165))</f>
        <v>0</v>
      </c>
      <c r="AJ165" s="20">
        <f t="shared" si="194"/>
        <v>0</v>
      </c>
      <c r="AK165" s="20">
        <f t="shared" si="194"/>
        <v>0</v>
      </c>
      <c r="AL165" s="20">
        <f t="shared" si="194"/>
        <v>0</v>
      </c>
      <c r="AM165" s="20">
        <f t="shared" ref="AM165:AM170" si="195">SUM(AI165:AL165)</f>
        <v>0</v>
      </c>
      <c r="AO165">
        <f t="shared" ref="AO165:AR170" si="196">Z165*AO$10</f>
        <v>0</v>
      </c>
      <c r="AP165">
        <f t="shared" si="196"/>
        <v>0</v>
      </c>
      <c r="AQ165">
        <f t="shared" si="196"/>
        <v>0</v>
      </c>
      <c r="AR165">
        <f t="shared" si="196"/>
        <v>0</v>
      </c>
      <c r="AS165">
        <f t="shared" ref="AS165:AS170" si="197">SUM(AO165:AR165)</f>
        <v>0</v>
      </c>
      <c r="AU165">
        <f t="shared" ref="AU165:AX170" si="198">AI165*AU$10</f>
        <v>0</v>
      </c>
      <c r="AV165">
        <f t="shared" si="198"/>
        <v>0</v>
      </c>
      <c r="AW165">
        <f t="shared" si="198"/>
        <v>0</v>
      </c>
      <c r="AX165">
        <f t="shared" si="198"/>
        <v>0</v>
      </c>
      <c r="AY165">
        <f t="shared" ref="AY165:AY170" si="199">SUM(AU165:AX165)</f>
        <v>0</v>
      </c>
    </row>
    <row r="166" spans="1:53" ht="15" x14ac:dyDescent="0.25">
      <c r="A166" s="1"/>
      <c r="B166" s="2"/>
      <c r="C166" s="1" t="s">
        <v>9</v>
      </c>
      <c r="D166">
        <v>0</v>
      </c>
      <c r="E166" s="360"/>
      <c r="F166">
        <v>0</v>
      </c>
      <c r="G166">
        <v>0</v>
      </c>
      <c r="H166">
        <v>0</v>
      </c>
      <c r="J166">
        <v>0</v>
      </c>
      <c r="K166" s="14">
        <v>0</v>
      </c>
      <c r="L166">
        <v>0</v>
      </c>
      <c r="M166">
        <v>0</v>
      </c>
      <c r="N166">
        <v>0</v>
      </c>
      <c r="O166" s="20"/>
      <c r="P166" s="20"/>
      <c r="Q166" s="438"/>
      <c r="R166" s="197">
        <v>0.66599999999999993</v>
      </c>
      <c r="S166" s="197">
        <v>4.5549999999999997</v>
      </c>
      <c r="T166" s="197">
        <v>0.60039794540960334</v>
      </c>
      <c r="U166" s="197">
        <v>0.90789473684210531</v>
      </c>
      <c r="V166" s="20">
        <f t="shared" si="190"/>
        <v>0</v>
      </c>
      <c r="W166" s="20">
        <f t="shared" si="190"/>
        <v>0</v>
      </c>
      <c r="X166" s="20">
        <f t="shared" si="190"/>
        <v>0</v>
      </c>
      <c r="Y166" s="20">
        <f t="shared" si="190"/>
        <v>0</v>
      </c>
      <c r="Z166" s="20">
        <f t="shared" si="191"/>
        <v>0</v>
      </c>
      <c r="AA166" s="20">
        <f t="shared" si="191"/>
        <v>0</v>
      </c>
      <c r="AB166" s="20">
        <f t="shared" si="191"/>
        <v>0</v>
      </c>
      <c r="AC166" s="20">
        <f t="shared" si="191"/>
        <v>0</v>
      </c>
      <c r="AD166" s="20">
        <f t="shared" si="192"/>
        <v>0</v>
      </c>
      <c r="AE166" s="20">
        <f t="shared" si="193"/>
        <v>0</v>
      </c>
      <c r="AF166" s="20">
        <f t="shared" si="193"/>
        <v>0</v>
      </c>
      <c r="AG166" s="20">
        <f t="shared" si="193"/>
        <v>0</v>
      </c>
      <c r="AH166" s="20">
        <f t="shared" si="193"/>
        <v>0</v>
      </c>
      <c r="AI166" s="20">
        <f t="shared" si="194"/>
        <v>0</v>
      </c>
      <c r="AJ166" s="20">
        <f t="shared" si="194"/>
        <v>0</v>
      </c>
      <c r="AK166" s="20">
        <f t="shared" si="194"/>
        <v>0</v>
      </c>
      <c r="AL166" s="20">
        <f t="shared" si="194"/>
        <v>0</v>
      </c>
      <c r="AM166" s="20">
        <f t="shared" si="195"/>
        <v>0</v>
      </c>
      <c r="AO166">
        <f t="shared" si="196"/>
        <v>0</v>
      </c>
      <c r="AP166">
        <f t="shared" si="196"/>
        <v>0</v>
      </c>
      <c r="AQ166">
        <f t="shared" si="196"/>
        <v>0</v>
      </c>
      <c r="AR166">
        <f t="shared" si="196"/>
        <v>0</v>
      </c>
      <c r="AS166">
        <f t="shared" si="197"/>
        <v>0</v>
      </c>
      <c r="AU166">
        <f t="shared" si="198"/>
        <v>0</v>
      </c>
      <c r="AV166">
        <f t="shared" si="198"/>
        <v>0</v>
      </c>
      <c r="AW166">
        <f t="shared" si="198"/>
        <v>0</v>
      </c>
      <c r="AX166">
        <f t="shared" si="198"/>
        <v>0</v>
      </c>
      <c r="AY166">
        <f t="shared" si="199"/>
        <v>0</v>
      </c>
    </row>
    <row r="167" spans="1:53" ht="15" x14ac:dyDescent="0.25">
      <c r="A167" s="1"/>
      <c r="B167" s="2"/>
      <c r="C167" s="1" t="s">
        <v>10</v>
      </c>
      <c r="D167">
        <v>0</v>
      </c>
      <c r="E167" s="360"/>
      <c r="F167">
        <v>0</v>
      </c>
      <c r="G167">
        <v>0</v>
      </c>
      <c r="H167">
        <v>0</v>
      </c>
      <c r="J167">
        <v>0</v>
      </c>
      <c r="K167" s="14">
        <v>0</v>
      </c>
      <c r="L167">
        <v>0</v>
      </c>
      <c r="M167">
        <v>0</v>
      </c>
      <c r="N167">
        <v>0</v>
      </c>
      <c r="O167" s="20"/>
      <c r="P167" s="20"/>
      <c r="Q167" s="438"/>
      <c r="R167" s="197">
        <v>0.66599999999999993</v>
      </c>
      <c r="S167" s="197">
        <v>4.5549999999999997</v>
      </c>
      <c r="T167" s="197">
        <v>0.60039794540960334</v>
      </c>
      <c r="U167" s="197">
        <v>0.90789473684210531</v>
      </c>
      <c r="V167" s="20">
        <f t="shared" si="190"/>
        <v>0</v>
      </c>
      <c r="W167" s="20">
        <f t="shared" si="190"/>
        <v>0</v>
      </c>
      <c r="X167" s="20">
        <f t="shared" si="190"/>
        <v>0</v>
      </c>
      <c r="Y167" s="20">
        <f t="shared" si="190"/>
        <v>0</v>
      </c>
      <c r="Z167" s="20">
        <f t="shared" si="191"/>
        <v>0</v>
      </c>
      <c r="AA167" s="20">
        <f t="shared" si="191"/>
        <v>0</v>
      </c>
      <c r="AB167" s="20">
        <f t="shared" si="191"/>
        <v>0</v>
      </c>
      <c r="AC167" s="20">
        <f t="shared" si="191"/>
        <v>0</v>
      </c>
      <c r="AD167" s="20">
        <f t="shared" si="192"/>
        <v>0</v>
      </c>
      <c r="AE167" s="20">
        <f t="shared" si="193"/>
        <v>0</v>
      </c>
      <c r="AF167" s="20">
        <f t="shared" si="193"/>
        <v>0</v>
      </c>
      <c r="AG167" s="20">
        <f t="shared" si="193"/>
        <v>0</v>
      </c>
      <c r="AH167" s="20">
        <f t="shared" si="193"/>
        <v>0</v>
      </c>
      <c r="AI167" s="20">
        <f t="shared" si="194"/>
        <v>0</v>
      </c>
      <c r="AJ167" s="20">
        <f t="shared" si="194"/>
        <v>0</v>
      </c>
      <c r="AK167" s="20">
        <f t="shared" si="194"/>
        <v>0</v>
      </c>
      <c r="AL167" s="20">
        <f t="shared" si="194"/>
        <v>0</v>
      </c>
      <c r="AM167" s="20">
        <f t="shared" si="195"/>
        <v>0</v>
      </c>
      <c r="AO167">
        <f t="shared" si="196"/>
        <v>0</v>
      </c>
      <c r="AP167">
        <f t="shared" si="196"/>
        <v>0</v>
      </c>
      <c r="AQ167">
        <f t="shared" si="196"/>
        <v>0</v>
      </c>
      <c r="AR167">
        <f t="shared" si="196"/>
        <v>0</v>
      </c>
      <c r="AS167">
        <f t="shared" si="197"/>
        <v>0</v>
      </c>
      <c r="AU167">
        <f t="shared" si="198"/>
        <v>0</v>
      </c>
      <c r="AV167">
        <f t="shared" si="198"/>
        <v>0</v>
      </c>
      <c r="AW167">
        <f t="shared" si="198"/>
        <v>0</v>
      </c>
      <c r="AX167">
        <f t="shared" si="198"/>
        <v>0</v>
      </c>
      <c r="AY167">
        <f t="shared" si="199"/>
        <v>0</v>
      </c>
    </row>
    <row r="168" spans="1:53" ht="15" x14ac:dyDescent="0.25">
      <c r="A168" s="1"/>
      <c r="B168" s="2"/>
      <c r="C168" s="1" t="s">
        <v>11</v>
      </c>
      <c r="D168">
        <v>0</v>
      </c>
      <c r="E168" s="360">
        <v>137.87690000000001</v>
      </c>
      <c r="F168">
        <v>0</v>
      </c>
      <c r="G168">
        <v>0</v>
      </c>
      <c r="H168">
        <v>0</v>
      </c>
      <c r="J168">
        <v>0</v>
      </c>
      <c r="K168" s="14">
        <v>-6.3416431589757849E-4</v>
      </c>
      <c r="L168">
        <v>0</v>
      </c>
      <c r="M168">
        <v>0</v>
      </c>
      <c r="N168">
        <v>0</v>
      </c>
      <c r="O168" s="20"/>
      <c r="P168" s="20"/>
      <c r="Q168" s="438">
        <v>0.17675123437214962</v>
      </c>
      <c r="R168" s="197">
        <v>0.66599999999999993</v>
      </c>
      <c r="S168" s="197">
        <v>4.5549999999999997</v>
      </c>
      <c r="T168" s="197">
        <v>0.60039794540960334</v>
      </c>
      <c r="U168" s="197">
        <v>0.90789473684210531</v>
      </c>
      <c r="V168" s="20">
        <f t="shared" si="190"/>
        <v>162.3036156942602</v>
      </c>
      <c r="W168" s="20">
        <f t="shared" si="190"/>
        <v>0</v>
      </c>
      <c r="X168" s="20">
        <f t="shared" si="190"/>
        <v>0</v>
      </c>
      <c r="Y168" s="20">
        <f t="shared" si="190"/>
        <v>0</v>
      </c>
      <c r="Z168" s="20">
        <f t="shared" si="191"/>
        <v>109.28331298088666</v>
      </c>
      <c r="AA168" s="20">
        <f t="shared" si="191"/>
        <v>0</v>
      </c>
      <c r="AB168" s="20">
        <f t="shared" si="191"/>
        <v>0</v>
      </c>
      <c r="AC168" s="20">
        <f t="shared" si="191"/>
        <v>0</v>
      </c>
      <c r="AD168" s="20">
        <f t="shared" si="192"/>
        <v>109.28331298088666</v>
      </c>
      <c r="AE168" s="20">
        <f t="shared" si="193"/>
        <v>1110.0495037347678</v>
      </c>
      <c r="AF168" s="20">
        <f t="shared" si="193"/>
        <v>0</v>
      </c>
      <c r="AG168" s="20">
        <f t="shared" si="193"/>
        <v>0</v>
      </c>
      <c r="AH168" s="20">
        <f t="shared" si="193"/>
        <v>0</v>
      </c>
      <c r="AI168" s="20">
        <f t="shared" si="194"/>
        <v>1026.4674399712026</v>
      </c>
      <c r="AJ168" s="20">
        <f t="shared" si="194"/>
        <v>0</v>
      </c>
      <c r="AK168" s="20">
        <f t="shared" si="194"/>
        <v>0</v>
      </c>
      <c r="AL168" s="20">
        <f t="shared" si="194"/>
        <v>0</v>
      </c>
      <c r="AM168" s="20">
        <f t="shared" si="195"/>
        <v>1026.4674399712026</v>
      </c>
      <c r="AO168">
        <f t="shared" si="196"/>
        <v>143.21578166145198</v>
      </c>
      <c r="AP168">
        <f t="shared" si="196"/>
        <v>0</v>
      </c>
      <c r="AQ168">
        <f t="shared" si="196"/>
        <v>0</v>
      </c>
      <c r="AR168">
        <f t="shared" si="196"/>
        <v>0</v>
      </c>
      <c r="AS168">
        <f t="shared" si="197"/>
        <v>143.21578166145198</v>
      </c>
      <c r="AU168">
        <f t="shared" si="198"/>
        <v>1345.1855800822609</v>
      </c>
      <c r="AV168">
        <f t="shared" si="198"/>
        <v>0</v>
      </c>
      <c r="AW168">
        <f t="shared" si="198"/>
        <v>0</v>
      </c>
      <c r="AX168">
        <f t="shared" si="198"/>
        <v>0</v>
      </c>
      <c r="AY168">
        <f t="shared" si="199"/>
        <v>1345.1855800822609</v>
      </c>
    </row>
    <row r="169" spans="1:53" ht="15" x14ac:dyDescent="0.25">
      <c r="A169" s="1"/>
      <c r="B169" s="2"/>
      <c r="C169" s="1" t="s">
        <v>12</v>
      </c>
      <c r="D169">
        <v>0</v>
      </c>
      <c r="E169" s="360"/>
      <c r="F169">
        <v>0</v>
      </c>
      <c r="G169">
        <v>0</v>
      </c>
      <c r="H169">
        <v>0</v>
      </c>
      <c r="J169">
        <v>0</v>
      </c>
      <c r="K169" s="14">
        <v>0</v>
      </c>
      <c r="L169">
        <v>0</v>
      </c>
      <c r="M169">
        <v>0</v>
      </c>
      <c r="N169">
        <v>0</v>
      </c>
      <c r="O169" s="20"/>
      <c r="P169" s="20"/>
      <c r="Q169" s="438"/>
      <c r="R169" s="197">
        <v>0.66599999999999993</v>
      </c>
      <c r="S169" s="197">
        <v>4.5549999999999997</v>
      </c>
      <c r="T169" s="197">
        <v>0.60039794540960334</v>
      </c>
      <c r="U169" s="197">
        <v>0.90789473684210531</v>
      </c>
      <c r="V169" s="20">
        <f t="shared" si="190"/>
        <v>0</v>
      </c>
      <c r="W169" s="20">
        <f t="shared" si="190"/>
        <v>0</v>
      </c>
      <c r="X169" s="20">
        <f t="shared" si="190"/>
        <v>0</v>
      </c>
      <c r="Y169" s="20">
        <f t="shared" si="190"/>
        <v>0</v>
      </c>
      <c r="Z169" s="20">
        <f t="shared" si="191"/>
        <v>0</v>
      </c>
      <c r="AA169" s="20">
        <f t="shared" si="191"/>
        <v>0</v>
      </c>
      <c r="AB169" s="20">
        <f t="shared" si="191"/>
        <v>0</v>
      </c>
      <c r="AC169" s="20">
        <f t="shared" si="191"/>
        <v>0</v>
      </c>
      <c r="AD169" s="20">
        <f t="shared" si="192"/>
        <v>0</v>
      </c>
      <c r="AE169" s="20">
        <f t="shared" si="193"/>
        <v>0</v>
      </c>
      <c r="AF169" s="20">
        <f t="shared" si="193"/>
        <v>0</v>
      </c>
      <c r="AG169" s="20">
        <f t="shared" si="193"/>
        <v>0</v>
      </c>
      <c r="AH169" s="20">
        <f t="shared" si="193"/>
        <v>0</v>
      </c>
      <c r="AI169" s="20">
        <f t="shared" si="194"/>
        <v>0</v>
      </c>
      <c r="AJ169" s="20">
        <f t="shared" si="194"/>
        <v>0</v>
      </c>
      <c r="AK169" s="20">
        <f t="shared" si="194"/>
        <v>0</v>
      </c>
      <c r="AL169" s="20">
        <f t="shared" si="194"/>
        <v>0</v>
      </c>
      <c r="AM169" s="20">
        <f t="shared" si="195"/>
        <v>0</v>
      </c>
      <c r="AO169">
        <f t="shared" si="196"/>
        <v>0</v>
      </c>
      <c r="AP169">
        <f t="shared" si="196"/>
        <v>0</v>
      </c>
      <c r="AQ169">
        <f t="shared" si="196"/>
        <v>0</v>
      </c>
      <c r="AR169">
        <f t="shared" si="196"/>
        <v>0</v>
      </c>
      <c r="AS169">
        <f t="shared" si="197"/>
        <v>0</v>
      </c>
      <c r="AU169">
        <f t="shared" si="198"/>
        <v>0</v>
      </c>
      <c r="AV169">
        <f t="shared" si="198"/>
        <v>0</v>
      </c>
      <c r="AW169">
        <f t="shared" si="198"/>
        <v>0</v>
      </c>
      <c r="AX169">
        <f t="shared" si="198"/>
        <v>0</v>
      </c>
      <c r="AY169">
        <f t="shared" si="199"/>
        <v>0</v>
      </c>
    </row>
    <row r="170" spans="1:53" ht="15" x14ac:dyDescent="0.25">
      <c r="A170" s="1"/>
      <c r="B170" s="2"/>
      <c r="C170" s="1" t="s">
        <v>13</v>
      </c>
      <c r="D170">
        <v>0</v>
      </c>
      <c r="E170" s="360"/>
      <c r="F170">
        <v>0</v>
      </c>
      <c r="G170">
        <v>0</v>
      </c>
      <c r="H170">
        <v>0</v>
      </c>
      <c r="J170">
        <v>0</v>
      </c>
      <c r="K170" s="14">
        <v>0</v>
      </c>
      <c r="L170">
        <v>0</v>
      </c>
      <c r="M170">
        <v>0</v>
      </c>
      <c r="N170">
        <v>0</v>
      </c>
      <c r="O170" s="20"/>
      <c r="P170" s="20"/>
      <c r="Q170" s="438"/>
      <c r="R170" s="197">
        <v>0.66599999999999993</v>
      </c>
      <c r="S170" s="197">
        <v>4.5549999999999997</v>
      </c>
      <c r="T170" s="197">
        <v>0.60039794540960334</v>
      </c>
      <c r="U170" s="197">
        <v>0.90789473684210531</v>
      </c>
      <c r="V170" s="20">
        <f t="shared" si="190"/>
        <v>0</v>
      </c>
      <c r="W170" s="20">
        <f t="shared" si="190"/>
        <v>0</v>
      </c>
      <c r="X170" s="20">
        <f t="shared" si="190"/>
        <v>0</v>
      </c>
      <c r="Y170" s="20">
        <f t="shared" si="190"/>
        <v>0</v>
      </c>
      <c r="Z170" s="20">
        <f t="shared" si="191"/>
        <v>0</v>
      </c>
      <c r="AA170" s="20">
        <f t="shared" si="191"/>
        <v>0</v>
      </c>
      <c r="AB170" s="20">
        <f t="shared" si="191"/>
        <v>0</v>
      </c>
      <c r="AC170" s="20">
        <f t="shared" si="191"/>
        <v>0</v>
      </c>
      <c r="AD170" s="20">
        <f t="shared" si="192"/>
        <v>0</v>
      </c>
      <c r="AE170" s="20">
        <f t="shared" si="193"/>
        <v>0</v>
      </c>
      <c r="AF170" s="20">
        <f t="shared" si="193"/>
        <v>0</v>
      </c>
      <c r="AG170" s="20">
        <f t="shared" si="193"/>
        <v>0</v>
      </c>
      <c r="AH170" s="20">
        <f t="shared" si="193"/>
        <v>0</v>
      </c>
      <c r="AI170" s="20">
        <f t="shared" si="194"/>
        <v>0</v>
      </c>
      <c r="AJ170" s="20">
        <f t="shared" si="194"/>
        <v>0</v>
      </c>
      <c r="AK170" s="20">
        <f t="shared" si="194"/>
        <v>0</v>
      </c>
      <c r="AL170" s="20">
        <f t="shared" si="194"/>
        <v>0</v>
      </c>
      <c r="AM170" s="20">
        <f t="shared" si="195"/>
        <v>0</v>
      </c>
      <c r="AO170">
        <f t="shared" si="196"/>
        <v>0</v>
      </c>
      <c r="AP170">
        <f t="shared" si="196"/>
        <v>0</v>
      </c>
      <c r="AQ170">
        <f t="shared" si="196"/>
        <v>0</v>
      </c>
      <c r="AR170">
        <f t="shared" si="196"/>
        <v>0</v>
      </c>
      <c r="AS170">
        <f t="shared" si="197"/>
        <v>0</v>
      </c>
      <c r="AU170">
        <f t="shared" si="198"/>
        <v>0</v>
      </c>
      <c r="AV170">
        <f t="shared" si="198"/>
        <v>0</v>
      </c>
      <c r="AW170">
        <f t="shared" si="198"/>
        <v>0</v>
      </c>
      <c r="AX170">
        <f t="shared" si="198"/>
        <v>0</v>
      </c>
      <c r="AY170">
        <f t="shared" si="199"/>
        <v>0</v>
      </c>
    </row>
    <row r="171" spans="1:53" ht="15" x14ac:dyDescent="0.25">
      <c r="A171" s="7"/>
      <c r="B171" s="8" t="s">
        <v>14</v>
      </c>
      <c r="C171" s="7"/>
      <c r="D171" s="357">
        <f t="shared" ref="D171:H171" si="200">SUM(D165:D170)</f>
        <v>0</v>
      </c>
      <c r="E171" s="363">
        <f>SUM(E165:E170)</f>
        <v>137.87690000000001</v>
      </c>
      <c r="F171" s="357">
        <f t="shared" si="200"/>
        <v>0</v>
      </c>
      <c r="G171" s="357">
        <f t="shared" si="200"/>
        <v>0</v>
      </c>
      <c r="H171" s="357">
        <f t="shared" si="200"/>
        <v>0</v>
      </c>
      <c r="J171">
        <v>0</v>
      </c>
      <c r="K171" s="14">
        <v>-6.3416431589757849E-4</v>
      </c>
      <c r="L171">
        <v>0</v>
      </c>
      <c r="M171">
        <v>0</v>
      </c>
      <c r="N171">
        <v>0</v>
      </c>
      <c r="O171" s="20"/>
      <c r="P171" s="20"/>
      <c r="Q171" s="438">
        <v>0.17675123437214962</v>
      </c>
      <c r="R171" s="20"/>
      <c r="S171" s="20"/>
      <c r="T171" s="20"/>
      <c r="U171" s="20"/>
      <c r="BA171" s="319">
        <f>(E171*10000*Q171*AU$10)</f>
        <v>319367.70025124325</v>
      </c>
    </row>
    <row r="172" spans="1:53" ht="15" x14ac:dyDescent="0.25">
      <c r="A172" s="1"/>
      <c r="B172" s="9" t="s">
        <v>15</v>
      </c>
      <c r="C172" s="5"/>
      <c r="E172" s="363">
        <f>SUM(E171)</f>
        <v>137.87690000000001</v>
      </c>
      <c r="H172" s="358">
        <f>SUM(D171:H171)</f>
        <v>137.87690000000001</v>
      </c>
      <c r="K172" s="14"/>
      <c r="N172">
        <v>0</v>
      </c>
      <c r="O172" s="20"/>
      <c r="P172" s="20"/>
      <c r="Q172" s="438"/>
      <c r="R172" s="20"/>
      <c r="S172" s="20"/>
      <c r="T172" s="20"/>
      <c r="U172" s="20"/>
    </row>
    <row r="173" spans="1:53" ht="15.75" x14ac:dyDescent="0.25">
      <c r="A173" s="1"/>
      <c r="B173" s="2"/>
      <c r="C173" s="1"/>
      <c r="E173" s="361"/>
      <c r="K173" s="14"/>
      <c r="O173" s="20"/>
      <c r="P173" s="20"/>
      <c r="Q173" s="439"/>
      <c r="R173" s="20"/>
      <c r="S173" s="20"/>
      <c r="T173" s="20"/>
      <c r="U173" s="20"/>
    </row>
    <row r="174" spans="1:53" ht="15" x14ac:dyDescent="0.25">
      <c r="A174" s="1">
        <v>19</v>
      </c>
      <c r="B174" s="154" t="s">
        <v>865</v>
      </c>
      <c r="C174" s="1" t="s">
        <v>8</v>
      </c>
      <c r="D174">
        <v>0</v>
      </c>
      <c r="E174" s="360">
        <v>0</v>
      </c>
      <c r="F174">
        <v>0</v>
      </c>
      <c r="G174">
        <v>0</v>
      </c>
      <c r="H174">
        <v>0</v>
      </c>
      <c r="J174">
        <v>0</v>
      </c>
      <c r="K174" s="14">
        <v>0</v>
      </c>
      <c r="L174">
        <v>0</v>
      </c>
      <c r="M174">
        <v>0</v>
      </c>
      <c r="N174">
        <v>0</v>
      </c>
      <c r="O174" s="20"/>
      <c r="P174" s="20"/>
      <c r="Q174" s="438"/>
      <c r="R174" s="20"/>
      <c r="S174" s="20"/>
      <c r="T174" s="20"/>
      <c r="U174" s="20"/>
    </row>
    <row r="175" spans="1:53" ht="15" x14ac:dyDescent="0.25">
      <c r="A175" s="1"/>
      <c r="B175" s="2"/>
      <c r="C175" s="1" t="s">
        <v>9</v>
      </c>
      <c r="D175">
        <v>0</v>
      </c>
      <c r="E175" s="360">
        <v>0</v>
      </c>
      <c r="F175">
        <v>0</v>
      </c>
      <c r="G175">
        <v>0</v>
      </c>
      <c r="H175">
        <v>0</v>
      </c>
      <c r="J175">
        <v>0</v>
      </c>
      <c r="K175" s="14">
        <v>0</v>
      </c>
      <c r="L175">
        <v>0</v>
      </c>
      <c r="M175">
        <v>0</v>
      </c>
      <c r="N175">
        <v>0</v>
      </c>
      <c r="O175" s="20"/>
      <c r="P175" s="20"/>
      <c r="Q175" s="438"/>
      <c r="R175" s="20"/>
      <c r="S175" s="20"/>
      <c r="T175" s="20"/>
      <c r="U175" s="20"/>
    </row>
    <row r="176" spans="1:53" ht="15" x14ac:dyDescent="0.25">
      <c r="A176" s="1"/>
      <c r="B176" s="2"/>
      <c r="C176" s="1" t="s">
        <v>10</v>
      </c>
      <c r="D176">
        <v>0</v>
      </c>
      <c r="E176" s="360">
        <v>0</v>
      </c>
      <c r="F176">
        <v>0</v>
      </c>
      <c r="G176">
        <v>0</v>
      </c>
      <c r="H176">
        <v>0</v>
      </c>
      <c r="J176">
        <v>0</v>
      </c>
      <c r="K176" s="14">
        <v>0</v>
      </c>
      <c r="L176">
        <v>0</v>
      </c>
      <c r="M176">
        <v>0</v>
      </c>
      <c r="N176">
        <v>0</v>
      </c>
      <c r="O176" s="20"/>
      <c r="P176" s="20"/>
      <c r="Q176" s="438"/>
      <c r="R176" s="20"/>
      <c r="S176" s="20"/>
      <c r="T176" s="20"/>
      <c r="U176" s="20"/>
    </row>
    <row r="177" spans="1:53" ht="15" x14ac:dyDescent="0.25">
      <c r="A177" s="1"/>
      <c r="B177" s="2"/>
      <c r="C177" s="1" t="s">
        <v>11</v>
      </c>
      <c r="D177">
        <v>0</v>
      </c>
      <c r="E177" s="360">
        <v>1.3947290000000001</v>
      </c>
      <c r="F177">
        <v>0</v>
      </c>
      <c r="G177">
        <v>0</v>
      </c>
      <c r="H177">
        <v>0</v>
      </c>
      <c r="J177">
        <v>0</v>
      </c>
      <c r="K177" s="14">
        <v>1.3220211001474524E-6</v>
      </c>
      <c r="L177">
        <v>0</v>
      </c>
      <c r="M177">
        <v>0</v>
      </c>
      <c r="N177">
        <v>0</v>
      </c>
      <c r="O177" s="20"/>
      <c r="P177" s="20"/>
      <c r="Q177" s="438">
        <v>0.90000000000000013</v>
      </c>
      <c r="R177" s="20"/>
      <c r="S177" s="20"/>
      <c r="T177" s="20"/>
      <c r="U177" s="20"/>
    </row>
    <row r="178" spans="1:53" ht="15" x14ac:dyDescent="0.25">
      <c r="A178" s="1"/>
      <c r="B178" s="2"/>
      <c r="C178" s="1" t="s">
        <v>12</v>
      </c>
      <c r="D178">
        <v>0</v>
      </c>
      <c r="E178" s="360">
        <v>0</v>
      </c>
      <c r="F178">
        <v>0</v>
      </c>
      <c r="G178">
        <v>0</v>
      </c>
      <c r="H178">
        <v>0</v>
      </c>
      <c r="J178">
        <v>0</v>
      </c>
      <c r="K178" s="14">
        <v>0</v>
      </c>
      <c r="L178">
        <v>0</v>
      </c>
      <c r="M178">
        <v>0</v>
      </c>
      <c r="N178">
        <v>0</v>
      </c>
      <c r="O178" s="20"/>
      <c r="P178" s="20"/>
      <c r="Q178" s="438"/>
      <c r="R178" s="20"/>
      <c r="S178" s="20"/>
      <c r="T178" s="20"/>
      <c r="U178" s="20"/>
    </row>
    <row r="179" spans="1:53" ht="15" x14ac:dyDescent="0.25">
      <c r="A179" s="1"/>
      <c r="B179" s="2"/>
      <c r="C179" s="1" t="s">
        <v>13</v>
      </c>
      <c r="D179">
        <v>0</v>
      </c>
      <c r="E179" s="360">
        <v>99.678190000000001</v>
      </c>
      <c r="F179">
        <v>0</v>
      </c>
      <c r="G179">
        <v>0</v>
      </c>
      <c r="H179">
        <v>0</v>
      </c>
      <c r="J179">
        <v>0</v>
      </c>
      <c r="K179" s="14">
        <v>8.7469220872549158E-5</v>
      </c>
      <c r="L179">
        <v>0</v>
      </c>
      <c r="M179">
        <v>0</v>
      </c>
      <c r="N179">
        <v>0</v>
      </c>
      <c r="O179" s="20"/>
      <c r="P179" s="20"/>
      <c r="Q179" s="438">
        <v>0.90000000000000013</v>
      </c>
      <c r="R179" s="20"/>
      <c r="S179" s="20"/>
      <c r="T179" s="20"/>
      <c r="U179" s="20"/>
    </row>
    <row r="180" spans="1:53" ht="15" x14ac:dyDescent="0.25">
      <c r="A180" s="7"/>
      <c r="B180" s="8" t="s">
        <v>14</v>
      </c>
      <c r="C180" s="7"/>
      <c r="D180" s="357">
        <f t="shared" ref="D180:H180" si="201">SUM(D174:D179)</f>
        <v>0</v>
      </c>
      <c r="E180" s="363">
        <f>SUM(E174:E179)</f>
        <v>101.072919</v>
      </c>
      <c r="F180" s="357">
        <f t="shared" si="201"/>
        <v>0</v>
      </c>
      <c r="G180" s="357">
        <f t="shared" si="201"/>
        <v>0</v>
      </c>
      <c r="H180" s="357">
        <f t="shared" si="201"/>
        <v>0</v>
      </c>
      <c r="J180">
        <v>0</v>
      </c>
      <c r="K180">
        <v>0</v>
      </c>
      <c r="L180">
        <v>0</v>
      </c>
      <c r="M180">
        <v>0</v>
      </c>
      <c r="N180">
        <v>0</v>
      </c>
      <c r="Q180" s="438">
        <v>0.9</v>
      </c>
      <c r="BA180" s="319">
        <f>(E180*10000*Q180*AU$10)</f>
        <v>1192104.5431454999</v>
      </c>
    </row>
    <row r="181" spans="1:53" ht="15" x14ac:dyDescent="0.25">
      <c r="A181" s="5"/>
      <c r="B181" s="9" t="s">
        <v>15</v>
      </c>
      <c r="C181" s="5"/>
      <c r="E181" s="363">
        <f>SUM(E180)</f>
        <v>101.072919</v>
      </c>
      <c r="H181" s="358">
        <f>SUM(D180:H180)</f>
        <v>101.072919</v>
      </c>
      <c r="N181">
        <v>0</v>
      </c>
    </row>
    <row r="182" spans="1:53" s="79" customFormat="1" ht="15" x14ac:dyDescent="0.25">
      <c r="A182" s="199"/>
      <c r="B182" s="198" t="s">
        <v>661</v>
      </c>
      <c r="C182" s="199"/>
    </row>
    <row r="183" spans="1:53" x14ac:dyDescent="0.2">
      <c r="E183" s="14">
        <f>SUM(E180,E171,E162,E153,E144,E135,E126,E117,E108,E99,E90,E81,E72,E63,E54,E45,E36,E27,E18,)</f>
        <v>2788.5485690000005</v>
      </c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BA183"/>
  <sheetViews>
    <sheetView defaultGridColor="0" colorId="11" zoomScale="75" workbookViewId="0">
      <pane xSplit="3" topLeftCell="D1" activePane="topRight" state="frozen"/>
      <selection pane="topRight" activeCell="BA12" sqref="BA12:BA180"/>
    </sheetView>
  </sheetViews>
  <sheetFormatPr defaultRowHeight="12.75" x14ac:dyDescent="0.2"/>
  <cols>
    <col min="2" max="2" width="26.42578125" bestFit="1" customWidth="1"/>
    <col min="4" max="8" width="13.7109375" customWidth="1"/>
    <col min="10" max="10" width="15.42578125" bestFit="1" customWidth="1"/>
    <col min="11" max="14" width="13.5703125" customWidth="1"/>
    <col min="15" max="15" width="12" bestFit="1" customWidth="1"/>
    <col min="17" max="17" width="15.7109375" style="419" bestFit="1" customWidth="1"/>
    <col min="18" max="19" width="12" bestFit="1" customWidth="1"/>
    <col min="20" max="21" width="12" customWidth="1"/>
    <col min="22" max="25" width="11.5703125" customWidth="1"/>
    <col min="26" max="29" width="10.7109375" customWidth="1"/>
    <col min="30" max="30" width="11.42578125" customWidth="1"/>
    <col min="31" max="34" width="13.42578125" customWidth="1"/>
    <col min="35" max="39" width="10.85546875" customWidth="1"/>
    <col min="45" max="45" width="28.140625" customWidth="1"/>
    <col min="51" max="51" width="28.42578125" customWidth="1"/>
  </cols>
  <sheetData>
    <row r="1" spans="1:53" ht="15" x14ac:dyDescent="0.25">
      <c r="A1" s="15"/>
      <c r="B1" s="16">
        <v>2003</v>
      </c>
    </row>
    <row r="2" spans="1:53" ht="15" x14ac:dyDescent="0.25">
      <c r="A2" s="15"/>
      <c r="B2" s="16"/>
      <c r="V2" s="99"/>
      <c r="W2" s="99"/>
      <c r="X2" s="99"/>
      <c r="Y2" s="99"/>
      <c r="Z2" s="26"/>
      <c r="AA2" s="26"/>
      <c r="AB2" s="26"/>
      <c r="AC2" s="26"/>
      <c r="AD2" s="26"/>
      <c r="AE2" s="28"/>
      <c r="AF2" s="28"/>
      <c r="AG2" s="28"/>
      <c r="AH2" s="28"/>
      <c r="AI2" s="124"/>
      <c r="AJ2" s="124"/>
      <c r="AK2" s="124"/>
      <c r="AL2" s="124"/>
      <c r="AM2" s="124"/>
    </row>
    <row r="3" spans="1:53" ht="78.75" x14ac:dyDescent="0.25">
      <c r="B3" s="16"/>
      <c r="D3" s="179" t="s">
        <v>759</v>
      </c>
      <c r="E3" s="179"/>
      <c r="F3" s="179"/>
      <c r="G3" s="179"/>
      <c r="H3" s="179"/>
      <c r="J3" s="181" t="s">
        <v>758</v>
      </c>
      <c r="K3" s="181"/>
      <c r="L3" s="181"/>
      <c r="M3" s="181"/>
      <c r="N3" s="181"/>
      <c r="V3" s="99" t="s">
        <v>534</v>
      </c>
      <c r="W3" s="99"/>
      <c r="X3" s="99"/>
      <c r="Y3" s="99"/>
      <c r="Z3" s="26" t="s">
        <v>535</v>
      </c>
      <c r="AA3" s="26"/>
      <c r="AB3" s="26"/>
      <c r="AC3" s="26"/>
      <c r="AD3" s="125"/>
      <c r="AE3" s="28" t="s">
        <v>536</v>
      </c>
      <c r="AF3" s="28"/>
      <c r="AG3" s="28"/>
      <c r="AH3" s="28"/>
      <c r="AI3" s="124" t="s">
        <v>537</v>
      </c>
      <c r="AJ3" s="131"/>
      <c r="AK3" s="131"/>
      <c r="AL3" s="131"/>
      <c r="AM3" s="131"/>
    </row>
    <row r="4" spans="1:53" ht="15.75" x14ac:dyDescent="0.25">
      <c r="D4" s="180"/>
      <c r="E4" s="180"/>
      <c r="F4" s="180"/>
      <c r="G4" s="180"/>
      <c r="H4" s="180"/>
      <c r="J4" s="182"/>
      <c r="K4" s="182"/>
      <c r="L4" s="182"/>
      <c r="M4" s="182"/>
      <c r="N4" s="182"/>
      <c r="V4" s="101" t="s">
        <v>40</v>
      </c>
      <c r="W4" s="101"/>
      <c r="X4" s="101"/>
      <c r="Y4" s="101"/>
      <c r="Z4" s="27" t="s">
        <v>40</v>
      </c>
      <c r="AA4" s="27"/>
      <c r="AB4" s="27"/>
      <c r="AC4" s="27"/>
      <c r="AD4" s="126"/>
      <c r="AE4" s="30" t="s">
        <v>40</v>
      </c>
      <c r="AF4" s="30"/>
      <c r="AG4" s="30"/>
      <c r="AH4" s="30"/>
      <c r="AI4" s="132" t="s">
        <v>40</v>
      </c>
      <c r="AJ4" s="133"/>
      <c r="AK4" s="133"/>
      <c r="AL4" s="133"/>
      <c r="AM4" s="133"/>
    </row>
    <row r="5" spans="1:53" ht="94.5" x14ac:dyDescent="0.25">
      <c r="A5" s="1"/>
      <c r="B5" s="2"/>
      <c r="C5" s="3"/>
      <c r="D5" s="103"/>
      <c r="E5" s="229"/>
      <c r="F5" s="229"/>
      <c r="G5" s="229"/>
      <c r="H5" s="229"/>
      <c r="J5" s="115"/>
      <c r="K5" s="232"/>
      <c r="L5" s="232"/>
      <c r="M5" s="232"/>
      <c r="N5" s="232"/>
      <c r="V5" s="103"/>
      <c r="W5" s="103"/>
      <c r="X5" s="103"/>
      <c r="Y5" s="103"/>
      <c r="Z5" s="93"/>
      <c r="AA5" s="236"/>
      <c r="AB5" s="236"/>
      <c r="AC5" s="236"/>
      <c r="AD5" s="127"/>
      <c r="AE5" s="90"/>
      <c r="AF5" s="90"/>
      <c r="AG5" s="90"/>
      <c r="AH5" s="90"/>
      <c r="AI5" s="134"/>
      <c r="AJ5" s="135"/>
      <c r="AK5" s="135"/>
      <c r="AL5" s="135"/>
      <c r="AM5" s="135"/>
      <c r="AO5" s="240" t="s">
        <v>727</v>
      </c>
      <c r="AP5" s="241"/>
      <c r="AQ5" s="241"/>
      <c r="AR5" s="241"/>
      <c r="AS5" s="242" t="s">
        <v>727</v>
      </c>
      <c r="AU5" s="244" t="s">
        <v>728</v>
      </c>
      <c r="AV5" s="245"/>
      <c r="AW5" s="245"/>
      <c r="AX5" s="245"/>
      <c r="AY5" s="246" t="s">
        <v>728</v>
      </c>
    </row>
    <row r="6" spans="1:53" ht="39" x14ac:dyDescent="0.25">
      <c r="A6" s="1"/>
      <c r="B6" s="2" t="s">
        <v>0</v>
      </c>
      <c r="C6" s="3"/>
      <c r="D6" s="234"/>
      <c r="E6" s="234" t="s">
        <v>862</v>
      </c>
      <c r="F6" s="234"/>
      <c r="G6" s="234"/>
      <c r="H6" s="234"/>
      <c r="J6" s="117" t="s">
        <v>862</v>
      </c>
      <c r="K6" s="117"/>
      <c r="L6" s="117"/>
      <c r="M6" s="117"/>
      <c r="N6" s="117"/>
      <c r="O6" s="17" t="s">
        <v>35</v>
      </c>
      <c r="P6" s="18"/>
      <c r="Q6" s="420">
        <v>2003</v>
      </c>
      <c r="R6" s="22" t="s">
        <v>38</v>
      </c>
      <c r="S6" s="22" t="s">
        <v>39</v>
      </c>
      <c r="T6" s="196" t="s">
        <v>659</v>
      </c>
      <c r="U6" s="196" t="s">
        <v>660</v>
      </c>
      <c r="V6" s="105" t="s">
        <v>862</v>
      </c>
      <c r="W6" s="105"/>
      <c r="X6" s="105"/>
      <c r="Y6" s="105"/>
      <c r="Z6" s="78" t="s">
        <v>862</v>
      </c>
      <c r="AA6" s="78"/>
      <c r="AB6" s="78"/>
      <c r="AC6" s="78"/>
      <c r="AD6" s="128" t="s">
        <v>42</v>
      </c>
      <c r="AE6" s="72" t="s">
        <v>863</v>
      </c>
      <c r="AF6" s="72"/>
      <c r="AG6" s="72"/>
      <c r="AH6" s="72"/>
      <c r="AI6" s="137" t="s">
        <v>862</v>
      </c>
      <c r="AJ6" s="137"/>
      <c r="AK6" s="137"/>
      <c r="AL6" s="137"/>
      <c r="AM6" s="137" t="s">
        <v>42</v>
      </c>
      <c r="AO6" s="118" t="s">
        <v>862</v>
      </c>
      <c r="AP6" s="118"/>
      <c r="AQ6" s="118"/>
      <c r="AR6" s="118"/>
      <c r="AS6" s="129"/>
      <c r="AU6" s="118" t="s">
        <v>862</v>
      </c>
      <c r="AV6" s="118"/>
      <c r="AW6" s="118"/>
      <c r="AX6" s="118"/>
      <c r="AY6" s="247"/>
    </row>
    <row r="7" spans="1:53" ht="26.25" x14ac:dyDescent="0.25">
      <c r="A7" s="1"/>
      <c r="B7" s="2" t="s">
        <v>1</v>
      </c>
      <c r="C7" s="2"/>
      <c r="D7" s="107"/>
      <c r="E7" s="107"/>
      <c r="F7" s="107"/>
      <c r="G7" s="107"/>
      <c r="H7" s="107"/>
      <c r="J7" s="119"/>
      <c r="K7" s="233"/>
      <c r="L7" s="233"/>
      <c r="M7" s="233"/>
      <c r="N7" s="233"/>
      <c r="O7" s="21" t="s">
        <v>36</v>
      </c>
      <c r="P7" s="21" t="s">
        <v>37</v>
      </c>
      <c r="Q7" s="421" t="s">
        <v>538</v>
      </c>
      <c r="R7" s="22"/>
      <c r="S7" s="22"/>
      <c r="T7" s="22"/>
      <c r="U7" s="22"/>
      <c r="V7" s="107"/>
      <c r="W7" s="107"/>
      <c r="X7" s="107"/>
      <c r="Y7" s="107"/>
      <c r="Z7" s="237"/>
      <c r="AA7" s="237"/>
      <c r="AB7" s="237"/>
      <c r="AC7" s="237"/>
      <c r="AD7" s="129"/>
      <c r="AE7" s="91"/>
      <c r="AF7" s="91"/>
      <c r="AG7" s="91"/>
      <c r="AH7" s="91"/>
      <c r="AI7" s="139"/>
      <c r="AJ7" s="139"/>
      <c r="AK7" s="139"/>
      <c r="AL7" s="139"/>
      <c r="AM7" s="139"/>
      <c r="AS7" s="129"/>
      <c r="AY7" s="247"/>
      <c r="BA7" t="s">
        <v>864</v>
      </c>
    </row>
    <row r="8" spans="1:53" ht="15.75" x14ac:dyDescent="0.25">
      <c r="A8" s="1"/>
      <c r="B8" s="2" t="s">
        <v>4</v>
      </c>
      <c r="C8" s="2"/>
      <c r="D8" s="107"/>
      <c r="E8" s="230"/>
      <c r="F8" s="230"/>
      <c r="G8" s="230"/>
      <c r="H8" s="230"/>
      <c r="J8" s="183"/>
      <c r="K8" s="183"/>
      <c r="L8" s="183"/>
      <c r="M8" s="183"/>
      <c r="N8" s="183"/>
      <c r="O8" s="20"/>
      <c r="P8" s="20"/>
      <c r="Q8" s="422"/>
      <c r="R8" s="20"/>
      <c r="S8" s="20"/>
      <c r="T8" s="20"/>
      <c r="U8" s="20"/>
      <c r="V8" s="107"/>
      <c r="W8" s="107"/>
      <c r="X8" s="107"/>
      <c r="Y8" s="107"/>
      <c r="Z8" s="237">
        <v>2903</v>
      </c>
      <c r="AA8" s="237">
        <v>2903</v>
      </c>
      <c r="AB8" s="237">
        <v>2903</v>
      </c>
      <c r="AC8" s="237">
        <v>2903</v>
      </c>
      <c r="AD8" s="129"/>
      <c r="AE8" s="91"/>
      <c r="AF8" s="91"/>
      <c r="AG8" s="91"/>
      <c r="AH8" s="91"/>
      <c r="AI8" s="237">
        <v>2903</v>
      </c>
      <c r="AJ8" s="237">
        <v>2903</v>
      </c>
      <c r="AK8" s="237">
        <v>2903</v>
      </c>
      <c r="AL8" s="237">
        <v>2903</v>
      </c>
      <c r="AM8" s="139"/>
      <c r="AS8" s="129"/>
      <c r="AY8" s="247"/>
    </row>
    <row r="9" spans="1:53" ht="15.75" x14ac:dyDescent="0.25">
      <c r="A9" s="1"/>
      <c r="B9" s="15" t="s">
        <v>558</v>
      </c>
      <c r="C9" s="2"/>
      <c r="D9" s="109"/>
      <c r="E9" s="231"/>
      <c r="F9" s="231"/>
      <c r="G9" s="231"/>
      <c r="H9" s="231"/>
      <c r="J9" s="119"/>
      <c r="K9" s="233"/>
      <c r="L9" s="233"/>
      <c r="M9" s="233"/>
      <c r="N9" s="233"/>
      <c r="O9" s="21"/>
      <c r="P9" s="21"/>
      <c r="Q9" s="422"/>
      <c r="R9" s="20"/>
      <c r="S9" s="20"/>
      <c r="T9" s="20"/>
      <c r="U9" s="20"/>
      <c r="V9" s="109"/>
      <c r="W9" s="109"/>
      <c r="X9" s="109"/>
      <c r="Y9" s="109"/>
      <c r="Z9" s="238"/>
      <c r="AA9" s="238"/>
      <c r="AB9" s="238"/>
      <c r="AC9" s="238"/>
      <c r="AD9" s="129"/>
      <c r="AE9" s="92"/>
      <c r="AF9" s="92"/>
      <c r="AG9" s="92"/>
      <c r="AH9" s="92"/>
      <c r="AI9" s="139"/>
      <c r="AJ9" s="139"/>
      <c r="AK9" s="139"/>
      <c r="AL9" s="139"/>
      <c r="AM9" s="139"/>
      <c r="AO9" s="239">
        <v>2003</v>
      </c>
      <c r="AP9" s="239">
        <v>2003</v>
      </c>
      <c r="AQ9" s="239">
        <v>2003</v>
      </c>
      <c r="AR9" s="239">
        <v>2003</v>
      </c>
      <c r="AS9" s="243">
        <v>2003</v>
      </c>
      <c r="AU9" s="239">
        <v>2003</v>
      </c>
      <c r="AV9" s="239">
        <v>2003</v>
      </c>
      <c r="AW9" s="239">
        <v>2003</v>
      </c>
      <c r="AX9" s="239">
        <v>2003</v>
      </c>
      <c r="AY9" s="248">
        <v>2003</v>
      </c>
    </row>
    <row r="10" spans="1:53" ht="15" x14ac:dyDescent="0.2">
      <c r="B10" s="15" t="s">
        <v>726</v>
      </c>
      <c r="AO10" s="356">
        <v>1.2090000000000001</v>
      </c>
      <c r="AP10" s="356">
        <v>1.2090000000000001</v>
      </c>
      <c r="AQ10" s="356">
        <v>1.2090000000000001</v>
      </c>
      <c r="AR10" s="356">
        <v>1.2090000000000001</v>
      </c>
      <c r="AU10" s="356">
        <v>1.2090000000000001</v>
      </c>
      <c r="AV10" s="356">
        <v>1.2090000000000001</v>
      </c>
      <c r="AW10" s="356">
        <v>1.2090000000000001</v>
      </c>
      <c r="AX10" s="356">
        <v>1.2090000000000001</v>
      </c>
    </row>
    <row r="11" spans="1:53" ht="27" x14ac:dyDescent="0.25">
      <c r="A11" s="1"/>
      <c r="B11" s="2" t="s">
        <v>5</v>
      </c>
      <c r="C11" s="4" t="s">
        <v>6</v>
      </c>
      <c r="D11" s="107"/>
      <c r="E11" s="230"/>
      <c r="F11" s="230"/>
      <c r="G11" s="230"/>
      <c r="H11" s="230"/>
      <c r="J11" s="183"/>
      <c r="K11" s="183"/>
      <c r="L11" s="183"/>
      <c r="M11" s="183"/>
      <c r="N11" s="183"/>
      <c r="O11" s="20"/>
      <c r="P11" s="20"/>
      <c r="Q11" s="423"/>
      <c r="R11" s="20"/>
      <c r="S11" s="20"/>
      <c r="T11" s="20"/>
      <c r="U11" s="20"/>
      <c r="V11" s="230"/>
      <c r="W11" s="230"/>
      <c r="X11" s="230"/>
      <c r="Y11" s="230"/>
      <c r="Z11" s="130"/>
      <c r="AA11" s="130"/>
      <c r="AB11" s="130"/>
      <c r="AC11" s="130"/>
      <c r="AD11" s="129"/>
      <c r="AE11" s="91"/>
      <c r="AF11" s="91"/>
      <c r="AG11" s="91"/>
      <c r="AH11" s="91"/>
      <c r="AI11" s="139"/>
      <c r="AJ11" s="139"/>
      <c r="AK11" s="139"/>
      <c r="AL11" s="139"/>
      <c r="AM11" s="139"/>
    </row>
    <row r="12" spans="1:53" ht="15" x14ac:dyDescent="0.25">
      <c r="A12" s="1">
        <v>1</v>
      </c>
      <c r="B12" s="2" t="s">
        <v>7</v>
      </c>
      <c r="C12" s="3" t="s">
        <v>8</v>
      </c>
      <c r="D12">
        <v>0</v>
      </c>
      <c r="E12" s="360">
        <v>49.05538</v>
      </c>
      <c r="F12">
        <v>0</v>
      </c>
      <c r="G12">
        <v>0</v>
      </c>
      <c r="H12">
        <v>0</v>
      </c>
      <c r="J12">
        <v>0</v>
      </c>
      <c r="K12" s="14">
        <v>39.279498939624276</v>
      </c>
      <c r="L12">
        <v>0</v>
      </c>
      <c r="M12">
        <v>0</v>
      </c>
      <c r="N12">
        <v>0</v>
      </c>
      <c r="O12" s="20">
        <v>0.36775204520040022</v>
      </c>
      <c r="P12" s="20">
        <v>0.57913019816794442</v>
      </c>
      <c r="Q12" s="438">
        <v>5.2303984019043147E-2</v>
      </c>
      <c r="R12" s="197">
        <v>0.17699999999999999</v>
      </c>
      <c r="S12" s="197">
        <v>1.77</v>
      </c>
      <c r="T12" s="197">
        <v>0.50078889239507718</v>
      </c>
      <c r="U12" s="197">
        <v>0.75268470790377973</v>
      </c>
      <c r="V12" s="20">
        <f t="shared" ref="V12:Y17" si="0">IF(K12&gt;0,((E12-K12)*$Q12*$R12*10)+(K12*$O$12*$Q12*$R12*10),(E12*$Q12*$R12*10))</f>
        <v>2.2423327248465923</v>
      </c>
      <c r="W12" s="20">
        <f t="shared" si="0"/>
        <v>0</v>
      </c>
      <c r="X12" s="20">
        <f t="shared" si="0"/>
        <v>0</v>
      </c>
      <c r="Y12" s="20">
        <f t="shared" si="0"/>
        <v>0</v>
      </c>
      <c r="Z12" s="20">
        <f t="shared" ref="Z12:AC17" si="1">V12*(EXP(1.01-0.34*LN(Z$8))*(1-$T12)+(1*$T12))</f>
        <v>1.327228436258256</v>
      </c>
      <c r="AA12" s="20">
        <f t="shared" si="1"/>
        <v>0</v>
      </c>
      <c r="AB12" s="20">
        <f t="shared" si="1"/>
        <v>0</v>
      </c>
      <c r="AC12" s="20">
        <f t="shared" si="1"/>
        <v>0</v>
      </c>
      <c r="AD12" s="20">
        <f t="shared" ref="AD12:AD17" si="2">SUM(Z12:AC12)</f>
        <v>1.327228436258256</v>
      </c>
      <c r="AE12" s="20">
        <f t="shared" ref="AE12:AH17" si="3">IF(K12&gt;0,((E12-K12)*$Q12*$S12*10)+(K12*$P$12*$Q12*$S12)*10,(E12*$Q12*$S12*10))</f>
        <v>30.109923588152814</v>
      </c>
      <c r="AF12" s="20">
        <f t="shared" si="3"/>
        <v>0</v>
      </c>
      <c r="AG12" s="20">
        <f t="shared" si="3"/>
        <v>0</v>
      </c>
      <c r="AH12" s="20">
        <f t="shared" si="3"/>
        <v>0</v>
      </c>
      <c r="AI12" s="20">
        <f t="shared" ref="AI12:AL17" si="4">AE12*(EXP(1.01-0.34*LN(AI$8))*(1-$U12)+(1*$U12))</f>
        <v>24.022312216785835</v>
      </c>
      <c r="AJ12" s="20">
        <f t="shared" si="4"/>
        <v>0</v>
      </c>
      <c r="AK12" s="20">
        <f t="shared" si="4"/>
        <v>0</v>
      </c>
      <c r="AL12" s="20">
        <f t="shared" si="4"/>
        <v>0</v>
      </c>
      <c r="AM12" s="20">
        <f t="shared" ref="AM12:AM17" si="5">SUM(AI12:AL12)</f>
        <v>24.022312216785835</v>
      </c>
      <c r="AO12">
        <f t="shared" ref="AO12:AR17" si="6">Z12*AO$10</f>
        <v>1.6046191794362317</v>
      </c>
      <c r="AP12">
        <f t="shared" si="6"/>
        <v>0</v>
      </c>
      <c r="AQ12">
        <f t="shared" si="6"/>
        <v>0</v>
      </c>
      <c r="AR12">
        <f t="shared" si="6"/>
        <v>0</v>
      </c>
      <c r="AS12">
        <f t="shared" ref="AS12:AS17" si="7">SUM(AO12:AR12)</f>
        <v>1.6046191794362317</v>
      </c>
      <c r="AU12">
        <f t="shared" ref="AU12:AX17" si="8">AI12*AU$10</f>
        <v>29.042975470094078</v>
      </c>
      <c r="AV12">
        <f t="shared" si="8"/>
        <v>0</v>
      </c>
      <c r="AW12">
        <f t="shared" si="8"/>
        <v>0</v>
      </c>
      <c r="AX12">
        <f t="shared" si="8"/>
        <v>0</v>
      </c>
      <c r="AY12">
        <f t="shared" ref="AY12:AY17" si="9">SUM(AU12:AX12)</f>
        <v>29.042975470094078</v>
      </c>
    </row>
    <row r="13" spans="1:53" ht="15" x14ac:dyDescent="0.25">
      <c r="A13" s="1"/>
      <c r="B13" s="2"/>
      <c r="C13" s="1" t="s">
        <v>9</v>
      </c>
      <c r="D13">
        <v>0</v>
      </c>
      <c r="E13" s="360">
        <v>6.3624999999999998</v>
      </c>
      <c r="F13">
        <v>0</v>
      </c>
      <c r="G13">
        <v>0</v>
      </c>
      <c r="H13">
        <v>0</v>
      </c>
      <c r="J13">
        <v>0</v>
      </c>
      <c r="K13" s="14">
        <v>4.7318476998009995</v>
      </c>
      <c r="L13">
        <v>0</v>
      </c>
      <c r="M13">
        <v>0</v>
      </c>
      <c r="N13">
        <v>0</v>
      </c>
      <c r="O13" s="20"/>
      <c r="P13" s="20"/>
      <c r="Q13" s="438">
        <v>5.9607968038086288E-2</v>
      </c>
      <c r="R13" s="197">
        <v>0.17699999999999999</v>
      </c>
      <c r="S13" s="197">
        <v>1.77</v>
      </c>
      <c r="T13" s="197">
        <v>0.50078889239507718</v>
      </c>
      <c r="U13" s="197">
        <v>0.75268470790377973</v>
      </c>
      <c r="V13" s="20">
        <f t="shared" si="0"/>
        <v>0.35563986469617215</v>
      </c>
      <c r="W13" s="20">
        <f t="shared" si="0"/>
        <v>0</v>
      </c>
      <c r="X13" s="20">
        <f t="shared" si="0"/>
        <v>0</v>
      </c>
      <c r="Y13" s="20">
        <f t="shared" si="0"/>
        <v>0</v>
      </c>
      <c r="Z13" s="20">
        <f t="shared" si="1"/>
        <v>0.21050191894429535</v>
      </c>
      <c r="AA13" s="20">
        <f t="shared" si="1"/>
        <v>0</v>
      </c>
      <c r="AB13" s="20">
        <f t="shared" si="1"/>
        <v>0</v>
      </c>
      <c r="AC13" s="20">
        <f t="shared" si="1"/>
        <v>0</v>
      </c>
      <c r="AD13" s="20">
        <f t="shared" si="2"/>
        <v>0.21050191894429535</v>
      </c>
      <c r="AE13" s="20">
        <f t="shared" si="3"/>
        <v>4.6116804283934405</v>
      </c>
      <c r="AF13" s="20">
        <f t="shared" si="3"/>
        <v>0</v>
      </c>
      <c r="AG13" s="20">
        <f t="shared" si="3"/>
        <v>0</v>
      </c>
      <c r="AH13" s="20">
        <f t="shared" si="3"/>
        <v>0</v>
      </c>
      <c r="AI13" s="20">
        <f t="shared" si="4"/>
        <v>3.679292867368722</v>
      </c>
      <c r="AJ13" s="20">
        <f t="shared" si="4"/>
        <v>0</v>
      </c>
      <c r="AK13" s="20">
        <f t="shared" si="4"/>
        <v>0</v>
      </c>
      <c r="AL13" s="20">
        <f t="shared" si="4"/>
        <v>0</v>
      </c>
      <c r="AM13" s="20">
        <f t="shared" si="5"/>
        <v>3.679292867368722</v>
      </c>
      <c r="AO13">
        <f t="shared" si="6"/>
        <v>0.25449682000365309</v>
      </c>
      <c r="AP13">
        <f t="shared" si="6"/>
        <v>0</v>
      </c>
      <c r="AQ13">
        <f t="shared" si="6"/>
        <v>0</v>
      </c>
      <c r="AR13">
        <f t="shared" si="6"/>
        <v>0</v>
      </c>
      <c r="AS13">
        <f t="shared" si="7"/>
        <v>0.25449682000365309</v>
      </c>
      <c r="AU13">
        <f t="shared" si="8"/>
        <v>4.4482650766487852</v>
      </c>
      <c r="AV13">
        <f t="shared" si="8"/>
        <v>0</v>
      </c>
      <c r="AW13">
        <f t="shared" si="8"/>
        <v>0</v>
      </c>
      <c r="AX13">
        <f t="shared" si="8"/>
        <v>0</v>
      </c>
      <c r="AY13">
        <f t="shared" si="9"/>
        <v>4.4482650766487852</v>
      </c>
    </row>
    <row r="14" spans="1:53" ht="15" x14ac:dyDescent="0.25">
      <c r="A14" s="1"/>
      <c r="B14" s="2"/>
      <c r="C14" s="1" t="s">
        <v>10</v>
      </c>
      <c r="D14">
        <v>0</v>
      </c>
      <c r="E14" s="360">
        <v>1.1967000000000001</v>
      </c>
      <c r="F14">
        <v>0</v>
      </c>
      <c r="G14">
        <v>0</v>
      </c>
      <c r="H14">
        <v>0</v>
      </c>
      <c r="J14">
        <v>0</v>
      </c>
      <c r="K14" s="14">
        <v>-0.89230754213099961</v>
      </c>
      <c r="L14">
        <v>0</v>
      </c>
      <c r="M14">
        <v>0</v>
      </c>
      <c r="N14">
        <v>0</v>
      </c>
      <c r="O14" s="20"/>
      <c r="P14" s="20"/>
      <c r="Q14" s="438">
        <v>6.6911952057129423E-2</v>
      </c>
      <c r="R14" s="197">
        <v>0.17699999999999999</v>
      </c>
      <c r="S14" s="197">
        <v>1.77</v>
      </c>
      <c r="T14" s="197">
        <v>0.50078889239507718</v>
      </c>
      <c r="U14" s="197">
        <v>0.75268470790377973</v>
      </c>
      <c r="V14" s="20">
        <f t="shared" si="0"/>
        <v>0.14173015345737722</v>
      </c>
      <c r="W14" s="20">
        <f t="shared" si="0"/>
        <v>0</v>
      </c>
      <c r="X14" s="20">
        <f t="shared" si="0"/>
        <v>0</v>
      </c>
      <c r="Y14" s="20">
        <f t="shared" si="0"/>
        <v>0</v>
      </c>
      <c r="Z14" s="20">
        <f t="shared" si="1"/>
        <v>8.3889552990735E-2</v>
      </c>
      <c r="AA14" s="20">
        <f t="shared" si="1"/>
        <v>0</v>
      </c>
      <c r="AB14" s="20">
        <f t="shared" si="1"/>
        <v>0</v>
      </c>
      <c r="AC14" s="20">
        <f t="shared" si="1"/>
        <v>0</v>
      </c>
      <c r="AD14" s="20">
        <f t="shared" si="2"/>
        <v>8.3889552990735E-2</v>
      </c>
      <c r="AE14" s="20">
        <f t="shared" si="3"/>
        <v>1.4173015345737721</v>
      </c>
      <c r="AF14" s="20">
        <f t="shared" si="3"/>
        <v>0</v>
      </c>
      <c r="AG14" s="20">
        <f t="shared" si="3"/>
        <v>0</v>
      </c>
      <c r="AH14" s="20">
        <f t="shared" si="3"/>
        <v>0</v>
      </c>
      <c r="AI14" s="20">
        <f t="shared" si="4"/>
        <v>1.1307521212792804</v>
      </c>
      <c r="AJ14" s="20">
        <f t="shared" si="4"/>
        <v>0</v>
      </c>
      <c r="AK14" s="20">
        <f t="shared" si="4"/>
        <v>0</v>
      </c>
      <c r="AL14" s="20">
        <f t="shared" si="4"/>
        <v>0</v>
      </c>
      <c r="AM14" s="20">
        <f t="shared" si="5"/>
        <v>1.1307521212792804</v>
      </c>
      <c r="AO14">
        <f t="shared" si="6"/>
        <v>0.10142246956579862</v>
      </c>
      <c r="AP14">
        <f t="shared" si="6"/>
        <v>0</v>
      </c>
      <c r="AQ14">
        <f t="shared" si="6"/>
        <v>0</v>
      </c>
      <c r="AR14">
        <f t="shared" si="6"/>
        <v>0</v>
      </c>
      <c r="AS14">
        <f t="shared" si="7"/>
        <v>0.10142246956579862</v>
      </c>
      <c r="AU14">
        <f t="shared" si="8"/>
        <v>1.36707931462665</v>
      </c>
      <c r="AV14">
        <f t="shared" si="8"/>
        <v>0</v>
      </c>
      <c r="AW14">
        <f t="shared" si="8"/>
        <v>0</v>
      </c>
      <c r="AX14">
        <f t="shared" si="8"/>
        <v>0</v>
      </c>
      <c r="AY14">
        <f t="shared" si="9"/>
        <v>1.36707931462665</v>
      </c>
    </row>
    <row r="15" spans="1:53" ht="15" x14ac:dyDescent="0.25">
      <c r="A15" s="1"/>
      <c r="B15" s="2"/>
      <c r="C15" s="1" t="s">
        <v>11</v>
      </c>
      <c r="D15">
        <v>0</v>
      </c>
      <c r="E15" s="360">
        <v>16.971299999999999</v>
      </c>
      <c r="F15">
        <v>0</v>
      </c>
      <c r="G15">
        <v>0</v>
      </c>
      <c r="H15">
        <v>0</v>
      </c>
      <c r="J15">
        <v>0</v>
      </c>
      <c r="K15" s="14">
        <v>5.2454741905186246</v>
      </c>
      <c r="L15">
        <v>0</v>
      </c>
      <c r="M15">
        <v>0</v>
      </c>
      <c r="N15">
        <v>0</v>
      </c>
      <c r="O15" s="20"/>
      <c r="P15" s="20"/>
      <c r="Q15" s="438">
        <v>7.4215936076172564E-2</v>
      </c>
      <c r="R15" s="197">
        <v>0.17699999999999999</v>
      </c>
      <c r="S15" s="197">
        <v>1.77</v>
      </c>
      <c r="T15" s="197">
        <v>0.50078889239507718</v>
      </c>
      <c r="U15" s="197">
        <v>0.75268470790377973</v>
      </c>
      <c r="V15" s="20">
        <f t="shared" si="0"/>
        <v>1.7937325006874054</v>
      </c>
      <c r="W15" s="20">
        <f t="shared" si="0"/>
        <v>0</v>
      </c>
      <c r="X15" s="20">
        <f t="shared" si="0"/>
        <v>0</v>
      </c>
      <c r="Y15" s="20">
        <f t="shared" si="0"/>
        <v>0</v>
      </c>
      <c r="Z15" s="20">
        <f t="shared" si="1"/>
        <v>1.0617036247891489</v>
      </c>
      <c r="AA15" s="20">
        <f t="shared" si="1"/>
        <v>0</v>
      </c>
      <c r="AB15" s="20">
        <f t="shared" si="1"/>
        <v>0</v>
      </c>
      <c r="AC15" s="20">
        <f t="shared" si="1"/>
        <v>0</v>
      </c>
      <c r="AD15" s="20">
        <f t="shared" si="2"/>
        <v>1.0617036247891489</v>
      </c>
      <c r="AE15" s="20">
        <f t="shared" si="3"/>
        <v>19.393841105172381</v>
      </c>
      <c r="AF15" s="20">
        <f t="shared" si="3"/>
        <v>0</v>
      </c>
      <c r="AG15" s="20">
        <f t="shared" si="3"/>
        <v>0</v>
      </c>
      <c r="AH15" s="20">
        <f t="shared" si="3"/>
        <v>0</v>
      </c>
      <c r="AI15" s="20">
        <f t="shared" si="4"/>
        <v>15.472802670761176</v>
      </c>
      <c r="AJ15" s="20">
        <f t="shared" si="4"/>
        <v>0</v>
      </c>
      <c r="AK15" s="20">
        <f t="shared" si="4"/>
        <v>0</v>
      </c>
      <c r="AL15" s="20">
        <f t="shared" si="4"/>
        <v>0</v>
      </c>
      <c r="AM15" s="20">
        <f t="shared" si="5"/>
        <v>15.472802670761176</v>
      </c>
      <c r="AO15">
        <f t="shared" si="6"/>
        <v>1.283599682370081</v>
      </c>
      <c r="AP15">
        <f t="shared" si="6"/>
        <v>0</v>
      </c>
      <c r="AQ15">
        <f t="shared" si="6"/>
        <v>0</v>
      </c>
      <c r="AR15">
        <f t="shared" si="6"/>
        <v>0</v>
      </c>
      <c r="AS15">
        <f t="shared" si="7"/>
        <v>1.283599682370081</v>
      </c>
      <c r="AU15">
        <f t="shared" si="8"/>
        <v>18.706618428950264</v>
      </c>
      <c r="AV15">
        <f t="shared" si="8"/>
        <v>0</v>
      </c>
      <c r="AW15">
        <f t="shared" si="8"/>
        <v>0</v>
      </c>
      <c r="AX15">
        <f t="shared" si="8"/>
        <v>0</v>
      </c>
      <c r="AY15">
        <f t="shared" si="9"/>
        <v>18.706618428950264</v>
      </c>
    </row>
    <row r="16" spans="1:53" ht="15" x14ac:dyDescent="0.25">
      <c r="A16" s="5"/>
      <c r="B16" s="6"/>
      <c r="C16" s="5" t="s">
        <v>12</v>
      </c>
      <c r="D16">
        <v>0</v>
      </c>
      <c r="E16" s="360">
        <v>0</v>
      </c>
      <c r="F16">
        <v>0</v>
      </c>
      <c r="G16">
        <v>0</v>
      </c>
      <c r="H16">
        <v>0</v>
      </c>
      <c r="J16">
        <v>0</v>
      </c>
      <c r="K16" s="14">
        <v>0</v>
      </c>
      <c r="L16">
        <v>0</v>
      </c>
      <c r="M16">
        <v>0</v>
      </c>
      <c r="N16">
        <v>0</v>
      </c>
      <c r="O16" s="20"/>
      <c r="P16" s="20"/>
      <c r="Q16" s="438"/>
      <c r="R16" s="197">
        <v>0.17699999999999999</v>
      </c>
      <c r="S16" s="197">
        <v>1.77</v>
      </c>
      <c r="T16" s="197">
        <v>0.50078889239507718</v>
      </c>
      <c r="U16" s="197">
        <v>0.75268470790377973</v>
      </c>
      <c r="V16" s="20">
        <f t="shared" si="0"/>
        <v>0</v>
      </c>
      <c r="W16" s="20">
        <f t="shared" si="0"/>
        <v>0</v>
      </c>
      <c r="X16" s="20">
        <f t="shared" si="0"/>
        <v>0</v>
      </c>
      <c r="Y16" s="20">
        <f t="shared" si="0"/>
        <v>0</v>
      </c>
      <c r="Z16" s="20">
        <f t="shared" si="1"/>
        <v>0</v>
      </c>
      <c r="AA16" s="20">
        <f t="shared" si="1"/>
        <v>0</v>
      </c>
      <c r="AB16" s="20">
        <f t="shared" si="1"/>
        <v>0</v>
      </c>
      <c r="AC16" s="20">
        <f t="shared" si="1"/>
        <v>0</v>
      </c>
      <c r="AD16" s="20">
        <f t="shared" si="2"/>
        <v>0</v>
      </c>
      <c r="AE16" s="20">
        <f t="shared" si="3"/>
        <v>0</v>
      </c>
      <c r="AF16" s="20">
        <f t="shared" si="3"/>
        <v>0</v>
      </c>
      <c r="AG16" s="20">
        <f t="shared" si="3"/>
        <v>0</v>
      </c>
      <c r="AH16" s="20">
        <f t="shared" si="3"/>
        <v>0</v>
      </c>
      <c r="AI16" s="20">
        <f t="shared" si="4"/>
        <v>0</v>
      </c>
      <c r="AJ16" s="20">
        <f t="shared" si="4"/>
        <v>0</v>
      </c>
      <c r="AK16" s="20">
        <f t="shared" si="4"/>
        <v>0</v>
      </c>
      <c r="AL16" s="20">
        <f t="shared" si="4"/>
        <v>0</v>
      </c>
      <c r="AM16" s="20">
        <f t="shared" si="5"/>
        <v>0</v>
      </c>
      <c r="AO16">
        <f t="shared" si="6"/>
        <v>0</v>
      </c>
      <c r="AP16">
        <f t="shared" si="6"/>
        <v>0</v>
      </c>
      <c r="AQ16">
        <f t="shared" si="6"/>
        <v>0</v>
      </c>
      <c r="AR16">
        <f t="shared" si="6"/>
        <v>0</v>
      </c>
      <c r="AS16">
        <f t="shared" si="7"/>
        <v>0</v>
      </c>
      <c r="AU16">
        <f t="shared" si="8"/>
        <v>0</v>
      </c>
      <c r="AV16">
        <f t="shared" si="8"/>
        <v>0</v>
      </c>
      <c r="AW16">
        <f t="shared" si="8"/>
        <v>0</v>
      </c>
      <c r="AX16">
        <f t="shared" si="8"/>
        <v>0</v>
      </c>
      <c r="AY16">
        <f t="shared" si="9"/>
        <v>0</v>
      </c>
    </row>
    <row r="17" spans="1:53" ht="15" x14ac:dyDescent="0.25">
      <c r="A17" s="5"/>
      <c r="B17" s="6"/>
      <c r="C17" s="5" t="s">
        <v>13</v>
      </c>
      <c r="D17">
        <v>0</v>
      </c>
      <c r="E17" s="360">
        <v>3.8789999999999998E-2</v>
      </c>
      <c r="F17">
        <v>0</v>
      </c>
      <c r="G17">
        <v>0</v>
      </c>
      <c r="H17">
        <v>0</v>
      </c>
      <c r="J17">
        <v>0</v>
      </c>
      <c r="K17" s="14">
        <v>3.8789999999999998E-2</v>
      </c>
      <c r="L17">
        <v>0</v>
      </c>
      <c r="M17">
        <v>0</v>
      </c>
      <c r="N17">
        <v>0</v>
      </c>
      <c r="O17" s="20"/>
      <c r="P17" s="20"/>
      <c r="Q17" s="438">
        <v>7.4215936076172578E-2</v>
      </c>
      <c r="R17" s="197">
        <v>0.17699999999999999</v>
      </c>
      <c r="S17" s="197">
        <v>1.77</v>
      </c>
      <c r="T17" s="197">
        <v>0.50078889239507718</v>
      </c>
      <c r="U17" s="197">
        <v>0.75268470790377973</v>
      </c>
      <c r="V17" s="20">
        <f t="shared" si="0"/>
        <v>1.8738952578341943E-3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1"/>
        <v>1.1091516638937655E-3</v>
      </c>
      <c r="AA17" s="20">
        <f t="shared" si="1"/>
        <v>0</v>
      </c>
      <c r="AB17" s="20">
        <f t="shared" si="1"/>
        <v>0</v>
      </c>
      <c r="AC17" s="20">
        <f t="shared" si="1"/>
        <v>0</v>
      </c>
      <c r="AD17" s="20">
        <f t="shared" si="2"/>
        <v>1.1091516638937655E-3</v>
      </c>
      <c r="AE17" s="20">
        <f t="shared" si="3"/>
        <v>2.9509810922305302E-2</v>
      </c>
      <c r="AF17" s="20">
        <f t="shared" si="3"/>
        <v>0</v>
      </c>
      <c r="AG17" s="20">
        <f t="shared" si="3"/>
        <v>0</v>
      </c>
      <c r="AH17" s="20">
        <f t="shared" si="3"/>
        <v>0</v>
      </c>
      <c r="AI17" s="20">
        <f t="shared" si="4"/>
        <v>2.3543530071024801E-2</v>
      </c>
      <c r="AJ17" s="20">
        <f t="shared" si="4"/>
        <v>0</v>
      </c>
      <c r="AK17" s="20">
        <f t="shared" si="4"/>
        <v>0</v>
      </c>
      <c r="AL17" s="20">
        <f t="shared" si="4"/>
        <v>0</v>
      </c>
      <c r="AM17" s="20">
        <f t="shared" si="5"/>
        <v>2.3543530071024801E-2</v>
      </c>
      <c r="AO17">
        <f t="shared" si="6"/>
        <v>1.3409643616475626E-3</v>
      </c>
      <c r="AP17">
        <f t="shared" si="6"/>
        <v>0</v>
      </c>
      <c r="AQ17">
        <f t="shared" si="6"/>
        <v>0</v>
      </c>
      <c r="AR17">
        <f t="shared" si="6"/>
        <v>0</v>
      </c>
      <c r="AS17">
        <f t="shared" si="7"/>
        <v>1.3409643616475626E-3</v>
      </c>
      <c r="AU17">
        <f t="shared" si="8"/>
        <v>2.8464127855868986E-2</v>
      </c>
      <c r="AV17">
        <f t="shared" si="8"/>
        <v>0</v>
      </c>
      <c r="AW17">
        <f t="shared" si="8"/>
        <v>0</v>
      </c>
      <c r="AX17">
        <f t="shared" si="8"/>
        <v>0</v>
      </c>
      <c r="AY17">
        <f t="shared" si="9"/>
        <v>2.8464127855868986E-2</v>
      </c>
    </row>
    <row r="18" spans="1:53" ht="15" x14ac:dyDescent="0.25">
      <c r="A18" s="7"/>
      <c r="B18" s="8" t="s">
        <v>14</v>
      </c>
      <c r="C18" s="7"/>
      <c r="D18" s="357">
        <f t="shared" ref="D18:H18" si="10">SUM(D12:D17)</f>
        <v>0</v>
      </c>
      <c r="E18" s="363">
        <f>SUM(E12:E17)</f>
        <v>73.624670000000009</v>
      </c>
      <c r="F18" s="357">
        <f t="shared" si="10"/>
        <v>0</v>
      </c>
      <c r="G18" s="357">
        <f t="shared" si="10"/>
        <v>0</v>
      </c>
      <c r="H18" s="357">
        <f t="shared" si="10"/>
        <v>0</v>
      </c>
      <c r="J18">
        <v>0</v>
      </c>
      <c r="K18" s="14">
        <v>48.403303287812918</v>
      </c>
      <c r="L18">
        <v>0</v>
      </c>
      <c r="M18">
        <v>0</v>
      </c>
      <c r="N18">
        <v>0</v>
      </c>
      <c r="O18" s="20"/>
      <c r="P18" s="20"/>
      <c r="Q18" s="438">
        <v>5.8235110504768588E-2</v>
      </c>
      <c r="R18" s="197"/>
      <c r="S18" s="197"/>
      <c r="T18" s="197"/>
      <c r="U18" s="197"/>
      <c r="BA18" s="319">
        <f>(E18*10000*Q18*AU$10)</f>
        <v>51836.368191324902</v>
      </c>
    </row>
    <row r="19" spans="1:53" ht="15" x14ac:dyDescent="0.25">
      <c r="A19" s="5"/>
      <c r="B19" s="9" t="s">
        <v>15</v>
      </c>
      <c r="C19" s="5"/>
      <c r="E19" s="363">
        <f>SUM(E18)</f>
        <v>73.624670000000009</v>
      </c>
      <c r="H19" s="358">
        <f>SUM(D18:H18)</f>
        <v>73.624670000000009</v>
      </c>
      <c r="K19" s="14"/>
      <c r="N19">
        <v>0</v>
      </c>
      <c r="O19" s="20"/>
      <c r="P19" s="191"/>
      <c r="Q19" s="438"/>
      <c r="R19" s="197"/>
      <c r="S19" s="197"/>
      <c r="T19" s="197"/>
      <c r="U19" s="197"/>
    </row>
    <row r="20" spans="1:53" ht="15.75" x14ac:dyDescent="0.25">
      <c r="A20" s="1"/>
      <c r="B20" s="2"/>
      <c r="C20" s="1"/>
      <c r="E20" s="361"/>
      <c r="K20" s="14"/>
      <c r="O20" s="20"/>
      <c r="P20" s="20"/>
      <c r="Q20" s="439"/>
      <c r="R20" s="197"/>
      <c r="S20" s="197"/>
      <c r="T20" s="197"/>
      <c r="U20" s="197"/>
    </row>
    <row r="21" spans="1:53" ht="15" x14ac:dyDescent="0.25">
      <c r="A21" s="1">
        <v>2</v>
      </c>
      <c r="B21" s="2" t="s">
        <v>16</v>
      </c>
      <c r="C21" s="1" t="s">
        <v>8</v>
      </c>
      <c r="D21">
        <v>0</v>
      </c>
      <c r="E21" s="360">
        <v>16.384799999999998</v>
      </c>
      <c r="F21">
        <v>0</v>
      </c>
      <c r="G21">
        <v>0</v>
      </c>
      <c r="H21">
        <v>0</v>
      </c>
      <c r="J21">
        <v>0</v>
      </c>
      <c r="K21" s="14">
        <v>-39.910024524594213</v>
      </c>
      <c r="L21">
        <v>0</v>
      </c>
      <c r="M21">
        <v>0</v>
      </c>
      <c r="N21">
        <v>0</v>
      </c>
      <c r="O21" s="20"/>
      <c r="P21" s="20"/>
      <c r="Q21" s="438">
        <v>0.14153514359598596</v>
      </c>
      <c r="R21" s="197">
        <v>0.3</v>
      </c>
      <c r="S21" s="197">
        <v>2.29</v>
      </c>
      <c r="T21" s="197">
        <v>0.50078889239507718</v>
      </c>
      <c r="U21" s="197">
        <v>0.75268470790377973</v>
      </c>
      <c r="V21" s="20">
        <f t="shared" ref="V21:Y26" si="11">IF(K21&gt;0,((E21-K21)*$Q21*$R21*10)+(K21*$O$12*$Q21*$R21*10),(E21*$Q21*$R21*10))</f>
        <v>6.9570750623745319</v>
      </c>
      <c r="W21" s="20">
        <f t="shared" si="11"/>
        <v>0</v>
      </c>
      <c r="X21" s="20">
        <f t="shared" si="11"/>
        <v>0</v>
      </c>
      <c r="Y21" s="20">
        <f t="shared" si="11"/>
        <v>0</v>
      </c>
      <c r="Z21" s="20">
        <f t="shared" ref="Z21:AC26" si="12">V21*(EXP(1.01-0.34*LN(Z$8))*(1-$T21)+(1*$T21))</f>
        <v>4.1178669666868331</v>
      </c>
      <c r="AA21" s="20">
        <f t="shared" si="12"/>
        <v>0</v>
      </c>
      <c r="AB21" s="20">
        <f t="shared" si="12"/>
        <v>0</v>
      </c>
      <c r="AC21" s="20">
        <f t="shared" si="12"/>
        <v>0</v>
      </c>
      <c r="AD21" s="20">
        <f t="shared" ref="AD21:AD26" si="13">SUM(Z21:AC21)</f>
        <v>4.1178669666868331</v>
      </c>
      <c r="AE21" s="20">
        <f t="shared" ref="AE21:AH26" si="14">IF(K21&gt;0,((E21-K21)*$Q21*$S21*10)+(K21*$P$12*$Q21*$S21)*10,(E21*$Q21*$S21*10))</f>
        <v>53.105672976125589</v>
      </c>
      <c r="AF21" s="20">
        <f t="shared" si="14"/>
        <v>0</v>
      </c>
      <c r="AG21" s="20">
        <f t="shared" si="14"/>
        <v>0</v>
      </c>
      <c r="AH21" s="20">
        <f t="shared" si="14"/>
        <v>0</v>
      </c>
      <c r="AI21" s="20">
        <f t="shared" ref="AI21:AL26" si="15">AE21*(EXP(1.01-0.34*LN(AI$8))*(1-$U21)+(1*$U21))</f>
        <v>42.368790906429474</v>
      </c>
      <c r="AJ21" s="20">
        <f t="shared" si="15"/>
        <v>0</v>
      </c>
      <c r="AK21" s="20">
        <f t="shared" si="15"/>
        <v>0</v>
      </c>
      <c r="AL21" s="20">
        <f t="shared" si="15"/>
        <v>0</v>
      </c>
      <c r="AM21" s="20">
        <f t="shared" ref="AM21:AM26" si="16">SUM(AI21:AL21)</f>
        <v>42.368790906429474</v>
      </c>
      <c r="AO21">
        <f t="shared" ref="AO21:AR26" si="17">Z21*AO$10</f>
        <v>4.9785011627243811</v>
      </c>
      <c r="AP21">
        <f t="shared" si="17"/>
        <v>0</v>
      </c>
      <c r="AQ21">
        <f t="shared" si="17"/>
        <v>0</v>
      </c>
      <c r="AR21">
        <f t="shared" si="17"/>
        <v>0</v>
      </c>
      <c r="AS21">
        <f t="shared" ref="AS21:AS26" si="18">SUM(AO21:AR21)</f>
        <v>4.9785011627243811</v>
      </c>
      <c r="AU21">
        <f t="shared" ref="AU21:AX26" si="19">AI21*AU$10</f>
        <v>51.223868205873238</v>
      </c>
      <c r="AV21">
        <f t="shared" si="19"/>
        <v>0</v>
      </c>
      <c r="AW21">
        <f t="shared" si="19"/>
        <v>0</v>
      </c>
      <c r="AX21">
        <f t="shared" si="19"/>
        <v>0</v>
      </c>
      <c r="AY21">
        <f t="shared" ref="AY21:AY26" si="20">SUM(AU21:AX21)</f>
        <v>51.223868205873238</v>
      </c>
    </row>
    <row r="22" spans="1:53" ht="15" x14ac:dyDescent="0.25">
      <c r="A22" s="1"/>
      <c r="B22" s="2"/>
      <c r="C22" s="1" t="s">
        <v>9</v>
      </c>
      <c r="D22">
        <v>0</v>
      </c>
      <c r="E22" s="360">
        <v>2.0095999999999998</v>
      </c>
      <c r="F22">
        <v>0</v>
      </c>
      <c r="G22">
        <v>0</v>
      </c>
      <c r="H22">
        <v>0</v>
      </c>
      <c r="J22">
        <v>0</v>
      </c>
      <c r="K22" s="14">
        <v>-0.49104187160940027</v>
      </c>
      <c r="L22">
        <v>0</v>
      </c>
      <c r="M22">
        <v>0</v>
      </c>
      <c r="N22">
        <v>0</v>
      </c>
      <c r="O22" s="20"/>
      <c r="P22" s="20"/>
      <c r="Q22" s="438">
        <v>0.14807028719197193</v>
      </c>
      <c r="R22" s="197">
        <v>0.3</v>
      </c>
      <c r="S22" s="197">
        <v>2.29</v>
      </c>
      <c r="T22" s="197">
        <v>0.50078889239507718</v>
      </c>
      <c r="U22" s="197">
        <v>0.75268470790377973</v>
      </c>
      <c r="V22" s="20">
        <f t="shared" si="11"/>
        <v>0.89268614742296026</v>
      </c>
      <c r="W22" s="20">
        <f t="shared" si="11"/>
        <v>0</v>
      </c>
      <c r="X22" s="20">
        <f t="shared" si="11"/>
        <v>0</v>
      </c>
      <c r="Y22" s="20">
        <f t="shared" si="11"/>
        <v>0</v>
      </c>
      <c r="Z22" s="20">
        <f t="shared" si="12"/>
        <v>0.52837762495511886</v>
      </c>
      <c r="AA22" s="20">
        <f t="shared" si="12"/>
        <v>0</v>
      </c>
      <c r="AB22" s="20">
        <f t="shared" si="12"/>
        <v>0</v>
      </c>
      <c r="AC22" s="20">
        <f t="shared" si="12"/>
        <v>0</v>
      </c>
      <c r="AD22" s="20">
        <f t="shared" si="13"/>
        <v>0.52837762495511886</v>
      </c>
      <c r="AE22" s="20">
        <f t="shared" si="14"/>
        <v>6.8141709253285976</v>
      </c>
      <c r="AF22" s="20">
        <f t="shared" si="14"/>
        <v>0</v>
      </c>
      <c r="AG22" s="20">
        <f t="shared" si="14"/>
        <v>0</v>
      </c>
      <c r="AH22" s="20">
        <f t="shared" si="14"/>
        <v>0</v>
      </c>
      <c r="AI22" s="20">
        <f t="shared" si="15"/>
        <v>5.4364847850758098</v>
      </c>
      <c r="AJ22" s="20">
        <f t="shared" si="15"/>
        <v>0</v>
      </c>
      <c r="AK22" s="20">
        <f t="shared" si="15"/>
        <v>0</v>
      </c>
      <c r="AL22" s="20">
        <f t="shared" si="15"/>
        <v>0</v>
      </c>
      <c r="AM22" s="20">
        <f t="shared" si="16"/>
        <v>5.4364847850758098</v>
      </c>
      <c r="AO22">
        <f t="shared" si="17"/>
        <v>0.63880854857073877</v>
      </c>
      <c r="AP22">
        <f t="shared" si="17"/>
        <v>0</v>
      </c>
      <c r="AQ22">
        <f t="shared" si="17"/>
        <v>0</v>
      </c>
      <c r="AR22">
        <f t="shared" si="17"/>
        <v>0</v>
      </c>
      <c r="AS22">
        <f t="shared" si="18"/>
        <v>0.63880854857073877</v>
      </c>
      <c r="AU22">
        <f t="shared" si="19"/>
        <v>6.5727101051566548</v>
      </c>
      <c r="AV22">
        <f t="shared" si="19"/>
        <v>0</v>
      </c>
      <c r="AW22">
        <f t="shared" si="19"/>
        <v>0</v>
      </c>
      <c r="AX22">
        <f t="shared" si="19"/>
        <v>0</v>
      </c>
      <c r="AY22">
        <f t="shared" si="20"/>
        <v>6.5727101051566548</v>
      </c>
    </row>
    <row r="23" spans="1:53" ht="15" x14ac:dyDescent="0.25">
      <c r="A23" s="1"/>
      <c r="B23" s="2"/>
      <c r="C23" s="1" t="s">
        <v>10</v>
      </c>
      <c r="D23">
        <v>0</v>
      </c>
      <c r="E23" s="360">
        <v>0</v>
      </c>
      <c r="F23">
        <v>0</v>
      </c>
      <c r="G23">
        <v>0</v>
      </c>
      <c r="H23">
        <v>0</v>
      </c>
      <c r="J23">
        <v>0</v>
      </c>
      <c r="K23" s="14">
        <v>0</v>
      </c>
      <c r="L23">
        <v>0</v>
      </c>
      <c r="M23">
        <v>0</v>
      </c>
      <c r="N23">
        <v>0</v>
      </c>
      <c r="O23" s="20"/>
      <c r="P23" s="20"/>
      <c r="Q23" s="438"/>
      <c r="R23" s="197">
        <v>0.3</v>
      </c>
      <c r="S23" s="197">
        <v>2.29</v>
      </c>
      <c r="T23" s="197">
        <v>0.50078889239507718</v>
      </c>
      <c r="U23" s="197">
        <v>0.75268470790377973</v>
      </c>
      <c r="V23" s="20">
        <f t="shared" si="11"/>
        <v>0</v>
      </c>
      <c r="W23" s="20">
        <f t="shared" si="11"/>
        <v>0</v>
      </c>
      <c r="X23" s="20">
        <f t="shared" si="11"/>
        <v>0</v>
      </c>
      <c r="Y23" s="20">
        <f t="shared" si="11"/>
        <v>0</v>
      </c>
      <c r="Z23" s="20">
        <f t="shared" si="12"/>
        <v>0</v>
      </c>
      <c r="AA23" s="20">
        <f t="shared" si="12"/>
        <v>0</v>
      </c>
      <c r="AB23" s="20">
        <f t="shared" si="12"/>
        <v>0</v>
      </c>
      <c r="AC23" s="20">
        <f t="shared" si="12"/>
        <v>0</v>
      </c>
      <c r="AD23" s="20">
        <f t="shared" si="13"/>
        <v>0</v>
      </c>
      <c r="AE23" s="20">
        <f t="shared" si="14"/>
        <v>0</v>
      </c>
      <c r="AF23" s="20">
        <f t="shared" si="14"/>
        <v>0</v>
      </c>
      <c r="AG23" s="20">
        <f t="shared" si="14"/>
        <v>0</v>
      </c>
      <c r="AH23" s="20">
        <f t="shared" si="14"/>
        <v>0</v>
      </c>
      <c r="AI23" s="20">
        <f t="shared" si="15"/>
        <v>0</v>
      </c>
      <c r="AJ23" s="20">
        <f t="shared" si="15"/>
        <v>0</v>
      </c>
      <c r="AK23" s="20">
        <f t="shared" si="15"/>
        <v>0</v>
      </c>
      <c r="AL23" s="20">
        <f t="shared" si="15"/>
        <v>0</v>
      </c>
      <c r="AM23" s="20">
        <f t="shared" si="16"/>
        <v>0</v>
      </c>
      <c r="AO23">
        <f t="shared" si="17"/>
        <v>0</v>
      </c>
      <c r="AP23">
        <f t="shared" si="17"/>
        <v>0</v>
      </c>
      <c r="AQ23">
        <f t="shared" si="17"/>
        <v>0</v>
      </c>
      <c r="AR23">
        <f t="shared" si="17"/>
        <v>0</v>
      </c>
      <c r="AS23">
        <f t="shared" si="18"/>
        <v>0</v>
      </c>
      <c r="AU23">
        <f t="shared" si="19"/>
        <v>0</v>
      </c>
      <c r="AV23">
        <f t="shared" si="19"/>
        <v>0</v>
      </c>
      <c r="AW23">
        <f t="shared" si="19"/>
        <v>0</v>
      </c>
      <c r="AX23">
        <f t="shared" si="19"/>
        <v>0</v>
      </c>
      <c r="AY23">
        <f t="shared" si="20"/>
        <v>0</v>
      </c>
    </row>
    <row r="24" spans="1:53" ht="15" x14ac:dyDescent="0.25">
      <c r="A24" s="1"/>
      <c r="B24" s="2"/>
      <c r="C24" s="1" t="s">
        <v>11</v>
      </c>
      <c r="D24">
        <v>0</v>
      </c>
      <c r="E24" s="360">
        <v>0.63349999999999995</v>
      </c>
      <c r="F24">
        <v>0</v>
      </c>
      <c r="G24">
        <v>0</v>
      </c>
      <c r="H24">
        <v>0</v>
      </c>
      <c r="J24">
        <v>0</v>
      </c>
      <c r="K24" s="14">
        <v>-9.2556332118376989</v>
      </c>
      <c r="L24">
        <v>0</v>
      </c>
      <c r="M24">
        <v>0</v>
      </c>
      <c r="N24">
        <v>0</v>
      </c>
      <c r="O24" s="20"/>
      <c r="P24" s="20"/>
      <c r="Q24" s="438">
        <v>0.16114057438394386</v>
      </c>
      <c r="R24" s="197">
        <v>0.3</v>
      </c>
      <c r="S24" s="197">
        <v>2.29</v>
      </c>
      <c r="T24" s="197">
        <v>0.50078889239507718</v>
      </c>
      <c r="U24" s="197">
        <v>0.75268470790377973</v>
      </c>
      <c r="V24" s="20">
        <f t="shared" si="11"/>
        <v>0.30624766161668526</v>
      </c>
      <c r="W24" s="20">
        <f t="shared" si="11"/>
        <v>0</v>
      </c>
      <c r="X24" s="20">
        <f t="shared" si="11"/>
        <v>0</v>
      </c>
      <c r="Y24" s="20">
        <f t="shared" si="11"/>
        <v>0</v>
      </c>
      <c r="Z24" s="20">
        <f t="shared" si="12"/>
        <v>0.18126685684572902</v>
      </c>
      <c r="AA24" s="20">
        <f t="shared" si="12"/>
        <v>0</v>
      </c>
      <c r="AB24" s="20">
        <f t="shared" si="12"/>
        <v>0</v>
      </c>
      <c r="AC24" s="20">
        <f t="shared" si="12"/>
        <v>0</v>
      </c>
      <c r="AD24" s="20">
        <f t="shared" si="13"/>
        <v>0.18126685684572902</v>
      </c>
      <c r="AE24" s="20">
        <f t="shared" si="14"/>
        <v>2.3376904836740309</v>
      </c>
      <c r="AF24" s="20">
        <f t="shared" si="14"/>
        <v>0</v>
      </c>
      <c r="AG24" s="20">
        <f t="shared" si="14"/>
        <v>0</v>
      </c>
      <c r="AH24" s="20">
        <f t="shared" si="14"/>
        <v>0</v>
      </c>
      <c r="AI24" s="20">
        <f t="shared" si="15"/>
        <v>1.8650572294086571</v>
      </c>
      <c r="AJ24" s="20">
        <f t="shared" si="15"/>
        <v>0</v>
      </c>
      <c r="AK24" s="20">
        <f t="shared" si="15"/>
        <v>0</v>
      </c>
      <c r="AL24" s="20">
        <f t="shared" si="15"/>
        <v>0</v>
      </c>
      <c r="AM24" s="20">
        <f t="shared" si="16"/>
        <v>1.8650572294086571</v>
      </c>
      <c r="AO24">
        <f t="shared" si="17"/>
        <v>0.2191516299264864</v>
      </c>
      <c r="AP24">
        <f t="shared" si="17"/>
        <v>0</v>
      </c>
      <c r="AQ24">
        <f t="shared" si="17"/>
        <v>0</v>
      </c>
      <c r="AR24">
        <f t="shared" si="17"/>
        <v>0</v>
      </c>
      <c r="AS24">
        <f t="shared" si="18"/>
        <v>0.2191516299264864</v>
      </c>
      <c r="AU24">
        <f t="shared" si="19"/>
        <v>2.2548541903550667</v>
      </c>
      <c r="AV24">
        <f t="shared" si="19"/>
        <v>0</v>
      </c>
      <c r="AW24">
        <f t="shared" si="19"/>
        <v>0</v>
      </c>
      <c r="AX24">
        <f t="shared" si="19"/>
        <v>0</v>
      </c>
      <c r="AY24">
        <f t="shared" si="20"/>
        <v>2.2548541903550667</v>
      </c>
    </row>
    <row r="25" spans="1:53" ht="15" x14ac:dyDescent="0.25">
      <c r="A25" s="1"/>
      <c r="B25" s="2"/>
      <c r="C25" s="1" t="s">
        <v>12</v>
      </c>
      <c r="D25">
        <v>0</v>
      </c>
      <c r="E25" s="360">
        <v>0</v>
      </c>
      <c r="F25">
        <v>0</v>
      </c>
      <c r="G25">
        <v>0</v>
      </c>
      <c r="H25">
        <v>0</v>
      </c>
      <c r="J25">
        <v>0</v>
      </c>
      <c r="K25" s="14">
        <v>0</v>
      </c>
      <c r="L25">
        <v>0</v>
      </c>
      <c r="M25">
        <v>0</v>
      </c>
      <c r="N25">
        <v>0</v>
      </c>
      <c r="O25" s="20"/>
      <c r="P25" s="20"/>
      <c r="Q25" s="438"/>
      <c r="R25" s="197">
        <v>0.3</v>
      </c>
      <c r="S25" s="197">
        <v>2.29</v>
      </c>
      <c r="T25" s="197">
        <v>0.50078889239507718</v>
      </c>
      <c r="U25" s="197">
        <v>0.75268470790377973</v>
      </c>
      <c r="V25" s="20">
        <f t="shared" si="11"/>
        <v>0</v>
      </c>
      <c r="W25" s="20">
        <f t="shared" si="11"/>
        <v>0</v>
      </c>
      <c r="X25" s="20">
        <f t="shared" si="11"/>
        <v>0</v>
      </c>
      <c r="Y25" s="20">
        <f t="shared" si="11"/>
        <v>0</v>
      </c>
      <c r="Z25" s="20">
        <f t="shared" si="12"/>
        <v>0</v>
      </c>
      <c r="AA25" s="20">
        <f t="shared" si="12"/>
        <v>0</v>
      </c>
      <c r="AB25" s="20">
        <f t="shared" si="12"/>
        <v>0</v>
      </c>
      <c r="AC25" s="20">
        <f t="shared" si="12"/>
        <v>0</v>
      </c>
      <c r="AD25" s="20">
        <f t="shared" si="13"/>
        <v>0</v>
      </c>
      <c r="AE25" s="20">
        <f t="shared" si="14"/>
        <v>0</v>
      </c>
      <c r="AF25" s="20">
        <f t="shared" si="14"/>
        <v>0</v>
      </c>
      <c r="AG25" s="20">
        <f t="shared" si="14"/>
        <v>0</v>
      </c>
      <c r="AH25" s="20">
        <f t="shared" si="14"/>
        <v>0</v>
      </c>
      <c r="AI25" s="20">
        <f t="shared" si="15"/>
        <v>0</v>
      </c>
      <c r="AJ25" s="20">
        <f t="shared" si="15"/>
        <v>0</v>
      </c>
      <c r="AK25" s="20">
        <f t="shared" si="15"/>
        <v>0</v>
      </c>
      <c r="AL25" s="20">
        <f t="shared" si="15"/>
        <v>0</v>
      </c>
      <c r="AM25" s="20">
        <f t="shared" si="16"/>
        <v>0</v>
      </c>
      <c r="AO25">
        <f t="shared" si="17"/>
        <v>0</v>
      </c>
      <c r="AP25">
        <f t="shared" si="17"/>
        <v>0</v>
      </c>
      <c r="AQ25">
        <f t="shared" si="17"/>
        <v>0</v>
      </c>
      <c r="AR25">
        <f t="shared" si="17"/>
        <v>0</v>
      </c>
      <c r="AS25">
        <f t="shared" si="18"/>
        <v>0</v>
      </c>
      <c r="AU25">
        <f t="shared" si="19"/>
        <v>0</v>
      </c>
      <c r="AV25">
        <f t="shared" si="19"/>
        <v>0</v>
      </c>
      <c r="AW25">
        <f t="shared" si="19"/>
        <v>0</v>
      </c>
      <c r="AX25">
        <f t="shared" si="19"/>
        <v>0</v>
      </c>
      <c r="AY25">
        <f t="shared" si="20"/>
        <v>0</v>
      </c>
    </row>
    <row r="26" spans="1:53" ht="15" x14ac:dyDescent="0.25">
      <c r="A26" s="1"/>
      <c r="B26" s="2"/>
      <c r="C26" s="1" t="s">
        <v>13</v>
      </c>
      <c r="D26">
        <v>0</v>
      </c>
      <c r="E26" s="360">
        <v>3.5499999999999997E-2</v>
      </c>
      <c r="F26">
        <v>0</v>
      </c>
      <c r="G26">
        <v>0</v>
      </c>
      <c r="H26">
        <v>0</v>
      </c>
      <c r="J26">
        <v>0</v>
      </c>
      <c r="K26" s="14">
        <v>-1.4578033836145998</v>
      </c>
      <c r="L26">
        <v>0</v>
      </c>
      <c r="M26">
        <v>0</v>
      </c>
      <c r="N26">
        <v>0</v>
      </c>
      <c r="O26" s="20"/>
      <c r="P26" s="20"/>
      <c r="Q26" s="438">
        <v>0.16114057438394386</v>
      </c>
      <c r="R26" s="197">
        <v>0.3</v>
      </c>
      <c r="S26" s="197">
        <v>2.29</v>
      </c>
      <c r="T26" s="197">
        <v>0.50078889239507718</v>
      </c>
      <c r="U26" s="197">
        <v>0.75268470790377973</v>
      </c>
      <c r="V26" s="20">
        <f t="shared" si="11"/>
        <v>1.7161471171890021E-2</v>
      </c>
      <c r="W26" s="20">
        <f t="shared" si="11"/>
        <v>0</v>
      </c>
      <c r="X26" s="20">
        <f t="shared" si="11"/>
        <v>0</v>
      </c>
      <c r="Y26" s="20">
        <f t="shared" si="11"/>
        <v>0</v>
      </c>
      <c r="Z26" s="20">
        <f t="shared" si="12"/>
        <v>1.0157811236027436E-2</v>
      </c>
      <c r="AA26" s="20">
        <f t="shared" si="12"/>
        <v>0</v>
      </c>
      <c r="AB26" s="20">
        <f t="shared" si="12"/>
        <v>0</v>
      </c>
      <c r="AC26" s="20">
        <f t="shared" si="12"/>
        <v>0</v>
      </c>
      <c r="AD26" s="20">
        <f t="shared" si="13"/>
        <v>1.0157811236027436E-2</v>
      </c>
      <c r="AE26" s="20">
        <f t="shared" si="14"/>
        <v>0.13099922994542715</v>
      </c>
      <c r="AF26" s="20">
        <f t="shared" si="14"/>
        <v>0</v>
      </c>
      <c r="AG26" s="20">
        <f t="shared" si="14"/>
        <v>0</v>
      </c>
      <c r="AH26" s="20">
        <f t="shared" si="14"/>
        <v>0</v>
      </c>
      <c r="AI26" s="20">
        <f t="shared" si="15"/>
        <v>0.10451386210577322</v>
      </c>
      <c r="AJ26" s="20">
        <f t="shared" si="15"/>
        <v>0</v>
      </c>
      <c r="AK26" s="20">
        <f t="shared" si="15"/>
        <v>0</v>
      </c>
      <c r="AL26" s="20">
        <f t="shared" si="15"/>
        <v>0</v>
      </c>
      <c r="AM26" s="20">
        <f t="shared" si="16"/>
        <v>0.10451386210577322</v>
      </c>
      <c r="AO26">
        <f t="shared" si="17"/>
        <v>1.2280793784357171E-2</v>
      </c>
      <c r="AP26">
        <f t="shared" si="17"/>
        <v>0</v>
      </c>
      <c r="AQ26">
        <f t="shared" si="17"/>
        <v>0</v>
      </c>
      <c r="AR26">
        <f t="shared" si="17"/>
        <v>0</v>
      </c>
      <c r="AS26">
        <f t="shared" si="18"/>
        <v>1.2280793784357171E-2</v>
      </c>
      <c r="AU26">
        <f t="shared" si="19"/>
        <v>0.12635725928587985</v>
      </c>
      <c r="AV26">
        <f t="shared" si="19"/>
        <v>0</v>
      </c>
      <c r="AW26">
        <f t="shared" si="19"/>
        <v>0</v>
      </c>
      <c r="AX26">
        <f t="shared" si="19"/>
        <v>0</v>
      </c>
      <c r="AY26">
        <f t="shared" si="20"/>
        <v>0.12635725928587985</v>
      </c>
    </row>
    <row r="27" spans="1:53" ht="15" x14ac:dyDescent="0.25">
      <c r="A27" s="7"/>
      <c r="B27" s="8" t="s">
        <v>14</v>
      </c>
      <c r="C27" s="7"/>
      <c r="D27" s="357">
        <f t="shared" ref="D27:H27" si="21">SUM(D21:D26)</f>
        <v>0</v>
      </c>
      <c r="E27" s="363">
        <f>SUM(E21:E26)</f>
        <v>19.063399999999998</v>
      </c>
      <c r="F27" s="357">
        <f t="shared" si="21"/>
        <v>0</v>
      </c>
      <c r="G27" s="357">
        <f t="shared" si="21"/>
        <v>0</v>
      </c>
      <c r="H27" s="357">
        <f t="shared" si="21"/>
        <v>0</v>
      </c>
      <c r="J27">
        <v>0</v>
      </c>
      <c r="K27" s="14">
        <v>-51.114502991655911</v>
      </c>
      <c r="L27">
        <v>0</v>
      </c>
      <c r="M27">
        <v>0</v>
      </c>
      <c r="N27">
        <v>0</v>
      </c>
      <c r="O27" s="20"/>
      <c r="P27" s="20"/>
      <c r="Q27" s="438">
        <v>0.14291207833835287</v>
      </c>
      <c r="R27" s="197"/>
      <c r="S27" s="197"/>
      <c r="T27" s="197"/>
      <c r="U27" s="197"/>
      <c r="BA27" s="319">
        <f>(E27*10000*Q27*AU$10)</f>
        <v>32937.876480621853</v>
      </c>
    </row>
    <row r="28" spans="1:53" ht="15" x14ac:dyDescent="0.25">
      <c r="A28" s="5"/>
      <c r="B28" s="9" t="s">
        <v>15</v>
      </c>
      <c r="C28" s="5"/>
      <c r="E28" s="363">
        <f>SUM(E27)</f>
        <v>19.063399999999998</v>
      </c>
      <c r="H28" s="358">
        <f>SUM(D27:H27)</f>
        <v>19.063399999999998</v>
      </c>
      <c r="K28" s="14"/>
      <c r="N28">
        <v>0</v>
      </c>
      <c r="O28" s="20"/>
      <c r="P28" s="20"/>
      <c r="Q28" s="438"/>
      <c r="R28" s="197"/>
      <c r="S28" s="197"/>
      <c r="T28" s="197"/>
      <c r="U28" s="197"/>
    </row>
    <row r="29" spans="1:53" ht="15.75" x14ac:dyDescent="0.25">
      <c r="A29" s="1"/>
      <c r="B29" s="2"/>
      <c r="C29" s="1"/>
      <c r="E29" s="361"/>
      <c r="K29" s="14"/>
      <c r="O29" s="20"/>
      <c r="P29" s="20"/>
      <c r="Q29" s="439"/>
      <c r="R29" s="197"/>
      <c r="S29" s="197"/>
      <c r="T29" s="197"/>
      <c r="U29" s="197"/>
    </row>
    <row r="30" spans="1:53" ht="15" x14ac:dyDescent="0.25">
      <c r="A30" s="1">
        <v>3</v>
      </c>
      <c r="B30" s="2" t="s">
        <v>17</v>
      </c>
      <c r="C30" s="1" t="s">
        <v>8</v>
      </c>
      <c r="D30">
        <v>0</v>
      </c>
      <c r="E30" s="360">
        <v>23.123049999999999</v>
      </c>
      <c r="F30">
        <v>0</v>
      </c>
      <c r="G30">
        <v>0</v>
      </c>
      <c r="H30">
        <v>0</v>
      </c>
      <c r="J30">
        <v>0</v>
      </c>
      <c r="K30" s="14">
        <v>3.4634967865729998</v>
      </c>
      <c r="L30">
        <v>0</v>
      </c>
      <c r="M30">
        <v>0</v>
      </c>
      <c r="N30">
        <v>0</v>
      </c>
      <c r="O30" s="20"/>
      <c r="P30" s="20"/>
      <c r="Q30" s="438">
        <v>0.23076630317292882</v>
      </c>
      <c r="R30" s="197">
        <v>0.49</v>
      </c>
      <c r="S30" s="197">
        <v>2.42</v>
      </c>
      <c r="T30" s="197">
        <v>0.50078889239507718</v>
      </c>
      <c r="U30" s="197">
        <v>0.75268470790377973</v>
      </c>
      <c r="V30" s="20">
        <f t="shared" ref="V30:Y35" si="22">IF(K30&gt;0,((E30-K30)*$Q30*$R30*10)+(K30*$O$12*$Q30*$R30*10),(E30*$Q30*$R30*10))</f>
        <v>23.670387417833865</v>
      </c>
      <c r="W30" s="20">
        <f t="shared" si="22"/>
        <v>0</v>
      </c>
      <c r="X30" s="20">
        <f t="shared" si="22"/>
        <v>0</v>
      </c>
      <c r="Y30" s="20">
        <f t="shared" si="22"/>
        <v>0</v>
      </c>
      <c r="Z30" s="20">
        <f t="shared" ref="Z30:AC35" si="23">V30*(EXP(1.01-0.34*LN(Z$8))*(1-$T30)+(1*$T30))</f>
        <v>14.010414658845084</v>
      </c>
      <c r="AA30" s="20">
        <f t="shared" si="23"/>
        <v>0</v>
      </c>
      <c r="AB30" s="20">
        <f t="shared" si="23"/>
        <v>0</v>
      </c>
      <c r="AC30" s="20">
        <f t="shared" si="23"/>
        <v>0</v>
      </c>
      <c r="AD30" s="20">
        <f t="shared" ref="AD30:AD35" si="24">SUM(Z30:AC30)</f>
        <v>14.010414658845084</v>
      </c>
      <c r="AE30" s="20">
        <f t="shared" ref="AE30:AH35" si="25">IF(K30&gt;0,((E30-K30)*$Q30*$S30*10)+(K30*$P$12*$Q30*$S30)*10,(E30*$Q30*$S30*10))</f>
        <v>120.99121693478426</v>
      </c>
      <c r="AF30" s="20">
        <f t="shared" si="25"/>
        <v>0</v>
      </c>
      <c r="AG30" s="20">
        <f t="shared" si="25"/>
        <v>0</v>
      </c>
      <c r="AH30" s="20">
        <f t="shared" si="25"/>
        <v>0</v>
      </c>
      <c r="AI30" s="20">
        <f t="shared" ref="AI30:AL35" si="26">AE30*(EXP(1.01-0.34*LN(AI$8))*(1-$U30)+(1*$U30))</f>
        <v>96.529264851401138</v>
      </c>
      <c r="AJ30" s="20">
        <f t="shared" si="26"/>
        <v>0</v>
      </c>
      <c r="AK30" s="20">
        <f t="shared" si="26"/>
        <v>0</v>
      </c>
      <c r="AL30" s="20">
        <f t="shared" si="26"/>
        <v>0</v>
      </c>
      <c r="AM30" s="20">
        <f t="shared" ref="AM30:AM35" si="27">SUM(AI30:AL30)</f>
        <v>96.529264851401138</v>
      </c>
      <c r="AO30">
        <f t="shared" ref="AO30:AR35" si="28">Z30*AO$10</f>
        <v>16.938591322543708</v>
      </c>
      <c r="AP30">
        <f t="shared" si="28"/>
        <v>0</v>
      </c>
      <c r="AQ30">
        <f t="shared" si="28"/>
        <v>0</v>
      </c>
      <c r="AR30">
        <f t="shared" si="28"/>
        <v>0</v>
      </c>
      <c r="AS30">
        <f t="shared" ref="AS30:AS35" si="29">SUM(AO30:AR30)</f>
        <v>16.938591322543708</v>
      </c>
      <c r="AU30">
        <f t="shared" ref="AU30:AX35" si="30">AI30*AU$10</f>
        <v>116.70388120534398</v>
      </c>
      <c r="AV30">
        <f t="shared" si="30"/>
        <v>0</v>
      </c>
      <c r="AW30">
        <f t="shared" si="30"/>
        <v>0</v>
      </c>
      <c r="AX30">
        <f t="shared" si="30"/>
        <v>0</v>
      </c>
      <c r="AY30">
        <f t="shared" ref="AY30:AY35" si="31">SUM(AU30:AX30)</f>
        <v>116.70388120534398</v>
      </c>
    </row>
    <row r="31" spans="1:53" ht="15" x14ac:dyDescent="0.25">
      <c r="A31" s="1"/>
      <c r="B31" s="2"/>
      <c r="C31" s="1" t="s">
        <v>9</v>
      </c>
      <c r="D31">
        <v>0</v>
      </c>
      <c r="E31" s="360">
        <v>3.0118</v>
      </c>
      <c r="F31">
        <v>0</v>
      </c>
      <c r="G31">
        <v>0</v>
      </c>
      <c r="H31">
        <v>0</v>
      </c>
      <c r="J31">
        <v>0</v>
      </c>
      <c r="K31" s="14">
        <v>3.0118</v>
      </c>
      <c r="L31">
        <v>0</v>
      </c>
      <c r="M31">
        <v>0</v>
      </c>
      <c r="N31">
        <v>0</v>
      </c>
      <c r="O31" s="20"/>
      <c r="P31" s="20"/>
      <c r="Q31" s="438">
        <v>0.2365326063458576</v>
      </c>
      <c r="R31" s="197">
        <v>0.49</v>
      </c>
      <c r="S31" s="197">
        <v>2.42</v>
      </c>
      <c r="T31" s="197">
        <v>0.50078889239507718</v>
      </c>
      <c r="U31" s="197">
        <v>0.75268470790377973</v>
      </c>
      <c r="V31" s="20">
        <f t="shared" si="22"/>
        <v>1.2837141341039557</v>
      </c>
      <c r="W31" s="20">
        <f t="shared" si="22"/>
        <v>0</v>
      </c>
      <c r="X31" s="20">
        <f t="shared" si="22"/>
        <v>0</v>
      </c>
      <c r="Y31" s="20">
        <f t="shared" si="22"/>
        <v>0</v>
      </c>
      <c r="Z31" s="20">
        <f t="shared" si="23"/>
        <v>0.7598256422565377</v>
      </c>
      <c r="AA31" s="20">
        <f t="shared" si="23"/>
        <v>0</v>
      </c>
      <c r="AB31" s="20">
        <f t="shared" si="23"/>
        <v>0</v>
      </c>
      <c r="AC31" s="20">
        <f t="shared" si="23"/>
        <v>0</v>
      </c>
      <c r="AD31" s="20">
        <f t="shared" si="24"/>
        <v>0.7598256422565377</v>
      </c>
      <c r="AE31" s="20">
        <f t="shared" si="25"/>
        <v>9.9840954340284362</v>
      </c>
      <c r="AF31" s="20">
        <f t="shared" si="25"/>
        <v>0</v>
      </c>
      <c r="AG31" s="20">
        <f t="shared" si="25"/>
        <v>0</v>
      </c>
      <c r="AH31" s="20">
        <f t="shared" si="25"/>
        <v>0</v>
      </c>
      <c r="AI31" s="20">
        <f t="shared" si="26"/>
        <v>7.9655153230872342</v>
      </c>
      <c r="AJ31" s="20">
        <f t="shared" si="26"/>
        <v>0</v>
      </c>
      <c r="AK31" s="20">
        <f t="shared" si="26"/>
        <v>0</v>
      </c>
      <c r="AL31" s="20">
        <f t="shared" si="26"/>
        <v>0</v>
      </c>
      <c r="AM31" s="20">
        <f t="shared" si="27"/>
        <v>7.9655153230872342</v>
      </c>
      <c r="AO31">
        <f t="shared" si="28"/>
        <v>0.91862920148815419</v>
      </c>
      <c r="AP31">
        <f t="shared" si="28"/>
        <v>0</v>
      </c>
      <c r="AQ31">
        <f t="shared" si="28"/>
        <v>0</v>
      </c>
      <c r="AR31">
        <f t="shared" si="28"/>
        <v>0</v>
      </c>
      <c r="AS31">
        <f t="shared" si="29"/>
        <v>0.91862920148815419</v>
      </c>
      <c r="AU31">
        <f t="shared" si="30"/>
        <v>9.6303080256124662</v>
      </c>
      <c r="AV31">
        <f t="shared" si="30"/>
        <v>0</v>
      </c>
      <c r="AW31">
        <f t="shared" si="30"/>
        <v>0</v>
      </c>
      <c r="AX31">
        <f t="shared" si="30"/>
        <v>0</v>
      </c>
      <c r="AY31">
        <f t="shared" si="31"/>
        <v>9.6303080256124662</v>
      </c>
    </row>
    <row r="32" spans="1:53" ht="15" x14ac:dyDescent="0.25">
      <c r="A32" s="1"/>
      <c r="B32" s="2"/>
      <c r="C32" s="1" t="s">
        <v>10</v>
      </c>
      <c r="D32">
        <v>0</v>
      </c>
      <c r="E32" s="360">
        <v>1.19706</v>
      </c>
      <c r="F32">
        <v>0</v>
      </c>
      <c r="G32">
        <v>0</v>
      </c>
      <c r="H32">
        <v>0</v>
      </c>
      <c r="J32">
        <v>0</v>
      </c>
      <c r="K32" s="14">
        <v>2.7851047800000472E-3</v>
      </c>
      <c r="L32">
        <v>0</v>
      </c>
      <c r="M32">
        <v>0</v>
      </c>
      <c r="N32">
        <v>0</v>
      </c>
      <c r="O32" s="20"/>
      <c r="P32" s="20"/>
      <c r="Q32" s="438">
        <v>0.24229890951878644</v>
      </c>
      <c r="R32" s="197">
        <v>0.49</v>
      </c>
      <c r="S32" s="197">
        <v>2.42</v>
      </c>
      <c r="T32" s="197">
        <v>0.50078889239507718</v>
      </c>
      <c r="U32" s="197">
        <v>0.75268470790377973</v>
      </c>
      <c r="V32" s="20">
        <f t="shared" si="22"/>
        <v>1.4191364030893401</v>
      </c>
      <c r="W32" s="20">
        <f t="shared" si="22"/>
        <v>0</v>
      </c>
      <c r="X32" s="20">
        <f t="shared" si="22"/>
        <v>0</v>
      </c>
      <c r="Y32" s="20">
        <f t="shared" si="22"/>
        <v>0</v>
      </c>
      <c r="Z32" s="20">
        <f t="shared" si="23"/>
        <v>0.83998158178701632</v>
      </c>
      <c r="AA32" s="20">
        <f t="shared" si="23"/>
        <v>0</v>
      </c>
      <c r="AB32" s="20">
        <f t="shared" si="23"/>
        <v>0</v>
      </c>
      <c r="AC32" s="20">
        <f t="shared" si="23"/>
        <v>0</v>
      </c>
      <c r="AD32" s="20">
        <f t="shared" si="24"/>
        <v>0.83998158178701632</v>
      </c>
      <c r="AE32" s="20">
        <f t="shared" si="25"/>
        <v>7.0122480947433123</v>
      </c>
      <c r="AF32" s="20">
        <f t="shared" si="25"/>
        <v>0</v>
      </c>
      <c r="AG32" s="20">
        <f t="shared" si="25"/>
        <v>0</v>
      </c>
      <c r="AH32" s="20">
        <f t="shared" si="25"/>
        <v>0</v>
      </c>
      <c r="AI32" s="20">
        <f t="shared" si="26"/>
        <v>5.5945147977647052</v>
      </c>
      <c r="AJ32" s="20">
        <f t="shared" si="26"/>
        <v>0</v>
      </c>
      <c r="AK32" s="20">
        <f t="shared" si="26"/>
        <v>0</v>
      </c>
      <c r="AL32" s="20">
        <f t="shared" si="26"/>
        <v>0</v>
      </c>
      <c r="AM32" s="20">
        <f t="shared" si="27"/>
        <v>5.5945147977647052</v>
      </c>
      <c r="AO32">
        <f t="shared" si="28"/>
        <v>1.0155377323805028</v>
      </c>
      <c r="AP32">
        <f t="shared" si="28"/>
        <v>0</v>
      </c>
      <c r="AQ32">
        <f t="shared" si="28"/>
        <v>0</v>
      </c>
      <c r="AR32">
        <f t="shared" si="28"/>
        <v>0</v>
      </c>
      <c r="AS32">
        <f t="shared" si="29"/>
        <v>1.0155377323805028</v>
      </c>
      <c r="AU32">
        <f t="shared" si="30"/>
        <v>6.7637683904975292</v>
      </c>
      <c r="AV32">
        <f t="shared" si="30"/>
        <v>0</v>
      </c>
      <c r="AW32">
        <f t="shared" si="30"/>
        <v>0</v>
      </c>
      <c r="AX32">
        <f t="shared" si="30"/>
        <v>0</v>
      </c>
      <c r="AY32">
        <f t="shared" si="31"/>
        <v>6.7637683904975292</v>
      </c>
    </row>
    <row r="33" spans="1:53" ht="15" x14ac:dyDescent="0.25">
      <c r="A33" s="1"/>
      <c r="B33" s="2"/>
      <c r="C33" s="1" t="s">
        <v>11</v>
      </c>
      <c r="D33">
        <v>0</v>
      </c>
      <c r="E33" s="360">
        <v>6.4028799999999997</v>
      </c>
      <c r="F33">
        <v>0</v>
      </c>
      <c r="G33">
        <v>0</v>
      </c>
      <c r="H33">
        <v>0</v>
      </c>
      <c r="J33">
        <v>0</v>
      </c>
      <c r="K33" s="14">
        <v>6.2604168422762765</v>
      </c>
      <c r="L33">
        <v>0</v>
      </c>
      <c r="M33">
        <v>0</v>
      </c>
      <c r="N33">
        <v>0</v>
      </c>
      <c r="O33" s="20"/>
      <c r="P33" s="20"/>
      <c r="Q33" s="438">
        <v>0.24806521269171519</v>
      </c>
      <c r="R33" s="197">
        <v>0.49</v>
      </c>
      <c r="S33" s="197">
        <v>2.42</v>
      </c>
      <c r="T33" s="197">
        <v>0.50078889239507718</v>
      </c>
      <c r="U33" s="197">
        <v>0.75268470790377973</v>
      </c>
      <c r="V33" s="20">
        <f t="shared" si="22"/>
        <v>2.9716344179455154</v>
      </c>
      <c r="W33" s="20">
        <f t="shared" si="22"/>
        <v>0</v>
      </c>
      <c r="X33" s="20">
        <f t="shared" si="22"/>
        <v>0</v>
      </c>
      <c r="Y33" s="20">
        <f t="shared" si="22"/>
        <v>0</v>
      </c>
      <c r="Z33" s="20">
        <f t="shared" si="23"/>
        <v>1.7588994077276681</v>
      </c>
      <c r="AA33" s="20">
        <f t="shared" si="23"/>
        <v>0</v>
      </c>
      <c r="AB33" s="20">
        <f t="shared" si="23"/>
        <v>0</v>
      </c>
      <c r="AC33" s="20">
        <f t="shared" si="23"/>
        <v>0</v>
      </c>
      <c r="AD33" s="20">
        <f t="shared" si="24"/>
        <v>1.7588994077276681</v>
      </c>
      <c r="AE33" s="20">
        <f t="shared" si="25"/>
        <v>22.620333073083323</v>
      </c>
      <c r="AF33" s="20">
        <f t="shared" si="25"/>
        <v>0</v>
      </c>
      <c r="AG33" s="20">
        <f t="shared" si="25"/>
        <v>0</v>
      </c>
      <c r="AH33" s="20">
        <f t="shared" si="25"/>
        <v>0</v>
      </c>
      <c r="AI33" s="20">
        <f t="shared" si="26"/>
        <v>18.046963883465317</v>
      </c>
      <c r="AJ33" s="20">
        <f t="shared" si="26"/>
        <v>0</v>
      </c>
      <c r="AK33" s="20">
        <f t="shared" si="26"/>
        <v>0</v>
      </c>
      <c r="AL33" s="20">
        <f t="shared" si="26"/>
        <v>0</v>
      </c>
      <c r="AM33" s="20">
        <f t="shared" si="27"/>
        <v>18.046963883465317</v>
      </c>
      <c r="AO33">
        <f t="shared" si="28"/>
        <v>2.1265093839427509</v>
      </c>
      <c r="AP33">
        <f t="shared" si="28"/>
        <v>0</v>
      </c>
      <c r="AQ33">
        <f t="shared" si="28"/>
        <v>0</v>
      </c>
      <c r="AR33">
        <f t="shared" si="28"/>
        <v>0</v>
      </c>
      <c r="AS33">
        <f t="shared" si="29"/>
        <v>2.1265093839427509</v>
      </c>
      <c r="AU33">
        <f t="shared" si="30"/>
        <v>21.818779335109568</v>
      </c>
      <c r="AV33">
        <f t="shared" si="30"/>
        <v>0</v>
      </c>
      <c r="AW33">
        <f t="shared" si="30"/>
        <v>0</v>
      </c>
      <c r="AX33">
        <f t="shared" si="30"/>
        <v>0</v>
      </c>
      <c r="AY33">
        <f t="shared" si="31"/>
        <v>21.818779335109568</v>
      </c>
    </row>
    <row r="34" spans="1:53" ht="15" x14ac:dyDescent="0.25">
      <c r="A34" s="1"/>
      <c r="B34" s="2"/>
      <c r="C34" s="1" t="s">
        <v>12</v>
      </c>
      <c r="D34">
        <v>0</v>
      </c>
      <c r="E34" s="360">
        <v>0</v>
      </c>
      <c r="F34">
        <v>0</v>
      </c>
      <c r="G34">
        <v>0</v>
      </c>
      <c r="H34">
        <v>0</v>
      </c>
      <c r="J34">
        <v>0</v>
      </c>
      <c r="K34" s="14">
        <v>0</v>
      </c>
      <c r="L34">
        <v>0</v>
      </c>
      <c r="M34">
        <v>0</v>
      </c>
      <c r="N34">
        <v>0</v>
      </c>
      <c r="O34" s="20"/>
      <c r="P34" s="20"/>
      <c r="Q34" s="438"/>
      <c r="R34" s="197">
        <v>0.49</v>
      </c>
      <c r="S34" s="197">
        <v>2.42</v>
      </c>
      <c r="T34" s="197">
        <v>0.50078889239507718</v>
      </c>
      <c r="U34" s="197">
        <v>0.75268470790377973</v>
      </c>
      <c r="V34" s="20">
        <f t="shared" si="22"/>
        <v>0</v>
      </c>
      <c r="W34" s="20">
        <f t="shared" si="22"/>
        <v>0</v>
      </c>
      <c r="X34" s="20">
        <f t="shared" si="22"/>
        <v>0</v>
      </c>
      <c r="Y34" s="20">
        <f t="shared" si="22"/>
        <v>0</v>
      </c>
      <c r="Z34" s="20">
        <f t="shared" si="23"/>
        <v>0</v>
      </c>
      <c r="AA34" s="20">
        <f t="shared" si="23"/>
        <v>0</v>
      </c>
      <c r="AB34" s="20">
        <f t="shared" si="23"/>
        <v>0</v>
      </c>
      <c r="AC34" s="20">
        <f t="shared" si="23"/>
        <v>0</v>
      </c>
      <c r="AD34" s="20">
        <f t="shared" si="24"/>
        <v>0</v>
      </c>
      <c r="AE34" s="20">
        <f t="shared" si="25"/>
        <v>0</v>
      </c>
      <c r="AF34" s="20">
        <f t="shared" si="25"/>
        <v>0</v>
      </c>
      <c r="AG34" s="20">
        <f t="shared" si="25"/>
        <v>0</v>
      </c>
      <c r="AH34" s="20">
        <f t="shared" si="25"/>
        <v>0</v>
      </c>
      <c r="AI34" s="20">
        <f t="shared" si="26"/>
        <v>0</v>
      </c>
      <c r="AJ34" s="20">
        <f t="shared" si="26"/>
        <v>0</v>
      </c>
      <c r="AK34" s="20">
        <f t="shared" si="26"/>
        <v>0</v>
      </c>
      <c r="AL34" s="20">
        <f t="shared" si="26"/>
        <v>0</v>
      </c>
      <c r="AM34" s="20">
        <f t="shared" si="27"/>
        <v>0</v>
      </c>
      <c r="AO34">
        <f t="shared" si="28"/>
        <v>0</v>
      </c>
      <c r="AP34">
        <f t="shared" si="28"/>
        <v>0</v>
      </c>
      <c r="AQ34">
        <f t="shared" si="28"/>
        <v>0</v>
      </c>
      <c r="AR34">
        <f t="shared" si="28"/>
        <v>0</v>
      </c>
      <c r="AS34">
        <f t="shared" si="29"/>
        <v>0</v>
      </c>
      <c r="AU34">
        <f t="shared" si="30"/>
        <v>0</v>
      </c>
      <c r="AV34">
        <f t="shared" si="30"/>
        <v>0</v>
      </c>
      <c r="AW34">
        <f t="shared" si="30"/>
        <v>0</v>
      </c>
      <c r="AX34">
        <f t="shared" si="30"/>
        <v>0</v>
      </c>
      <c r="AY34">
        <f t="shared" si="31"/>
        <v>0</v>
      </c>
    </row>
    <row r="35" spans="1:53" ht="15" x14ac:dyDescent="0.25">
      <c r="A35" s="1"/>
      <c r="B35" s="2"/>
      <c r="C35" s="1" t="s">
        <v>13</v>
      </c>
      <c r="D35">
        <v>0</v>
      </c>
      <c r="E35" s="360">
        <v>4.8399999999999999E-2</v>
      </c>
      <c r="F35">
        <v>0</v>
      </c>
      <c r="G35">
        <v>0</v>
      </c>
      <c r="H35">
        <v>0</v>
      </c>
      <c r="J35">
        <v>0</v>
      </c>
      <c r="K35" s="14">
        <v>-0.1467011429</v>
      </c>
      <c r="L35">
        <v>0</v>
      </c>
      <c r="M35">
        <v>0</v>
      </c>
      <c r="N35">
        <v>0</v>
      </c>
      <c r="O35" s="20"/>
      <c r="P35" s="20"/>
      <c r="Q35" s="438">
        <v>0.24806521269171519</v>
      </c>
      <c r="R35" s="197">
        <v>0.49</v>
      </c>
      <c r="S35" s="197">
        <v>2.42</v>
      </c>
      <c r="T35" s="197">
        <v>0.50078889239507718</v>
      </c>
      <c r="U35" s="197">
        <v>0.75268470790377973</v>
      </c>
      <c r="V35" s="20">
        <f t="shared" si="22"/>
        <v>5.8831145841967171E-2</v>
      </c>
      <c r="W35" s="20">
        <f t="shared" si="22"/>
        <v>0</v>
      </c>
      <c r="X35" s="20">
        <f t="shared" si="22"/>
        <v>0</v>
      </c>
      <c r="Y35" s="20">
        <f t="shared" si="22"/>
        <v>0</v>
      </c>
      <c r="Z35" s="20">
        <f t="shared" si="23"/>
        <v>3.4821937366345777E-2</v>
      </c>
      <c r="AA35" s="20">
        <f t="shared" si="23"/>
        <v>0</v>
      </c>
      <c r="AB35" s="20">
        <f t="shared" si="23"/>
        <v>0</v>
      </c>
      <c r="AC35" s="20">
        <f t="shared" si="23"/>
        <v>0</v>
      </c>
      <c r="AD35" s="20">
        <f t="shared" si="24"/>
        <v>3.4821937366345777E-2</v>
      </c>
      <c r="AE35" s="20">
        <f t="shared" si="25"/>
        <v>0.29055382232155214</v>
      </c>
      <c r="AF35" s="20">
        <f t="shared" si="25"/>
        <v>0</v>
      </c>
      <c r="AG35" s="20">
        <f t="shared" si="25"/>
        <v>0</v>
      </c>
      <c r="AH35" s="20">
        <f t="shared" si="25"/>
        <v>0</v>
      </c>
      <c r="AI35" s="20">
        <f t="shared" si="26"/>
        <v>0.23180977577555648</v>
      </c>
      <c r="AJ35" s="20">
        <f t="shared" si="26"/>
        <v>0</v>
      </c>
      <c r="AK35" s="20">
        <f t="shared" si="26"/>
        <v>0</v>
      </c>
      <c r="AL35" s="20">
        <f t="shared" si="26"/>
        <v>0</v>
      </c>
      <c r="AM35" s="20">
        <f t="shared" si="27"/>
        <v>0.23180977577555648</v>
      </c>
      <c r="AO35">
        <f t="shared" si="28"/>
        <v>4.2099722275912049E-2</v>
      </c>
      <c r="AP35">
        <f t="shared" si="28"/>
        <v>0</v>
      </c>
      <c r="AQ35">
        <f t="shared" si="28"/>
        <v>0</v>
      </c>
      <c r="AR35">
        <f t="shared" si="28"/>
        <v>0</v>
      </c>
      <c r="AS35">
        <f t="shared" si="29"/>
        <v>4.2099722275912049E-2</v>
      </c>
      <c r="AU35">
        <f t="shared" si="30"/>
        <v>0.28025801891264779</v>
      </c>
      <c r="AV35">
        <f t="shared" si="30"/>
        <v>0</v>
      </c>
      <c r="AW35">
        <f t="shared" si="30"/>
        <v>0</v>
      </c>
      <c r="AX35">
        <f t="shared" si="30"/>
        <v>0</v>
      </c>
      <c r="AY35">
        <f t="shared" si="31"/>
        <v>0.28025801891264779</v>
      </c>
    </row>
    <row r="36" spans="1:53" ht="15" x14ac:dyDescent="0.25">
      <c r="A36" s="7"/>
      <c r="B36" s="8" t="s">
        <v>14</v>
      </c>
      <c r="C36" s="7"/>
      <c r="D36" s="357">
        <f t="shared" ref="D36:H36" si="32">SUM(D30:D35)</f>
        <v>0</v>
      </c>
      <c r="E36" s="363">
        <f>SUM(E30:E35)</f>
        <v>33.783190000000005</v>
      </c>
      <c r="F36" s="357">
        <f t="shared" si="32"/>
        <v>0</v>
      </c>
      <c r="G36" s="357">
        <f t="shared" si="32"/>
        <v>0</v>
      </c>
      <c r="H36" s="357">
        <f t="shared" si="32"/>
        <v>0</v>
      </c>
      <c r="J36">
        <v>0</v>
      </c>
      <c r="K36" s="14">
        <v>12.591797590729282</v>
      </c>
      <c r="L36">
        <v>0</v>
      </c>
      <c r="M36">
        <v>0</v>
      </c>
      <c r="N36">
        <v>0</v>
      </c>
      <c r="O36" s="20"/>
      <c r="P36" s="20"/>
      <c r="Q36" s="438">
        <v>0.23499243701786632</v>
      </c>
      <c r="R36" s="197"/>
      <c r="S36" s="197"/>
      <c r="T36" s="197"/>
      <c r="U36" s="197"/>
      <c r="BA36" s="319">
        <f>(E36*10000*Q36*AU$10)</f>
        <v>95980.021253401719</v>
      </c>
    </row>
    <row r="37" spans="1:53" ht="15" x14ac:dyDescent="0.25">
      <c r="A37" s="5"/>
      <c r="B37" s="9" t="s">
        <v>15</v>
      </c>
      <c r="C37" s="5"/>
      <c r="E37" s="363">
        <f>SUM(E36)</f>
        <v>33.783190000000005</v>
      </c>
      <c r="H37" s="358">
        <f>SUM(D36:H36)</f>
        <v>33.783190000000005</v>
      </c>
      <c r="K37" s="14"/>
      <c r="N37">
        <v>0</v>
      </c>
      <c r="O37" s="20"/>
      <c r="P37" s="20"/>
      <c r="Q37" s="438"/>
      <c r="R37" s="197"/>
      <c r="S37" s="197"/>
      <c r="T37" s="197"/>
      <c r="U37" s="197"/>
    </row>
    <row r="38" spans="1:53" ht="15.75" x14ac:dyDescent="0.25">
      <c r="A38" s="1"/>
      <c r="B38" s="2"/>
      <c r="C38" s="1"/>
      <c r="E38" s="362"/>
      <c r="K38" s="14"/>
      <c r="O38" s="20"/>
      <c r="P38" s="20"/>
      <c r="Q38" s="439"/>
      <c r="R38" s="197"/>
      <c r="S38" s="197"/>
      <c r="T38" s="197"/>
      <c r="U38" s="197"/>
    </row>
    <row r="39" spans="1:53" ht="15" x14ac:dyDescent="0.25">
      <c r="A39" s="1">
        <v>4</v>
      </c>
      <c r="B39" s="2" t="s">
        <v>18</v>
      </c>
      <c r="C39" s="1" t="s">
        <v>8</v>
      </c>
      <c r="D39">
        <v>0</v>
      </c>
      <c r="E39" s="360">
        <v>45.117100000000001</v>
      </c>
      <c r="F39">
        <v>0</v>
      </c>
      <c r="G39">
        <v>0</v>
      </c>
      <c r="H39">
        <v>0</v>
      </c>
      <c r="J39">
        <v>0</v>
      </c>
      <c r="K39" s="14">
        <v>42.497645392392101</v>
      </c>
      <c r="L39">
        <v>0</v>
      </c>
      <c r="M39">
        <v>0</v>
      </c>
      <c r="N39">
        <v>0</v>
      </c>
      <c r="O39" s="20"/>
      <c r="P39" s="20"/>
      <c r="Q39" s="438">
        <v>0.36461304253834304</v>
      </c>
      <c r="R39" s="197">
        <v>0.19500000000000001</v>
      </c>
      <c r="S39" s="197">
        <v>1.22</v>
      </c>
      <c r="T39" s="197">
        <v>0.4144562334217507</v>
      </c>
      <c r="U39" s="197">
        <v>0.6566321730950142</v>
      </c>
      <c r="V39" s="20">
        <f t="shared" ref="V39:Y44" si="33">IF(K39&gt;0,((E39-K39)*$Q39*$R39*10)+(K39*$O$12*$Q39*$R39*10),(E39*$Q39*$R39*10))</f>
        <v>12.974280648824712</v>
      </c>
      <c r="W39" s="20">
        <f t="shared" si="33"/>
        <v>0</v>
      </c>
      <c r="X39" s="20">
        <f t="shared" si="33"/>
        <v>0</v>
      </c>
      <c r="Y39" s="20">
        <f t="shared" si="33"/>
        <v>0</v>
      </c>
      <c r="Z39" s="20">
        <f t="shared" ref="Z39:AC44" si="34">V39*(EXP(1.01-0.34*LN(Z$8))*(1-$T39)+(1*$T39))</f>
        <v>6.7637466215618129</v>
      </c>
      <c r="AA39" s="20">
        <f t="shared" si="34"/>
        <v>0</v>
      </c>
      <c r="AB39" s="20">
        <f t="shared" si="34"/>
        <v>0</v>
      </c>
      <c r="AC39" s="20">
        <f t="shared" si="34"/>
        <v>0</v>
      </c>
      <c r="AD39" s="20">
        <f t="shared" ref="AD39:AD44" si="35">SUM(Z39:AC39)</f>
        <v>6.7637466215618129</v>
      </c>
      <c r="AE39" s="20">
        <f t="shared" ref="AE39:AH44" si="36">IF(K39&gt;0,((E39-K39)*$Q39*$S39*10)+(K39*$P$12*$Q39*$S39)*10,(E39*$Q39*$S39*10))</f>
        <v>121.13164207844351</v>
      </c>
      <c r="AF39" s="20">
        <f t="shared" si="36"/>
        <v>0</v>
      </c>
      <c r="AG39" s="20">
        <f t="shared" si="36"/>
        <v>0</v>
      </c>
      <c r="AH39" s="20">
        <f t="shared" si="36"/>
        <v>0</v>
      </c>
      <c r="AI39" s="20">
        <f t="shared" ref="AI39:AL44" si="37">AE39*(EXP(1.01-0.34*LN(AI$8))*(1-$U39)+(1*$U39))</f>
        <v>87.129717466151973</v>
      </c>
      <c r="AJ39" s="20">
        <f t="shared" si="37"/>
        <v>0</v>
      </c>
      <c r="AK39" s="20">
        <f t="shared" si="37"/>
        <v>0</v>
      </c>
      <c r="AL39" s="20">
        <f t="shared" si="37"/>
        <v>0</v>
      </c>
      <c r="AM39" s="20">
        <f t="shared" ref="AM39:AM44" si="38">SUM(AI39:AL39)</f>
        <v>87.129717466151973</v>
      </c>
      <c r="AO39">
        <f t="shared" ref="AO39:AR44" si="39">Z39*AO$10</f>
        <v>8.1773696654682322</v>
      </c>
      <c r="AP39">
        <f t="shared" si="39"/>
        <v>0</v>
      </c>
      <c r="AQ39">
        <f t="shared" si="39"/>
        <v>0</v>
      </c>
      <c r="AR39">
        <f t="shared" si="39"/>
        <v>0</v>
      </c>
      <c r="AS39">
        <f t="shared" ref="AS39:AS44" si="40">SUM(AO39:AR39)</f>
        <v>8.1773696654682322</v>
      </c>
      <c r="AU39">
        <f t="shared" ref="AU39:AX44" si="41">AI39*AU$10</f>
        <v>105.33982841657775</v>
      </c>
      <c r="AV39">
        <f t="shared" si="41"/>
        <v>0</v>
      </c>
      <c r="AW39">
        <f t="shared" si="41"/>
        <v>0</v>
      </c>
      <c r="AX39">
        <f t="shared" si="41"/>
        <v>0</v>
      </c>
      <c r="AY39">
        <f t="shared" ref="AY39:AY44" si="42">SUM(AU39:AX39)</f>
        <v>105.33982841657775</v>
      </c>
    </row>
    <row r="40" spans="1:53" ht="15" x14ac:dyDescent="0.25">
      <c r="A40" s="1"/>
      <c r="B40" s="2"/>
      <c r="C40" s="1" t="s">
        <v>9</v>
      </c>
      <c r="D40">
        <v>0</v>
      </c>
      <c r="E40" s="360">
        <v>26.16705</v>
      </c>
      <c r="F40">
        <v>0</v>
      </c>
      <c r="G40">
        <v>0</v>
      </c>
      <c r="H40">
        <v>0</v>
      </c>
      <c r="J40">
        <v>0</v>
      </c>
      <c r="K40" s="14">
        <v>26.16705</v>
      </c>
      <c r="L40">
        <v>0</v>
      </c>
      <c r="M40">
        <v>0</v>
      </c>
      <c r="N40">
        <v>0</v>
      </c>
      <c r="O40" s="20"/>
      <c r="P40" s="20"/>
      <c r="Q40" s="438">
        <v>0.36922608507668603</v>
      </c>
      <c r="R40" s="197">
        <v>0.19500000000000001</v>
      </c>
      <c r="S40" s="197">
        <v>1.22</v>
      </c>
      <c r="T40" s="197">
        <v>0.4144562334217507</v>
      </c>
      <c r="U40" s="197">
        <v>0.6566321730950142</v>
      </c>
      <c r="V40" s="20">
        <f t="shared" si="33"/>
        <v>6.9284621338177352</v>
      </c>
      <c r="W40" s="20">
        <f t="shared" si="33"/>
        <v>0</v>
      </c>
      <c r="X40" s="20">
        <f t="shared" si="33"/>
        <v>0</v>
      </c>
      <c r="Y40" s="20">
        <f t="shared" si="33"/>
        <v>0</v>
      </c>
      <c r="Z40" s="20">
        <f t="shared" si="34"/>
        <v>3.6119430139253024</v>
      </c>
      <c r="AA40" s="20">
        <f t="shared" si="34"/>
        <v>0</v>
      </c>
      <c r="AB40" s="20">
        <f t="shared" si="34"/>
        <v>0</v>
      </c>
      <c r="AC40" s="20">
        <f t="shared" si="34"/>
        <v>0</v>
      </c>
      <c r="AD40" s="20">
        <f t="shared" si="35"/>
        <v>3.6119430139253024</v>
      </c>
      <c r="AE40" s="20">
        <f t="shared" si="36"/>
        <v>68.262655958880856</v>
      </c>
      <c r="AF40" s="20">
        <f t="shared" si="36"/>
        <v>0</v>
      </c>
      <c r="AG40" s="20">
        <f t="shared" si="36"/>
        <v>0</v>
      </c>
      <c r="AH40" s="20">
        <f t="shared" si="36"/>
        <v>0</v>
      </c>
      <c r="AI40" s="20">
        <f t="shared" si="37"/>
        <v>49.101174764350638</v>
      </c>
      <c r="AJ40" s="20">
        <f t="shared" si="37"/>
        <v>0</v>
      </c>
      <c r="AK40" s="20">
        <f t="shared" si="37"/>
        <v>0</v>
      </c>
      <c r="AL40" s="20">
        <f t="shared" si="37"/>
        <v>0</v>
      </c>
      <c r="AM40" s="20">
        <f t="shared" si="38"/>
        <v>49.101174764350638</v>
      </c>
      <c r="AO40">
        <f t="shared" si="39"/>
        <v>4.3668391038356908</v>
      </c>
      <c r="AP40">
        <f t="shared" si="39"/>
        <v>0</v>
      </c>
      <c r="AQ40">
        <f t="shared" si="39"/>
        <v>0</v>
      </c>
      <c r="AR40">
        <f t="shared" si="39"/>
        <v>0</v>
      </c>
      <c r="AS40">
        <f t="shared" si="40"/>
        <v>4.3668391038356908</v>
      </c>
      <c r="AU40">
        <f t="shared" si="41"/>
        <v>59.363320290099928</v>
      </c>
      <c r="AV40">
        <f t="shared" si="41"/>
        <v>0</v>
      </c>
      <c r="AW40">
        <f t="shared" si="41"/>
        <v>0</v>
      </c>
      <c r="AX40">
        <f t="shared" si="41"/>
        <v>0</v>
      </c>
      <c r="AY40">
        <f t="shared" si="42"/>
        <v>59.363320290099928</v>
      </c>
    </row>
    <row r="41" spans="1:53" ht="15" x14ac:dyDescent="0.25">
      <c r="A41" s="1"/>
      <c r="B41" s="2"/>
      <c r="C41" s="1" t="s">
        <v>10</v>
      </c>
      <c r="D41">
        <v>0</v>
      </c>
      <c r="E41" s="360">
        <v>0</v>
      </c>
      <c r="F41">
        <v>0</v>
      </c>
      <c r="G41">
        <v>0</v>
      </c>
      <c r="H41">
        <v>0</v>
      </c>
      <c r="J41">
        <v>0</v>
      </c>
      <c r="K41" s="14">
        <v>0</v>
      </c>
      <c r="L41">
        <v>0</v>
      </c>
      <c r="M41">
        <v>0</v>
      </c>
      <c r="N41">
        <v>0</v>
      </c>
      <c r="O41" s="20"/>
      <c r="P41" s="20"/>
      <c r="Q41" s="438"/>
      <c r="R41" s="197">
        <v>0.19500000000000001</v>
      </c>
      <c r="S41" s="197">
        <v>1.22</v>
      </c>
      <c r="T41" s="197">
        <v>0.4144562334217507</v>
      </c>
      <c r="U41" s="197">
        <v>0.6566321730950142</v>
      </c>
      <c r="V41" s="20">
        <f t="shared" si="33"/>
        <v>0</v>
      </c>
      <c r="W41" s="20">
        <f t="shared" si="33"/>
        <v>0</v>
      </c>
      <c r="X41" s="20">
        <f t="shared" si="33"/>
        <v>0</v>
      </c>
      <c r="Y41" s="20">
        <f t="shared" si="33"/>
        <v>0</v>
      </c>
      <c r="Z41" s="20">
        <f t="shared" si="34"/>
        <v>0</v>
      </c>
      <c r="AA41" s="20">
        <f t="shared" si="34"/>
        <v>0</v>
      </c>
      <c r="AB41" s="20">
        <f t="shared" si="34"/>
        <v>0</v>
      </c>
      <c r="AC41" s="20">
        <f t="shared" si="34"/>
        <v>0</v>
      </c>
      <c r="AD41" s="20">
        <f t="shared" si="35"/>
        <v>0</v>
      </c>
      <c r="AE41" s="20">
        <f t="shared" si="36"/>
        <v>0</v>
      </c>
      <c r="AF41" s="20">
        <f t="shared" si="36"/>
        <v>0</v>
      </c>
      <c r="AG41" s="20">
        <f t="shared" si="36"/>
        <v>0</v>
      </c>
      <c r="AH41" s="20">
        <f t="shared" si="36"/>
        <v>0</v>
      </c>
      <c r="AI41" s="20">
        <f t="shared" si="37"/>
        <v>0</v>
      </c>
      <c r="AJ41" s="20">
        <f t="shared" si="37"/>
        <v>0</v>
      </c>
      <c r="AK41" s="20">
        <f t="shared" si="37"/>
        <v>0</v>
      </c>
      <c r="AL41" s="20">
        <f t="shared" si="37"/>
        <v>0</v>
      </c>
      <c r="AM41" s="20">
        <f t="shared" si="38"/>
        <v>0</v>
      </c>
      <c r="AO41">
        <f t="shared" si="39"/>
        <v>0</v>
      </c>
      <c r="AP41">
        <f t="shared" si="39"/>
        <v>0</v>
      </c>
      <c r="AQ41">
        <f t="shared" si="39"/>
        <v>0</v>
      </c>
      <c r="AR41">
        <f t="shared" si="39"/>
        <v>0</v>
      </c>
      <c r="AS41">
        <f t="shared" si="40"/>
        <v>0</v>
      </c>
      <c r="AU41">
        <f t="shared" si="41"/>
        <v>0</v>
      </c>
      <c r="AV41">
        <f t="shared" si="41"/>
        <v>0</v>
      </c>
      <c r="AW41">
        <f t="shared" si="41"/>
        <v>0</v>
      </c>
      <c r="AX41">
        <f t="shared" si="41"/>
        <v>0</v>
      </c>
      <c r="AY41">
        <f t="shared" si="42"/>
        <v>0</v>
      </c>
    </row>
    <row r="42" spans="1:53" ht="15" x14ac:dyDescent="0.25">
      <c r="A42" s="1"/>
      <c r="B42" s="2"/>
      <c r="C42" s="1" t="s">
        <v>11</v>
      </c>
      <c r="D42">
        <v>0</v>
      </c>
      <c r="E42" s="360">
        <v>3.6983999999999999</v>
      </c>
      <c r="F42">
        <v>0</v>
      </c>
      <c r="G42">
        <v>0</v>
      </c>
      <c r="H42">
        <v>0</v>
      </c>
      <c r="J42">
        <v>0</v>
      </c>
      <c r="K42" s="14">
        <v>3.6943102895907001</v>
      </c>
      <c r="L42">
        <v>0</v>
      </c>
      <c r="M42">
        <v>0</v>
      </c>
      <c r="N42">
        <v>0</v>
      </c>
      <c r="O42" s="20"/>
      <c r="P42" s="20"/>
      <c r="Q42" s="438">
        <v>0.37845217015337212</v>
      </c>
      <c r="R42" s="197">
        <v>0.19500000000000001</v>
      </c>
      <c r="S42" s="197">
        <v>1.22</v>
      </c>
      <c r="T42" s="197">
        <v>0.4144562334217507</v>
      </c>
      <c r="U42" s="197">
        <v>0.6566321730950142</v>
      </c>
      <c r="V42" s="20">
        <f t="shared" si="33"/>
        <v>1.005632854048486</v>
      </c>
      <c r="W42" s="20">
        <f t="shared" si="33"/>
        <v>0</v>
      </c>
      <c r="X42" s="20">
        <f t="shared" si="33"/>
        <v>0</v>
      </c>
      <c r="Y42" s="20">
        <f t="shared" si="33"/>
        <v>0</v>
      </c>
      <c r="Z42" s="20">
        <f t="shared" si="34"/>
        <v>0.52425610353342889</v>
      </c>
      <c r="AA42" s="20">
        <f t="shared" si="34"/>
        <v>0</v>
      </c>
      <c r="AB42" s="20">
        <f t="shared" si="34"/>
        <v>0</v>
      </c>
      <c r="AC42" s="20">
        <f t="shared" si="34"/>
        <v>0</v>
      </c>
      <c r="AD42" s="20">
        <f t="shared" si="35"/>
        <v>0.52425610353342889</v>
      </c>
      <c r="AE42" s="20">
        <f t="shared" si="36"/>
        <v>9.8971417314163368</v>
      </c>
      <c r="AF42" s="20">
        <f t="shared" si="36"/>
        <v>0</v>
      </c>
      <c r="AG42" s="20">
        <f t="shared" si="36"/>
        <v>0</v>
      </c>
      <c r="AH42" s="20">
        <f t="shared" si="36"/>
        <v>0</v>
      </c>
      <c r="AI42" s="20">
        <f t="shared" si="37"/>
        <v>7.1189917678349381</v>
      </c>
      <c r="AJ42" s="20">
        <f t="shared" si="37"/>
        <v>0</v>
      </c>
      <c r="AK42" s="20">
        <f t="shared" si="37"/>
        <v>0</v>
      </c>
      <c r="AL42" s="20">
        <f t="shared" si="37"/>
        <v>0</v>
      </c>
      <c r="AM42" s="20">
        <f t="shared" si="38"/>
        <v>7.1189917678349381</v>
      </c>
      <c r="AO42">
        <f t="shared" si="39"/>
        <v>0.63382562917191554</v>
      </c>
      <c r="AP42">
        <f t="shared" si="39"/>
        <v>0</v>
      </c>
      <c r="AQ42">
        <f t="shared" si="39"/>
        <v>0</v>
      </c>
      <c r="AR42">
        <f t="shared" si="39"/>
        <v>0</v>
      </c>
      <c r="AS42">
        <f t="shared" si="40"/>
        <v>0.63382562917191554</v>
      </c>
      <c r="AU42">
        <f t="shared" si="41"/>
        <v>8.6068610473124405</v>
      </c>
      <c r="AV42">
        <f t="shared" si="41"/>
        <v>0</v>
      </c>
      <c r="AW42">
        <f t="shared" si="41"/>
        <v>0</v>
      </c>
      <c r="AX42">
        <f t="shared" si="41"/>
        <v>0</v>
      </c>
      <c r="AY42">
        <f t="shared" si="42"/>
        <v>8.6068610473124405</v>
      </c>
    </row>
    <row r="43" spans="1:53" ht="15" x14ac:dyDescent="0.25">
      <c r="A43" s="1"/>
      <c r="B43" s="2"/>
      <c r="C43" s="1" t="s">
        <v>12</v>
      </c>
      <c r="D43">
        <v>0</v>
      </c>
      <c r="E43" s="360">
        <v>0</v>
      </c>
      <c r="F43">
        <v>0</v>
      </c>
      <c r="G43">
        <v>0</v>
      </c>
      <c r="H43">
        <v>0</v>
      </c>
      <c r="J43">
        <v>0</v>
      </c>
      <c r="K43" s="14">
        <v>0</v>
      </c>
      <c r="L43">
        <v>0</v>
      </c>
      <c r="M43">
        <v>0</v>
      </c>
      <c r="N43">
        <v>0</v>
      </c>
      <c r="O43" s="20"/>
      <c r="P43" s="20"/>
      <c r="Q43" s="438"/>
      <c r="R43" s="197">
        <v>0.19500000000000001</v>
      </c>
      <c r="S43" s="197">
        <v>1.22</v>
      </c>
      <c r="T43" s="197">
        <v>0.4144562334217507</v>
      </c>
      <c r="U43" s="197">
        <v>0.6566321730950142</v>
      </c>
      <c r="V43" s="20">
        <f t="shared" si="33"/>
        <v>0</v>
      </c>
      <c r="W43" s="20">
        <f t="shared" si="33"/>
        <v>0</v>
      </c>
      <c r="X43" s="20">
        <f t="shared" si="33"/>
        <v>0</v>
      </c>
      <c r="Y43" s="20">
        <f t="shared" si="33"/>
        <v>0</v>
      </c>
      <c r="Z43" s="20">
        <f t="shared" si="34"/>
        <v>0</v>
      </c>
      <c r="AA43" s="20">
        <f t="shared" si="34"/>
        <v>0</v>
      </c>
      <c r="AB43" s="20">
        <f t="shared" si="34"/>
        <v>0</v>
      </c>
      <c r="AC43" s="20">
        <f t="shared" si="34"/>
        <v>0</v>
      </c>
      <c r="AD43" s="20">
        <f t="shared" si="35"/>
        <v>0</v>
      </c>
      <c r="AE43" s="20">
        <f t="shared" si="36"/>
        <v>0</v>
      </c>
      <c r="AF43" s="20">
        <f t="shared" si="36"/>
        <v>0</v>
      </c>
      <c r="AG43" s="20">
        <f t="shared" si="36"/>
        <v>0</v>
      </c>
      <c r="AH43" s="20">
        <f t="shared" si="36"/>
        <v>0</v>
      </c>
      <c r="AI43" s="20">
        <f t="shared" si="37"/>
        <v>0</v>
      </c>
      <c r="AJ43" s="20">
        <f t="shared" si="37"/>
        <v>0</v>
      </c>
      <c r="AK43" s="20">
        <f t="shared" si="37"/>
        <v>0</v>
      </c>
      <c r="AL43" s="20">
        <f t="shared" si="37"/>
        <v>0</v>
      </c>
      <c r="AM43" s="20">
        <f t="shared" si="38"/>
        <v>0</v>
      </c>
      <c r="AO43">
        <f t="shared" si="39"/>
        <v>0</v>
      </c>
      <c r="AP43">
        <f t="shared" si="39"/>
        <v>0</v>
      </c>
      <c r="AQ43">
        <f t="shared" si="39"/>
        <v>0</v>
      </c>
      <c r="AR43">
        <f t="shared" si="39"/>
        <v>0</v>
      </c>
      <c r="AS43">
        <f t="shared" si="40"/>
        <v>0</v>
      </c>
      <c r="AU43">
        <f t="shared" si="41"/>
        <v>0</v>
      </c>
      <c r="AV43">
        <f t="shared" si="41"/>
        <v>0</v>
      </c>
      <c r="AW43">
        <f t="shared" si="41"/>
        <v>0</v>
      </c>
      <c r="AX43">
        <f t="shared" si="41"/>
        <v>0</v>
      </c>
      <c r="AY43">
        <f t="shared" si="42"/>
        <v>0</v>
      </c>
    </row>
    <row r="44" spans="1:53" ht="15" x14ac:dyDescent="0.25">
      <c r="A44" s="1"/>
      <c r="B44" s="2"/>
      <c r="C44" s="1" t="s">
        <v>13</v>
      </c>
      <c r="D44">
        <v>0</v>
      </c>
      <c r="E44" s="360">
        <v>2.7449999999999999E-2</v>
      </c>
      <c r="F44">
        <v>0</v>
      </c>
      <c r="G44">
        <v>0</v>
      </c>
      <c r="H44">
        <v>0</v>
      </c>
      <c r="J44">
        <v>0</v>
      </c>
      <c r="K44" s="14">
        <v>2.7449999999999999E-2</v>
      </c>
      <c r="L44">
        <v>0</v>
      </c>
      <c r="M44">
        <v>0</v>
      </c>
      <c r="N44">
        <v>0</v>
      </c>
      <c r="O44" s="20"/>
      <c r="P44" s="20"/>
      <c r="Q44" s="438">
        <v>0.37845217015337218</v>
      </c>
      <c r="R44" s="197">
        <v>0.19500000000000001</v>
      </c>
      <c r="S44" s="197">
        <v>1.22</v>
      </c>
      <c r="T44" s="197">
        <v>0.4144562334217507</v>
      </c>
      <c r="U44" s="197">
        <v>0.6566321730950142</v>
      </c>
      <c r="V44" s="20">
        <f t="shared" si="33"/>
        <v>7.4497732931557113E-3</v>
      </c>
      <c r="W44" s="20">
        <f t="shared" si="33"/>
        <v>0</v>
      </c>
      <c r="X44" s="20">
        <f t="shared" si="33"/>
        <v>0</v>
      </c>
      <c r="Y44" s="20">
        <f t="shared" si="33"/>
        <v>0</v>
      </c>
      <c r="Z44" s="20">
        <f t="shared" si="34"/>
        <v>3.8837127318922179E-3</v>
      </c>
      <c r="AA44" s="20">
        <f t="shared" si="34"/>
        <v>0</v>
      </c>
      <c r="AB44" s="20">
        <f t="shared" si="34"/>
        <v>0</v>
      </c>
      <c r="AC44" s="20">
        <f t="shared" si="34"/>
        <v>0</v>
      </c>
      <c r="AD44" s="20">
        <f t="shared" si="35"/>
        <v>3.8837127318922179E-3</v>
      </c>
      <c r="AE44" s="20">
        <f t="shared" si="36"/>
        <v>7.3398872861000913E-2</v>
      </c>
      <c r="AF44" s="20">
        <f t="shared" si="36"/>
        <v>0</v>
      </c>
      <c r="AG44" s="20">
        <f t="shared" si="36"/>
        <v>0</v>
      </c>
      <c r="AH44" s="20">
        <f t="shared" si="36"/>
        <v>0</v>
      </c>
      <c r="AI44" s="20">
        <f t="shared" si="37"/>
        <v>5.2795644019846967E-2</v>
      </c>
      <c r="AJ44" s="20">
        <f t="shared" si="37"/>
        <v>0</v>
      </c>
      <c r="AK44" s="20">
        <f t="shared" si="37"/>
        <v>0</v>
      </c>
      <c r="AL44" s="20">
        <f t="shared" si="37"/>
        <v>0</v>
      </c>
      <c r="AM44" s="20">
        <f t="shared" si="38"/>
        <v>5.2795644019846967E-2</v>
      </c>
      <c r="AO44">
        <f t="shared" si="39"/>
        <v>4.6954086928576921E-3</v>
      </c>
      <c r="AP44">
        <f t="shared" si="39"/>
        <v>0</v>
      </c>
      <c r="AQ44">
        <f t="shared" si="39"/>
        <v>0</v>
      </c>
      <c r="AR44">
        <f t="shared" si="39"/>
        <v>0</v>
      </c>
      <c r="AS44">
        <f t="shared" si="40"/>
        <v>4.6954086928576921E-3</v>
      </c>
      <c r="AU44">
        <f t="shared" si="41"/>
        <v>6.3829933619994991E-2</v>
      </c>
      <c r="AV44">
        <f t="shared" si="41"/>
        <v>0</v>
      </c>
      <c r="AW44">
        <f t="shared" si="41"/>
        <v>0</v>
      </c>
      <c r="AX44">
        <f t="shared" si="41"/>
        <v>0</v>
      </c>
      <c r="AY44">
        <f t="shared" si="42"/>
        <v>6.3829933619994991E-2</v>
      </c>
    </row>
    <row r="45" spans="1:53" ht="15" x14ac:dyDescent="0.25">
      <c r="A45" s="7"/>
      <c r="B45" s="8" t="s">
        <v>14</v>
      </c>
      <c r="C45" s="7"/>
      <c r="D45" s="357">
        <f t="shared" ref="D45:H45" si="43">SUM(D39:D44)</f>
        <v>0</v>
      </c>
      <c r="E45" s="363">
        <f>SUM(E39:E44)</f>
        <v>75.010000000000005</v>
      </c>
      <c r="F45" s="357">
        <f t="shared" si="43"/>
        <v>0</v>
      </c>
      <c r="G45" s="357">
        <f t="shared" si="43"/>
        <v>0</v>
      </c>
      <c r="H45" s="357">
        <f t="shared" si="43"/>
        <v>0</v>
      </c>
      <c r="J45">
        <v>0</v>
      </c>
      <c r="K45" s="14">
        <v>72.38645568198281</v>
      </c>
      <c r="L45">
        <v>0</v>
      </c>
      <c r="M45">
        <v>0</v>
      </c>
      <c r="N45">
        <v>0</v>
      </c>
      <c r="O45" s="20"/>
      <c r="P45" s="20"/>
      <c r="Q45" s="438">
        <v>0.3669096993624652</v>
      </c>
      <c r="R45" s="197"/>
      <c r="S45" s="197"/>
      <c r="T45" s="197"/>
      <c r="U45" s="197"/>
      <c r="BA45" s="319">
        <f>(E45*10000*Q45*AU$10)</f>
        <v>332739.72927956824</v>
      </c>
    </row>
    <row r="46" spans="1:53" ht="15" x14ac:dyDescent="0.25">
      <c r="A46" s="10"/>
      <c r="B46" s="9" t="s">
        <v>15</v>
      </c>
      <c r="C46" s="5"/>
      <c r="E46" s="363">
        <f>SUM(E45)</f>
        <v>75.010000000000005</v>
      </c>
      <c r="H46" s="358">
        <f>SUM(D45:H45)</f>
        <v>75.010000000000005</v>
      </c>
      <c r="K46" s="14"/>
      <c r="N46">
        <v>0</v>
      </c>
      <c r="O46" s="20"/>
      <c r="P46" s="20"/>
      <c r="Q46" s="438"/>
      <c r="R46" s="197"/>
      <c r="S46" s="197"/>
      <c r="T46" s="197"/>
      <c r="U46" s="197"/>
    </row>
    <row r="47" spans="1:53" ht="15.75" x14ac:dyDescent="0.25">
      <c r="A47" s="1"/>
      <c r="B47" s="2"/>
      <c r="C47" s="1"/>
      <c r="E47" s="361"/>
      <c r="K47" s="14"/>
      <c r="O47" s="20"/>
      <c r="P47" s="20"/>
      <c r="Q47" s="439"/>
      <c r="R47" s="197"/>
      <c r="S47" s="197"/>
      <c r="T47" s="197"/>
      <c r="U47" s="197"/>
    </row>
    <row r="48" spans="1:53" ht="15" x14ac:dyDescent="0.25">
      <c r="A48" s="1">
        <v>5</v>
      </c>
      <c r="B48" s="2" t="s">
        <v>19</v>
      </c>
      <c r="C48" s="1" t="s">
        <v>8</v>
      </c>
      <c r="D48">
        <v>0</v>
      </c>
      <c r="E48" s="360">
        <v>38.547699999999999</v>
      </c>
      <c r="F48">
        <v>0</v>
      </c>
      <c r="G48">
        <v>0</v>
      </c>
      <c r="H48">
        <v>0</v>
      </c>
      <c r="J48">
        <v>0</v>
      </c>
      <c r="K48" s="14">
        <v>26.9039327586814</v>
      </c>
      <c r="L48">
        <v>0</v>
      </c>
      <c r="M48">
        <v>0</v>
      </c>
      <c r="N48">
        <v>0</v>
      </c>
      <c r="O48" s="20"/>
      <c r="P48" s="20"/>
      <c r="Q48" s="438">
        <v>0.4092286223268144</v>
      </c>
      <c r="R48" s="197">
        <v>0.43</v>
      </c>
      <c r="S48" s="197">
        <v>2.83</v>
      </c>
      <c r="T48" s="197">
        <v>0.76744186046511631</v>
      </c>
      <c r="U48" s="197">
        <v>0.76744186046511631</v>
      </c>
      <c r="V48" s="20">
        <f t="shared" ref="V48:Y53" si="44">IF(K48&gt;0,((E48-K48)*$Q48*$R48*10)+(K48*$O$12*$Q48*$R48*10),(E48*$Q48*$R48*10))</f>
        <v>37.899602797854996</v>
      </c>
      <c r="W48" s="20">
        <f t="shared" si="44"/>
        <v>0</v>
      </c>
      <c r="X48" s="20">
        <f t="shared" si="44"/>
        <v>0</v>
      </c>
      <c r="Y48" s="20">
        <f t="shared" si="44"/>
        <v>0</v>
      </c>
      <c r="Z48" s="20">
        <f t="shared" ref="Z48:AC53" si="45">V48*(EXP(1.01-0.34*LN(Z$8))*(1-$T48)+(1*$T48))</f>
        <v>30.694295653947361</v>
      </c>
      <c r="AA48" s="20">
        <f t="shared" si="45"/>
        <v>0</v>
      </c>
      <c r="AB48" s="20">
        <f t="shared" si="45"/>
        <v>0</v>
      </c>
      <c r="AC48" s="20">
        <f t="shared" si="45"/>
        <v>0</v>
      </c>
      <c r="AD48" s="20">
        <f t="shared" ref="AD48:AD53" si="46">SUM(Z48:AC48)</f>
        <v>30.694295653947361</v>
      </c>
      <c r="AE48" s="20">
        <f t="shared" ref="AE48:AH53" si="47">IF(K48&gt;0,((E48-K48)*$Q48*$S48*10)+(K48*$P$12*$Q48*$S48)*10,(E48*$Q48*$S48*10))</f>
        <v>315.29326717239019</v>
      </c>
      <c r="AF48" s="20">
        <f t="shared" si="47"/>
        <v>0</v>
      </c>
      <c r="AG48" s="20">
        <f t="shared" si="47"/>
        <v>0</v>
      </c>
      <c r="AH48" s="20">
        <f t="shared" si="47"/>
        <v>0</v>
      </c>
      <c r="AI48" s="20">
        <f t="shared" ref="AI48:AL53" si="48">AE48*(EXP(1.01-0.34*LN(AI$8))*(1-$U48)+(1*$U48))</f>
        <v>255.35108670943879</v>
      </c>
      <c r="AJ48" s="20">
        <f t="shared" si="48"/>
        <v>0</v>
      </c>
      <c r="AK48" s="20">
        <f t="shared" si="48"/>
        <v>0</v>
      </c>
      <c r="AL48" s="20">
        <f t="shared" si="48"/>
        <v>0</v>
      </c>
      <c r="AM48" s="20">
        <f t="shared" ref="AM48:AM53" si="49">SUM(AI48:AL48)</f>
        <v>255.35108670943879</v>
      </c>
      <c r="AO48">
        <f t="shared" ref="AO48:AR53" si="50">Z48*AO$10</f>
        <v>37.109403445622362</v>
      </c>
      <c r="AP48">
        <f t="shared" si="50"/>
        <v>0</v>
      </c>
      <c r="AQ48">
        <f t="shared" si="50"/>
        <v>0</v>
      </c>
      <c r="AR48">
        <f t="shared" si="50"/>
        <v>0</v>
      </c>
      <c r="AS48">
        <f t="shared" ref="AS48:AS53" si="51">SUM(AO48:AR48)</f>
        <v>37.109403445622362</v>
      </c>
      <c r="AU48">
        <f t="shared" ref="AU48:AX53" si="52">AI48*AU$10</f>
        <v>308.71946383171149</v>
      </c>
      <c r="AV48">
        <f t="shared" si="52"/>
        <v>0</v>
      </c>
      <c r="AW48">
        <f t="shared" si="52"/>
        <v>0</v>
      </c>
      <c r="AX48">
        <f t="shared" si="52"/>
        <v>0</v>
      </c>
      <c r="AY48">
        <f t="shared" ref="AY48:AY53" si="53">SUM(AU48:AX48)</f>
        <v>308.71946383171149</v>
      </c>
    </row>
    <row r="49" spans="1:53" ht="15" x14ac:dyDescent="0.25">
      <c r="A49" s="1"/>
      <c r="B49" s="2"/>
      <c r="C49" s="1" t="s">
        <v>9</v>
      </c>
      <c r="D49">
        <v>0</v>
      </c>
      <c r="E49" s="360">
        <v>14.5405</v>
      </c>
      <c r="F49">
        <v>0</v>
      </c>
      <c r="G49">
        <v>0</v>
      </c>
      <c r="H49">
        <v>0</v>
      </c>
      <c r="J49">
        <v>0</v>
      </c>
      <c r="K49" s="14">
        <v>2.7821109557028958</v>
      </c>
      <c r="L49">
        <v>0</v>
      </c>
      <c r="M49">
        <v>0</v>
      </c>
      <c r="N49">
        <v>0</v>
      </c>
      <c r="O49" s="20"/>
      <c r="P49" s="20"/>
      <c r="Q49" s="438">
        <v>0.41345724465362887</v>
      </c>
      <c r="R49" s="197">
        <v>0.43</v>
      </c>
      <c r="S49" s="197">
        <v>2.83</v>
      </c>
      <c r="T49" s="197">
        <v>0.76744186046511631</v>
      </c>
      <c r="U49" s="197">
        <v>0.76744186046511631</v>
      </c>
      <c r="V49" s="20">
        <f t="shared" si="44"/>
        <v>22.723824735752075</v>
      </c>
      <c r="W49" s="20">
        <f t="shared" si="44"/>
        <v>0</v>
      </c>
      <c r="X49" s="20">
        <f t="shared" si="44"/>
        <v>0</v>
      </c>
      <c r="Y49" s="20">
        <f t="shared" si="44"/>
        <v>0</v>
      </c>
      <c r="Z49" s="20">
        <f t="shared" si="45"/>
        <v>18.403670311477047</v>
      </c>
      <c r="AA49" s="20">
        <f t="shared" si="45"/>
        <v>0</v>
      </c>
      <c r="AB49" s="20">
        <f t="shared" si="45"/>
        <v>0</v>
      </c>
      <c r="AC49" s="20">
        <f t="shared" si="45"/>
        <v>0</v>
      </c>
      <c r="AD49" s="20">
        <f t="shared" si="46"/>
        <v>18.403670311477047</v>
      </c>
      <c r="AE49" s="20">
        <f t="shared" si="47"/>
        <v>156.43547488214264</v>
      </c>
      <c r="AF49" s="20">
        <f t="shared" si="47"/>
        <v>0</v>
      </c>
      <c r="AG49" s="20">
        <f t="shared" si="47"/>
        <v>0</v>
      </c>
      <c r="AH49" s="20">
        <f t="shared" si="47"/>
        <v>0</v>
      </c>
      <c r="AI49" s="20">
        <f t="shared" si="48"/>
        <v>126.69464485970558</v>
      </c>
      <c r="AJ49" s="20">
        <f t="shared" si="48"/>
        <v>0</v>
      </c>
      <c r="AK49" s="20">
        <f t="shared" si="48"/>
        <v>0</v>
      </c>
      <c r="AL49" s="20">
        <f t="shared" si="48"/>
        <v>0</v>
      </c>
      <c r="AM49" s="20">
        <f t="shared" si="49"/>
        <v>126.69464485970558</v>
      </c>
      <c r="AO49">
        <f t="shared" si="50"/>
        <v>22.25003740657575</v>
      </c>
      <c r="AP49">
        <f t="shared" si="50"/>
        <v>0</v>
      </c>
      <c r="AQ49">
        <f t="shared" si="50"/>
        <v>0</v>
      </c>
      <c r="AR49">
        <f t="shared" si="50"/>
        <v>0</v>
      </c>
      <c r="AS49">
        <f t="shared" si="51"/>
        <v>22.25003740657575</v>
      </c>
      <c r="AU49">
        <f t="shared" si="52"/>
        <v>153.17382563538405</v>
      </c>
      <c r="AV49">
        <f t="shared" si="52"/>
        <v>0</v>
      </c>
      <c r="AW49">
        <f t="shared" si="52"/>
        <v>0</v>
      </c>
      <c r="AX49">
        <f t="shared" si="52"/>
        <v>0</v>
      </c>
      <c r="AY49">
        <f t="shared" si="53"/>
        <v>153.17382563538405</v>
      </c>
    </row>
    <row r="50" spans="1:53" ht="15" x14ac:dyDescent="0.25">
      <c r="A50" s="1"/>
      <c r="B50" s="2"/>
      <c r="C50" s="1" t="s">
        <v>10</v>
      </c>
      <c r="D50">
        <v>0</v>
      </c>
      <c r="E50" s="360">
        <v>1.9340999999999999</v>
      </c>
      <c r="F50">
        <v>0</v>
      </c>
      <c r="G50">
        <v>0</v>
      </c>
      <c r="H50">
        <v>0</v>
      </c>
      <c r="J50">
        <v>0</v>
      </c>
      <c r="K50" s="14">
        <v>0.76237952362999994</v>
      </c>
      <c r="L50">
        <v>0</v>
      </c>
      <c r="M50">
        <v>0</v>
      </c>
      <c r="N50">
        <v>0</v>
      </c>
      <c r="O50" s="20"/>
      <c r="P50" s="20"/>
      <c r="Q50" s="438">
        <v>0.41768586698044335</v>
      </c>
      <c r="R50" s="197">
        <v>0.43</v>
      </c>
      <c r="S50" s="197">
        <v>2.83</v>
      </c>
      <c r="T50" s="197">
        <v>0.76744186046511631</v>
      </c>
      <c r="U50" s="197">
        <v>0.76744186046511631</v>
      </c>
      <c r="V50" s="20">
        <f t="shared" si="44"/>
        <v>2.6080199246724174</v>
      </c>
      <c r="W50" s="20">
        <f t="shared" si="44"/>
        <v>0</v>
      </c>
      <c r="X50" s="20">
        <f t="shared" si="44"/>
        <v>0</v>
      </c>
      <c r="Y50" s="20">
        <f t="shared" si="44"/>
        <v>0</v>
      </c>
      <c r="Z50" s="20">
        <f t="shared" si="45"/>
        <v>2.1121945542872909</v>
      </c>
      <c r="AA50" s="20">
        <f t="shared" si="45"/>
        <v>0</v>
      </c>
      <c r="AB50" s="20">
        <f t="shared" si="45"/>
        <v>0</v>
      </c>
      <c r="AC50" s="20">
        <f t="shared" si="45"/>
        <v>0</v>
      </c>
      <c r="AD50" s="20">
        <f t="shared" si="46"/>
        <v>2.1121945542872909</v>
      </c>
      <c r="AE50" s="20">
        <f t="shared" si="47"/>
        <v>19.06928983351419</v>
      </c>
      <c r="AF50" s="20">
        <f t="shared" si="47"/>
        <v>0</v>
      </c>
      <c r="AG50" s="20">
        <f t="shared" si="47"/>
        <v>0</v>
      </c>
      <c r="AH50" s="20">
        <f t="shared" si="47"/>
        <v>0</v>
      </c>
      <c r="AI50" s="20">
        <f t="shared" si="48"/>
        <v>15.443919641654515</v>
      </c>
      <c r="AJ50" s="20">
        <f t="shared" si="48"/>
        <v>0</v>
      </c>
      <c r="AK50" s="20">
        <f t="shared" si="48"/>
        <v>0</v>
      </c>
      <c r="AL50" s="20">
        <f t="shared" si="48"/>
        <v>0</v>
      </c>
      <c r="AM50" s="20">
        <f t="shared" si="49"/>
        <v>15.443919641654515</v>
      </c>
      <c r="AO50">
        <f t="shared" si="50"/>
        <v>2.5536432161333349</v>
      </c>
      <c r="AP50">
        <f t="shared" si="50"/>
        <v>0</v>
      </c>
      <c r="AQ50">
        <f t="shared" si="50"/>
        <v>0</v>
      </c>
      <c r="AR50">
        <f t="shared" si="50"/>
        <v>0</v>
      </c>
      <c r="AS50">
        <f t="shared" si="51"/>
        <v>2.5536432161333349</v>
      </c>
      <c r="AU50">
        <f t="shared" si="52"/>
        <v>18.671698846760311</v>
      </c>
      <c r="AV50">
        <f t="shared" si="52"/>
        <v>0</v>
      </c>
      <c r="AW50">
        <f t="shared" si="52"/>
        <v>0</v>
      </c>
      <c r="AX50">
        <f t="shared" si="52"/>
        <v>0</v>
      </c>
      <c r="AY50">
        <f t="shared" si="53"/>
        <v>18.671698846760311</v>
      </c>
    </row>
    <row r="51" spans="1:53" ht="15" x14ac:dyDescent="0.25">
      <c r="A51" s="1"/>
      <c r="B51" s="2"/>
      <c r="C51" s="1" t="s">
        <v>11</v>
      </c>
      <c r="D51">
        <v>0</v>
      </c>
      <c r="E51" s="360">
        <v>31.224499999999999</v>
      </c>
      <c r="F51">
        <v>0</v>
      </c>
      <c r="G51">
        <v>0</v>
      </c>
      <c r="H51">
        <v>0</v>
      </c>
      <c r="J51">
        <v>0</v>
      </c>
      <c r="K51" s="14">
        <v>23.721428580574699</v>
      </c>
      <c r="L51">
        <v>0</v>
      </c>
      <c r="M51">
        <v>0</v>
      </c>
      <c r="N51">
        <v>0</v>
      </c>
      <c r="O51" s="20"/>
      <c r="P51" s="20"/>
      <c r="Q51" s="438">
        <v>0.42191448930725778</v>
      </c>
      <c r="R51" s="197">
        <v>0.43</v>
      </c>
      <c r="S51" s="197">
        <v>2.83</v>
      </c>
      <c r="T51" s="197">
        <v>0.76744186046511631</v>
      </c>
      <c r="U51" s="197">
        <v>0.76744186046511631</v>
      </c>
      <c r="V51" s="20">
        <f t="shared" si="44"/>
        <v>29.438958507064338</v>
      </c>
      <c r="W51" s="20">
        <f t="shared" si="44"/>
        <v>0</v>
      </c>
      <c r="X51" s="20">
        <f t="shared" si="44"/>
        <v>0</v>
      </c>
      <c r="Y51" s="20">
        <f t="shared" si="44"/>
        <v>0</v>
      </c>
      <c r="Z51" s="20">
        <f t="shared" si="45"/>
        <v>23.84215214549064</v>
      </c>
      <c r="AA51" s="20">
        <f t="shared" si="45"/>
        <v>0</v>
      </c>
      <c r="AB51" s="20">
        <f t="shared" si="45"/>
        <v>0</v>
      </c>
      <c r="AC51" s="20">
        <f t="shared" si="45"/>
        <v>0</v>
      </c>
      <c r="AD51" s="20">
        <f t="shared" si="46"/>
        <v>23.84215214549064</v>
      </c>
      <c r="AE51" s="20">
        <f t="shared" si="47"/>
        <v>253.61977698898497</v>
      </c>
      <c r="AF51" s="20">
        <f t="shared" si="47"/>
        <v>0</v>
      </c>
      <c r="AG51" s="20">
        <f t="shared" si="47"/>
        <v>0</v>
      </c>
      <c r="AH51" s="20">
        <f t="shared" si="47"/>
        <v>0</v>
      </c>
      <c r="AI51" s="20">
        <f t="shared" si="48"/>
        <v>205.40269142421434</v>
      </c>
      <c r="AJ51" s="20">
        <f t="shared" si="48"/>
        <v>0</v>
      </c>
      <c r="AK51" s="20">
        <f t="shared" si="48"/>
        <v>0</v>
      </c>
      <c r="AL51" s="20">
        <f t="shared" si="48"/>
        <v>0</v>
      </c>
      <c r="AM51" s="20">
        <f t="shared" si="49"/>
        <v>205.40269142421434</v>
      </c>
      <c r="AO51">
        <f t="shared" si="50"/>
        <v>28.825161943898188</v>
      </c>
      <c r="AP51">
        <f t="shared" si="50"/>
        <v>0</v>
      </c>
      <c r="AQ51">
        <f t="shared" si="50"/>
        <v>0</v>
      </c>
      <c r="AR51">
        <f t="shared" si="50"/>
        <v>0</v>
      </c>
      <c r="AS51">
        <f t="shared" si="51"/>
        <v>28.825161943898188</v>
      </c>
      <c r="AU51">
        <f t="shared" si="52"/>
        <v>248.33185393187514</v>
      </c>
      <c r="AV51">
        <f t="shared" si="52"/>
        <v>0</v>
      </c>
      <c r="AW51">
        <f t="shared" si="52"/>
        <v>0</v>
      </c>
      <c r="AX51">
        <f t="shared" si="52"/>
        <v>0</v>
      </c>
      <c r="AY51">
        <f t="shared" si="53"/>
        <v>248.33185393187514</v>
      </c>
    </row>
    <row r="52" spans="1:53" ht="15" x14ac:dyDescent="0.25">
      <c r="A52" s="1"/>
      <c r="B52" s="2"/>
      <c r="C52" s="1" t="s">
        <v>12</v>
      </c>
      <c r="D52">
        <v>0</v>
      </c>
      <c r="E52" s="360">
        <v>0</v>
      </c>
      <c r="F52">
        <v>0</v>
      </c>
      <c r="G52">
        <v>0</v>
      </c>
      <c r="H52">
        <v>0</v>
      </c>
      <c r="J52">
        <v>0</v>
      </c>
      <c r="K52" s="14">
        <v>0</v>
      </c>
      <c r="L52">
        <v>0</v>
      </c>
      <c r="M52">
        <v>0</v>
      </c>
      <c r="N52">
        <v>0</v>
      </c>
      <c r="O52" s="20"/>
      <c r="P52" s="20"/>
      <c r="Q52" s="438"/>
      <c r="R52" s="197">
        <v>0.43</v>
      </c>
      <c r="S52" s="197">
        <v>2.83</v>
      </c>
      <c r="T52" s="197">
        <v>0.76744186046511631</v>
      </c>
      <c r="U52" s="197">
        <v>0.76744186046511631</v>
      </c>
      <c r="V52" s="20">
        <f t="shared" si="44"/>
        <v>0</v>
      </c>
      <c r="W52" s="20">
        <f t="shared" si="44"/>
        <v>0</v>
      </c>
      <c r="X52" s="20">
        <f t="shared" si="44"/>
        <v>0</v>
      </c>
      <c r="Y52" s="20">
        <f t="shared" si="44"/>
        <v>0</v>
      </c>
      <c r="Z52" s="20">
        <f t="shared" si="45"/>
        <v>0</v>
      </c>
      <c r="AA52" s="20">
        <f t="shared" si="45"/>
        <v>0</v>
      </c>
      <c r="AB52" s="20">
        <f t="shared" si="45"/>
        <v>0</v>
      </c>
      <c r="AC52" s="20">
        <f t="shared" si="45"/>
        <v>0</v>
      </c>
      <c r="AD52" s="20">
        <f t="shared" si="46"/>
        <v>0</v>
      </c>
      <c r="AE52" s="20">
        <f t="shared" si="47"/>
        <v>0</v>
      </c>
      <c r="AF52" s="20">
        <f t="shared" si="47"/>
        <v>0</v>
      </c>
      <c r="AG52" s="20">
        <f t="shared" si="47"/>
        <v>0</v>
      </c>
      <c r="AH52" s="20">
        <f t="shared" si="47"/>
        <v>0</v>
      </c>
      <c r="AI52" s="20">
        <f t="shared" si="48"/>
        <v>0</v>
      </c>
      <c r="AJ52" s="20">
        <f t="shared" si="48"/>
        <v>0</v>
      </c>
      <c r="AK52" s="20">
        <f t="shared" si="48"/>
        <v>0</v>
      </c>
      <c r="AL52" s="20">
        <f t="shared" si="48"/>
        <v>0</v>
      </c>
      <c r="AM52" s="20">
        <f t="shared" si="49"/>
        <v>0</v>
      </c>
      <c r="AO52">
        <f t="shared" si="50"/>
        <v>0</v>
      </c>
      <c r="AP52">
        <f t="shared" si="50"/>
        <v>0</v>
      </c>
      <c r="AQ52">
        <f t="shared" si="50"/>
        <v>0</v>
      </c>
      <c r="AR52">
        <f t="shared" si="50"/>
        <v>0</v>
      </c>
      <c r="AS52">
        <f t="shared" si="51"/>
        <v>0</v>
      </c>
      <c r="AU52">
        <f t="shared" si="52"/>
        <v>0</v>
      </c>
      <c r="AV52">
        <f t="shared" si="52"/>
        <v>0</v>
      </c>
      <c r="AW52">
        <f t="shared" si="52"/>
        <v>0</v>
      </c>
      <c r="AX52">
        <f t="shared" si="52"/>
        <v>0</v>
      </c>
      <c r="AY52">
        <f t="shared" si="53"/>
        <v>0</v>
      </c>
    </row>
    <row r="53" spans="1:53" ht="15" x14ac:dyDescent="0.25">
      <c r="A53" s="1"/>
      <c r="B53" s="2"/>
      <c r="C53" s="1" t="s">
        <v>13</v>
      </c>
      <c r="D53">
        <v>0</v>
      </c>
      <c r="E53" s="360">
        <v>7.3499999999999996E-2</v>
      </c>
      <c r="F53">
        <v>0</v>
      </c>
      <c r="G53">
        <v>0</v>
      </c>
      <c r="H53">
        <v>0</v>
      </c>
      <c r="J53">
        <v>0</v>
      </c>
      <c r="K53" s="14">
        <v>5.4110147222699995E-2</v>
      </c>
      <c r="L53">
        <v>0</v>
      </c>
      <c r="M53">
        <v>0</v>
      </c>
      <c r="N53">
        <v>0</v>
      </c>
      <c r="O53" s="20"/>
      <c r="P53" s="20"/>
      <c r="Q53" s="438">
        <v>0.42191448930725783</v>
      </c>
      <c r="R53" s="197">
        <v>0.43</v>
      </c>
      <c r="S53" s="197">
        <v>2.83</v>
      </c>
      <c r="T53" s="197">
        <v>0.76744186046511631</v>
      </c>
      <c r="U53" s="197">
        <v>0.76744186046511631</v>
      </c>
      <c r="V53" s="20">
        <f t="shared" si="44"/>
        <v>7.1279318719100204E-2</v>
      </c>
      <c r="W53" s="20">
        <f t="shared" si="44"/>
        <v>0</v>
      </c>
      <c r="X53" s="20">
        <f t="shared" si="44"/>
        <v>0</v>
      </c>
      <c r="Y53" s="20">
        <f t="shared" si="44"/>
        <v>0</v>
      </c>
      <c r="Z53" s="20">
        <f t="shared" si="45"/>
        <v>5.7728005605901307E-2</v>
      </c>
      <c r="AA53" s="20">
        <f t="shared" si="45"/>
        <v>0</v>
      </c>
      <c r="AB53" s="20">
        <f t="shared" si="45"/>
        <v>0</v>
      </c>
      <c r="AC53" s="20">
        <f t="shared" si="45"/>
        <v>0</v>
      </c>
      <c r="AD53" s="20">
        <f t="shared" si="46"/>
        <v>5.7728005605901307E-2</v>
      </c>
      <c r="AE53" s="20">
        <f t="shared" si="47"/>
        <v>0.60568560955703199</v>
      </c>
      <c r="AF53" s="20">
        <f t="shared" si="47"/>
        <v>0</v>
      </c>
      <c r="AG53" s="20">
        <f t="shared" si="47"/>
        <v>0</v>
      </c>
      <c r="AH53" s="20">
        <f t="shared" si="47"/>
        <v>0</v>
      </c>
      <c r="AI53" s="20">
        <f t="shared" si="48"/>
        <v>0.49053530381951826</v>
      </c>
      <c r="AJ53" s="20">
        <f t="shared" si="48"/>
        <v>0</v>
      </c>
      <c r="AK53" s="20">
        <f t="shared" si="48"/>
        <v>0</v>
      </c>
      <c r="AL53" s="20">
        <f t="shared" si="48"/>
        <v>0</v>
      </c>
      <c r="AM53" s="20">
        <f t="shared" si="49"/>
        <v>0.49053530381951826</v>
      </c>
      <c r="AO53">
        <f t="shared" si="50"/>
        <v>6.9793158777534683E-2</v>
      </c>
      <c r="AP53">
        <f t="shared" si="50"/>
        <v>0</v>
      </c>
      <c r="AQ53">
        <f t="shared" si="50"/>
        <v>0</v>
      </c>
      <c r="AR53">
        <f t="shared" si="50"/>
        <v>0</v>
      </c>
      <c r="AS53">
        <f t="shared" si="51"/>
        <v>6.9793158777534683E-2</v>
      </c>
      <c r="AU53">
        <f t="shared" si="52"/>
        <v>0.59305718231779758</v>
      </c>
      <c r="AV53">
        <f t="shared" si="52"/>
        <v>0</v>
      </c>
      <c r="AW53">
        <f t="shared" si="52"/>
        <v>0</v>
      </c>
      <c r="AX53">
        <f t="shared" si="52"/>
        <v>0</v>
      </c>
      <c r="AY53">
        <f t="shared" si="53"/>
        <v>0.59305718231779758</v>
      </c>
    </row>
    <row r="54" spans="1:53" ht="15" x14ac:dyDescent="0.25">
      <c r="A54" s="7"/>
      <c r="B54" s="8" t="s">
        <v>14</v>
      </c>
      <c r="C54" s="7"/>
      <c r="D54" s="357">
        <f t="shared" ref="D54:H54" si="54">SUM(D48:D53)</f>
        <v>0</v>
      </c>
      <c r="E54" s="363">
        <f>SUM(E48:E53)</f>
        <v>86.320300000000003</v>
      </c>
      <c r="F54" s="357">
        <f t="shared" si="54"/>
        <v>0</v>
      </c>
      <c r="G54" s="357">
        <f t="shared" si="54"/>
        <v>0</v>
      </c>
      <c r="H54" s="357">
        <f t="shared" si="54"/>
        <v>0</v>
      </c>
      <c r="J54">
        <v>0</v>
      </c>
      <c r="K54" s="14">
        <v>54.223961965811704</v>
      </c>
      <c r="L54">
        <v>0</v>
      </c>
      <c r="M54">
        <v>0</v>
      </c>
      <c r="N54">
        <v>0</v>
      </c>
      <c r="O54" s="20"/>
      <c r="P54" s="20"/>
      <c r="Q54" s="438">
        <v>0.41473005946942793</v>
      </c>
      <c r="R54" s="197"/>
      <c r="S54" s="197"/>
      <c r="T54" s="197"/>
      <c r="U54" s="197"/>
      <c r="BA54" s="319">
        <f>(E54*10000*Q54*AU$10)</f>
        <v>432817.44391274406</v>
      </c>
    </row>
    <row r="55" spans="1:53" ht="15" x14ac:dyDescent="0.25">
      <c r="A55" s="10"/>
      <c r="B55" s="9" t="s">
        <v>15</v>
      </c>
      <c r="C55" s="5"/>
      <c r="E55" s="363">
        <f>SUM(E54)</f>
        <v>86.320300000000003</v>
      </c>
      <c r="H55" s="358">
        <f>SUM(D54:H54)</f>
        <v>86.320300000000003</v>
      </c>
      <c r="K55" s="14">
        <v>54.223961965811704</v>
      </c>
      <c r="N55">
        <v>0</v>
      </c>
      <c r="O55" s="20"/>
      <c r="P55" s="20"/>
      <c r="Q55" s="438"/>
      <c r="R55" s="197"/>
      <c r="S55" s="197"/>
      <c r="T55" s="197"/>
      <c r="U55" s="197"/>
    </row>
    <row r="56" spans="1:53" ht="15.75" x14ac:dyDescent="0.25">
      <c r="A56" s="1"/>
      <c r="B56" s="2"/>
      <c r="C56" s="1"/>
      <c r="E56" s="361"/>
      <c r="K56" s="14"/>
      <c r="O56" s="20"/>
      <c r="P56" s="20"/>
      <c r="Q56" s="439"/>
      <c r="R56" s="197"/>
      <c r="S56" s="197"/>
      <c r="T56" s="197"/>
      <c r="U56" s="197"/>
    </row>
    <row r="57" spans="1:53" ht="15" x14ac:dyDescent="0.25">
      <c r="A57" s="1">
        <v>6</v>
      </c>
      <c r="B57" s="2" t="s">
        <v>20</v>
      </c>
      <c r="C57" s="1" t="s">
        <v>8</v>
      </c>
      <c r="D57">
        <v>0</v>
      </c>
      <c r="E57" s="360">
        <v>11.9978</v>
      </c>
      <c r="F57">
        <v>0</v>
      </c>
      <c r="G57">
        <v>0</v>
      </c>
      <c r="H57">
        <v>0</v>
      </c>
      <c r="J57">
        <v>0</v>
      </c>
      <c r="K57" s="14">
        <v>11.908647118760999</v>
      </c>
      <c r="L57">
        <v>0</v>
      </c>
      <c r="M57">
        <v>0</v>
      </c>
      <c r="N57">
        <v>0</v>
      </c>
      <c r="O57" s="20"/>
      <c r="P57" s="20"/>
      <c r="Q57" s="438">
        <v>0.45384420211528581</v>
      </c>
      <c r="R57" s="197">
        <v>0.33900000000000002</v>
      </c>
      <c r="S57" s="197">
        <v>1.9830000000000001</v>
      </c>
      <c r="T57" s="197">
        <v>0.76146788990825687</v>
      </c>
      <c r="U57" s="197">
        <v>0.76146788990825687</v>
      </c>
      <c r="V57" s="20">
        <f t="shared" ref="V57:Y62" si="55">IF(K57&gt;0,((E57-K57)*$Q57*$R57*10)+(K57*$O$12*$Q57*$R57*10),(E57*$Q57*$R57*10))</f>
        <v>6.8750560401309926</v>
      </c>
      <c r="W57" s="20">
        <f t="shared" si="55"/>
        <v>0</v>
      </c>
      <c r="X57" s="20">
        <f t="shared" si="55"/>
        <v>0</v>
      </c>
      <c r="Y57" s="20">
        <f t="shared" si="55"/>
        <v>0</v>
      </c>
      <c r="Z57" s="20">
        <f t="shared" ref="Z57:AC62" si="56">V57*(EXP(1.01-0.34*LN(Z$8))*(1-$T57)+(1*$T57))</f>
        <v>5.5344246369980379</v>
      </c>
      <c r="AA57" s="20">
        <f t="shared" si="56"/>
        <v>0</v>
      </c>
      <c r="AB57" s="20">
        <f t="shared" si="56"/>
        <v>0</v>
      </c>
      <c r="AC57" s="20">
        <f t="shared" si="56"/>
        <v>0</v>
      </c>
      <c r="AD57" s="20">
        <f t="shared" ref="AD57:AD62" si="57">SUM(Z57:AC57)</f>
        <v>5.5344246369980379</v>
      </c>
      <c r="AE57" s="20">
        <f t="shared" ref="AE57:AH62" si="58">IF(K57&gt;0,((E57-K57)*$Q57*$S57*10)+(K57*$P$12*$Q57*$S57)*10,(E57*$Q57*$S57*10))</f>
        <v>62.870407942771202</v>
      </c>
      <c r="AF57" s="20">
        <f t="shared" si="58"/>
        <v>0</v>
      </c>
      <c r="AG57" s="20">
        <f t="shared" si="58"/>
        <v>0</v>
      </c>
      <c r="AH57" s="20">
        <f t="shared" si="58"/>
        <v>0</v>
      </c>
      <c r="AI57" s="20">
        <f t="shared" ref="AI57:AL62" si="59">AE57*(EXP(1.01-0.34*LN(AI$8))*(1-$U57)+(1*$U57))</f>
        <v>50.610719770941742</v>
      </c>
      <c r="AJ57" s="20">
        <f t="shared" si="59"/>
        <v>0</v>
      </c>
      <c r="AK57" s="20">
        <f t="shared" si="59"/>
        <v>0</v>
      </c>
      <c r="AL57" s="20">
        <f t="shared" si="59"/>
        <v>0</v>
      </c>
      <c r="AM57" s="20">
        <f t="shared" ref="AM57:AM62" si="60">SUM(AI57:AL57)</f>
        <v>50.610719770941742</v>
      </c>
      <c r="AO57">
        <f t="shared" ref="AO57:AR62" si="61">Z57*AO$10</f>
        <v>6.6911193861306284</v>
      </c>
      <c r="AP57">
        <f t="shared" si="61"/>
        <v>0</v>
      </c>
      <c r="AQ57">
        <f t="shared" si="61"/>
        <v>0</v>
      </c>
      <c r="AR57">
        <f t="shared" si="61"/>
        <v>0</v>
      </c>
      <c r="AS57">
        <f t="shared" ref="AS57:AS62" si="62">SUM(AO57:AR57)</f>
        <v>6.6911193861306284</v>
      </c>
      <c r="AU57">
        <f t="shared" ref="AU57:AX62" si="63">AI57*AU$10</f>
        <v>61.188360203068569</v>
      </c>
      <c r="AV57">
        <f t="shared" si="63"/>
        <v>0</v>
      </c>
      <c r="AW57">
        <f t="shared" si="63"/>
        <v>0</v>
      </c>
      <c r="AX57">
        <f t="shared" si="63"/>
        <v>0</v>
      </c>
      <c r="AY57">
        <f t="shared" ref="AY57:AY62" si="64">SUM(AU57:AX57)</f>
        <v>61.188360203068569</v>
      </c>
    </row>
    <row r="58" spans="1:53" ht="15" x14ac:dyDescent="0.25">
      <c r="A58" s="1"/>
      <c r="B58" s="2"/>
      <c r="C58" s="1" t="s">
        <v>9</v>
      </c>
      <c r="D58">
        <v>0</v>
      </c>
      <c r="E58" s="360">
        <v>3.8092000000000001</v>
      </c>
      <c r="F58">
        <v>0</v>
      </c>
      <c r="G58">
        <v>0</v>
      </c>
      <c r="H58">
        <v>0</v>
      </c>
      <c r="J58">
        <v>0</v>
      </c>
      <c r="K58" s="14">
        <v>2.2897921524700005</v>
      </c>
      <c r="L58">
        <v>0</v>
      </c>
      <c r="M58">
        <v>0</v>
      </c>
      <c r="N58">
        <v>0</v>
      </c>
      <c r="O58" s="20"/>
      <c r="P58" s="20"/>
      <c r="Q58" s="438">
        <v>0.45768840423057167</v>
      </c>
      <c r="R58" s="197">
        <v>0.33900000000000002</v>
      </c>
      <c r="S58" s="197">
        <v>1.9830000000000001</v>
      </c>
      <c r="T58" s="197">
        <v>0.76146788990825687</v>
      </c>
      <c r="U58" s="197">
        <v>0.76146788990825687</v>
      </c>
      <c r="V58" s="20">
        <f t="shared" si="55"/>
        <v>3.6639922008501822</v>
      </c>
      <c r="W58" s="20">
        <f t="shared" si="55"/>
        <v>0</v>
      </c>
      <c r="X58" s="20">
        <f t="shared" si="55"/>
        <v>0</v>
      </c>
      <c r="Y58" s="20">
        <f t="shared" si="55"/>
        <v>0</v>
      </c>
      <c r="Z58" s="20">
        <f t="shared" si="56"/>
        <v>2.9495161330739563</v>
      </c>
      <c r="AA58" s="20">
        <f t="shared" si="56"/>
        <v>0</v>
      </c>
      <c r="AB58" s="20">
        <f t="shared" si="56"/>
        <v>0</v>
      </c>
      <c r="AC58" s="20">
        <f t="shared" si="56"/>
        <v>0</v>
      </c>
      <c r="AD58" s="20">
        <f t="shared" si="57"/>
        <v>2.9495161330739563</v>
      </c>
      <c r="AE58" s="20">
        <f t="shared" si="58"/>
        <v>25.825607527613769</v>
      </c>
      <c r="AF58" s="20">
        <f t="shared" si="58"/>
        <v>0</v>
      </c>
      <c r="AG58" s="20">
        <f t="shared" si="58"/>
        <v>0</v>
      </c>
      <c r="AH58" s="20">
        <f t="shared" si="58"/>
        <v>0</v>
      </c>
      <c r="AI58" s="20">
        <f t="shared" si="59"/>
        <v>20.789631056381083</v>
      </c>
      <c r="AJ58" s="20">
        <f t="shared" si="59"/>
        <v>0</v>
      </c>
      <c r="AK58" s="20">
        <f t="shared" si="59"/>
        <v>0</v>
      </c>
      <c r="AL58" s="20">
        <f t="shared" si="59"/>
        <v>0</v>
      </c>
      <c r="AM58" s="20">
        <f t="shared" si="60"/>
        <v>20.789631056381083</v>
      </c>
      <c r="AO58">
        <f t="shared" si="61"/>
        <v>3.5659650048864133</v>
      </c>
      <c r="AP58">
        <f t="shared" si="61"/>
        <v>0</v>
      </c>
      <c r="AQ58">
        <f t="shared" si="61"/>
        <v>0</v>
      </c>
      <c r="AR58">
        <f t="shared" si="61"/>
        <v>0</v>
      </c>
      <c r="AS58">
        <f t="shared" si="62"/>
        <v>3.5659650048864133</v>
      </c>
      <c r="AU58">
        <f t="shared" si="63"/>
        <v>25.134663947164732</v>
      </c>
      <c r="AV58">
        <f t="shared" si="63"/>
        <v>0</v>
      </c>
      <c r="AW58">
        <f t="shared" si="63"/>
        <v>0</v>
      </c>
      <c r="AX58">
        <f t="shared" si="63"/>
        <v>0</v>
      </c>
      <c r="AY58">
        <f t="shared" si="64"/>
        <v>25.134663947164732</v>
      </c>
    </row>
    <row r="59" spans="1:53" ht="15" x14ac:dyDescent="0.25">
      <c r="A59" s="1"/>
      <c r="B59" s="2"/>
      <c r="C59" s="1" t="s">
        <v>10</v>
      </c>
      <c r="D59">
        <v>0</v>
      </c>
      <c r="E59" s="360">
        <v>0.1384</v>
      </c>
      <c r="F59">
        <v>0</v>
      </c>
      <c r="G59">
        <v>0</v>
      </c>
      <c r="H59">
        <v>0</v>
      </c>
      <c r="J59">
        <v>0</v>
      </c>
      <c r="K59" s="14">
        <v>-8.809080921500001E-2</v>
      </c>
      <c r="L59">
        <v>0</v>
      </c>
      <c r="M59">
        <v>0</v>
      </c>
      <c r="N59">
        <v>0</v>
      </c>
      <c r="O59" s="20"/>
      <c r="P59" s="20"/>
      <c r="Q59" s="438">
        <v>0.46153260634585763</v>
      </c>
      <c r="R59" s="197">
        <v>0.33900000000000002</v>
      </c>
      <c r="S59" s="197">
        <v>1.9830000000000001</v>
      </c>
      <c r="T59" s="197">
        <v>0.76146788990825687</v>
      </c>
      <c r="U59" s="197">
        <v>0.76146788990825687</v>
      </c>
      <c r="V59" s="20">
        <f t="shared" si="55"/>
        <v>0.21654002211492412</v>
      </c>
      <c r="W59" s="20">
        <f t="shared" si="55"/>
        <v>0</v>
      </c>
      <c r="X59" s="20">
        <f t="shared" si="55"/>
        <v>0</v>
      </c>
      <c r="Y59" s="20">
        <f t="shared" si="55"/>
        <v>0</v>
      </c>
      <c r="Z59" s="20">
        <f t="shared" si="56"/>
        <v>0.17431486031437529</v>
      </c>
      <c r="AA59" s="20">
        <f t="shared" si="56"/>
        <v>0</v>
      </c>
      <c r="AB59" s="20">
        <f t="shared" si="56"/>
        <v>0</v>
      </c>
      <c r="AC59" s="20">
        <f t="shared" si="56"/>
        <v>0</v>
      </c>
      <c r="AD59" s="20">
        <f t="shared" si="57"/>
        <v>0.17431486031437529</v>
      </c>
      <c r="AE59" s="20">
        <f t="shared" si="58"/>
        <v>1.2666633152032287</v>
      </c>
      <c r="AF59" s="20">
        <f t="shared" si="58"/>
        <v>0</v>
      </c>
      <c r="AG59" s="20">
        <f t="shared" si="58"/>
        <v>0</v>
      </c>
      <c r="AH59" s="20">
        <f t="shared" si="58"/>
        <v>0</v>
      </c>
      <c r="AI59" s="20">
        <f t="shared" si="59"/>
        <v>1.0196648023699297</v>
      </c>
      <c r="AJ59" s="20">
        <f t="shared" si="59"/>
        <v>0</v>
      </c>
      <c r="AK59" s="20">
        <f t="shared" si="59"/>
        <v>0</v>
      </c>
      <c r="AL59" s="20">
        <f t="shared" si="59"/>
        <v>0</v>
      </c>
      <c r="AM59" s="20">
        <f t="shared" si="60"/>
        <v>1.0196648023699297</v>
      </c>
      <c r="AO59">
        <f t="shared" si="61"/>
        <v>0.21074666612007975</v>
      </c>
      <c r="AP59">
        <f t="shared" si="61"/>
        <v>0</v>
      </c>
      <c r="AQ59">
        <f t="shared" si="61"/>
        <v>0</v>
      </c>
      <c r="AR59">
        <f t="shared" si="61"/>
        <v>0</v>
      </c>
      <c r="AS59">
        <f t="shared" si="62"/>
        <v>0.21074666612007975</v>
      </c>
      <c r="AU59">
        <f t="shared" si="63"/>
        <v>1.2327747460652452</v>
      </c>
      <c r="AV59">
        <f t="shared" si="63"/>
        <v>0</v>
      </c>
      <c r="AW59">
        <f t="shared" si="63"/>
        <v>0</v>
      </c>
      <c r="AX59">
        <f t="shared" si="63"/>
        <v>0</v>
      </c>
      <c r="AY59">
        <f t="shared" si="64"/>
        <v>1.2327747460652452</v>
      </c>
    </row>
    <row r="60" spans="1:53" ht="15" x14ac:dyDescent="0.25">
      <c r="A60" s="1"/>
      <c r="B60" s="2"/>
      <c r="C60" s="1" t="s">
        <v>11</v>
      </c>
      <c r="D60">
        <v>0</v>
      </c>
      <c r="E60" s="360">
        <v>2.6183000000000001</v>
      </c>
      <c r="F60">
        <v>0</v>
      </c>
      <c r="G60">
        <v>0</v>
      </c>
      <c r="H60">
        <v>0</v>
      </c>
      <c r="J60">
        <v>0</v>
      </c>
      <c r="K60" s="14">
        <v>2.1201244640930001</v>
      </c>
      <c r="L60">
        <v>0</v>
      </c>
      <c r="M60">
        <v>0</v>
      </c>
      <c r="N60">
        <v>0</v>
      </c>
      <c r="O60" s="20"/>
      <c r="P60" s="20"/>
      <c r="Q60" s="438">
        <v>0.46537680846114354</v>
      </c>
      <c r="R60" s="197">
        <v>0.33900000000000002</v>
      </c>
      <c r="S60" s="197">
        <v>1.9830000000000001</v>
      </c>
      <c r="T60" s="197">
        <v>0.76146788990825687</v>
      </c>
      <c r="U60" s="197">
        <v>0.76146788990825687</v>
      </c>
      <c r="V60" s="20">
        <f t="shared" si="55"/>
        <v>2.0159800519933095</v>
      </c>
      <c r="W60" s="20">
        <f t="shared" si="55"/>
        <v>0</v>
      </c>
      <c r="X60" s="20">
        <f t="shared" si="55"/>
        <v>0</v>
      </c>
      <c r="Y60" s="20">
        <f t="shared" si="55"/>
        <v>0</v>
      </c>
      <c r="Z60" s="20">
        <f t="shared" si="56"/>
        <v>1.6228652686350722</v>
      </c>
      <c r="AA60" s="20">
        <f t="shared" si="56"/>
        <v>0</v>
      </c>
      <c r="AB60" s="20">
        <f t="shared" si="56"/>
        <v>0</v>
      </c>
      <c r="AC60" s="20">
        <f t="shared" si="56"/>
        <v>0</v>
      </c>
      <c r="AD60" s="20">
        <f t="shared" si="57"/>
        <v>1.6228652686350722</v>
      </c>
      <c r="AE60" s="20">
        <f t="shared" si="58"/>
        <v>15.928290128138016</v>
      </c>
      <c r="AF60" s="20">
        <f t="shared" si="58"/>
        <v>0</v>
      </c>
      <c r="AG60" s="20">
        <f t="shared" si="58"/>
        <v>0</v>
      </c>
      <c r="AH60" s="20">
        <f t="shared" si="58"/>
        <v>0</v>
      </c>
      <c r="AI60" s="20">
        <f t="shared" si="59"/>
        <v>12.822284036064389</v>
      </c>
      <c r="AJ60" s="20">
        <f t="shared" si="59"/>
        <v>0</v>
      </c>
      <c r="AK60" s="20">
        <f t="shared" si="59"/>
        <v>0</v>
      </c>
      <c r="AL60" s="20">
        <f t="shared" si="59"/>
        <v>0</v>
      </c>
      <c r="AM60" s="20">
        <f t="shared" si="60"/>
        <v>12.822284036064389</v>
      </c>
      <c r="AO60">
        <f t="shared" si="61"/>
        <v>1.9620441097798025</v>
      </c>
      <c r="AP60">
        <f t="shared" si="61"/>
        <v>0</v>
      </c>
      <c r="AQ60">
        <f t="shared" si="61"/>
        <v>0</v>
      </c>
      <c r="AR60">
        <f t="shared" si="61"/>
        <v>0</v>
      </c>
      <c r="AS60">
        <f t="shared" si="62"/>
        <v>1.9620441097798025</v>
      </c>
      <c r="AU60">
        <f t="shared" si="63"/>
        <v>15.502141399601847</v>
      </c>
      <c r="AV60">
        <f t="shared" si="63"/>
        <v>0</v>
      </c>
      <c r="AW60">
        <f t="shared" si="63"/>
        <v>0</v>
      </c>
      <c r="AX60">
        <f t="shared" si="63"/>
        <v>0</v>
      </c>
      <c r="AY60">
        <f t="shared" si="64"/>
        <v>15.502141399601847</v>
      </c>
    </row>
    <row r="61" spans="1:53" ht="15" x14ac:dyDescent="0.25">
      <c r="A61" s="1"/>
      <c r="B61" s="2"/>
      <c r="C61" s="1" t="s">
        <v>12</v>
      </c>
      <c r="D61">
        <v>0</v>
      </c>
      <c r="E61" s="360">
        <v>0</v>
      </c>
      <c r="F61">
        <v>0</v>
      </c>
      <c r="G61">
        <v>0</v>
      </c>
      <c r="H61">
        <v>0</v>
      </c>
      <c r="J61">
        <v>0</v>
      </c>
      <c r="K61" s="14">
        <v>0</v>
      </c>
      <c r="L61">
        <v>0</v>
      </c>
      <c r="M61">
        <v>0</v>
      </c>
      <c r="N61">
        <v>0</v>
      </c>
      <c r="O61" s="20"/>
      <c r="P61" s="20"/>
      <c r="Q61" s="438"/>
      <c r="R61" s="197">
        <v>0.33900000000000002</v>
      </c>
      <c r="S61" s="197">
        <v>1.9830000000000001</v>
      </c>
      <c r="T61" s="197">
        <v>0.76146788990825687</v>
      </c>
      <c r="U61" s="197">
        <v>0.76146788990825687</v>
      </c>
      <c r="V61" s="20">
        <f t="shared" si="55"/>
        <v>0</v>
      </c>
      <c r="W61" s="20">
        <f t="shared" si="55"/>
        <v>0</v>
      </c>
      <c r="X61" s="20">
        <f t="shared" si="55"/>
        <v>0</v>
      </c>
      <c r="Y61" s="20">
        <f t="shared" si="55"/>
        <v>0</v>
      </c>
      <c r="Z61" s="20">
        <f t="shared" si="56"/>
        <v>0</v>
      </c>
      <c r="AA61" s="20">
        <f t="shared" si="56"/>
        <v>0</v>
      </c>
      <c r="AB61" s="20">
        <f t="shared" si="56"/>
        <v>0</v>
      </c>
      <c r="AC61" s="20">
        <f t="shared" si="56"/>
        <v>0</v>
      </c>
      <c r="AD61" s="20">
        <f t="shared" si="57"/>
        <v>0</v>
      </c>
      <c r="AE61" s="20">
        <f t="shared" si="58"/>
        <v>0</v>
      </c>
      <c r="AF61" s="20">
        <f t="shared" si="58"/>
        <v>0</v>
      </c>
      <c r="AG61" s="20">
        <f t="shared" si="58"/>
        <v>0</v>
      </c>
      <c r="AH61" s="20">
        <f t="shared" si="58"/>
        <v>0</v>
      </c>
      <c r="AI61" s="20">
        <f t="shared" si="59"/>
        <v>0</v>
      </c>
      <c r="AJ61" s="20">
        <f t="shared" si="59"/>
        <v>0</v>
      </c>
      <c r="AK61" s="20">
        <f t="shared" si="59"/>
        <v>0</v>
      </c>
      <c r="AL61" s="20">
        <f t="shared" si="59"/>
        <v>0</v>
      </c>
      <c r="AM61" s="20">
        <f t="shared" si="60"/>
        <v>0</v>
      </c>
      <c r="AO61">
        <f t="shared" si="61"/>
        <v>0</v>
      </c>
      <c r="AP61">
        <f t="shared" si="61"/>
        <v>0</v>
      </c>
      <c r="AQ61">
        <f t="shared" si="61"/>
        <v>0</v>
      </c>
      <c r="AR61">
        <f t="shared" si="61"/>
        <v>0</v>
      </c>
      <c r="AS61">
        <f t="shared" si="62"/>
        <v>0</v>
      </c>
      <c r="AU61">
        <f t="shared" si="63"/>
        <v>0</v>
      </c>
      <c r="AV61">
        <f t="shared" si="63"/>
        <v>0</v>
      </c>
      <c r="AW61">
        <f t="shared" si="63"/>
        <v>0</v>
      </c>
      <c r="AX61">
        <f t="shared" si="63"/>
        <v>0</v>
      </c>
      <c r="AY61">
        <f t="shared" si="64"/>
        <v>0</v>
      </c>
    </row>
    <row r="62" spans="1:53" ht="15" x14ac:dyDescent="0.25">
      <c r="A62" s="1"/>
      <c r="B62" s="2"/>
      <c r="C62" s="1" t="s">
        <v>13</v>
      </c>
      <c r="D62">
        <v>0</v>
      </c>
      <c r="E62" s="360">
        <v>1.4E-3</v>
      </c>
      <c r="F62">
        <v>0</v>
      </c>
      <c r="G62">
        <v>0</v>
      </c>
      <c r="H62">
        <v>0</v>
      </c>
      <c r="J62">
        <v>0</v>
      </c>
      <c r="K62" s="14">
        <v>1.4E-3</v>
      </c>
      <c r="L62">
        <v>0</v>
      </c>
      <c r="M62">
        <v>0</v>
      </c>
      <c r="N62">
        <v>0</v>
      </c>
      <c r="O62" s="20"/>
      <c r="P62" s="20"/>
      <c r="Q62" s="438">
        <v>0.46537680846114343</v>
      </c>
      <c r="R62" s="197">
        <v>0.33900000000000002</v>
      </c>
      <c r="S62" s="197">
        <v>1.9830000000000001</v>
      </c>
      <c r="T62" s="197">
        <v>0.76146788990825687</v>
      </c>
      <c r="U62" s="197">
        <v>0.76146788990825687</v>
      </c>
      <c r="V62" s="20">
        <f t="shared" si="55"/>
        <v>8.1224597413459543E-4</v>
      </c>
      <c r="W62" s="20">
        <f t="shared" si="55"/>
        <v>0</v>
      </c>
      <c r="X62" s="20">
        <f t="shared" si="55"/>
        <v>0</v>
      </c>
      <c r="Y62" s="20">
        <f t="shared" si="55"/>
        <v>0</v>
      </c>
      <c r="Z62" s="20">
        <f t="shared" si="56"/>
        <v>6.5385854374320498E-4</v>
      </c>
      <c r="AA62" s="20">
        <f t="shared" si="56"/>
        <v>0</v>
      </c>
      <c r="AB62" s="20">
        <f t="shared" si="56"/>
        <v>0</v>
      </c>
      <c r="AC62" s="20">
        <f t="shared" si="56"/>
        <v>0</v>
      </c>
      <c r="AD62" s="20">
        <f t="shared" si="57"/>
        <v>6.5385854374320498E-4</v>
      </c>
      <c r="AE62" s="20">
        <f t="shared" si="58"/>
        <v>7.4822410969252557E-3</v>
      </c>
      <c r="AF62" s="20">
        <f t="shared" si="58"/>
        <v>0</v>
      </c>
      <c r="AG62" s="20">
        <f t="shared" si="58"/>
        <v>0</v>
      </c>
      <c r="AH62" s="20">
        <f t="shared" si="58"/>
        <v>0</v>
      </c>
      <c r="AI62" s="20">
        <f t="shared" si="59"/>
        <v>6.0232090073251776E-3</v>
      </c>
      <c r="AJ62" s="20">
        <f t="shared" si="59"/>
        <v>0</v>
      </c>
      <c r="AK62" s="20">
        <f t="shared" si="59"/>
        <v>0</v>
      </c>
      <c r="AL62" s="20">
        <f t="shared" si="59"/>
        <v>0</v>
      </c>
      <c r="AM62" s="20">
        <f t="shared" si="60"/>
        <v>6.0232090073251776E-3</v>
      </c>
      <c r="AO62">
        <f t="shared" si="61"/>
        <v>7.9051497938553488E-4</v>
      </c>
      <c r="AP62">
        <f t="shared" si="61"/>
        <v>0</v>
      </c>
      <c r="AQ62">
        <f t="shared" si="61"/>
        <v>0</v>
      </c>
      <c r="AR62">
        <f t="shared" si="61"/>
        <v>0</v>
      </c>
      <c r="AS62">
        <f t="shared" si="62"/>
        <v>7.9051497938553488E-4</v>
      </c>
      <c r="AU62">
        <f t="shared" si="63"/>
        <v>7.2820596898561405E-3</v>
      </c>
      <c r="AV62">
        <f t="shared" si="63"/>
        <v>0</v>
      </c>
      <c r="AW62">
        <f t="shared" si="63"/>
        <v>0</v>
      </c>
      <c r="AX62">
        <f t="shared" si="63"/>
        <v>0</v>
      </c>
      <c r="AY62">
        <f t="shared" si="64"/>
        <v>7.2820596898561405E-3</v>
      </c>
    </row>
    <row r="63" spans="1:53" ht="15" x14ac:dyDescent="0.25">
      <c r="A63" s="7"/>
      <c r="B63" s="8" t="s">
        <v>14</v>
      </c>
      <c r="C63" s="7"/>
      <c r="D63" s="357">
        <f t="shared" ref="D63:H63" si="65">SUM(D57:D62)</f>
        <v>0</v>
      </c>
      <c r="E63" s="363">
        <f>SUM(E57:E62)</f>
        <v>18.565100000000001</v>
      </c>
      <c r="F63" s="357">
        <f t="shared" si="65"/>
        <v>0</v>
      </c>
      <c r="G63" s="357">
        <f t="shared" si="65"/>
        <v>0</v>
      </c>
      <c r="H63" s="357">
        <f t="shared" si="65"/>
        <v>0</v>
      </c>
      <c r="J63">
        <v>0</v>
      </c>
      <c r="K63" s="14">
        <v>16.231872926109002</v>
      </c>
      <c r="L63">
        <v>0</v>
      </c>
      <c r="M63">
        <v>0</v>
      </c>
      <c r="N63">
        <v>0</v>
      </c>
      <c r="O63" s="20"/>
      <c r="P63" s="20"/>
      <c r="Q63" s="438">
        <v>0.45631762691166727</v>
      </c>
      <c r="R63" s="197"/>
      <c r="S63" s="197"/>
      <c r="T63" s="197"/>
      <c r="U63" s="197"/>
      <c r="BA63" s="319">
        <f>(E63*10000*Q63*AU$10)</f>
        <v>102421.43091831754</v>
      </c>
    </row>
    <row r="64" spans="1:53" ht="15" x14ac:dyDescent="0.25">
      <c r="A64" s="10"/>
      <c r="B64" s="9" t="s">
        <v>15</v>
      </c>
      <c r="C64" s="5"/>
      <c r="E64" s="363">
        <f>SUM(E63)</f>
        <v>18.565100000000001</v>
      </c>
      <c r="H64" s="358">
        <f>SUM(D63:H63)</f>
        <v>18.565100000000001</v>
      </c>
      <c r="K64" s="14"/>
      <c r="N64">
        <v>0</v>
      </c>
      <c r="O64" s="20"/>
      <c r="P64" s="20"/>
      <c r="Q64" s="438"/>
      <c r="R64" s="197"/>
      <c r="S64" s="197"/>
      <c r="T64" s="197"/>
      <c r="U64" s="197"/>
    </row>
    <row r="65" spans="1:53" ht="15.75" x14ac:dyDescent="0.25">
      <c r="A65" s="3"/>
      <c r="B65" s="11"/>
      <c r="C65" s="3"/>
      <c r="E65" s="361"/>
      <c r="K65" s="14"/>
      <c r="O65" s="20"/>
      <c r="P65" s="20"/>
      <c r="Q65" s="439"/>
      <c r="R65" s="197"/>
      <c r="S65" s="197"/>
      <c r="T65" s="197"/>
      <c r="U65" s="197"/>
    </row>
    <row r="66" spans="1:53" ht="15" x14ac:dyDescent="0.25">
      <c r="A66" s="3">
        <v>7</v>
      </c>
      <c r="B66" s="11" t="s">
        <v>21</v>
      </c>
      <c r="C66" s="3" t="s">
        <v>8</v>
      </c>
      <c r="D66">
        <v>0</v>
      </c>
      <c r="E66" s="360">
        <v>3.6787999999999998</v>
      </c>
      <c r="F66">
        <v>0</v>
      </c>
      <c r="G66">
        <v>0</v>
      </c>
      <c r="H66">
        <v>0</v>
      </c>
      <c r="J66">
        <v>0</v>
      </c>
      <c r="K66" s="14">
        <v>0.48486916860059948</v>
      </c>
      <c r="L66">
        <v>0</v>
      </c>
      <c r="M66">
        <v>0</v>
      </c>
      <c r="N66">
        <v>0</v>
      </c>
      <c r="O66" s="20"/>
      <c r="P66" s="20"/>
      <c r="Q66" s="438">
        <v>1.6611520188266012E-2</v>
      </c>
      <c r="R66" s="197">
        <v>0.15</v>
      </c>
      <c r="S66" s="197">
        <v>1.18</v>
      </c>
      <c r="T66" s="197">
        <v>0.46666666666666673</v>
      </c>
      <c r="U66" s="197">
        <v>0.6566321730950142</v>
      </c>
      <c r="V66" s="20">
        <f t="shared" ref="V66:Y71" si="66">IF(K66&gt;0,((E66-K66)*$Q66*$R66*10)+(K66*$O$12*$Q66*$R66*10),(E66*$Q66*$R66*10))</f>
        <v>8.4027110551214937E-2</v>
      </c>
      <c r="W66" s="20">
        <f t="shared" si="66"/>
        <v>0</v>
      </c>
      <c r="X66" s="20">
        <f t="shared" si="66"/>
        <v>0</v>
      </c>
      <c r="Y66" s="20">
        <f t="shared" si="66"/>
        <v>0</v>
      </c>
      <c r="Z66" s="20">
        <f t="shared" ref="Z66:AC71" si="67">V66*(EXP(1.01-0.34*LN(Z$8))*(1-$T66)+(1*$T66))</f>
        <v>4.7391413998044557E-2</v>
      </c>
      <c r="AA66" s="20">
        <f t="shared" si="67"/>
        <v>0</v>
      </c>
      <c r="AB66" s="20">
        <f t="shared" si="67"/>
        <v>0</v>
      </c>
      <c r="AC66" s="20">
        <f t="shared" si="67"/>
        <v>0</v>
      </c>
      <c r="AD66" s="20">
        <f t="shared" ref="AD66:AD71" si="68">SUM(Z66:AC66)</f>
        <v>4.7391413998044557E-2</v>
      </c>
      <c r="AE66" s="20">
        <f t="shared" ref="AE66:AH71" si="69">IF(K66&gt;0,((E66-K66)*$Q66*$S66*10)+(K66*$P$12*$Q66*$S66)*10,(E66*$Q66*$S66*10))</f>
        <v>0.68110309005060721</v>
      </c>
      <c r="AF66" s="20">
        <f t="shared" si="69"/>
        <v>0</v>
      </c>
      <c r="AG66" s="20">
        <f t="shared" si="69"/>
        <v>0</v>
      </c>
      <c r="AH66" s="20">
        <f t="shared" si="69"/>
        <v>0</v>
      </c>
      <c r="AI66" s="20">
        <f t="shared" ref="AI66:AL71" si="70">AE66*(EXP(1.01-0.34*LN(AI$8))*(1-$U66)+(1*$U66))</f>
        <v>0.48991591943417845</v>
      </c>
      <c r="AJ66" s="20">
        <f t="shared" si="70"/>
        <v>0</v>
      </c>
      <c r="AK66" s="20">
        <f t="shared" si="70"/>
        <v>0</v>
      </c>
      <c r="AL66" s="20">
        <f t="shared" si="70"/>
        <v>0</v>
      </c>
      <c r="AM66" s="20">
        <f t="shared" ref="AM66:AM71" si="71">SUM(AI66:AL66)</f>
        <v>0.48991591943417845</v>
      </c>
      <c r="AO66">
        <f t="shared" ref="AO66:AR71" si="72">Z66*AO$10</f>
        <v>5.7296219523635873E-2</v>
      </c>
      <c r="AP66">
        <f t="shared" si="72"/>
        <v>0</v>
      </c>
      <c r="AQ66">
        <f t="shared" si="72"/>
        <v>0</v>
      </c>
      <c r="AR66">
        <f t="shared" si="72"/>
        <v>0</v>
      </c>
      <c r="AS66">
        <f t="shared" ref="AS66:AS71" si="73">SUM(AO66:AR66)</f>
        <v>5.7296219523635873E-2</v>
      </c>
      <c r="AU66">
        <f t="shared" ref="AU66:AX71" si="74">AI66*AU$10</f>
        <v>0.5923083465959218</v>
      </c>
      <c r="AV66">
        <f t="shared" si="74"/>
        <v>0</v>
      </c>
      <c r="AW66">
        <f t="shared" si="74"/>
        <v>0</v>
      </c>
      <c r="AX66">
        <f t="shared" si="74"/>
        <v>0</v>
      </c>
      <c r="AY66">
        <f t="shared" ref="AY66:AY71" si="75">SUM(AU66:AX66)</f>
        <v>0.5923083465959218</v>
      </c>
    </row>
    <row r="67" spans="1:53" ht="15" x14ac:dyDescent="0.25">
      <c r="A67" s="3"/>
      <c r="B67" s="11"/>
      <c r="C67" s="3" t="s">
        <v>9</v>
      </c>
      <c r="D67">
        <v>0</v>
      </c>
      <c r="E67" s="360">
        <v>4.2149000000000001</v>
      </c>
      <c r="F67">
        <v>0</v>
      </c>
      <c r="G67">
        <v>0</v>
      </c>
      <c r="H67">
        <v>0</v>
      </c>
      <c r="J67">
        <v>0</v>
      </c>
      <c r="K67" s="14">
        <v>-24.0944119095</v>
      </c>
      <c r="L67">
        <v>0</v>
      </c>
      <c r="M67">
        <v>0</v>
      </c>
      <c r="N67">
        <v>0</v>
      </c>
      <c r="O67" s="20"/>
      <c r="P67" s="20"/>
      <c r="Q67" s="438">
        <v>2.4223040376532022E-2</v>
      </c>
      <c r="R67" s="197">
        <v>0.15</v>
      </c>
      <c r="S67" s="197">
        <v>1.18</v>
      </c>
      <c r="T67" s="197">
        <v>0.46666666666666673</v>
      </c>
      <c r="U67" s="197">
        <v>0.6566321730950142</v>
      </c>
      <c r="V67" s="20">
        <f t="shared" si="66"/>
        <v>0.15314653932456723</v>
      </c>
      <c r="W67" s="20">
        <f t="shared" si="66"/>
        <v>0</v>
      </c>
      <c r="X67" s="20">
        <f t="shared" si="66"/>
        <v>0</v>
      </c>
      <c r="Y67" s="20">
        <f t="shared" si="66"/>
        <v>0</v>
      </c>
      <c r="Z67" s="20">
        <f t="shared" si="67"/>
        <v>8.6374873536496213E-2</v>
      </c>
      <c r="AA67" s="20">
        <f t="shared" si="67"/>
        <v>0</v>
      </c>
      <c r="AB67" s="20">
        <f t="shared" si="67"/>
        <v>0</v>
      </c>
      <c r="AC67" s="20">
        <f t="shared" si="67"/>
        <v>0</v>
      </c>
      <c r="AD67" s="20">
        <f t="shared" si="68"/>
        <v>8.6374873536496213E-2</v>
      </c>
      <c r="AE67" s="20">
        <f t="shared" si="69"/>
        <v>1.2047527760199288</v>
      </c>
      <c r="AF67" s="20">
        <f t="shared" si="69"/>
        <v>0</v>
      </c>
      <c r="AG67" s="20">
        <f t="shared" si="69"/>
        <v>0</v>
      </c>
      <c r="AH67" s="20">
        <f t="shared" si="69"/>
        <v>0</v>
      </c>
      <c r="AI67" s="20">
        <f t="shared" si="70"/>
        <v>0.86657595975790869</v>
      </c>
      <c r="AJ67" s="20">
        <f t="shared" si="70"/>
        <v>0</v>
      </c>
      <c r="AK67" s="20">
        <f t="shared" si="70"/>
        <v>0</v>
      </c>
      <c r="AL67" s="20">
        <f t="shared" si="70"/>
        <v>0</v>
      </c>
      <c r="AM67" s="20">
        <f t="shared" si="71"/>
        <v>0.86657595975790869</v>
      </c>
      <c r="AO67">
        <f t="shared" si="72"/>
        <v>0.10442722210562393</v>
      </c>
      <c r="AP67">
        <f t="shared" si="72"/>
        <v>0</v>
      </c>
      <c r="AQ67">
        <f t="shared" si="72"/>
        <v>0</v>
      </c>
      <c r="AR67">
        <f t="shared" si="72"/>
        <v>0</v>
      </c>
      <c r="AS67">
        <f t="shared" si="73"/>
        <v>0.10442722210562393</v>
      </c>
      <c r="AU67">
        <f t="shared" si="74"/>
        <v>1.0476903353473117</v>
      </c>
      <c r="AV67">
        <f t="shared" si="74"/>
        <v>0</v>
      </c>
      <c r="AW67">
        <f t="shared" si="74"/>
        <v>0</v>
      </c>
      <c r="AX67">
        <f t="shared" si="74"/>
        <v>0</v>
      </c>
      <c r="AY67">
        <f t="shared" si="75"/>
        <v>1.0476903353473117</v>
      </c>
    </row>
    <row r="68" spans="1:53" ht="15" x14ac:dyDescent="0.25">
      <c r="A68" s="3"/>
      <c r="B68" s="11"/>
      <c r="C68" s="3" t="s">
        <v>10</v>
      </c>
      <c r="D68">
        <v>0</v>
      </c>
      <c r="E68" s="360">
        <v>0</v>
      </c>
      <c r="F68">
        <v>0</v>
      </c>
      <c r="G68">
        <v>0</v>
      </c>
      <c r="H68">
        <v>0</v>
      </c>
      <c r="J68">
        <v>0</v>
      </c>
      <c r="K68" s="14">
        <v>0</v>
      </c>
      <c r="L68">
        <v>0</v>
      </c>
      <c r="M68">
        <v>0</v>
      </c>
      <c r="N68">
        <v>0</v>
      </c>
      <c r="O68" s="20"/>
      <c r="P68" s="20"/>
      <c r="Q68" s="438"/>
      <c r="R68" s="197">
        <v>0.15</v>
      </c>
      <c r="S68" s="197">
        <v>1.18</v>
      </c>
      <c r="T68" s="197">
        <v>0.46666666666666673</v>
      </c>
      <c r="U68" s="197">
        <v>0.6566321730950142</v>
      </c>
      <c r="V68" s="20">
        <f t="shared" si="66"/>
        <v>0</v>
      </c>
      <c r="W68" s="20">
        <f t="shared" si="66"/>
        <v>0</v>
      </c>
      <c r="X68" s="20">
        <f t="shared" si="66"/>
        <v>0</v>
      </c>
      <c r="Y68" s="20">
        <f t="shared" si="66"/>
        <v>0</v>
      </c>
      <c r="Z68" s="20">
        <f t="shared" si="67"/>
        <v>0</v>
      </c>
      <c r="AA68" s="20">
        <f t="shared" si="67"/>
        <v>0</v>
      </c>
      <c r="AB68" s="20">
        <f t="shared" si="67"/>
        <v>0</v>
      </c>
      <c r="AC68" s="20">
        <f t="shared" si="67"/>
        <v>0</v>
      </c>
      <c r="AD68" s="20">
        <f t="shared" si="68"/>
        <v>0</v>
      </c>
      <c r="AE68" s="20">
        <f t="shared" si="69"/>
        <v>0</v>
      </c>
      <c r="AF68" s="20">
        <f t="shared" si="69"/>
        <v>0</v>
      </c>
      <c r="AG68" s="20">
        <f t="shared" si="69"/>
        <v>0</v>
      </c>
      <c r="AH68" s="20">
        <f t="shared" si="69"/>
        <v>0</v>
      </c>
      <c r="AI68" s="20">
        <f t="shared" si="70"/>
        <v>0</v>
      </c>
      <c r="AJ68" s="20">
        <f t="shared" si="70"/>
        <v>0</v>
      </c>
      <c r="AK68" s="20">
        <f t="shared" si="70"/>
        <v>0</v>
      </c>
      <c r="AL68" s="20">
        <f t="shared" si="70"/>
        <v>0</v>
      </c>
      <c r="AM68" s="20">
        <f t="shared" si="71"/>
        <v>0</v>
      </c>
      <c r="AO68">
        <f t="shared" si="72"/>
        <v>0</v>
      </c>
      <c r="AP68">
        <f t="shared" si="72"/>
        <v>0</v>
      </c>
      <c r="AQ68">
        <f t="shared" si="72"/>
        <v>0</v>
      </c>
      <c r="AR68">
        <f t="shared" si="72"/>
        <v>0</v>
      </c>
      <c r="AS68">
        <f t="shared" si="73"/>
        <v>0</v>
      </c>
      <c r="AU68">
        <f t="shared" si="74"/>
        <v>0</v>
      </c>
      <c r="AV68">
        <f t="shared" si="74"/>
        <v>0</v>
      </c>
      <c r="AW68">
        <f t="shared" si="74"/>
        <v>0</v>
      </c>
      <c r="AX68">
        <f t="shared" si="74"/>
        <v>0</v>
      </c>
      <c r="AY68">
        <f t="shared" si="75"/>
        <v>0</v>
      </c>
    </row>
    <row r="69" spans="1:53" ht="15" x14ac:dyDescent="0.25">
      <c r="A69" s="3"/>
      <c r="B69" s="11"/>
      <c r="C69" s="3" t="s">
        <v>11</v>
      </c>
      <c r="D69">
        <v>0</v>
      </c>
      <c r="E69" s="360">
        <v>0.18565999999999999</v>
      </c>
      <c r="F69">
        <v>0</v>
      </c>
      <c r="G69">
        <v>0</v>
      </c>
      <c r="H69">
        <v>0</v>
      </c>
      <c r="J69">
        <v>0</v>
      </c>
      <c r="K69" s="14">
        <v>-0.24479512371430001</v>
      </c>
      <c r="L69">
        <v>0</v>
      </c>
      <c r="M69">
        <v>0</v>
      </c>
      <c r="N69">
        <v>0</v>
      </c>
      <c r="O69" s="20"/>
      <c r="P69" s="20"/>
      <c r="Q69" s="438">
        <v>3.9446080753064043E-2</v>
      </c>
      <c r="R69" s="197">
        <v>0.15</v>
      </c>
      <c r="S69" s="197">
        <v>1.18</v>
      </c>
      <c r="T69" s="197">
        <v>0.46666666666666673</v>
      </c>
      <c r="U69" s="197">
        <v>0.6566321730950142</v>
      </c>
      <c r="V69" s="20">
        <f t="shared" si="66"/>
        <v>1.0985339028920803E-2</v>
      </c>
      <c r="W69" s="20">
        <f t="shared" si="66"/>
        <v>0</v>
      </c>
      <c r="X69" s="20">
        <f t="shared" si="66"/>
        <v>0</v>
      </c>
      <c r="Y69" s="20">
        <f t="shared" si="66"/>
        <v>0</v>
      </c>
      <c r="Z69" s="20">
        <f t="shared" si="67"/>
        <v>6.1957473774032455E-3</v>
      </c>
      <c r="AA69" s="20">
        <f t="shared" si="67"/>
        <v>0</v>
      </c>
      <c r="AB69" s="20">
        <f t="shared" si="67"/>
        <v>0</v>
      </c>
      <c r="AC69" s="20">
        <f t="shared" si="67"/>
        <v>0</v>
      </c>
      <c r="AD69" s="20">
        <f t="shared" si="68"/>
        <v>6.1957473774032455E-3</v>
      </c>
      <c r="AE69" s="20">
        <f t="shared" si="69"/>
        <v>8.6418000360843655E-2</v>
      </c>
      <c r="AF69" s="20">
        <f t="shared" si="69"/>
        <v>0</v>
      </c>
      <c r="AG69" s="20">
        <f t="shared" si="69"/>
        <v>0</v>
      </c>
      <c r="AH69" s="20">
        <f t="shared" si="69"/>
        <v>0</v>
      </c>
      <c r="AI69" s="20">
        <f t="shared" si="70"/>
        <v>6.2160273122971926E-2</v>
      </c>
      <c r="AJ69" s="20">
        <f t="shared" si="70"/>
        <v>0</v>
      </c>
      <c r="AK69" s="20">
        <f t="shared" si="70"/>
        <v>0</v>
      </c>
      <c r="AL69" s="20">
        <f t="shared" si="70"/>
        <v>0</v>
      </c>
      <c r="AM69" s="20">
        <f t="shared" si="71"/>
        <v>6.2160273122971926E-2</v>
      </c>
      <c r="AO69">
        <f t="shared" si="72"/>
        <v>7.4906585792805245E-3</v>
      </c>
      <c r="AP69">
        <f t="shared" si="72"/>
        <v>0</v>
      </c>
      <c r="AQ69">
        <f t="shared" si="72"/>
        <v>0</v>
      </c>
      <c r="AR69">
        <f t="shared" si="72"/>
        <v>0</v>
      </c>
      <c r="AS69">
        <f t="shared" si="73"/>
        <v>7.4906585792805245E-3</v>
      </c>
      <c r="AU69">
        <f t="shared" si="74"/>
        <v>7.5151770205673069E-2</v>
      </c>
      <c r="AV69">
        <f t="shared" si="74"/>
        <v>0</v>
      </c>
      <c r="AW69">
        <f t="shared" si="74"/>
        <v>0</v>
      </c>
      <c r="AX69">
        <f t="shared" si="74"/>
        <v>0</v>
      </c>
      <c r="AY69">
        <f t="shared" si="75"/>
        <v>7.5151770205673069E-2</v>
      </c>
    </row>
    <row r="70" spans="1:53" ht="15" x14ac:dyDescent="0.25">
      <c r="A70" s="3"/>
      <c r="B70" s="12"/>
      <c r="C70" s="3" t="s">
        <v>12</v>
      </c>
      <c r="D70">
        <v>0</v>
      </c>
      <c r="E70" s="360">
        <v>0</v>
      </c>
      <c r="F70">
        <v>0</v>
      </c>
      <c r="G70">
        <v>0</v>
      </c>
      <c r="H70">
        <v>0</v>
      </c>
      <c r="J70">
        <v>0</v>
      </c>
      <c r="K70" s="14">
        <v>0</v>
      </c>
      <c r="L70">
        <v>0</v>
      </c>
      <c r="M70">
        <v>0</v>
      </c>
      <c r="N70">
        <v>0</v>
      </c>
      <c r="O70" s="20"/>
      <c r="P70" s="20"/>
      <c r="Q70" s="438"/>
      <c r="R70" s="197">
        <v>0.15</v>
      </c>
      <c r="S70" s="197">
        <v>1.18</v>
      </c>
      <c r="T70" s="197">
        <v>0.46666666666666673</v>
      </c>
      <c r="U70" s="197">
        <v>0.6566321730950142</v>
      </c>
      <c r="V70" s="20">
        <f t="shared" si="66"/>
        <v>0</v>
      </c>
      <c r="W70" s="20">
        <f t="shared" si="66"/>
        <v>0</v>
      </c>
      <c r="X70" s="20">
        <f t="shared" si="66"/>
        <v>0</v>
      </c>
      <c r="Y70" s="20">
        <f t="shared" si="66"/>
        <v>0</v>
      </c>
      <c r="Z70" s="20">
        <f t="shared" si="67"/>
        <v>0</v>
      </c>
      <c r="AA70" s="20">
        <f t="shared" si="67"/>
        <v>0</v>
      </c>
      <c r="AB70" s="20">
        <f t="shared" si="67"/>
        <v>0</v>
      </c>
      <c r="AC70" s="20">
        <f t="shared" si="67"/>
        <v>0</v>
      </c>
      <c r="AD70" s="20">
        <f t="shared" si="68"/>
        <v>0</v>
      </c>
      <c r="AE70" s="20">
        <f t="shared" si="69"/>
        <v>0</v>
      </c>
      <c r="AF70" s="20">
        <f t="shared" si="69"/>
        <v>0</v>
      </c>
      <c r="AG70" s="20">
        <f t="shared" si="69"/>
        <v>0</v>
      </c>
      <c r="AH70" s="20">
        <f t="shared" si="69"/>
        <v>0</v>
      </c>
      <c r="AI70" s="20">
        <f t="shared" si="70"/>
        <v>0</v>
      </c>
      <c r="AJ70" s="20">
        <f t="shared" si="70"/>
        <v>0</v>
      </c>
      <c r="AK70" s="20">
        <f t="shared" si="70"/>
        <v>0</v>
      </c>
      <c r="AL70" s="20">
        <f t="shared" si="70"/>
        <v>0</v>
      </c>
      <c r="AM70" s="20">
        <f t="shared" si="71"/>
        <v>0</v>
      </c>
      <c r="AO70">
        <f t="shared" si="72"/>
        <v>0</v>
      </c>
      <c r="AP70">
        <f t="shared" si="72"/>
        <v>0</v>
      </c>
      <c r="AQ70">
        <f t="shared" si="72"/>
        <v>0</v>
      </c>
      <c r="AR70">
        <f t="shared" si="72"/>
        <v>0</v>
      </c>
      <c r="AS70">
        <f t="shared" si="73"/>
        <v>0</v>
      </c>
      <c r="AU70">
        <f t="shared" si="74"/>
        <v>0</v>
      </c>
      <c r="AV70">
        <f t="shared" si="74"/>
        <v>0</v>
      </c>
      <c r="AW70">
        <f t="shared" si="74"/>
        <v>0</v>
      </c>
      <c r="AX70">
        <f t="shared" si="74"/>
        <v>0</v>
      </c>
      <c r="AY70">
        <f t="shared" si="75"/>
        <v>0</v>
      </c>
    </row>
    <row r="71" spans="1:53" ht="15" x14ac:dyDescent="0.25">
      <c r="A71" s="3"/>
      <c r="B71" s="12"/>
      <c r="C71" s="3" t="s">
        <v>13</v>
      </c>
      <c r="D71">
        <v>0</v>
      </c>
      <c r="E71" s="360">
        <v>0</v>
      </c>
      <c r="F71">
        <v>0</v>
      </c>
      <c r="G71">
        <v>0</v>
      </c>
      <c r="H71">
        <v>0</v>
      </c>
      <c r="J71">
        <v>0</v>
      </c>
      <c r="K71" s="14">
        <v>-3.8476341248699999</v>
      </c>
      <c r="L71">
        <v>0</v>
      </c>
      <c r="M71">
        <v>0</v>
      </c>
      <c r="N71">
        <v>0</v>
      </c>
      <c r="O71" s="20"/>
      <c r="P71" s="20"/>
      <c r="Q71" s="438"/>
      <c r="R71" s="197">
        <v>0.15</v>
      </c>
      <c r="S71" s="197">
        <v>1.18</v>
      </c>
      <c r="T71" s="197">
        <v>0.46666666666666673</v>
      </c>
      <c r="U71" s="197">
        <v>0.6566321730950142</v>
      </c>
      <c r="V71" s="20">
        <f t="shared" si="66"/>
        <v>0</v>
      </c>
      <c r="W71" s="20">
        <f t="shared" si="66"/>
        <v>0</v>
      </c>
      <c r="X71" s="20">
        <f t="shared" si="66"/>
        <v>0</v>
      </c>
      <c r="Y71" s="20">
        <f t="shared" si="66"/>
        <v>0</v>
      </c>
      <c r="Z71" s="20">
        <f t="shared" si="67"/>
        <v>0</v>
      </c>
      <c r="AA71" s="20">
        <f t="shared" si="67"/>
        <v>0</v>
      </c>
      <c r="AB71" s="20">
        <f t="shared" si="67"/>
        <v>0</v>
      </c>
      <c r="AC71" s="20">
        <f t="shared" si="67"/>
        <v>0</v>
      </c>
      <c r="AD71" s="20">
        <f t="shared" si="68"/>
        <v>0</v>
      </c>
      <c r="AE71" s="20">
        <f t="shared" si="69"/>
        <v>0</v>
      </c>
      <c r="AF71" s="20">
        <f t="shared" si="69"/>
        <v>0</v>
      </c>
      <c r="AG71" s="20">
        <f t="shared" si="69"/>
        <v>0</v>
      </c>
      <c r="AH71" s="20">
        <f t="shared" si="69"/>
        <v>0</v>
      </c>
      <c r="AI71" s="20">
        <f t="shared" si="70"/>
        <v>0</v>
      </c>
      <c r="AJ71" s="20">
        <f t="shared" si="70"/>
        <v>0</v>
      </c>
      <c r="AK71" s="20">
        <f t="shared" si="70"/>
        <v>0</v>
      </c>
      <c r="AL71" s="20">
        <f t="shared" si="70"/>
        <v>0</v>
      </c>
      <c r="AM71" s="20">
        <f t="shared" si="71"/>
        <v>0</v>
      </c>
      <c r="AO71">
        <f t="shared" si="72"/>
        <v>0</v>
      </c>
      <c r="AP71">
        <f t="shared" si="72"/>
        <v>0</v>
      </c>
      <c r="AQ71">
        <f t="shared" si="72"/>
        <v>0</v>
      </c>
      <c r="AR71">
        <f t="shared" si="72"/>
        <v>0</v>
      </c>
      <c r="AS71">
        <f t="shared" si="73"/>
        <v>0</v>
      </c>
      <c r="AU71">
        <f t="shared" si="74"/>
        <v>0</v>
      </c>
      <c r="AV71">
        <f t="shared" si="74"/>
        <v>0</v>
      </c>
      <c r="AW71">
        <f t="shared" si="74"/>
        <v>0</v>
      </c>
      <c r="AX71">
        <f t="shared" si="74"/>
        <v>0</v>
      </c>
      <c r="AY71">
        <f t="shared" si="75"/>
        <v>0</v>
      </c>
    </row>
    <row r="72" spans="1:53" ht="15" x14ac:dyDescent="0.25">
      <c r="A72" s="7"/>
      <c r="B72" s="8" t="s">
        <v>14</v>
      </c>
      <c r="C72" s="7"/>
      <c r="D72" s="357">
        <f t="shared" ref="D72:H72" si="76">SUM(D66:D71)</f>
        <v>0</v>
      </c>
      <c r="E72" s="363">
        <f>SUM(E66:E71)</f>
        <v>8.0793599999999994</v>
      </c>
      <c r="F72" s="357">
        <f t="shared" si="76"/>
        <v>0</v>
      </c>
      <c r="G72" s="357">
        <f t="shared" si="76"/>
        <v>0</v>
      </c>
      <c r="H72" s="357">
        <f t="shared" si="76"/>
        <v>0</v>
      </c>
      <c r="J72">
        <v>0</v>
      </c>
      <c r="K72" s="14">
        <v>-27.701971989483695</v>
      </c>
      <c r="L72">
        <v>0</v>
      </c>
      <c r="M72">
        <v>0</v>
      </c>
      <c r="N72">
        <v>0</v>
      </c>
      <c r="O72" s="20"/>
      <c r="P72" s="20"/>
      <c r="Q72" s="438">
        <v>2.1107081836216197E-2</v>
      </c>
      <c r="R72" s="197"/>
      <c r="S72" s="197"/>
      <c r="T72" s="197"/>
      <c r="U72" s="197"/>
      <c r="BA72" s="319">
        <f>(E72*10000*Q72*AU$10)</f>
        <v>2061.7284065944027</v>
      </c>
    </row>
    <row r="73" spans="1:53" ht="15" x14ac:dyDescent="0.25">
      <c r="A73" s="10"/>
      <c r="B73" s="9" t="s">
        <v>15</v>
      </c>
      <c r="C73" s="5"/>
      <c r="E73" s="363">
        <f>SUM(E72)</f>
        <v>8.0793599999999994</v>
      </c>
      <c r="H73" s="358">
        <f>SUM(D72:H72)</f>
        <v>8.0793599999999994</v>
      </c>
      <c r="K73" s="14"/>
      <c r="N73">
        <v>0</v>
      </c>
      <c r="O73" s="20"/>
      <c r="P73" s="20"/>
      <c r="Q73" s="438"/>
      <c r="R73" s="197"/>
      <c r="S73" s="197"/>
      <c r="T73" s="197"/>
      <c r="U73" s="197"/>
    </row>
    <row r="74" spans="1:53" ht="15.75" x14ac:dyDescent="0.25">
      <c r="A74" s="1"/>
      <c r="B74" s="2"/>
      <c r="C74" s="1"/>
      <c r="E74" s="361"/>
      <c r="K74" s="14"/>
      <c r="O74" s="20"/>
      <c r="P74" s="20"/>
      <c r="Q74" s="439"/>
      <c r="R74" s="197"/>
      <c r="S74" s="197"/>
      <c r="T74" s="197"/>
      <c r="U74" s="197"/>
    </row>
    <row r="75" spans="1:53" ht="15" x14ac:dyDescent="0.25">
      <c r="A75" s="1">
        <v>8</v>
      </c>
      <c r="B75" s="2" t="s">
        <v>22</v>
      </c>
      <c r="C75" s="1" t="s">
        <v>8</v>
      </c>
      <c r="D75">
        <v>0</v>
      </c>
      <c r="E75" s="360">
        <v>0</v>
      </c>
      <c r="F75">
        <v>0</v>
      </c>
      <c r="G75">
        <v>0</v>
      </c>
      <c r="H75">
        <v>0</v>
      </c>
      <c r="J75">
        <v>0</v>
      </c>
      <c r="K75">
        <v>0</v>
      </c>
      <c r="L75">
        <v>0</v>
      </c>
      <c r="M75">
        <v>0</v>
      </c>
      <c r="N75">
        <v>0</v>
      </c>
      <c r="O75" s="20"/>
      <c r="P75" s="20"/>
      <c r="Q75" s="438"/>
      <c r="R75" s="197">
        <v>5.6499999999999995E-2</v>
      </c>
      <c r="S75" s="197">
        <v>1.25</v>
      </c>
      <c r="T75" s="197">
        <v>0.50078889239507718</v>
      </c>
      <c r="U75" s="197">
        <v>0.75268470790377973</v>
      </c>
      <c r="V75" s="20">
        <f t="shared" ref="V75:Y80" si="77">IF(K75&gt;0,((E75-K75)*$Q75*$R75*10)+(K75*$O$12*$Q75*$R75*10),(E75*$Q75*$R75*10))</f>
        <v>0</v>
      </c>
      <c r="W75" s="20">
        <f t="shared" si="77"/>
        <v>0</v>
      </c>
      <c r="X75" s="20">
        <f t="shared" si="77"/>
        <v>0</v>
      </c>
      <c r="Y75" s="20">
        <f t="shared" si="77"/>
        <v>0</v>
      </c>
      <c r="Z75" s="20">
        <f t="shared" ref="Z75:AC80" si="78">V75*(EXP(1.01-0.34*LN(Z$8))*(1-$T75)+(1*$T75))</f>
        <v>0</v>
      </c>
      <c r="AA75" s="20">
        <f t="shared" si="78"/>
        <v>0</v>
      </c>
      <c r="AB75" s="20">
        <f t="shared" si="78"/>
        <v>0</v>
      </c>
      <c r="AC75" s="20">
        <f t="shared" si="78"/>
        <v>0</v>
      </c>
      <c r="AD75" s="20">
        <f t="shared" ref="AD75:AD80" si="79">SUM(Z75:AC75)</f>
        <v>0</v>
      </c>
      <c r="AE75" s="20">
        <f t="shared" ref="AE75:AH80" si="80">IF(K75&gt;0,((E75-K75)*$Q75*$S75*10)+(K75*$P$12*$Q75*$S75)*10,(E75*$Q75*$S75*10))</f>
        <v>0</v>
      </c>
      <c r="AF75" s="20">
        <f t="shared" si="80"/>
        <v>0</v>
      </c>
      <c r="AG75" s="20">
        <f t="shared" si="80"/>
        <v>0</v>
      </c>
      <c r="AH75" s="20">
        <f t="shared" si="80"/>
        <v>0</v>
      </c>
      <c r="AI75" s="20">
        <f t="shared" ref="AI75:AL80" si="81">AE75*(EXP(1.01-0.34*LN(AI$8))*(1-$U75)+(1*$U75))</f>
        <v>0</v>
      </c>
      <c r="AJ75" s="20">
        <f t="shared" si="81"/>
        <v>0</v>
      </c>
      <c r="AK75" s="20">
        <f t="shared" si="81"/>
        <v>0</v>
      </c>
      <c r="AL75" s="20">
        <f t="shared" si="81"/>
        <v>0</v>
      </c>
      <c r="AM75" s="20">
        <f t="shared" ref="AM75:AM80" si="82">SUM(AI75:AL75)</f>
        <v>0</v>
      </c>
      <c r="AO75">
        <f t="shared" ref="AO75:AR80" si="83">Z75*AO$10</f>
        <v>0</v>
      </c>
      <c r="AP75">
        <f t="shared" si="83"/>
        <v>0</v>
      </c>
      <c r="AQ75">
        <f t="shared" si="83"/>
        <v>0</v>
      </c>
      <c r="AR75">
        <f t="shared" si="83"/>
        <v>0</v>
      </c>
      <c r="AS75">
        <f t="shared" ref="AS75:AS80" si="84">SUM(AO75:AR75)</f>
        <v>0</v>
      </c>
      <c r="AU75">
        <f t="shared" ref="AU75:AX80" si="85">AI75*AU$10</f>
        <v>0</v>
      </c>
      <c r="AV75">
        <f t="shared" si="85"/>
        <v>0</v>
      </c>
      <c r="AW75">
        <f t="shared" si="85"/>
        <v>0</v>
      </c>
      <c r="AX75">
        <f t="shared" si="85"/>
        <v>0</v>
      </c>
      <c r="AY75">
        <f t="shared" ref="AY75:AY80" si="86">SUM(AU75:AX75)</f>
        <v>0</v>
      </c>
    </row>
    <row r="76" spans="1:53" ht="15" x14ac:dyDescent="0.25">
      <c r="A76" s="1"/>
      <c r="B76" s="2"/>
      <c r="C76" s="1" t="s">
        <v>9</v>
      </c>
      <c r="D76">
        <v>0</v>
      </c>
      <c r="E76" s="360">
        <v>0</v>
      </c>
      <c r="F76">
        <v>0</v>
      </c>
      <c r="G76">
        <v>0</v>
      </c>
      <c r="H76">
        <v>0</v>
      </c>
      <c r="J76">
        <v>0</v>
      </c>
      <c r="K76">
        <v>0</v>
      </c>
      <c r="L76">
        <v>0</v>
      </c>
      <c r="M76">
        <v>0</v>
      </c>
      <c r="N76">
        <v>0</v>
      </c>
      <c r="O76" s="20"/>
      <c r="P76" s="20"/>
      <c r="Q76" s="438"/>
      <c r="R76" s="197">
        <v>5.6499999999999995E-2</v>
      </c>
      <c r="S76" s="197">
        <v>1.25</v>
      </c>
      <c r="T76" s="197">
        <v>0.50078889239507718</v>
      </c>
      <c r="U76" s="197">
        <v>0.75268470790377973</v>
      </c>
      <c r="V76" s="20">
        <f t="shared" si="77"/>
        <v>0</v>
      </c>
      <c r="W76" s="20">
        <f t="shared" si="77"/>
        <v>0</v>
      </c>
      <c r="X76" s="20">
        <f t="shared" si="77"/>
        <v>0</v>
      </c>
      <c r="Y76" s="20">
        <f t="shared" si="77"/>
        <v>0</v>
      </c>
      <c r="Z76" s="20">
        <f t="shared" si="78"/>
        <v>0</v>
      </c>
      <c r="AA76" s="20">
        <f t="shared" si="78"/>
        <v>0</v>
      </c>
      <c r="AB76" s="20">
        <f t="shared" si="78"/>
        <v>0</v>
      </c>
      <c r="AC76" s="20">
        <f t="shared" si="78"/>
        <v>0</v>
      </c>
      <c r="AD76" s="20">
        <f t="shared" si="79"/>
        <v>0</v>
      </c>
      <c r="AE76" s="20">
        <f t="shared" si="80"/>
        <v>0</v>
      </c>
      <c r="AF76" s="20">
        <f t="shared" si="80"/>
        <v>0</v>
      </c>
      <c r="AG76" s="20">
        <f t="shared" si="80"/>
        <v>0</v>
      </c>
      <c r="AH76" s="20">
        <f t="shared" si="80"/>
        <v>0</v>
      </c>
      <c r="AI76" s="20">
        <f t="shared" si="81"/>
        <v>0</v>
      </c>
      <c r="AJ76" s="20">
        <f t="shared" si="81"/>
        <v>0</v>
      </c>
      <c r="AK76" s="20">
        <f t="shared" si="81"/>
        <v>0</v>
      </c>
      <c r="AL76" s="20">
        <f t="shared" si="81"/>
        <v>0</v>
      </c>
      <c r="AM76" s="20">
        <f t="shared" si="82"/>
        <v>0</v>
      </c>
      <c r="AO76">
        <f t="shared" si="83"/>
        <v>0</v>
      </c>
      <c r="AP76">
        <f t="shared" si="83"/>
        <v>0</v>
      </c>
      <c r="AQ76">
        <f t="shared" si="83"/>
        <v>0</v>
      </c>
      <c r="AR76">
        <f t="shared" si="83"/>
        <v>0</v>
      </c>
      <c r="AS76">
        <f t="shared" si="84"/>
        <v>0</v>
      </c>
      <c r="AU76">
        <f t="shared" si="85"/>
        <v>0</v>
      </c>
      <c r="AV76">
        <f t="shared" si="85"/>
        <v>0</v>
      </c>
      <c r="AW76">
        <f t="shared" si="85"/>
        <v>0</v>
      </c>
      <c r="AX76">
        <f t="shared" si="85"/>
        <v>0</v>
      </c>
      <c r="AY76">
        <f t="shared" si="86"/>
        <v>0</v>
      </c>
    </row>
    <row r="77" spans="1:53" ht="15" x14ac:dyDescent="0.25">
      <c r="A77" s="1"/>
      <c r="B77" s="2"/>
      <c r="C77" s="1" t="s">
        <v>10</v>
      </c>
      <c r="D77">
        <v>0</v>
      </c>
      <c r="E77" s="360">
        <v>0</v>
      </c>
      <c r="F77">
        <v>0</v>
      </c>
      <c r="G77">
        <v>0</v>
      </c>
      <c r="H77">
        <v>0</v>
      </c>
      <c r="J77">
        <v>0</v>
      </c>
      <c r="K77">
        <v>0</v>
      </c>
      <c r="L77">
        <v>0</v>
      </c>
      <c r="M77">
        <v>0</v>
      </c>
      <c r="N77">
        <v>0</v>
      </c>
      <c r="O77" s="20"/>
      <c r="P77" s="20"/>
      <c r="Q77" s="438"/>
      <c r="R77" s="197">
        <v>5.6499999999999995E-2</v>
      </c>
      <c r="S77" s="197">
        <v>1.25</v>
      </c>
      <c r="T77" s="197">
        <v>0.50078889239507718</v>
      </c>
      <c r="U77" s="197">
        <v>0.75268470790377973</v>
      </c>
      <c r="V77" s="20">
        <f t="shared" si="77"/>
        <v>0</v>
      </c>
      <c r="W77" s="20">
        <f t="shared" si="77"/>
        <v>0</v>
      </c>
      <c r="X77" s="20">
        <f t="shared" si="77"/>
        <v>0</v>
      </c>
      <c r="Y77" s="20">
        <f t="shared" si="77"/>
        <v>0</v>
      </c>
      <c r="Z77" s="20">
        <f t="shared" si="78"/>
        <v>0</v>
      </c>
      <c r="AA77" s="20">
        <f t="shared" si="78"/>
        <v>0</v>
      </c>
      <c r="AB77" s="20">
        <f t="shared" si="78"/>
        <v>0</v>
      </c>
      <c r="AC77" s="20">
        <f t="shared" si="78"/>
        <v>0</v>
      </c>
      <c r="AD77" s="20">
        <f t="shared" si="79"/>
        <v>0</v>
      </c>
      <c r="AE77" s="20">
        <f t="shared" si="80"/>
        <v>0</v>
      </c>
      <c r="AF77" s="20">
        <f t="shared" si="80"/>
        <v>0</v>
      </c>
      <c r="AG77" s="20">
        <f t="shared" si="80"/>
        <v>0</v>
      </c>
      <c r="AH77" s="20">
        <f t="shared" si="80"/>
        <v>0</v>
      </c>
      <c r="AI77" s="20">
        <f t="shared" si="81"/>
        <v>0</v>
      </c>
      <c r="AJ77" s="20">
        <f t="shared" si="81"/>
        <v>0</v>
      </c>
      <c r="AK77" s="20">
        <f t="shared" si="81"/>
        <v>0</v>
      </c>
      <c r="AL77" s="20">
        <f t="shared" si="81"/>
        <v>0</v>
      </c>
      <c r="AM77" s="20">
        <f t="shared" si="82"/>
        <v>0</v>
      </c>
      <c r="AO77">
        <f t="shared" si="83"/>
        <v>0</v>
      </c>
      <c r="AP77">
        <f t="shared" si="83"/>
        <v>0</v>
      </c>
      <c r="AQ77">
        <f t="shared" si="83"/>
        <v>0</v>
      </c>
      <c r="AR77">
        <f t="shared" si="83"/>
        <v>0</v>
      </c>
      <c r="AS77">
        <f t="shared" si="84"/>
        <v>0</v>
      </c>
      <c r="AU77">
        <f t="shared" si="85"/>
        <v>0</v>
      </c>
      <c r="AV77">
        <f t="shared" si="85"/>
        <v>0</v>
      </c>
      <c r="AW77">
        <f t="shared" si="85"/>
        <v>0</v>
      </c>
      <c r="AX77">
        <f t="shared" si="85"/>
        <v>0</v>
      </c>
      <c r="AY77">
        <f t="shared" si="86"/>
        <v>0</v>
      </c>
    </row>
    <row r="78" spans="1:53" ht="15" x14ac:dyDescent="0.25">
      <c r="A78" s="1"/>
      <c r="B78" s="2"/>
      <c r="C78" s="1" t="s">
        <v>11</v>
      </c>
      <c r="D78">
        <v>0</v>
      </c>
      <c r="E78" s="360">
        <v>0</v>
      </c>
      <c r="F78">
        <v>0</v>
      </c>
      <c r="G78">
        <v>0</v>
      </c>
      <c r="H78">
        <v>0</v>
      </c>
      <c r="J78">
        <v>0</v>
      </c>
      <c r="K78">
        <v>0</v>
      </c>
      <c r="L78">
        <v>0</v>
      </c>
      <c r="M78">
        <v>0</v>
      </c>
      <c r="N78">
        <v>0</v>
      </c>
      <c r="O78" s="20"/>
      <c r="P78" s="20"/>
      <c r="Q78" s="438"/>
      <c r="R78" s="197">
        <v>5.6499999999999995E-2</v>
      </c>
      <c r="S78" s="197">
        <v>1.25</v>
      </c>
      <c r="T78" s="197">
        <v>0.50078889239507718</v>
      </c>
      <c r="U78" s="197">
        <v>0.75268470790377973</v>
      </c>
      <c r="V78" s="20">
        <f t="shared" si="77"/>
        <v>0</v>
      </c>
      <c r="W78" s="20">
        <f t="shared" si="77"/>
        <v>0</v>
      </c>
      <c r="X78" s="20">
        <f t="shared" si="77"/>
        <v>0</v>
      </c>
      <c r="Y78" s="20">
        <f t="shared" si="77"/>
        <v>0</v>
      </c>
      <c r="Z78" s="20">
        <f t="shared" si="78"/>
        <v>0</v>
      </c>
      <c r="AA78" s="20">
        <f t="shared" si="78"/>
        <v>0</v>
      </c>
      <c r="AB78" s="20">
        <f t="shared" si="78"/>
        <v>0</v>
      </c>
      <c r="AC78" s="20">
        <f t="shared" si="78"/>
        <v>0</v>
      </c>
      <c r="AD78" s="20">
        <f t="shared" si="79"/>
        <v>0</v>
      </c>
      <c r="AE78" s="20">
        <f t="shared" si="80"/>
        <v>0</v>
      </c>
      <c r="AF78" s="20">
        <f t="shared" si="80"/>
        <v>0</v>
      </c>
      <c r="AG78" s="20">
        <f t="shared" si="80"/>
        <v>0</v>
      </c>
      <c r="AH78" s="20">
        <f t="shared" si="80"/>
        <v>0</v>
      </c>
      <c r="AI78" s="20">
        <f t="shared" si="81"/>
        <v>0</v>
      </c>
      <c r="AJ78" s="20">
        <f t="shared" si="81"/>
        <v>0</v>
      </c>
      <c r="AK78" s="20">
        <f t="shared" si="81"/>
        <v>0</v>
      </c>
      <c r="AL78" s="20">
        <f t="shared" si="81"/>
        <v>0</v>
      </c>
      <c r="AM78" s="20">
        <f t="shared" si="82"/>
        <v>0</v>
      </c>
      <c r="AO78">
        <f t="shared" si="83"/>
        <v>0</v>
      </c>
      <c r="AP78">
        <f t="shared" si="83"/>
        <v>0</v>
      </c>
      <c r="AQ78">
        <f t="shared" si="83"/>
        <v>0</v>
      </c>
      <c r="AR78">
        <f t="shared" si="83"/>
        <v>0</v>
      </c>
      <c r="AS78">
        <f t="shared" si="84"/>
        <v>0</v>
      </c>
      <c r="AU78">
        <f t="shared" si="85"/>
        <v>0</v>
      </c>
      <c r="AV78">
        <f t="shared" si="85"/>
        <v>0</v>
      </c>
      <c r="AW78">
        <f t="shared" si="85"/>
        <v>0</v>
      </c>
      <c r="AX78">
        <f t="shared" si="85"/>
        <v>0</v>
      </c>
      <c r="AY78">
        <f t="shared" si="86"/>
        <v>0</v>
      </c>
    </row>
    <row r="79" spans="1:53" ht="15" x14ac:dyDescent="0.25">
      <c r="A79" s="1"/>
      <c r="B79" s="13"/>
      <c r="C79" s="1" t="s">
        <v>12</v>
      </c>
      <c r="D79">
        <v>0</v>
      </c>
      <c r="E79" s="360">
        <v>0</v>
      </c>
      <c r="F79">
        <v>0</v>
      </c>
      <c r="G79">
        <v>0</v>
      </c>
      <c r="H79">
        <v>0</v>
      </c>
      <c r="J79">
        <v>0</v>
      </c>
      <c r="K79">
        <v>0</v>
      </c>
      <c r="L79">
        <v>0</v>
      </c>
      <c r="M79">
        <v>0</v>
      </c>
      <c r="N79">
        <v>0</v>
      </c>
      <c r="O79" s="20"/>
      <c r="P79" s="20"/>
      <c r="Q79" s="438"/>
      <c r="R79" s="197">
        <v>5.6499999999999995E-2</v>
      </c>
      <c r="S79" s="197">
        <v>1.25</v>
      </c>
      <c r="T79" s="197">
        <v>0.50078889239507718</v>
      </c>
      <c r="U79" s="197">
        <v>0.75268470790377973</v>
      </c>
      <c r="V79" s="20">
        <f t="shared" si="77"/>
        <v>0</v>
      </c>
      <c r="W79" s="20">
        <f t="shared" si="77"/>
        <v>0</v>
      </c>
      <c r="X79" s="20">
        <f t="shared" si="77"/>
        <v>0</v>
      </c>
      <c r="Y79" s="20">
        <f t="shared" si="77"/>
        <v>0</v>
      </c>
      <c r="Z79" s="20">
        <f t="shared" si="78"/>
        <v>0</v>
      </c>
      <c r="AA79" s="20">
        <f t="shared" si="78"/>
        <v>0</v>
      </c>
      <c r="AB79" s="20">
        <f t="shared" si="78"/>
        <v>0</v>
      </c>
      <c r="AC79" s="20">
        <f t="shared" si="78"/>
        <v>0</v>
      </c>
      <c r="AD79" s="20">
        <f t="shared" si="79"/>
        <v>0</v>
      </c>
      <c r="AE79" s="20">
        <f t="shared" si="80"/>
        <v>0</v>
      </c>
      <c r="AF79" s="20">
        <f t="shared" si="80"/>
        <v>0</v>
      </c>
      <c r="AG79" s="20">
        <f t="shared" si="80"/>
        <v>0</v>
      </c>
      <c r="AH79" s="20">
        <f t="shared" si="80"/>
        <v>0</v>
      </c>
      <c r="AI79" s="20">
        <f t="shared" si="81"/>
        <v>0</v>
      </c>
      <c r="AJ79" s="20">
        <f t="shared" si="81"/>
        <v>0</v>
      </c>
      <c r="AK79" s="20">
        <f t="shared" si="81"/>
        <v>0</v>
      </c>
      <c r="AL79" s="20">
        <f t="shared" si="81"/>
        <v>0</v>
      </c>
      <c r="AM79" s="20">
        <f t="shared" si="82"/>
        <v>0</v>
      </c>
      <c r="AO79">
        <f t="shared" si="83"/>
        <v>0</v>
      </c>
      <c r="AP79">
        <f t="shared" si="83"/>
        <v>0</v>
      </c>
      <c r="AQ79">
        <f t="shared" si="83"/>
        <v>0</v>
      </c>
      <c r="AR79">
        <f t="shared" si="83"/>
        <v>0</v>
      </c>
      <c r="AS79">
        <f t="shared" si="84"/>
        <v>0</v>
      </c>
      <c r="AU79">
        <f t="shared" si="85"/>
        <v>0</v>
      </c>
      <c r="AV79">
        <f t="shared" si="85"/>
        <v>0</v>
      </c>
      <c r="AW79">
        <f t="shared" si="85"/>
        <v>0</v>
      </c>
      <c r="AX79">
        <f t="shared" si="85"/>
        <v>0</v>
      </c>
      <c r="AY79">
        <f t="shared" si="86"/>
        <v>0</v>
      </c>
    </row>
    <row r="80" spans="1:53" ht="15" x14ac:dyDescent="0.25">
      <c r="A80" s="1"/>
      <c r="B80" s="13"/>
      <c r="C80" s="1" t="s">
        <v>13</v>
      </c>
      <c r="D80">
        <v>0</v>
      </c>
      <c r="E80" s="360">
        <v>0</v>
      </c>
      <c r="F80">
        <v>0</v>
      </c>
      <c r="G80">
        <v>0</v>
      </c>
      <c r="H80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20"/>
      <c r="P80" s="20"/>
      <c r="Q80" s="438"/>
      <c r="R80" s="197">
        <v>5.6499999999999995E-2</v>
      </c>
      <c r="S80" s="197">
        <v>1.25</v>
      </c>
      <c r="T80" s="197">
        <v>0.50078889239507718</v>
      </c>
      <c r="U80" s="197">
        <v>0.75268470790377973</v>
      </c>
      <c r="V80" s="20">
        <f t="shared" si="77"/>
        <v>0</v>
      </c>
      <c r="W80" s="20">
        <f t="shared" si="77"/>
        <v>0</v>
      </c>
      <c r="X80" s="20">
        <f t="shared" si="77"/>
        <v>0</v>
      </c>
      <c r="Y80" s="20">
        <f t="shared" si="77"/>
        <v>0</v>
      </c>
      <c r="Z80" s="20">
        <f t="shared" si="78"/>
        <v>0</v>
      </c>
      <c r="AA80" s="20">
        <f t="shared" si="78"/>
        <v>0</v>
      </c>
      <c r="AB80" s="20">
        <f t="shared" si="78"/>
        <v>0</v>
      </c>
      <c r="AC80" s="20">
        <f t="shared" si="78"/>
        <v>0</v>
      </c>
      <c r="AD80" s="20">
        <f t="shared" si="79"/>
        <v>0</v>
      </c>
      <c r="AE80" s="20">
        <f t="shared" si="80"/>
        <v>0</v>
      </c>
      <c r="AF80" s="20">
        <f t="shared" si="80"/>
        <v>0</v>
      </c>
      <c r="AG80" s="20">
        <f t="shared" si="80"/>
        <v>0</v>
      </c>
      <c r="AH80" s="20">
        <f t="shared" si="80"/>
        <v>0</v>
      </c>
      <c r="AI80" s="20">
        <f t="shared" si="81"/>
        <v>0</v>
      </c>
      <c r="AJ80" s="20">
        <f t="shared" si="81"/>
        <v>0</v>
      </c>
      <c r="AK80" s="20">
        <f t="shared" si="81"/>
        <v>0</v>
      </c>
      <c r="AL80" s="20">
        <f t="shared" si="81"/>
        <v>0</v>
      </c>
      <c r="AM80" s="20">
        <f t="shared" si="82"/>
        <v>0</v>
      </c>
      <c r="AO80">
        <f t="shared" si="83"/>
        <v>0</v>
      </c>
      <c r="AP80">
        <f t="shared" si="83"/>
        <v>0</v>
      </c>
      <c r="AQ80">
        <f t="shared" si="83"/>
        <v>0</v>
      </c>
      <c r="AR80">
        <f t="shared" si="83"/>
        <v>0</v>
      </c>
      <c r="AS80">
        <f t="shared" si="84"/>
        <v>0</v>
      </c>
      <c r="AU80">
        <f t="shared" si="85"/>
        <v>0</v>
      </c>
      <c r="AV80">
        <f t="shared" si="85"/>
        <v>0</v>
      </c>
      <c r="AW80">
        <f t="shared" si="85"/>
        <v>0</v>
      </c>
      <c r="AX80">
        <f t="shared" si="85"/>
        <v>0</v>
      </c>
      <c r="AY80">
        <f t="shared" si="86"/>
        <v>0</v>
      </c>
    </row>
    <row r="81" spans="1:53" ht="15" x14ac:dyDescent="0.25">
      <c r="A81" s="7"/>
      <c r="B81" s="8" t="s">
        <v>14</v>
      </c>
      <c r="C81" s="7"/>
      <c r="D81" s="357">
        <f t="shared" ref="D81:H81" si="87">SUM(D75:D80)</f>
        <v>0</v>
      </c>
      <c r="E81" s="363">
        <f>SUM(E75:E80)</f>
        <v>0</v>
      </c>
      <c r="F81" s="357">
        <f t="shared" si="87"/>
        <v>0</v>
      </c>
      <c r="G81" s="357">
        <f t="shared" si="87"/>
        <v>0</v>
      </c>
      <c r="H81" s="357">
        <f t="shared" si="87"/>
        <v>0</v>
      </c>
      <c r="J81">
        <v>0</v>
      </c>
      <c r="K81">
        <v>0</v>
      </c>
      <c r="L81">
        <v>0</v>
      </c>
      <c r="M81">
        <v>0</v>
      </c>
      <c r="N81">
        <v>0</v>
      </c>
      <c r="O81" s="20"/>
      <c r="P81" s="20"/>
      <c r="Q81" s="438"/>
      <c r="R81" s="197"/>
      <c r="S81" s="197"/>
      <c r="T81" s="197"/>
      <c r="U81" s="197"/>
      <c r="BA81" s="319">
        <f>(E81*10000*Q81*AU$10)</f>
        <v>0</v>
      </c>
    </row>
    <row r="82" spans="1:53" ht="15" x14ac:dyDescent="0.25">
      <c r="A82" s="10"/>
      <c r="B82" s="9" t="s">
        <v>15</v>
      </c>
      <c r="C82" s="5"/>
      <c r="E82" s="363">
        <f>SUM(E81)</f>
        <v>0</v>
      </c>
      <c r="H82" s="358">
        <f>SUM(D81:H81)</f>
        <v>0</v>
      </c>
      <c r="K82" s="14"/>
      <c r="N82">
        <v>0</v>
      </c>
      <c r="O82" s="20"/>
      <c r="P82" s="20"/>
      <c r="Q82" s="438"/>
      <c r="R82" s="197"/>
      <c r="S82" s="197"/>
      <c r="T82" s="197"/>
      <c r="U82" s="197"/>
    </row>
    <row r="83" spans="1:53" ht="15.75" x14ac:dyDescent="0.25">
      <c r="A83" s="1"/>
      <c r="B83" s="2"/>
      <c r="C83" s="1"/>
      <c r="E83" s="361"/>
      <c r="K83" s="14"/>
      <c r="O83" s="20"/>
      <c r="P83" s="20"/>
      <c r="Q83" s="439"/>
      <c r="R83" s="197"/>
      <c r="S83" s="197"/>
      <c r="T83" s="197"/>
      <c r="U83" s="197"/>
    </row>
    <row r="84" spans="1:53" ht="15" x14ac:dyDescent="0.25">
      <c r="A84" s="1">
        <v>9</v>
      </c>
      <c r="B84" s="2" t="s">
        <v>23</v>
      </c>
      <c r="C84" s="1" t="s">
        <v>8</v>
      </c>
      <c r="D84">
        <v>0</v>
      </c>
      <c r="E84" s="360">
        <v>81.6173</v>
      </c>
      <c r="F84">
        <v>0</v>
      </c>
      <c r="G84">
        <v>0</v>
      </c>
      <c r="H84">
        <v>0</v>
      </c>
      <c r="J84">
        <v>0</v>
      </c>
      <c r="K84">
        <v>0</v>
      </c>
      <c r="L84">
        <v>0</v>
      </c>
      <c r="M84">
        <v>0</v>
      </c>
      <c r="N84">
        <v>0</v>
      </c>
      <c r="O84" s="20"/>
      <c r="P84" s="20"/>
      <c r="Q84" s="438">
        <v>1.6611520188266012E-2</v>
      </c>
      <c r="R84" s="197">
        <v>0.38700000000000001</v>
      </c>
      <c r="S84" s="197">
        <v>2.48</v>
      </c>
      <c r="T84" s="197">
        <v>0.72182006204756977</v>
      </c>
      <c r="U84" s="197">
        <v>0.90789473684210531</v>
      </c>
      <c r="V84" s="20">
        <f t="shared" ref="V84:Y89" si="88">IF(K84&gt;0,((E84-K84)*$Q84*$R84*10)+(K84*$O$12*$Q84*$R84*10),(E84*$Q84*$R84*10))</f>
        <v>5.2468973411810254</v>
      </c>
      <c r="W84" s="20">
        <f t="shared" si="88"/>
        <v>0</v>
      </c>
      <c r="X84" s="20">
        <f t="shared" si="88"/>
        <v>0</v>
      </c>
      <c r="Y84" s="20">
        <f t="shared" si="88"/>
        <v>0</v>
      </c>
      <c r="Z84" s="20">
        <f t="shared" ref="Z84:AC89" si="89">V84*(EXP(1.01-0.34*LN(Z$8))*(1-$T84)+(1*$T84))</f>
        <v>4.0536934292548317</v>
      </c>
      <c r="AA84" s="20">
        <f t="shared" si="89"/>
        <v>0</v>
      </c>
      <c r="AB84" s="20">
        <f t="shared" si="89"/>
        <v>0</v>
      </c>
      <c r="AC84" s="20">
        <f t="shared" si="89"/>
        <v>0</v>
      </c>
      <c r="AD84" s="20">
        <f t="shared" ref="AD84:AD89" si="90">SUM(Z84:AC84)</f>
        <v>4.0536934292548317</v>
      </c>
      <c r="AE84" s="20">
        <f t="shared" ref="AE84:AH89" si="91">IF(K84&gt;0,((E84-K84)*$Q84*$S84*10)+(K84*$P$12*$Q84*$S84)*10,(E84*$Q84*$S84*10))</f>
        <v>33.623528181211732</v>
      </c>
      <c r="AF84" s="20">
        <f t="shared" si="91"/>
        <v>0</v>
      </c>
      <c r="AG84" s="20">
        <f t="shared" si="91"/>
        <v>0</v>
      </c>
      <c r="AH84" s="20">
        <f t="shared" si="91"/>
        <v>0</v>
      </c>
      <c r="AI84" s="20">
        <f t="shared" ref="AI84:AL89" si="92">AE84*(EXP(1.01-0.34*LN(AI$8))*(1-$U84)+(1*$U84))</f>
        <v>31.091817778258779</v>
      </c>
      <c r="AJ84" s="20">
        <f t="shared" si="92"/>
        <v>0</v>
      </c>
      <c r="AK84" s="20">
        <f t="shared" si="92"/>
        <v>0</v>
      </c>
      <c r="AL84" s="20">
        <f t="shared" si="92"/>
        <v>0</v>
      </c>
      <c r="AM84" s="20">
        <f t="shared" ref="AM84:AM89" si="93">SUM(AI84:AL84)</f>
        <v>31.091817778258779</v>
      </c>
      <c r="AO84">
        <f t="shared" ref="AO84:AR89" si="94">Z84*AO$10</f>
        <v>4.9009153559690919</v>
      </c>
      <c r="AP84">
        <f t="shared" si="94"/>
        <v>0</v>
      </c>
      <c r="AQ84">
        <f t="shared" si="94"/>
        <v>0</v>
      </c>
      <c r="AR84">
        <f t="shared" si="94"/>
        <v>0</v>
      </c>
      <c r="AS84">
        <f t="shared" ref="AS84:AS89" si="95">SUM(AO84:AR84)</f>
        <v>4.9009153559690919</v>
      </c>
      <c r="AU84">
        <f t="shared" ref="AU84:AX89" si="96">AI84*AU$10</f>
        <v>37.590007693914863</v>
      </c>
      <c r="AV84">
        <f t="shared" si="96"/>
        <v>0</v>
      </c>
      <c r="AW84">
        <f t="shared" si="96"/>
        <v>0</v>
      </c>
      <c r="AX84">
        <f t="shared" si="96"/>
        <v>0</v>
      </c>
      <c r="AY84">
        <f t="shared" ref="AY84:AY89" si="97">SUM(AU84:AX84)</f>
        <v>37.590007693914863</v>
      </c>
    </row>
    <row r="85" spans="1:53" ht="15" x14ac:dyDescent="0.25">
      <c r="A85" s="1"/>
      <c r="B85" s="2"/>
      <c r="C85" s="1" t="s">
        <v>9</v>
      </c>
      <c r="D85">
        <v>0</v>
      </c>
      <c r="E85" s="360">
        <v>7.3124000000000002</v>
      </c>
      <c r="F85">
        <v>0</v>
      </c>
      <c r="G85">
        <v>0</v>
      </c>
      <c r="H85">
        <v>0</v>
      </c>
      <c r="J85">
        <v>0</v>
      </c>
      <c r="K85">
        <v>0</v>
      </c>
      <c r="L85">
        <v>0</v>
      </c>
      <c r="M85">
        <v>0</v>
      </c>
      <c r="N85">
        <v>0</v>
      </c>
      <c r="O85" s="20"/>
      <c r="P85" s="20"/>
      <c r="Q85" s="438">
        <v>2.4223040376532022E-2</v>
      </c>
      <c r="R85" s="197">
        <v>0.38700000000000001</v>
      </c>
      <c r="S85" s="197">
        <v>2.48</v>
      </c>
      <c r="T85" s="197">
        <v>0.72182006204756977</v>
      </c>
      <c r="U85" s="197">
        <v>0.90789473684210531</v>
      </c>
      <c r="V85" s="20">
        <f t="shared" si="88"/>
        <v>0.68548752893899523</v>
      </c>
      <c r="W85" s="20">
        <f t="shared" si="88"/>
        <v>0</v>
      </c>
      <c r="X85" s="20">
        <f t="shared" si="88"/>
        <v>0</v>
      </c>
      <c r="Y85" s="20">
        <f t="shared" si="88"/>
        <v>0</v>
      </c>
      <c r="Z85" s="20">
        <f t="shared" si="89"/>
        <v>0.52959989708330468</v>
      </c>
      <c r="AA85" s="20">
        <f t="shared" si="89"/>
        <v>0</v>
      </c>
      <c r="AB85" s="20">
        <f t="shared" si="89"/>
        <v>0</v>
      </c>
      <c r="AC85" s="20">
        <f t="shared" si="89"/>
        <v>0</v>
      </c>
      <c r="AD85" s="20">
        <f t="shared" si="90"/>
        <v>0.52959989708330468</v>
      </c>
      <c r="AE85" s="20">
        <f t="shared" si="91"/>
        <v>4.3927882991439491</v>
      </c>
      <c r="AF85" s="20">
        <f t="shared" si="91"/>
        <v>0</v>
      </c>
      <c r="AG85" s="20">
        <f t="shared" si="91"/>
        <v>0</v>
      </c>
      <c r="AH85" s="20">
        <f t="shared" si="91"/>
        <v>0</v>
      </c>
      <c r="AI85" s="20">
        <f t="shared" si="92"/>
        <v>4.0620297964973675</v>
      </c>
      <c r="AJ85" s="20">
        <f t="shared" si="92"/>
        <v>0</v>
      </c>
      <c r="AK85" s="20">
        <f t="shared" si="92"/>
        <v>0</v>
      </c>
      <c r="AL85" s="20">
        <f t="shared" si="92"/>
        <v>0</v>
      </c>
      <c r="AM85" s="20">
        <f t="shared" si="93"/>
        <v>4.0620297964973675</v>
      </c>
      <c r="AO85">
        <f t="shared" si="94"/>
        <v>0.64028627557371542</v>
      </c>
      <c r="AP85">
        <f t="shared" si="94"/>
        <v>0</v>
      </c>
      <c r="AQ85">
        <f t="shared" si="94"/>
        <v>0</v>
      </c>
      <c r="AR85">
        <f t="shared" si="94"/>
        <v>0</v>
      </c>
      <c r="AS85">
        <f t="shared" si="95"/>
        <v>0.64028627557371542</v>
      </c>
      <c r="AU85">
        <f t="shared" si="96"/>
        <v>4.9109940239653174</v>
      </c>
      <c r="AV85">
        <f t="shared" si="96"/>
        <v>0</v>
      </c>
      <c r="AW85">
        <f t="shared" si="96"/>
        <v>0</v>
      </c>
      <c r="AX85">
        <f t="shared" si="96"/>
        <v>0</v>
      </c>
      <c r="AY85">
        <f t="shared" si="97"/>
        <v>4.9109940239653174</v>
      </c>
    </row>
    <row r="86" spans="1:53" ht="15" x14ac:dyDescent="0.25">
      <c r="A86" s="1"/>
      <c r="B86" s="2"/>
      <c r="C86" s="1" t="s">
        <v>10</v>
      </c>
      <c r="D86">
        <v>0</v>
      </c>
      <c r="E86" s="360">
        <v>0.68179999999999996</v>
      </c>
      <c r="F86">
        <v>0</v>
      </c>
      <c r="G86">
        <v>0</v>
      </c>
      <c r="H86">
        <v>0</v>
      </c>
      <c r="J86">
        <v>0</v>
      </c>
      <c r="K86">
        <v>0</v>
      </c>
      <c r="L86">
        <v>0</v>
      </c>
      <c r="M86">
        <v>0</v>
      </c>
      <c r="N86">
        <v>0</v>
      </c>
      <c r="O86" s="20"/>
      <c r="P86" s="20"/>
      <c r="Q86" s="438">
        <v>3.183456056479804E-2</v>
      </c>
      <c r="R86" s="197">
        <v>0.38700000000000001</v>
      </c>
      <c r="S86" s="197">
        <v>2.48</v>
      </c>
      <c r="T86" s="197">
        <v>0.72182006204756977</v>
      </c>
      <c r="U86" s="197">
        <v>0.90789473684210531</v>
      </c>
      <c r="V86" s="20">
        <f t="shared" si="88"/>
        <v>8.399758913121691E-2</v>
      </c>
      <c r="W86" s="20">
        <f t="shared" si="88"/>
        <v>0</v>
      </c>
      <c r="X86" s="20">
        <f t="shared" si="88"/>
        <v>0</v>
      </c>
      <c r="Y86" s="20">
        <f t="shared" si="88"/>
        <v>0</v>
      </c>
      <c r="Z86" s="20">
        <f t="shared" si="89"/>
        <v>6.4895585522894511E-2</v>
      </c>
      <c r="AA86" s="20">
        <f t="shared" si="89"/>
        <v>0</v>
      </c>
      <c r="AB86" s="20">
        <f t="shared" si="89"/>
        <v>0</v>
      </c>
      <c r="AC86" s="20">
        <f t="shared" si="89"/>
        <v>0</v>
      </c>
      <c r="AD86" s="20">
        <f t="shared" si="90"/>
        <v>6.4895585522894511E-2</v>
      </c>
      <c r="AE86" s="20">
        <f t="shared" si="91"/>
        <v>0.53827912414836665</v>
      </c>
      <c r="AF86" s="20">
        <f t="shared" si="91"/>
        <v>0</v>
      </c>
      <c r="AG86" s="20">
        <f t="shared" si="91"/>
        <v>0</v>
      </c>
      <c r="AH86" s="20">
        <f t="shared" si="91"/>
        <v>0</v>
      </c>
      <c r="AI86" s="20">
        <f t="shared" si="92"/>
        <v>0.49774896767715154</v>
      </c>
      <c r="AJ86" s="20">
        <f t="shared" si="92"/>
        <v>0</v>
      </c>
      <c r="AK86" s="20">
        <f t="shared" si="92"/>
        <v>0</v>
      </c>
      <c r="AL86" s="20">
        <f t="shared" si="92"/>
        <v>0</v>
      </c>
      <c r="AM86" s="20">
        <f t="shared" si="93"/>
        <v>0.49774896767715154</v>
      </c>
      <c r="AO86">
        <f t="shared" si="94"/>
        <v>7.8458762897179471E-2</v>
      </c>
      <c r="AP86">
        <f t="shared" si="94"/>
        <v>0</v>
      </c>
      <c r="AQ86">
        <f t="shared" si="94"/>
        <v>0</v>
      </c>
      <c r="AR86">
        <f t="shared" si="94"/>
        <v>0</v>
      </c>
      <c r="AS86">
        <f t="shared" si="95"/>
        <v>7.8458762897179471E-2</v>
      </c>
      <c r="AU86">
        <f t="shared" si="96"/>
        <v>0.60177850192167626</v>
      </c>
      <c r="AV86">
        <f t="shared" si="96"/>
        <v>0</v>
      </c>
      <c r="AW86">
        <f t="shared" si="96"/>
        <v>0</v>
      </c>
      <c r="AX86">
        <f t="shared" si="96"/>
        <v>0</v>
      </c>
      <c r="AY86">
        <f t="shared" si="97"/>
        <v>0.60177850192167626</v>
      </c>
    </row>
    <row r="87" spans="1:53" ht="15" x14ac:dyDescent="0.25">
      <c r="A87" s="1"/>
      <c r="B87" s="2"/>
      <c r="C87" s="1" t="s">
        <v>11</v>
      </c>
      <c r="D87">
        <v>0</v>
      </c>
      <c r="E87" s="360">
        <v>34.516599999999997</v>
      </c>
      <c r="F87">
        <v>0</v>
      </c>
      <c r="G87">
        <v>0</v>
      </c>
      <c r="H87">
        <v>0</v>
      </c>
      <c r="J87">
        <v>0</v>
      </c>
      <c r="K87">
        <v>0</v>
      </c>
      <c r="L87">
        <v>0</v>
      </c>
      <c r="M87">
        <v>0</v>
      </c>
      <c r="N87">
        <v>0</v>
      </c>
      <c r="O87" s="20"/>
      <c r="P87" s="20"/>
      <c r="Q87" s="438">
        <v>3.9446080753064043E-2</v>
      </c>
      <c r="R87" s="197">
        <v>0.38700000000000001</v>
      </c>
      <c r="S87" s="197">
        <v>2.48</v>
      </c>
      <c r="T87" s="197">
        <v>0.72182006204756977</v>
      </c>
      <c r="U87" s="197">
        <v>0.90789473684210531</v>
      </c>
      <c r="V87" s="20">
        <f t="shared" si="88"/>
        <v>5.2691775668650838</v>
      </c>
      <c r="W87" s="20">
        <f t="shared" si="88"/>
        <v>0</v>
      </c>
      <c r="X87" s="20">
        <f t="shared" si="88"/>
        <v>0</v>
      </c>
      <c r="Y87" s="20">
        <f t="shared" si="88"/>
        <v>0</v>
      </c>
      <c r="Z87" s="20">
        <f t="shared" si="89"/>
        <v>4.0709068791443332</v>
      </c>
      <c r="AA87" s="20">
        <f t="shared" si="89"/>
        <v>0</v>
      </c>
      <c r="AB87" s="20">
        <f t="shared" si="89"/>
        <v>0</v>
      </c>
      <c r="AC87" s="20">
        <f t="shared" si="89"/>
        <v>0</v>
      </c>
      <c r="AD87" s="20">
        <f t="shared" si="90"/>
        <v>4.0709068791443332</v>
      </c>
      <c r="AE87" s="20">
        <f t="shared" si="91"/>
        <v>33.76630585484601</v>
      </c>
      <c r="AF87" s="20">
        <f t="shared" si="91"/>
        <v>0</v>
      </c>
      <c r="AG87" s="20">
        <f t="shared" si="91"/>
        <v>0</v>
      </c>
      <c r="AH87" s="20">
        <f t="shared" si="91"/>
        <v>0</v>
      </c>
      <c r="AI87" s="20">
        <f t="shared" si="92"/>
        <v>31.223844892948108</v>
      </c>
      <c r="AJ87" s="20">
        <f t="shared" si="92"/>
        <v>0</v>
      </c>
      <c r="AK87" s="20">
        <f t="shared" si="92"/>
        <v>0</v>
      </c>
      <c r="AL87" s="20">
        <f t="shared" si="92"/>
        <v>0</v>
      </c>
      <c r="AM87" s="20">
        <f t="shared" si="93"/>
        <v>31.223844892948108</v>
      </c>
      <c r="AO87">
        <f t="shared" si="94"/>
        <v>4.9217264168854991</v>
      </c>
      <c r="AP87">
        <f t="shared" si="94"/>
        <v>0</v>
      </c>
      <c r="AQ87">
        <f t="shared" si="94"/>
        <v>0</v>
      </c>
      <c r="AR87">
        <f t="shared" si="94"/>
        <v>0</v>
      </c>
      <c r="AS87">
        <f t="shared" si="95"/>
        <v>4.9217264168854991</v>
      </c>
      <c r="AU87">
        <f t="shared" si="96"/>
        <v>37.749628475574262</v>
      </c>
      <c r="AV87">
        <f t="shared" si="96"/>
        <v>0</v>
      </c>
      <c r="AW87">
        <f t="shared" si="96"/>
        <v>0</v>
      </c>
      <c r="AX87">
        <f t="shared" si="96"/>
        <v>0</v>
      </c>
      <c r="AY87">
        <f t="shared" si="97"/>
        <v>37.749628475574262</v>
      </c>
    </row>
    <row r="88" spans="1:53" ht="15" x14ac:dyDescent="0.25">
      <c r="A88" s="1"/>
      <c r="B88" s="2"/>
      <c r="C88" s="1" t="s">
        <v>12</v>
      </c>
      <c r="D88">
        <v>0</v>
      </c>
      <c r="E88" s="360">
        <v>0</v>
      </c>
      <c r="F88">
        <v>0</v>
      </c>
      <c r="G88">
        <v>0</v>
      </c>
      <c r="H88">
        <v>0</v>
      </c>
      <c r="J88">
        <v>0</v>
      </c>
      <c r="K88">
        <v>0</v>
      </c>
      <c r="L88">
        <v>0</v>
      </c>
      <c r="M88">
        <v>0</v>
      </c>
      <c r="N88">
        <v>0</v>
      </c>
      <c r="O88" s="20"/>
      <c r="P88" s="20"/>
      <c r="Q88" s="438"/>
      <c r="R88" s="197">
        <v>0.38700000000000001</v>
      </c>
      <c r="S88" s="197">
        <v>2.48</v>
      </c>
      <c r="T88" s="197">
        <v>0.72182006204756977</v>
      </c>
      <c r="U88" s="197">
        <v>0.90789473684210531</v>
      </c>
      <c r="V88" s="20">
        <f t="shared" si="88"/>
        <v>0</v>
      </c>
      <c r="W88" s="20">
        <f t="shared" si="88"/>
        <v>0</v>
      </c>
      <c r="X88" s="20">
        <f t="shared" si="88"/>
        <v>0</v>
      </c>
      <c r="Y88" s="20">
        <f t="shared" si="88"/>
        <v>0</v>
      </c>
      <c r="Z88" s="20">
        <f t="shared" si="89"/>
        <v>0</v>
      </c>
      <c r="AA88" s="20">
        <f t="shared" si="89"/>
        <v>0</v>
      </c>
      <c r="AB88" s="20">
        <f t="shared" si="89"/>
        <v>0</v>
      </c>
      <c r="AC88" s="20">
        <f t="shared" si="89"/>
        <v>0</v>
      </c>
      <c r="AD88" s="20">
        <f t="shared" si="90"/>
        <v>0</v>
      </c>
      <c r="AE88" s="20">
        <f t="shared" si="91"/>
        <v>0</v>
      </c>
      <c r="AF88" s="20">
        <f t="shared" si="91"/>
        <v>0</v>
      </c>
      <c r="AG88" s="20">
        <f t="shared" si="91"/>
        <v>0</v>
      </c>
      <c r="AH88" s="20">
        <f t="shared" si="91"/>
        <v>0</v>
      </c>
      <c r="AI88" s="20">
        <f t="shared" si="92"/>
        <v>0</v>
      </c>
      <c r="AJ88" s="20">
        <f t="shared" si="92"/>
        <v>0</v>
      </c>
      <c r="AK88" s="20">
        <f t="shared" si="92"/>
        <v>0</v>
      </c>
      <c r="AL88" s="20">
        <f t="shared" si="92"/>
        <v>0</v>
      </c>
      <c r="AM88" s="20">
        <f t="shared" si="93"/>
        <v>0</v>
      </c>
      <c r="AO88">
        <f t="shared" si="94"/>
        <v>0</v>
      </c>
      <c r="AP88">
        <f t="shared" si="94"/>
        <v>0</v>
      </c>
      <c r="AQ88">
        <f t="shared" si="94"/>
        <v>0</v>
      </c>
      <c r="AR88">
        <f t="shared" si="94"/>
        <v>0</v>
      </c>
      <c r="AS88">
        <f t="shared" si="95"/>
        <v>0</v>
      </c>
      <c r="AU88">
        <f t="shared" si="96"/>
        <v>0</v>
      </c>
      <c r="AV88">
        <f t="shared" si="96"/>
        <v>0</v>
      </c>
      <c r="AW88">
        <f t="shared" si="96"/>
        <v>0</v>
      </c>
      <c r="AX88">
        <f t="shared" si="96"/>
        <v>0</v>
      </c>
      <c r="AY88">
        <f t="shared" si="97"/>
        <v>0</v>
      </c>
    </row>
    <row r="89" spans="1:53" ht="15" x14ac:dyDescent="0.25">
      <c r="A89" s="1"/>
      <c r="B89" s="2"/>
      <c r="C89" s="1" t="s">
        <v>13</v>
      </c>
      <c r="D89">
        <v>0</v>
      </c>
      <c r="E89" s="360">
        <v>0.19370000000000001</v>
      </c>
      <c r="F89">
        <v>0</v>
      </c>
      <c r="G89">
        <v>0</v>
      </c>
      <c r="H89">
        <v>0</v>
      </c>
      <c r="J89">
        <v>0</v>
      </c>
      <c r="K89">
        <v>0</v>
      </c>
      <c r="L89">
        <v>0</v>
      </c>
      <c r="M89">
        <v>0</v>
      </c>
      <c r="N89">
        <v>0</v>
      </c>
      <c r="O89" s="20"/>
      <c r="P89" s="20"/>
      <c r="Q89" s="438">
        <v>3.944608075306405E-2</v>
      </c>
      <c r="R89" s="197">
        <v>0.38700000000000001</v>
      </c>
      <c r="S89" s="197">
        <v>2.48</v>
      </c>
      <c r="T89" s="197">
        <v>0.72182006204756977</v>
      </c>
      <c r="U89" s="197">
        <v>0.90789473684210531</v>
      </c>
      <c r="V89" s="20">
        <f t="shared" si="88"/>
        <v>2.9569531608031122E-2</v>
      </c>
      <c r="W89" s="20">
        <f t="shared" si="88"/>
        <v>0</v>
      </c>
      <c r="X89" s="20">
        <f t="shared" si="88"/>
        <v>0</v>
      </c>
      <c r="Y89" s="20">
        <f t="shared" si="88"/>
        <v>0</v>
      </c>
      <c r="Z89" s="20">
        <f t="shared" si="89"/>
        <v>2.2845085045753569E-2</v>
      </c>
      <c r="AA89" s="20">
        <f t="shared" si="89"/>
        <v>0</v>
      </c>
      <c r="AB89" s="20">
        <f t="shared" si="89"/>
        <v>0</v>
      </c>
      <c r="AC89" s="20">
        <f t="shared" si="89"/>
        <v>0</v>
      </c>
      <c r="AD89" s="20">
        <f t="shared" si="90"/>
        <v>2.2845085045753569E-2</v>
      </c>
      <c r="AE89" s="20">
        <f t="shared" si="91"/>
        <v>0.18948950487833899</v>
      </c>
      <c r="AF89" s="20">
        <f t="shared" si="91"/>
        <v>0</v>
      </c>
      <c r="AG89" s="20">
        <f t="shared" si="91"/>
        <v>0</v>
      </c>
      <c r="AH89" s="20">
        <f t="shared" si="91"/>
        <v>0</v>
      </c>
      <c r="AI89" s="20">
        <f t="shared" si="92"/>
        <v>0.17522174130024543</v>
      </c>
      <c r="AJ89" s="20">
        <f t="shared" si="92"/>
        <v>0</v>
      </c>
      <c r="AK89" s="20">
        <f t="shared" si="92"/>
        <v>0</v>
      </c>
      <c r="AL89" s="20">
        <f t="shared" si="92"/>
        <v>0</v>
      </c>
      <c r="AM89" s="20">
        <f t="shared" si="93"/>
        <v>0.17522174130024543</v>
      </c>
      <c r="AO89">
        <f t="shared" si="94"/>
        <v>2.7619707820316065E-2</v>
      </c>
      <c r="AP89">
        <f t="shared" si="94"/>
        <v>0</v>
      </c>
      <c r="AQ89">
        <f t="shared" si="94"/>
        <v>0</v>
      </c>
      <c r="AR89">
        <f t="shared" si="94"/>
        <v>0</v>
      </c>
      <c r="AS89">
        <f t="shared" si="95"/>
        <v>2.7619707820316065E-2</v>
      </c>
      <c r="AU89">
        <f t="shared" si="96"/>
        <v>0.21184308523199674</v>
      </c>
      <c r="AV89">
        <f t="shared" si="96"/>
        <v>0</v>
      </c>
      <c r="AW89">
        <f t="shared" si="96"/>
        <v>0</v>
      </c>
      <c r="AX89">
        <f t="shared" si="96"/>
        <v>0</v>
      </c>
      <c r="AY89">
        <f t="shared" si="97"/>
        <v>0.21184308523199674</v>
      </c>
    </row>
    <row r="90" spans="1:53" ht="15" x14ac:dyDescent="0.25">
      <c r="A90" s="7"/>
      <c r="B90" s="8" t="s">
        <v>14</v>
      </c>
      <c r="C90" s="7"/>
      <c r="D90" s="357">
        <f t="shared" ref="D90:H90" si="98">SUM(D84:D89)</f>
        <v>0</v>
      </c>
      <c r="E90" s="363">
        <f>SUM(E84:E89)</f>
        <v>124.3218</v>
      </c>
      <c r="F90" s="357">
        <f t="shared" si="98"/>
        <v>0</v>
      </c>
      <c r="G90" s="357">
        <f t="shared" si="98"/>
        <v>0</v>
      </c>
      <c r="H90" s="357">
        <f t="shared" si="98"/>
        <v>0</v>
      </c>
      <c r="J90">
        <v>0</v>
      </c>
      <c r="K90">
        <v>0</v>
      </c>
      <c r="L90">
        <v>0</v>
      </c>
      <c r="M90">
        <v>0</v>
      </c>
      <c r="N90">
        <v>0</v>
      </c>
      <c r="O90" s="20"/>
      <c r="P90" s="20"/>
      <c r="Q90" s="438">
        <v>2.3518048220563689E-2</v>
      </c>
      <c r="R90" s="197"/>
      <c r="S90" s="197"/>
      <c r="T90" s="197"/>
      <c r="U90" s="197"/>
      <c r="BA90" s="319">
        <f>(E90*10000*Q90*AU$10)</f>
        <v>35348.815595061351</v>
      </c>
    </row>
    <row r="91" spans="1:53" ht="15" x14ac:dyDescent="0.25">
      <c r="A91" s="10"/>
      <c r="B91" s="9" t="s">
        <v>15</v>
      </c>
      <c r="C91" s="5"/>
      <c r="E91" s="363">
        <f>SUM(E90)</f>
        <v>124.3218</v>
      </c>
      <c r="H91" s="358">
        <f>SUM(D90:H90)</f>
        <v>124.3218</v>
      </c>
      <c r="K91" s="14"/>
      <c r="N91">
        <v>0</v>
      </c>
      <c r="O91" s="20"/>
      <c r="P91" s="20"/>
      <c r="Q91" s="438"/>
      <c r="R91" s="197"/>
      <c r="S91" s="197"/>
      <c r="T91" s="197"/>
      <c r="U91" s="197"/>
    </row>
    <row r="92" spans="1:53" ht="15.75" x14ac:dyDescent="0.25">
      <c r="A92" s="1"/>
      <c r="B92" s="2"/>
      <c r="C92" s="1"/>
      <c r="E92" s="361"/>
      <c r="K92" s="14"/>
      <c r="O92" s="20"/>
      <c r="P92" s="20"/>
      <c r="Q92" s="439"/>
      <c r="R92" s="197"/>
      <c r="S92" s="197"/>
      <c r="T92" s="197"/>
      <c r="U92" s="197"/>
    </row>
    <row r="93" spans="1:53" ht="15" x14ac:dyDescent="0.25">
      <c r="A93" s="1">
        <v>10</v>
      </c>
      <c r="B93" s="2" t="s">
        <v>24</v>
      </c>
      <c r="C93" s="1" t="s">
        <v>8</v>
      </c>
      <c r="D93">
        <v>0</v>
      </c>
      <c r="E93" s="360">
        <v>148.16669999999999</v>
      </c>
      <c r="F93">
        <v>0</v>
      </c>
      <c r="G93">
        <v>0</v>
      </c>
      <c r="H93">
        <v>0</v>
      </c>
      <c r="J93">
        <v>0</v>
      </c>
      <c r="K93">
        <v>0</v>
      </c>
      <c r="L93">
        <v>0</v>
      </c>
      <c r="M93">
        <v>0</v>
      </c>
      <c r="N93">
        <v>0</v>
      </c>
      <c r="O93" s="20"/>
      <c r="P93" s="20"/>
      <c r="Q93" s="438">
        <v>1.6611520188266012E-2</v>
      </c>
      <c r="R93" s="197">
        <v>0.66599999999999993</v>
      </c>
      <c r="S93" s="197">
        <v>4.5549999999999997</v>
      </c>
      <c r="T93" s="197">
        <v>0.60039794540960334</v>
      </c>
      <c r="U93" s="197">
        <v>0.90789473684210531</v>
      </c>
      <c r="V93" s="20">
        <f t="shared" ref="V93:Y98" si="99">IF(K93&gt;0,((E93-K93)*$Q93*$R93*10)+(K93*$O$12*$Q93*$R93*10),(E93*$Q93*$R93*10))</f>
        <v>16.392085694336494</v>
      </c>
      <c r="W93" s="20">
        <f t="shared" si="99"/>
        <v>0</v>
      </c>
      <c r="X93" s="20">
        <f t="shared" si="99"/>
        <v>0</v>
      </c>
      <c r="Y93" s="20">
        <f t="shared" si="99"/>
        <v>0</v>
      </c>
      <c r="Z93" s="20">
        <f t="shared" ref="Z93:AC98" si="100">V93*(EXP(1.01-0.34*LN(Z$8))*(1-$T93)+(1*$T93))</f>
        <v>11.037224424612997</v>
      </c>
      <c r="AA93" s="20">
        <f t="shared" si="100"/>
        <v>0</v>
      </c>
      <c r="AB93" s="20">
        <f t="shared" si="100"/>
        <v>0</v>
      </c>
      <c r="AC93" s="20">
        <f t="shared" si="100"/>
        <v>0</v>
      </c>
      <c r="AD93" s="20">
        <f t="shared" ref="AD93:AD98" si="101">SUM(Z93:AC93)</f>
        <v>11.037224424612997</v>
      </c>
      <c r="AE93" s="20">
        <f t="shared" ref="AE93:AH98" si="102">IF(K93&gt;0,((E93-K93)*$Q93*$S93*10)+(K93*$P$12*$Q93*$S93)*10,(E93*$Q93*$S93*10))</f>
        <v>112.11103654309721</v>
      </c>
      <c r="AF93" s="20">
        <f t="shared" si="102"/>
        <v>0</v>
      </c>
      <c r="AG93" s="20">
        <f t="shared" si="102"/>
        <v>0</v>
      </c>
      <c r="AH93" s="20">
        <f t="shared" si="102"/>
        <v>0</v>
      </c>
      <c r="AI93" s="20">
        <f t="shared" ref="AI93:AL98" si="103">AE93*(EXP(1.01-0.34*LN(AI$8))*(1-$U93)+(1*$U93))</f>
        <v>103.66954652538401</v>
      </c>
      <c r="AJ93" s="20">
        <f t="shared" si="103"/>
        <v>0</v>
      </c>
      <c r="AK93" s="20">
        <f t="shared" si="103"/>
        <v>0</v>
      </c>
      <c r="AL93" s="20">
        <f t="shared" si="103"/>
        <v>0</v>
      </c>
      <c r="AM93" s="20">
        <f t="shared" ref="AM93:AM98" si="104">SUM(AI93:AL93)</f>
        <v>103.66954652538401</v>
      </c>
      <c r="AO93">
        <f t="shared" ref="AO93:AR98" si="105">Z93*AO$10</f>
        <v>13.344004329357114</v>
      </c>
      <c r="AP93">
        <f t="shared" si="105"/>
        <v>0</v>
      </c>
      <c r="AQ93">
        <f t="shared" si="105"/>
        <v>0</v>
      </c>
      <c r="AR93">
        <f t="shared" si="105"/>
        <v>0</v>
      </c>
      <c r="AS93">
        <f t="shared" ref="AS93:AS98" si="106">SUM(AO93:AR93)</f>
        <v>13.344004329357114</v>
      </c>
      <c r="AU93">
        <f t="shared" ref="AU93:AX98" si="107">AI93*AU$10</f>
        <v>125.33648174918928</v>
      </c>
      <c r="AV93">
        <f t="shared" si="107"/>
        <v>0</v>
      </c>
      <c r="AW93">
        <f t="shared" si="107"/>
        <v>0</v>
      </c>
      <c r="AX93">
        <f t="shared" si="107"/>
        <v>0</v>
      </c>
      <c r="AY93">
        <f t="shared" ref="AY93:AY98" si="108">SUM(AU93:AX93)</f>
        <v>125.33648174918928</v>
      </c>
    </row>
    <row r="94" spans="1:53" ht="15" x14ac:dyDescent="0.25">
      <c r="A94" s="1"/>
      <c r="B94" s="2"/>
      <c r="C94" s="1" t="s">
        <v>9</v>
      </c>
      <c r="D94">
        <v>0</v>
      </c>
      <c r="E94" s="360">
        <v>16.532399999999999</v>
      </c>
      <c r="F94">
        <v>0</v>
      </c>
      <c r="G94">
        <v>0</v>
      </c>
      <c r="H94">
        <v>0</v>
      </c>
      <c r="J94">
        <v>0</v>
      </c>
      <c r="K94">
        <v>0</v>
      </c>
      <c r="L94">
        <v>0</v>
      </c>
      <c r="M94">
        <v>0</v>
      </c>
      <c r="N94">
        <v>0</v>
      </c>
      <c r="O94" s="20"/>
      <c r="P94" s="20"/>
      <c r="Q94" s="438">
        <v>2.4223040376532026E-2</v>
      </c>
      <c r="R94" s="197">
        <v>0.66599999999999993</v>
      </c>
      <c r="S94" s="197">
        <v>4.5549999999999997</v>
      </c>
      <c r="T94" s="197">
        <v>0.60039794540960334</v>
      </c>
      <c r="U94" s="197">
        <v>0.90789473684210531</v>
      </c>
      <c r="V94" s="20">
        <f t="shared" si="99"/>
        <v>2.6670968515217131</v>
      </c>
      <c r="W94" s="20">
        <f t="shared" si="99"/>
        <v>0</v>
      </c>
      <c r="X94" s="20">
        <f t="shared" si="99"/>
        <v>0</v>
      </c>
      <c r="Y94" s="20">
        <f t="shared" si="99"/>
        <v>0</v>
      </c>
      <c r="Z94" s="20">
        <f t="shared" si="100"/>
        <v>1.7958267825914642</v>
      </c>
      <c r="AA94" s="20">
        <f t="shared" si="100"/>
        <v>0</v>
      </c>
      <c r="AB94" s="20">
        <f t="shared" si="100"/>
        <v>0</v>
      </c>
      <c r="AC94" s="20">
        <f t="shared" si="100"/>
        <v>0</v>
      </c>
      <c r="AD94" s="20">
        <f t="shared" si="101"/>
        <v>1.7958267825914642</v>
      </c>
      <c r="AE94" s="20">
        <f t="shared" si="102"/>
        <v>18.24118041844055</v>
      </c>
      <c r="AF94" s="20">
        <f t="shared" si="102"/>
        <v>0</v>
      </c>
      <c r="AG94" s="20">
        <f t="shared" si="102"/>
        <v>0</v>
      </c>
      <c r="AH94" s="20">
        <f t="shared" si="102"/>
        <v>0</v>
      </c>
      <c r="AI94" s="20">
        <f t="shared" si="103"/>
        <v>16.867696173163964</v>
      </c>
      <c r="AJ94" s="20">
        <f t="shared" si="103"/>
        <v>0</v>
      </c>
      <c r="AK94" s="20">
        <f t="shared" si="103"/>
        <v>0</v>
      </c>
      <c r="AL94" s="20">
        <f t="shared" si="103"/>
        <v>0</v>
      </c>
      <c r="AM94" s="20">
        <f t="shared" si="104"/>
        <v>16.867696173163964</v>
      </c>
      <c r="AO94">
        <f t="shared" si="105"/>
        <v>2.1711545801530803</v>
      </c>
      <c r="AP94">
        <f t="shared" si="105"/>
        <v>0</v>
      </c>
      <c r="AQ94">
        <f t="shared" si="105"/>
        <v>0</v>
      </c>
      <c r="AR94">
        <f t="shared" si="105"/>
        <v>0</v>
      </c>
      <c r="AS94">
        <f t="shared" si="106"/>
        <v>2.1711545801530803</v>
      </c>
      <c r="AU94">
        <f t="shared" si="107"/>
        <v>20.393044673355234</v>
      </c>
      <c r="AV94">
        <f t="shared" si="107"/>
        <v>0</v>
      </c>
      <c r="AW94">
        <f t="shared" si="107"/>
        <v>0</v>
      </c>
      <c r="AX94">
        <f t="shared" si="107"/>
        <v>0</v>
      </c>
      <c r="AY94">
        <f t="shared" si="108"/>
        <v>20.393044673355234</v>
      </c>
    </row>
    <row r="95" spans="1:53" ht="15" x14ac:dyDescent="0.25">
      <c r="A95" s="1"/>
      <c r="B95" s="2"/>
      <c r="C95" s="1" t="s">
        <v>10</v>
      </c>
      <c r="D95">
        <v>0</v>
      </c>
      <c r="E95" s="360"/>
      <c r="F95">
        <v>0</v>
      </c>
      <c r="G95">
        <v>0</v>
      </c>
      <c r="H95">
        <v>0</v>
      </c>
      <c r="J95">
        <v>0</v>
      </c>
      <c r="K95">
        <v>0</v>
      </c>
      <c r="L95">
        <v>0</v>
      </c>
      <c r="M95">
        <v>0</v>
      </c>
      <c r="N95">
        <v>0</v>
      </c>
      <c r="O95" s="20"/>
      <c r="P95" s="20"/>
      <c r="Q95" s="438"/>
      <c r="R95" s="197">
        <v>0.66599999999999993</v>
      </c>
      <c r="S95" s="197">
        <v>4.5549999999999997</v>
      </c>
      <c r="T95" s="197">
        <v>0.60039794540960334</v>
      </c>
      <c r="U95" s="197">
        <v>0.90789473684210531</v>
      </c>
      <c r="V95" s="20">
        <f t="shared" si="99"/>
        <v>0</v>
      </c>
      <c r="W95" s="20">
        <f t="shared" si="99"/>
        <v>0</v>
      </c>
      <c r="X95" s="20">
        <f t="shared" si="99"/>
        <v>0</v>
      </c>
      <c r="Y95" s="20">
        <f t="shared" si="99"/>
        <v>0</v>
      </c>
      <c r="Z95" s="20">
        <f t="shared" si="100"/>
        <v>0</v>
      </c>
      <c r="AA95" s="20">
        <f t="shared" si="100"/>
        <v>0</v>
      </c>
      <c r="AB95" s="20">
        <f t="shared" si="100"/>
        <v>0</v>
      </c>
      <c r="AC95" s="20">
        <f t="shared" si="100"/>
        <v>0</v>
      </c>
      <c r="AD95" s="20">
        <f t="shared" si="101"/>
        <v>0</v>
      </c>
      <c r="AE95" s="20">
        <f t="shared" si="102"/>
        <v>0</v>
      </c>
      <c r="AF95" s="20">
        <f t="shared" si="102"/>
        <v>0</v>
      </c>
      <c r="AG95" s="20">
        <f t="shared" si="102"/>
        <v>0</v>
      </c>
      <c r="AH95" s="20">
        <f t="shared" si="102"/>
        <v>0</v>
      </c>
      <c r="AI95" s="20">
        <f t="shared" si="103"/>
        <v>0</v>
      </c>
      <c r="AJ95" s="20">
        <f t="shared" si="103"/>
        <v>0</v>
      </c>
      <c r="AK95" s="20">
        <f t="shared" si="103"/>
        <v>0</v>
      </c>
      <c r="AL95" s="20">
        <f t="shared" si="103"/>
        <v>0</v>
      </c>
      <c r="AM95" s="20">
        <f t="shared" si="104"/>
        <v>0</v>
      </c>
      <c r="AO95">
        <f t="shared" si="105"/>
        <v>0</v>
      </c>
      <c r="AP95">
        <f t="shared" si="105"/>
        <v>0</v>
      </c>
      <c r="AQ95">
        <f t="shared" si="105"/>
        <v>0</v>
      </c>
      <c r="AR95">
        <f t="shared" si="105"/>
        <v>0</v>
      </c>
      <c r="AS95">
        <f t="shared" si="106"/>
        <v>0</v>
      </c>
      <c r="AU95">
        <f t="shared" si="107"/>
        <v>0</v>
      </c>
      <c r="AV95">
        <f t="shared" si="107"/>
        <v>0</v>
      </c>
      <c r="AW95">
        <f t="shared" si="107"/>
        <v>0</v>
      </c>
      <c r="AX95">
        <f t="shared" si="107"/>
        <v>0</v>
      </c>
      <c r="AY95">
        <f t="shared" si="108"/>
        <v>0</v>
      </c>
    </row>
    <row r="96" spans="1:53" ht="15" x14ac:dyDescent="0.25">
      <c r="A96" s="1"/>
      <c r="B96" s="2"/>
      <c r="C96" s="1" t="s">
        <v>11</v>
      </c>
      <c r="D96">
        <v>0</v>
      </c>
      <c r="E96" s="360">
        <v>104.04470000000001</v>
      </c>
      <c r="F96">
        <v>0</v>
      </c>
      <c r="G96">
        <v>0</v>
      </c>
      <c r="H96">
        <v>0</v>
      </c>
      <c r="J96">
        <v>0</v>
      </c>
      <c r="K96">
        <v>0</v>
      </c>
      <c r="L96">
        <v>0</v>
      </c>
      <c r="M96">
        <v>0</v>
      </c>
      <c r="N96">
        <v>0</v>
      </c>
      <c r="O96" s="20"/>
      <c r="P96" s="20"/>
      <c r="Q96" s="438">
        <v>3.944608075306405E-2</v>
      </c>
      <c r="R96" s="197">
        <v>0.66599999999999993</v>
      </c>
      <c r="S96" s="197">
        <v>4.5549999999999997</v>
      </c>
      <c r="T96" s="197">
        <v>0.60039794540960334</v>
      </c>
      <c r="U96" s="197">
        <v>0.90789473684210531</v>
      </c>
      <c r="V96" s="20">
        <f t="shared" si="99"/>
        <v>27.33367654993463</v>
      </c>
      <c r="W96" s="20">
        <f t="shared" si="99"/>
        <v>0</v>
      </c>
      <c r="X96" s="20">
        <f t="shared" si="99"/>
        <v>0</v>
      </c>
      <c r="Y96" s="20">
        <f t="shared" si="99"/>
        <v>0</v>
      </c>
      <c r="Z96" s="20">
        <f t="shared" si="100"/>
        <v>18.404486656365147</v>
      </c>
      <c r="AA96" s="20">
        <f t="shared" si="100"/>
        <v>0</v>
      </c>
      <c r="AB96" s="20">
        <f t="shared" si="100"/>
        <v>0</v>
      </c>
      <c r="AC96" s="20">
        <f t="shared" si="100"/>
        <v>0</v>
      </c>
      <c r="AD96" s="20">
        <f t="shared" si="101"/>
        <v>18.404486656365147</v>
      </c>
      <c r="AE96" s="20">
        <f t="shared" si="102"/>
        <v>186.94428931674511</v>
      </c>
      <c r="AF96" s="20">
        <f t="shared" si="102"/>
        <v>0</v>
      </c>
      <c r="AG96" s="20">
        <f t="shared" si="102"/>
        <v>0</v>
      </c>
      <c r="AH96" s="20">
        <f t="shared" si="102"/>
        <v>0</v>
      </c>
      <c r="AI96" s="20">
        <f t="shared" si="103"/>
        <v>172.86816977672862</v>
      </c>
      <c r="AJ96" s="20">
        <f t="shared" si="103"/>
        <v>0</v>
      </c>
      <c r="AK96" s="20">
        <f t="shared" si="103"/>
        <v>0</v>
      </c>
      <c r="AL96" s="20">
        <f t="shared" si="103"/>
        <v>0</v>
      </c>
      <c r="AM96" s="20">
        <f t="shared" si="104"/>
        <v>172.86816977672862</v>
      </c>
      <c r="AO96">
        <f t="shared" si="105"/>
        <v>22.251024367545465</v>
      </c>
      <c r="AP96">
        <f t="shared" si="105"/>
        <v>0</v>
      </c>
      <c r="AQ96">
        <f t="shared" si="105"/>
        <v>0</v>
      </c>
      <c r="AR96">
        <f t="shared" si="105"/>
        <v>0</v>
      </c>
      <c r="AS96">
        <f t="shared" si="106"/>
        <v>22.251024367545465</v>
      </c>
      <c r="AU96">
        <f t="shared" si="107"/>
        <v>208.99761726006491</v>
      </c>
      <c r="AV96">
        <f t="shared" si="107"/>
        <v>0</v>
      </c>
      <c r="AW96">
        <f t="shared" si="107"/>
        <v>0</v>
      </c>
      <c r="AX96">
        <f t="shared" si="107"/>
        <v>0</v>
      </c>
      <c r="AY96">
        <f t="shared" si="108"/>
        <v>208.99761726006491</v>
      </c>
    </row>
    <row r="97" spans="1:53" ht="15" x14ac:dyDescent="0.25">
      <c r="A97" s="1"/>
      <c r="B97" s="2"/>
      <c r="C97" s="1" t="s">
        <v>12</v>
      </c>
      <c r="D97">
        <v>0</v>
      </c>
      <c r="E97" s="360">
        <v>0</v>
      </c>
      <c r="F97">
        <v>0</v>
      </c>
      <c r="G97">
        <v>0</v>
      </c>
      <c r="H9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20"/>
      <c r="P97" s="20"/>
      <c r="Q97" s="438"/>
      <c r="R97" s="197">
        <v>0.66599999999999993</v>
      </c>
      <c r="S97" s="197">
        <v>4.5549999999999997</v>
      </c>
      <c r="T97" s="197">
        <v>0.60039794540960334</v>
      </c>
      <c r="U97" s="197">
        <v>0.90789473684210531</v>
      </c>
      <c r="V97" s="20">
        <f t="shared" si="99"/>
        <v>0</v>
      </c>
      <c r="W97" s="20">
        <f t="shared" si="99"/>
        <v>0</v>
      </c>
      <c r="X97" s="20">
        <f t="shared" si="99"/>
        <v>0</v>
      </c>
      <c r="Y97" s="20">
        <f t="shared" si="99"/>
        <v>0</v>
      </c>
      <c r="Z97" s="20">
        <f t="shared" si="100"/>
        <v>0</v>
      </c>
      <c r="AA97" s="20">
        <f t="shared" si="100"/>
        <v>0</v>
      </c>
      <c r="AB97" s="20">
        <f t="shared" si="100"/>
        <v>0</v>
      </c>
      <c r="AC97" s="20">
        <f t="shared" si="100"/>
        <v>0</v>
      </c>
      <c r="AD97" s="20">
        <f t="shared" si="101"/>
        <v>0</v>
      </c>
      <c r="AE97" s="20">
        <f t="shared" si="102"/>
        <v>0</v>
      </c>
      <c r="AF97" s="20">
        <f t="shared" si="102"/>
        <v>0</v>
      </c>
      <c r="AG97" s="20">
        <f t="shared" si="102"/>
        <v>0</v>
      </c>
      <c r="AH97" s="20">
        <f t="shared" si="102"/>
        <v>0</v>
      </c>
      <c r="AI97" s="20">
        <f t="shared" si="103"/>
        <v>0</v>
      </c>
      <c r="AJ97" s="20">
        <f t="shared" si="103"/>
        <v>0</v>
      </c>
      <c r="AK97" s="20">
        <f t="shared" si="103"/>
        <v>0</v>
      </c>
      <c r="AL97" s="20">
        <f t="shared" si="103"/>
        <v>0</v>
      </c>
      <c r="AM97" s="20">
        <f t="shared" si="104"/>
        <v>0</v>
      </c>
      <c r="AO97">
        <f t="shared" si="105"/>
        <v>0</v>
      </c>
      <c r="AP97">
        <f t="shared" si="105"/>
        <v>0</v>
      </c>
      <c r="AQ97">
        <f t="shared" si="105"/>
        <v>0</v>
      </c>
      <c r="AR97">
        <f t="shared" si="105"/>
        <v>0</v>
      </c>
      <c r="AS97">
        <f t="shared" si="106"/>
        <v>0</v>
      </c>
      <c r="AU97">
        <f t="shared" si="107"/>
        <v>0</v>
      </c>
      <c r="AV97">
        <f t="shared" si="107"/>
        <v>0</v>
      </c>
      <c r="AW97">
        <f t="shared" si="107"/>
        <v>0</v>
      </c>
      <c r="AX97">
        <f t="shared" si="107"/>
        <v>0</v>
      </c>
      <c r="AY97">
        <f t="shared" si="108"/>
        <v>0</v>
      </c>
    </row>
    <row r="98" spans="1:53" ht="15" x14ac:dyDescent="0.25">
      <c r="A98" s="1"/>
      <c r="B98" s="2"/>
      <c r="C98" s="1" t="s">
        <v>13</v>
      </c>
      <c r="D98">
        <v>0</v>
      </c>
      <c r="E98" s="360">
        <v>1.4752000000000001</v>
      </c>
      <c r="F98">
        <v>0</v>
      </c>
      <c r="G98">
        <v>0</v>
      </c>
      <c r="H98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20"/>
      <c r="P98" s="20"/>
      <c r="Q98" s="438">
        <v>3.944608075306405E-2</v>
      </c>
      <c r="R98" s="197">
        <v>0.66599999999999993</v>
      </c>
      <c r="S98" s="197">
        <v>4.5549999999999997</v>
      </c>
      <c r="T98" s="197">
        <v>0.60039794540960334</v>
      </c>
      <c r="U98" s="197">
        <v>0.90789473684210531</v>
      </c>
      <c r="V98" s="20">
        <f t="shared" si="99"/>
        <v>0.38755111645728768</v>
      </c>
      <c r="W98" s="20">
        <f t="shared" si="99"/>
        <v>0</v>
      </c>
      <c r="X98" s="20">
        <f t="shared" si="99"/>
        <v>0</v>
      </c>
      <c r="Y98" s="20">
        <f t="shared" si="99"/>
        <v>0</v>
      </c>
      <c r="Z98" s="20">
        <f t="shared" si="100"/>
        <v>0.26094840693922766</v>
      </c>
      <c r="AA98" s="20">
        <f t="shared" si="100"/>
        <v>0</v>
      </c>
      <c r="AB98" s="20">
        <f t="shared" si="100"/>
        <v>0</v>
      </c>
      <c r="AC98" s="20">
        <f t="shared" si="100"/>
        <v>0</v>
      </c>
      <c r="AD98" s="20">
        <f t="shared" si="101"/>
        <v>0.26094840693922766</v>
      </c>
      <c r="AE98" s="20">
        <f t="shared" si="102"/>
        <v>2.65059359679121</v>
      </c>
      <c r="AF98" s="20">
        <f t="shared" si="102"/>
        <v>0</v>
      </c>
      <c r="AG98" s="20">
        <f t="shared" si="102"/>
        <v>0</v>
      </c>
      <c r="AH98" s="20">
        <f t="shared" si="102"/>
        <v>0</v>
      </c>
      <c r="AI98" s="20">
        <f t="shared" si="103"/>
        <v>2.4510150354091085</v>
      </c>
      <c r="AJ98" s="20">
        <f t="shared" si="103"/>
        <v>0</v>
      </c>
      <c r="AK98" s="20">
        <f t="shared" si="103"/>
        <v>0</v>
      </c>
      <c r="AL98" s="20">
        <f t="shared" si="103"/>
        <v>0</v>
      </c>
      <c r="AM98" s="20">
        <f t="shared" si="104"/>
        <v>2.4510150354091085</v>
      </c>
      <c r="AO98">
        <f t="shared" si="105"/>
        <v>0.31548662398952626</v>
      </c>
      <c r="AP98">
        <f t="shared" si="105"/>
        <v>0</v>
      </c>
      <c r="AQ98">
        <f t="shared" si="105"/>
        <v>0</v>
      </c>
      <c r="AR98">
        <f t="shared" si="105"/>
        <v>0</v>
      </c>
      <c r="AS98">
        <f t="shared" si="106"/>
        <v>0.31548662398952626</v>
      </c>
      <c r="AU98">
        <f t="shared" si="107"/>
        <v>2.9632771778096125</v>
      </c>
      <c r="AV98">
        <f t="shared" si="107"/>
        <v>0</v>
      </c>
      <c r="AW98">
        <f t="shared" si="107"/>
        <v>0</v>
      </c>
      <c r="AX98">
        <f t="shared" si="107"/>
        <v>0</v>
      </c>
      <c r="AY98">
        <f t="shared" si="108"/>
        <v>2.9632771778096125</v>
      </c>
    </row>
    <row r="99" spans="1:53" ht="15" x14ac:dyDescent="0.25">
      <c r="A99" s="7"/>
      <c r="B99" s="8" t="s">
        <v>14</v>
      </c>
      <c r="C99" s="7"/>
      <c r="D99" s="357">
        <f t="shared" ref="D99:H99" si="109">SUM(D93:D98)</f>
        <v>0</v>
      </c>
      <c r="E99" s="363">
        <f>SUM(E93:E98)</f>
        <v>270.21899999999994</v>
      </c>
      <c r="F99" s="357">
        <f t="shared" si="109"/>
        <v>0</v>
      </c>
      <c r="G99" s="357">
        <f t="shared" si="109"/>
        <v>0</v>
      </c>
      <c r="H99" s="357">
        <f t="shared" si="109"/>
        <v>0</v>
      </c>
      <c r="J99">
        <v>0</v>
      </c>
      <c r="K99">
        <v>0</v>
      </c>
      <c r="L99">
        <v>0</v>
      </c>
      <c r="M99">
        <v>0</v>
      </c>
      <c r="N99">
        <v>0</v>
      </c>
      <c r="O99" s="20"/>
      <c r="P99" s="20"/>
      <c r="Q99" s="438">
        <v>2.5994047855461593E-2</v>
      </c>
      <c r="R99" s="197"/>
      <c r="S99" s="197"/>
      <c r="T99" s="197"/>
      <c r="U99" s="197"/>
      <c r="BA99" s="319">
        <f>(E99*10000*Q99*AU$10)</f>
        <v>84921.195115030656</v>
      </c>
    </row>
    <row r="100" spans="1:53" ht="15" x14ac:dyDescent="0.25">
      <c r="A100" s="10"/>
      <c r="B100" s="9" t="s">
        <v>15</v>
      </c>
      <c r="C100" s="5"/>
      <c r="E100" s="363">
        <f>SUM(E99)</f>
        <v>270.21899999999994</v>
      </c>
      <c r="H100" s="358">
        <f>SUM(D99:H99)</f>
        <v>270.21899999999994</v>
      </c>
      <c r="K100" s="14"/>
      <c r="N100">
        <v>0</v>
      </c>
      <c r="O100" s="20"/>
      <c r="P100" s="20"/>
      <c r="Q100" s="438"/>
      <c r="R100" s="197"/>
      <c r="S100" s="197"/>
      <c r="T100" s="197"/>
      <c r="U100" s="197"/>
    </row>
    <row r="101" spans="1:53" ht="15.75" x14ac:dyDescent="0.25">
      <c r="A101" s="1"/>
      <c r="B101" s="2"/>
      <c r="C101" s="1"/>
      <c r="E101" s="361"/>
      <c r="K101" s="14"/>
      <c r="O101" s="20"/>
      <c r="P101" s="20"/>
      <c r="Q101" s="439"/>
      <c r="R101" s="197"/>
      <c r="S101" s="197"/>
      <c r="T101" s="197"/>
      <c r="U101" s="197"/>
    </row>
    <row r="102" spans="1:53" ht="15" x14ac:dyDescent="0.25">
      <c r="A102" s="1">
        <v>11</v>
      </c>
      <c r="B102" s="2" t="s">
        <v>25</v>
      </c>
      <c r="C102" s="1" t="s">
        <v>8</v>
      </c>
      <c r="D102">
        <v>0</v>
      </c>
      <c r="E102" s="360">
        <v>9.1846999999999994</v>
      </c>
      <c r="F102">
        <v>0</v>
      </c>
      <c r="G102">
        <v>0</v>
      </c>
      <c r="H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 s="20"/>
      <c r="P102" s="20"/>
      <c r="Q102" s="438">
        <v>1.6611520188266012E-2</v>
      </c>
      <c r="R102" s="197">
        <v>0.14000000000000001</v>
      </c>
      <c r="S102" s="197">
        <v>2.0499999999999998</v>
      </c>
      <c r="T102" s="197">
        <v>0.62857142857142845</v>
      </c>
      <c r="U102" s="197">
        <v>0.90789473684210531</v>
      </c>
      <c r="V102" s="20">
        <f t="shared" ref="V102:Y107" si="110">IF(K102&gt;0,((E102-K102)*$Q102*$R102*10)+(K102*$O$12*$Q102*$R102*10),(E102*$Q102*$R102*10))</f>
        <v>0.2136005612624336</v>
      </c>
      <c r="W102" s="20">
        <f t="shared" si="110"/>
        <v>0</v>
      </c>
      <c r="X102" s="20">
        <f t="shared" si="110"/>
        <v>0</v>
      </c>
      <c r="Y102" s="20">
        <f t="shared" si="110"/>
        <v>0</v>
      </c>
      <c r="Z102" s="20">
        <f t="shared" ref="Z102:AC107" si="111">V102*(EXP(1.01-0.34*LN(Z$8))*(1-$T102)+(1*$T102))</f>
        <v>0.14874249545234278</v>
      </c>
      <c r="AA102" s="20">
        <f t="shared" si="111"/>
        <v>0</v>
      </c>
      <c r="AB102" s="20">
        <f t="shared" si="111"/>
        <v>0</v>
      </c>
      <c r="AC102" s="20">
        <f t="shared" si="111"/>
        <v>0</v>
      </c>
      <c r="AD102" s="20">
        <f t="shared" ref="AD102:AD107" si="112">SUM(Z102:AC102)</f>
        <v>0.14874249545234278</v>
      </c>
      <c r="AE102" s="20">
        <f t="shared" ref="AE102:AH107" si="113">IF(K102&gt;0,((E102-K102)*$Q102*$S102*10)+(K102*$P$12*$Q102*$S102)*10,(E102*$Q102*$S102*10))</f>
        <v>3.1277225041999195</v>
      </c>
      <c r="AF102" s="20">
        <f t="shared" si="113"/>
        <v>0</v>
      </c>
      <c r="AG102" s="20">
        <f t="shared" si="113"/>
        <v>0</v>
      </c>
      <c r="AH102" s="20">
        <f t="shared" si="113"/>
        <v>0</v>
      </c>
      <c r="AI102" s="20">
        <f t="shared" ref="AI102:AL107" si="114">AE102*(EXP(1.01-0.34*LN(AI$8))*(1-$U102)+(1*$U102))</f>
        <v>2.8922181407447569</v>
      </c>
      <c r="AJ102" s="20">
        <f t="shared" si="114"/>
        <v>0</v>
      </c>
      <c r="AK102" s="20">
        <f t="shared" si="114"/>
        <v>0</v>
      </c>
      <c r="AL102" s="20">
        <f t="shared" si="114"/>
        <v>0</v>
      </c>
      <c r="AM102" s="20">
        <f t="shared" ref="AM102:AM107" si="115">SUM(AI102:AL102)</f>
        <v>2.8922181407447569</v>
      </c>
      <c r="AO102">
        <f t="shared" ref="AO102:AR107" si="116">Z102*AO$10</f>
        <v>0.17982967700188243</v>
      </c>
      <c r="AP102">
        <f t="shared" si="116"/>
        <v>0</v>
      </c>
      <c r="AQ102">
        <f t="shared" si="116"/>
        <v>0</v>
      </c>
      <c r="AR102">
        <f t="shared" si="116"/>
        <v>0</v>
      </c>
      <c r="AS102">
        <f t="shared" ref="AS102:AS107" si="117">SUM(AO102:AR102)</f>
        <v>0.17982967700188243</v>
      </c>
      <c r="AU102">
        <f t="shared" ref="AU102:AX107" si="118">AI102*AU$10</f>
        <v>3.4966917321604112</v>
      </c>
      <c r="AV102">
        <f t="shared" si="118"/>
        <v>0</v>
      </c>
      <c r="AW102">
        <f t="shared" si="118"/>
        <v>0</v>
      </c>
      <c r="AX102">
        <f t="shared" si="118"/>
        <v>0</v>
      </c>
      <c r="AY102">
        <f t="shared" ref="AY102:AY107" si="119">SUM(AU102:AX102)</f>
        <v>3.4966917321604112</v>
      </c>
    </row>
    <row r="103" spans="1:53" ht="15" x14ac:dyDescent="0.25">
      <c r="A103" s="1"/>
      <c r="B103" s="2"/>
      <c r="C103" s="1" t="s">
        <v>9</v>
      </c>
      <c r="D103">
        <v>0</v>
      </c>
      <c r="E103" s="360">
        <v>0</v>
      </c>
      <c r="F103">
        <v>0</v>
      </c>
      <c r="G103">
        <v>0</v>
      </c>
      <c r="H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 s="20"/>
      <c r="P103" s="20"/>
      <c r="Q103" s="438"/>
      <c r="R103" s="197">
        <v>0.14000000000000001</v>
      </c>
      <c r="S103" s="197">
        <v>2.0499999999999998</v>
      </c>
      <c r="T103" s="197">
        <v>0.62857142857142845</v>
      </c>
      <c r="U103" s="197">
        <v>0.90789473684210531</v>
      </c>
      <c r="V103" s="20">
        <f t="shared" si="110"/>
        <v>0</v>
      </c>
      <c r="W103" s="20">
        <f t="shared" si="110"/>
        <v>0</v>
      </c>
      <c r="X103" s="20">
        <f t="shared" si="110"/>
        <v>0</v>
      </c>
      <c r="Y103" s="20">
        <f t="shared" si="110"/>
        <v>0</v>
      </c>
      <c r="Z103" s="20">
        <f t="shared" si="111"/>
        <v>0</v>
      </c>
      <c r="AA103" s="20">
        <f t="shared" si="111"/>
        <v>0</v>
      </c>
      <c r="AB103" s="20">
        <f t="shared" si="111"/>
        <v>0</v>
      </c>
      <c r="AC103" s="20">
        <f t="shared" si="111"/>
        <v>0</v>
      </c>
      <c r="AD103" s="20">
        <f t="shared" si="112"/>
        <v>0</v>
      </c>
      <c r="AE103" s="20">
        <f t="shared" si="113"/>
        <v>0</v>
      </c>
      <c r="AF103" s="20">
        <f t="shared" si="113"/>
        <v>0</v>
      </c>
      <c r="AG103" s="20">
        <f t="shared" si="113"/>
        <v>0</v>
      </c>
      <c r="AH103" s="20">
        <f t="shared" si="113"/>
        <v>0</v>
      </c>
      <c r="AI103" s="20">
        <f t="shared" si="114"/>
        <v>0</v>
      </c>
      <c r="AJ103" s="20">
        <f t="shared" si="114"/>
        <v>0</v>
      </c>
      <c r="AK103" s="20">
        <f t="shared" si="114"/>
        <v>0</v>
      </c>
      <c r="AL103" s="20">
        <f t="shared" si="114"/>
        <v>0</v>
      </c>
      <c r="AM103" s="20">
        <f t="shared" si="115"/>
        <v>0</v>
      </c>
      <c r="AO103">
        <f t="shared" si="116"/>
        <v>0</v>
      </c>
      <c r="AP103">
        <f t="shared" si="116"/>
        <v>0</v>
      </c>
      <c r="AQ103">
        <f t="shared" si="116"/>
        <v>0</v>
      </c>
      <c r="AR103">
        <f t="shared" si="116"/>
        <v>0</v>
      </c>
      <c r="AS103">
        <f t="shared" si="117"/>
        <v>0</v>
      </c>
      <c r="AU103">
        <f t="shared" si="118"/>
        <v>0</v>
      </c>
      <c r="AV103">
        <f t="shared" si="118"/>
        <v>0</v>
      </c>
      <c r="AW103">
        <f t="shared" si="118"/>
        <v>0</v>
      </c>
      <c r="AX103">
        <f t="shared" si="118"/>
        <v>0</v>
      </c>
      <c r="AY103">
        <f t="shared" si="119"/>
        <v>0</v>
      </c>
    </row>
    <row r="104" spans="1:53" ht="15" x14ac:dyDescent="0.25">
      <c r="A104" s="1"/>
      <c r="B104" s="2"/>
      <c r="C104" s="1" t="s">
        <v>10</v>
      </c>
      <c r="D104">
        <v>0</v>
      </c>
      <c r="E104" s="360">
        <v>0</v>
      </c>
      <c r="F104">
        <v>0</v>
      </c>
      <c r="G104">
        <v>0</v>
      </c>
      <c r="H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 s="20"/>
      <c r="P104" s="20"/>
      <c r="Q104" s="438"/>
      <c r="R104" s="197">
        <v>0.14000000000000001</v>
      </c>
      <c r="S104" s="197">
        <v>2.0499999999999998</v>
      </c>
      <c r="T104" s="197">
        <v>0.62857142857142845</v>
      </c>
      <c r="U104" s="197">
        <v>0.90789473684210531</v>
      </c>
      <c r="V104" s="20">
        <f t="shared" si="110"/>
        <v>0</v>
      </c>
      <c r="W104" s="20">
        <f t="shared" si="110"/>
        <v>0</v>
      </c>
      <c r="X104" s="20">
        <f t="shared" si="110"/>
        <v>0</v>
      </c>
      <c r="Y104" s="20">
        <f t="shared" si="110"/>
        <v>0</v>
      </c>
      <c r="Z104" s="20">
        <f t="shared" si="111"/>
        <v>0</v>
      </c>
      <c r="AA104" s="20">
        <f t="shared" si="111"/>
        <v>0</v>
      </c>
      <c r="AB104" s="20">
        <f t="shared" si="111"/>
        <v>0</v>
      </c>
      <c r="AC104" s="20">
        <f t="shared" si="111"/>
        <v>0</v>
      </c>
      <c r="AD104" s="20">
        <f t="shared" si="112"/>
        <v>0</v>
      </c>
      <c r="AE104" s="20">
        <f t="shared" si="113"/>
        <v>0</v>
      </c>
      <c r="AF104" s="20">
        <f t="shared" si="113"/>
        <v>0</v>
      </c>
      <c r="AG104" s="20">
        <f t="shared" si="113"/>
        <v>0</v>
      </c>
      <c r="AH104" s="20">
        <f t="shared" si="113"/>
        <v>0</v>
      </c>
      <c r="AI104" s="20">
        <f t="shared" si="114"/>
        <v>0</v>
      </c>
      <c r="AJ104" s="20">
        <f t="shared" si="114"/>
        <v>0</v>
      </c>
      <c r="AK104" s="20">
        <f t="shared" si="114"/>
        <v>0</v>
      </c>
      <c r="AL104" s="20">
        <f t="shared" si="114"/>
        <v>0</v>
      </c>
      <c r="AM104" s="20">
        <f t="shared" si="115"/>
        <v>0</v>
      </c>
      <c r="AO104">
        <f t="shared" si="116"/>
        <v>0</v>
      </c>
      <c r="AP104">
        <f t="shared" si="116"/>
        <v>0</v>
      </c>
      <c r="AQ104">
        <f t="shared" si="116"/>
        <v>0</v>
      </c>
      <c r="AR104">
        <f t="shared" si="116"/>
        <v>0</v>
      </c>
      <c r="AS104">
        <f t="shared" si="117"/>
        <v>0</v>
      </c>
      <c r="AU104">
        <f t="shared" si="118"/>
        <v>0</v>
      </c>
      <c r="AV104">
        <f t="shared" si="118"/>
        <v>0</v>
      </c>
      <c r="AW104">
        <f t="shared" si="118"/>
        <v>0</v>
      </c>
      <c r="AX104">
        <f t="shared" si="118"/>
        <v>0</v>
      </c>
      <c r="AY104">
        <f t="shared" si="119"/>
        <v>0</v>
      </c>
    </row>
    <row r="105" spans="1:53" ht="15" x14ac:dyDescent="0.25">
      <c r="A105" s="1"/>
      <c r="B105" s="2"/>
      <c r="C105" s="1" t="s">
        <v>11</v>
      </c>
      <c r="D105">
        <v>0</v>
      </c>
      <c r="E105" s="360">
        <v>6.8169999999999994E-2</v>
      </c>
      <c r="F105">
        <v>0</v>
      </c>
      <c r="G105">
        <v>0</v>
      </c>
      <c r="H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 s="20"/>
      <c r="P105" s="20"/>
      <c r="Q105" s="438">
        <v>3.9446080753064043E-2</v>
      </c>
      <c r="R105" s="197">
        <v>0.14000000000000001</v>
      </c>
      <c r="S105" s="197">
        <v>2.0499999999999998</v>
      </c>
      <c r="T105" s="197">
        <v>0.62857142857142845</v>
      </c>
      <c r="U105" s="197">
        <v>0.90789473684210531</v>
      </c>
      <c r="V105" s="20">
        <f t="shared" si="110"/>
        <v>3.7646550549109261E-3</v>
      </c>
      <c r="W105" s="20">
        <f t="shared" si="110"/>
        <v>0</v>
      </c>
      <c r="X105" s="20">
        <f t="shared" si="110"/>
        <v>0</v>
      </c>
      <c r="Y105" s="20">
        <f t="shared" si="110"/>
        <v>0</v>
      </c>
      <c r="Z105" s="20">
        <f t="shared" si="111"/>
        <v>2.6215482959183111E-3</v>
      </c>
      <c r="AA105" s="20">
        <f t="shared" si="111"/>
        <v>0</v>
      </c>
      <c r="AB105" s="20">
        <f t="shared" si="111"/>
        <v>0</v>
      </c>
      <c r="AC105" s="20">
        <f t="shared" si="111"/>
        <v>0</v>
      </c>
      <c r="AD105" s="20">
        <f t="shared" si="112"/>
        <v>2.6215482959183111E-3</v>
      </c>
      <c r="AE105" s="20">
        <f t="shared" si="113"/>
        <v>5.5125306161195695E-2</v>
      </c>
      <c r="AF105" s="20">
        <f t="shared" si="113"/>
        <v>0</v>
      </c>
      <c r="AG105" s="20">
        <f t="shared" si="113"/>
        <v>0</v>
      </c>
      <c r="AH105" s="20">
        <f t="shared" si="113"/>
        <v>0</v>
      </c>
      <c r="AI105" s="20">
        <f t="shared" si="114"/>
        <v>5.0974602215966947E-2</v>
      </c>
      <c r="AJ105" s="20">
        <f t="shared" si="114"/>
        <v>0</v>
      </c>
      <c r="AK105" s="20">
        <f t="shared" si="114"/>
        <v>0</v>
      </c>
      <c r="AL105" s="20">
        <f t="shared" si="114"/>
        <v>0</v>
      </c>
      <c r="AM105" s="20">
        <f t="shared" si="115"/>
        <v>5.0974602215966947E-2</v>
      </c>
      <c r="AO105">
        <f t="shared" si="116"/>
        <v>3.1694518897652383E-3</v>
      </c>
      <c r="AP105">
        <f t="shared" si="116"/>
        <v>0</v>
      </c>
      <c r="AQ105">
        <f t="shared" si="116"/>
        <v>0</v>
      </c>
      <c r="AR105">
        <f t="shared" si="116"/>
        <v>0</v>
      </c>
      <c r="AS105">
        <f t="shared" si="117"/>
        <v>3.1694518897652383E-3</v>
      </c>
      <c r="AU105">
        <f t="shared" si="118"/>
        <v>6.1628294079104043E-2</v>
      </c>
      <c r="AV105">
        <f t="shared" si="118"/>
        <v>0</v>
      </c>
      <c r="AW105">
        <f t="shared" si="118"/>
        <v>0</v>
      </c>
      <c r="AX105">
        <f t="shared" si="118"/>
        <v>0</v>
      </c>
      <c r="AY105">
        <f t="shared" si="119"/>
        <v>6.1628294079104043E-2</v>
      </c>
    </row>
    <row r="106" spans="1:53" ht="15" x14ac:dyDescent="0.25">
      <c r="A106" s="1"/>
      <c r="B106" s="2"/>
      <c r="C106" s="1" t="s">
        <v>12</v>
      </c>
      <c r="D106">
        <v>0</v>
      </c>
      <c r="E106" s="360">
        <v>0</v>
      </c>
      <c r="F106">
        <v>0</v>
      </c>
      <c r="G106">
        <v>0</v>
      </c>
      <c r="H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 s="20"/>
      <c r="P106" s="20"/>
      <c r="Q106" s="438"/>
      <c r="R106" s="197">
        <v>0.14000000000000001</v>
      </c>
      <c r="S106" s="197">
        <v>2.0499999999999998</v>
      </c>
      <c r="T106" s="197">
        <v>0.62857142857142845</v>
      </c>
      <c r="U106" s="197">
        <v>0.90789473684210531</v>
      </c>
      <c r="V106" s="20">
        <f t="shared" si="110"/>
        <v>0</v>
      </c>
      <c r="W106" s="20">
        <f t="shared" si="110"/>
        <v>0</v>
      </c>
      <c r="X106" s="20">
        <f t="shared" si="110"/>
        <v>0</v>
      </c>
      <c r="Y106" s="20">
        <f t="shared" si="110"/>
        <v>0</v>
      </c>
      <c r="Z106" s="20">
        <f t="shared" si="111"/>
        <v>0</v>
      </c>
      <c r="AA106" s="20">
        <f t="shared" si="111"/>
        <v>0</v>
      </c>
      <c r="AB106" s="20">
        <f t="shared" si="111"/>
        <v>0</v>
      </c>
      <c r="AC106" s="20">
        <f t="shared" si="111"/>
        <v>0</v>
      </c>
      <c r="AD106" s="20">
        <f t="shared" si="112"/>
        <v>0</v>
      </c>
      <c r="AE106" s="20">
        <f t="shared" si="113"/>
        <v>0</v>
      </c>
      <c r="AF106" s="20">
        <f t="shared" si="113"/>
        <v>0</v>
      </c>
      <c r="AG106" s="20">
        <f t="shared" si="113"/>
        <v>0</v>
      </c>
      <c r="AH106" s="20">
        <f t="shared" si="113"/>
        <v>0</v>
      </c>
      <c r="AI106" s="20">
        <f t="shared" si="114"/>
        <v>0</v>
      </c>
      <c r="AJ106" s="20">
        <f t="shared" si="114"/>
        <v>0</v>
      </c>
      <c r="AK106" s="20">
        <f t="shared" si="114"/>
        <v>0</v>
      </c>
      <c r="AL106" s="20">
        <f t="shared" si="114"/>
        <v>0</v>
      </c>
      <c r="AM106" s="20">
        <f t="shared" si="115"/>
        <v>0</v>
      </c>
      <c r="AO106">
        <f t="shared" si="116"/>
        <v>0</v>
      </c>
      <c r="AP106">
        <f t="shared" si="116"/>
        <v>0</v>
      </c>
      <c r="AQ106">
        <f t="shared" si="116"/>
        <v>0</v>
      </c>
      <c r="AR106">
        <f t="shared" si="116"/>
        <v>0</v>
      </c>
      <c r="AS106">
        <f t="shared" si="117"/>
        <v>0</v>
      </c>
      <c r="AU106">
        <f t="shared" si="118"/>
        <v>0</v>
      </c>
      <c r="AV106">
        <f t="shared" si="118"/>
        <v>0</v>
      </c>
      <c r="AW106">
        <f t="shared" si="118"/>
        <v>0</v>
      </c>
      <c r="AX106">
        <f t="shared" si="118"/>
        <v>0</v>
      </c>
      <c r="AY106">
        <f t="shared" si="119"/>
        <v>0</v>
      </c>
    </row>
    <row r="107" spans="1:53" ht="15" x14ac:dyDescent="0.25">
      <c r="A107" s="1"/>
      <c r="B107" s="2"/>
      <c r="C107" s="1" t="s">
        <v>13</v>
      </c>
      <c r="D107">
        <v>0</v>
      </c>
      <c r="E107" s="360">
        <v>2.5700000000000001E-2</v>
      </c>
      <c r="F107">
        <v>0</v>
      </c>
      <c r="G107">
        <v>0</v>
      </c>
      <c r="H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0"/>
      <c r="P107" s="20"/>
      <c r="Q107" s="438">
        <v>3.9446080753064043E-2</v>
      </c>
      <c r="R107" s="197">
        <v>0.14000000000000001</v>
      </c>
      <c r="S107" s="197">
        <v>2.0499999999999998</v>
      </c>
      <c r="T107" s="197">
        <v>0.62857142857142845</v>
      </c>
      <c r="U107" s="197">
        <v>0.90789473684210531</v>
      </c>
      <c r="V107" s="20">
        <f t="shared" si="110"/>
        <v>1.4192699854952446E-3</v>
      </c>
      <c r="W107" s="20">
        <f t="shared" si="110"/>
        <v>0</v>
      </c>
      <c r="X107" s="20">
        <f t="shared" si="110"/>
        <v>0</v>
      </c>
      <c r="Y107" s="20">
        <f t="shared" si="110"/>
        <v>0</v>
      </c>
      <c r="Z107" s="20">
        <f t="shared" si="111"/>
        <v>9.883202465175388E-4</v>
      </c>
      <c r="AA107" s="20">
        <f t="shared" si="111"/>
        <v>0</v>
      </c>
      <c r="AB107" s="20">
        <f t="shared" si="111"/>
        <v>0</v>
      </c>
      <c r="AC107" s="20">
        <f t="shared" si="111"/>
        <v>0</v>
      </c>
      <c r="AD107" s="20">
        <f t="shared" si="112"/>
        <v>9.883202465175388E-4</v>
      </c>
      <c r="AE107" s="20">
        <f t="shared" si="113"/>
        <v>2.0782167644751791E-2</v>
      </c>
      <c r="AF107" s="20">
        <f t="shared" si="113"/>
        <v>0</v>
      </c>
      <c r="AG107" s="20">
        <f t="shared" si="113"/>
        <v>0</v>
      </c>
      <c r="AH107" s="20">
        <f t="shared" si="113"/>
        <v>0</v>
      </c>
      <c r="AI107" s="20">
        <f t="shared" si="114"/>
        <v>1.9217357737279606E-2</v>
      </c>
      <c r="AJ107" s="20">
        <f t="shared" si="114"/>
        <v>0</v>
      </c>
      <c r="AK107" s="20">
        <f t="shared" si="114"/>
        <v>0</v>
      </c>
      <c r="AL107" s="20">
        <f t="shared" si="114"/>
        <v>0</v>
      </c>
      <c r="AM107" s="20">
        <f t="shared" si="115"/>
        <v>1.9217357737279606E-2</v>
      </c>
      <c r="AO107">
        <f t="shared" si="116"/>
        <v>1.1948791780397045E-3</v>
      </c>
      <c r="AP107">
        <f t="shared" si="116"/>
        <v>0</v>
      </c>
      <c r="AQ107">
        <f t="shared" si="116"/>
        <v>0</v>
      </c>
      <c r="AR107">
        <f t="shared" si="116"/>
        <v>0</v>
      </c>
      <c r="AS107">
        <f t="shared" si="117"/>
        <v>1.1948791780397045E-3</v>
      </c>
      <c r="AU107">
        <f t="shared" si="118"/>
        <v>2.3233785504371045E-2</v>
      </c>
      <c r="AV107">
        <f t="shared" si="118"/>
        <v>0</v>
      </c>
      <c r="AW107">
        <f t="shared" si="118"/>
        <v>0</v>
      </c>
      <c r="AX107">
        <f t="shared" si="118"/>
        <v>0</v>
      </c>
      <c r="AY107">
        <f t="shared" si="119"/>
        <v>2.3233785504371045E-2</v>
      </c>
    </row>
    <row r="108" spans="1:53" ht="15" x14ac:dyDescent="0.25">
      <c r="A108" s="7"/>
      <c r="B108" s="8" t="s">
        <v>14</v>
      </c>
      <c r="C108" s="7"/>
      <c r="D108" s="357">
        <f t="shared" ref="D108:H108" si="120">SUM(D102:D107)</f>
        <v>0</v>
      </c>
      <c r="E108" s="363">
        <f>SUM(E102:E107)</f>
        <v>9.2785700000000002</v>
      </c>
      <c r="F108" s="357">
        <f t="shared" si="120"/>
        <v>0</v>
      </c>
      <c r="G108" s="357">
        <f t="shared" si="120"/>
        <v>0</v>
      </c>
      <c r="H108" s="357">
        <f t="shared" si="120"/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 s="20"/>
      <c r="P108" s="20"/>
      <c r="Q108" s="438">
        <v>1.6842534256190013E-2</v>
      </c>
      <c r="R108" s="197"/>
      <c r="S108" s="197"/>
      <c r="T108" s="197"/>
      <c r="U108" s="197"/>
      <c r="BA108" s="319">
        <f>(E108*10000*Q108*AU$10)</f>
        <v>1889.360313858095</v>
      </c>
    </row>
    <row r="109" spans="1:53" ht="15" x14ac:dyDescent="0.25">
      <c r="A109" s="10"/>
      <c r="B109" s="9" t="s">
        <v>15</v>
      </c>
      <c r="C109" s="5"/>
      <c r="E109" s="363">
        <f>SUM(E108)</f>
        <v>9.2785700000000002</v>
      </c>
      <c r="H109" s="358">
        <f>SUM(D108:H108)</f>
        <v>9.2785700000000002</v>
      </c>
      <c r="K109" s="14"/>
      <c r="N109">
        <v>0</v>
      </c>
      <c r="O109" s="20"/>
      <c r="P109" s="20"/>
      <c r="Q109" s="438"/>
      <c r="R109" s="197"/>
      <c r="S109" s="197"/>
      <c r="T109" s="197"/>
      <c r="U109" s="197"/>
    </row>
    <row r="110" spans="1:53" ht="15.75" x14ac:dyDescent="0.25">
      <c r="A110" s="1"/>
      <c r="B110" s="2"/>
      <c r="C110" s="1"/>
      <c r="E110" s="361"/>
      <c r="K110" s="14"/>
      <c r="O110" s="20"/>
      <c r="P110" s="20"/>
      <c r="Q110" s="439"/>
      <c r="R110" s="197"/>
      <c r="S110" s="197"/>
      <c r="T110" s="197"/>
      <c r="U110" s="197"/>
    </row>
    <row r="111" spans="1:53" ht="15" x14ac:dyDescent="0.25">
      <c r="A111" s="1">
        <v>12</v>
      </c>
      <c r="B111" s="2" t="s">
        <v>26</v>
      </c>
      <c r="C111" s="1" t="s">
        <v>8</v>
      </c>
      <c r="D111">
        <v>0</v>
      </c>
      <c r="E111" s="360"/>
      <c r="F111">
        <v>0</v>
      </c>
      <c r="G111">
        <v>0</v>
      </c>
      <c r="H111">
        <v>0</v>
      </c>
      <c r="J111">
        <v>0</v>
      </c>
      <c r="K111" s="14">
        <v>0</v>
      </c>
      <c r="L111">
        <v>0</v>
      </c>
      <c r="M111">
        <v>0</v>
      </c>
      <c r="N111">
        <v>0</v>
      </c>
      <c r="O111" s="20"/>
      <c r="P111" s="20"/>
      <c r="Q111" s="438"/>
      <c r="R111" s="197">
        <v>6.531704360902256</v>
      </c>
      <c r="S111" s="197">
        <v>78.227142857142866</v>
      </c>
      <c r="T111" s="197">
        <v>0.5825685654008439</v>
      </c>
      <c r="U111" s="197">
        <v>0.90789473684210531</v>
      </c>
      <c r="V111" s="20">
        <f t="shared" ref="V111:Y116" si="121">IF(K111&gt;0,((E111-K111)*$Q111*$R111*10)+(K111*$O$12*$Q111*$R111*10),(E111*$Q111*$R111*10))</f>
        <v>0</v>
      </c>
      <c r="W111" s="20">
        <f t="shared" si="121"/>
        <v>0</v>
      </c>
      <c r="X111" s="20">
        <f t="shared" si="121"/>
        <v>0</v>
      </c>
      <c r="Y111" s="20">
        <f t="shared" si="121"/>
        <v>0</v>
      </c>
      <c r="Z111" s="20">
        <f t="shared" ref="Z111:AC116" si="122">V111*(EXP(1.01-0.34*LN(Z$8))*(1-$T111)+(1*$T111))</f>
        <v>0</v>
      </c>
      <c r="AA111" s="20">
        <f t="shared" si="122"/>
        <v>0</v>
      </c>
      <c r="AB111" s="20">
        <f t="shared" si="122"/>
        <v>0</v>
      </c>
      <c r="AC111" s="20">
        <f t="shared" si="122"/>
        <v>0</v>
      </c>
      <c r="AD111" s="20">
        <f t="shared" ref="AD111:AD116" si="123">SUM(Z111:AC111)</f>
        <v>0</v>
      </c>
      <c r="AE111" s="20">
        <f t="shared" ref="AE111:AH116" si="124">IF(K111&gt;0,((E111-K111)*$Q111*$S111*10)+(K111*$P$12*$Q111*$S111)*10,(E111*$Q111*$S111*10))</f>
        <v>0</v>
      </c>
      <c r="AF111" s="20">
        <f t="shared" si="124"/>
        <v>0</v>
      </c>
      <c r="AG111" s="20">
        <f t="shared" si="124"/>
        <v>0</v>
      </c>
      <c r="AH111" s="20">
        <f t="shared" si="124"/>
        <v>0</v>
      </c>
      <c r="AI111" s="20">
        <f t="shared" ref="AI111:AL116" si="125">AE111*(EXP(1.01-0.34*LN(AI$8))*(1-$U111)+(1*$U111))</f>
        <v>0</v>
      </c>
      <c r="AJ111" s="20">
        <f t="shared" si="125"/>
        <v>0</v>
      </c>
      <c r="AK111" s="20">
        <f t="shared" si="125"/>
        <v>0</v>
      </c>
      <c r="AL111" s="20">
        <f t="shared" si="125"/>
        <v>0</v>
      </c>
      <c r="AM111" s="20">
        <f t="shared" ref="AM111:AM116" si="126">SUM(AI111:AL111)</f>
        <v>0</v>
      </c>
      <c r="AO111">
        <f t="shared" ref="AO111:AR116" si="127">Z111*AO$10</f>
        <v>0</v>
      </c>
      <c r="AP111">
        <f t="shared" si="127"/>
        <v>0</v>
      </c>
      <c r="AQ111">
        <f t="shared" si="127"/>
        <v>0</v>
      </c>
      <c r="AR111">
        <f t="shared" si="127"/>
        <v>0</v>
      </c>
      <c r="AS111">
        <f t="shared" ref="AS111:AS116" si="128">SUM(AO111:AR111)</f>
        <v>0</v>
      </c>
      <c r="AU111">
        <f t="shared" ref="AU111:AX116" si="129">AI111*AU$10</f>
        <v>0</v>
      </c>
      <c r="AV111">
        <f t="shared" si="129"/>
        <v>0</v>
      </c>
      <c r="AW111">
        <f t="shared" si="129"/>
        <v>0</v>
      </c>
      <c r="AX111">
        <f t="shared" si="129"/>
        <v>0</v>
      </c>
      <c r="AY111">
        <f t="shared" ref="AY111:AY116" si="130">SUM(AU111:AX111)</f>
        <v>0</v>
      </c>
    </row>
    <row r="112" spans="1:53" ht="15" x14ac:dyDescent="0.25">
      <c r="A112" s="1"/>
      <c r="B112" s="2"/>
      <c r="C112" s="1" t="s">
        <v>9</v>
      </c>
      <c r="D112">
        <v>0</v>
      </c>
      <c r="E112" s="360"/>
      <c r="F112">
        <v>0</v>
      </c>
      <c r="G112">
        <v>0</v>
      </c>
      <c r="H112">
        <v>0</v>
      </c>
      <c r="J112">
        <v>0</v>
      </c>
      <c r="K112" s="14">
        <v>0</v>
      </c>
      <c r="L112">
        <v>0</v>
      </c>
      <c r="M112">
        <v>0</v>
      </c>
      <c r="N112">
        <v>0</v>
      </c>
      <c r="O112" s="20"/>
      <c r="P112" s="20"/>
      <c r="Q112" s="438"/>
      <c r="R112" s="197">
        <v>6.531704360902256</v>
      </c>
      <c r="S112" s="197">
        <v>78.227142857142866</v>
      </c>
      <c r="T112" s="197">
        <v>0.5825685654008439</v>
      </c>
      <c r="U112" s="197">
        <v>0.90789473684210531</v>
      </c>
      <c r="V112" s="20">
        <f t="shared" si="121"/>
        <v>0</v>
      </c>
      <c r="W112" s="20">
        <f t="shared" si="121"/>
        <v>0</v>
      </c>
      <c r="X112" s="20">
        <f t="shared" si="121"/>
        <v>0</v>
      </c>
      <c r="Y112" s="20">
        <f t="shared" si="121"/>
        <v>0</v>
      </c>
      <c r="Z112" s="20">
        <f t="shared" si="122"/>
        <v>0</v>
      </c>
      <c r="AA112" s="20">
        <f t="shared" si="122"/>
        <v>0</v>
      </c>
      <c r="AB112" s="20">
        <f t="shared" si="122"/>
        <v>0</v>
      </c>
      <c r="AC112" s="20">
        <f t="shared" si="122"/>
        <v>0</v>
      </c>
      <c r="AD112" s="20">
        <f t="shared" si="123"/>
        <v>0</v>
      </c>
      <c r="AE112" s="20">
        <f t="shared" si="124"/>
        <v>0</v>
      </c>
      <c r="AF112" s="20">
        <f t="shared" si="124"/>
        <v>0</v>
      </c>
      <c r="AG112" s="20">
        <f t="shared" si="124"/>
        <v>0</v>
      </c>
      <c r="AH112" s="20">
        <f t="shared" si="124"/>
        <v>0</v>
      </c>
      <c r="AI112" s="20">
        <f t="shared" si="125"/>
        <v>0</v>
      </c>
      <c r="AJ112" s="20">
        <f t="shared" si="125"/>
        <v>0</v>
      </c>
      <c r="AK112" s="20">
        <f t="shared" si="125"/>
        <v>0</v>
      </c>
      <c r="AL112" s="20">
        <f t="shared" si="125"/>
        <v>0</v>
      </c>
      <c r="AM112" s="20">
        <f t="shared" si="126"/>
        <v>0</v>
      </c>
      <c r="AO112">
        <f t="shared" si="127"/>
        <v>0</v>
      </c>
      <c r="AP112">
        <f t="shared" si="127"/>
        <v>0</v>
      </c>
      <c r="AQ112">
        <f t="shared" si="127"/>
        <v>0</v>
      </c>
      <c r="AR112">
        <f t="shared" si="127"/>
        <v>0</v>
      </c>
      <c r="AS112">
        <f t="shared" si="128"/>
        <v>0</v>
      </c>
      <c r="AU112">
        <f t="shared" si="129"/>
        <v>0</v>
      </c>
      <c r="AV112">
        <f t="shared" si="129"/>
        <v>0</v>
      </c>
      <c r="AW112">
        <f t="shared" si="129"/>
        <v>0</v>
      </c>
      <c r="AX112">
        <f t="shared" si="129"/>
        <v>0</v>
      </c>
      <c r="AY112">
        <f t="shared" si="130"/>
        <v>0</v>
      </c>
    </row>
    <row r="113" spans="1:53" ht="15" x14ac:dyDescent="0.25">
      <c r="A113" s="1"/>
      <c r="B113" s="2"/>
      <c r="C113" s="1" t="s">
        <v>10</v>
      </c>
      <c r="D113">
        <v>0</v>
      </c>
      <c r="E113" s="360"/>
      <c r="F113">
        <v>0</v>
      </c>
      <c r="G113">
        <v>0</v>
      </c>
      <c r="H113">
        <v>0</v>
      </c>
      <c r="J113">
        <v>0</v>
      </c>
      <c r="K113" s="14">
        <v>0</v>
      </c>
      <c r="L113">
        <v>0</v>
      </c>
      <c r="M113">
        <v>0</v>
      </c>
      <c r="N113">
        <v>0</v>
      </c>
      <c r="O113" s="20"/>
      <c r="P113" s="20"/>
      <c r="Q113" s="438"/>
      <c r="R113" s="197">
        <v>6.531704360902256</v>
      </c>
      <c r="S113" s="197">
        <v>78.227142857142866</v>
      </c>
      <c r="T113" s="197">
        <v>0.5825685654008439</v>
      </c>
      <c r="U113" s="197">
        <v>0.90789473684210531</v>
      </c>
      <c r="V113" s="20">
        <f t="shared" si="121"/>
        <v>0</v>
      </c>
      <c r="W113" s="20">
        <f t="shared" si="121"/>
        <v>0</v>
      </c>
      <c r="X113" s="20">
        <f t="shared" si="121"/>
        <v>0</v>
      </c>
      <c r="Y113" s="20">
        <f t="shared" si="121"/>
        <v>0</v>
      </c>
      <c r="Z113" s="20">
        <f t="shared" si="122"/>
        <v>0</v>
      </c>
      <c r="AA113" s="20">
        <f t="shared" si="122"/>
        <v>0</v>
      </c>
      <c r="AB113" s="20">
        <f t="shared" si="122"/>
        <v>0</v>
      </c>
      <c r="AC113" s="20">
        <f t="shared" si="122"/>
        <v>0</v>
      </c>
      <c r="AD113" s="20">
        <f t="shared" si="123"/>
        <v>0</v>
      </c>
      <c r="AE113" s="20">
        <f t="shared" si="124"/>
        <v>0</v>
      </c>
      <c r="AF113" s="20">
        <f t="shared" si="124"/>
        <v>0</v>
      </c>
      <c r="AG113" s="20">
        <f t="shared" si="124"/>
        <v>0</v>
      </c>
      <c r="AH113" s="20">
        <f t="shared" si="124"/>
        <v>0</v>
      </c>
      <c r="AI113" s="20">
        <f t="shared" si="125"/>
        <v>0</v>
      </c>
      <c r="AJ113" s="20">
        <f t="shared" si="125"/>
        <v>0</v>
      </c>
      <c r="AK113" s="20">
        <f t="shared" si="125"/>
        <v>0</v>
      </c>
      <c r="AL113" s="20">
        <f t="shared" si="125"/>
        <v>0</v>
      </c>
      <c r="AM113" s="20">
        <f t="shared" si="126"/>
        <v>0</v>
      </c>
      <c r="AO113">
        <f t="shared" si="127"/>
        <v>0</v>
      </c>
      <c r="AP113">
        <f t="shared" si="127"/>
        <v>0</v>
      </c>
      <c r="AQ113">
        <f t="shared" si="127"/>
        <v>0</v>
      </c>
      <c r="AR113">
        <f t="shared" si="127"/>
        <v>0</v>
      </c>
      <c r="AS113">
        <f t="shared" si="128"/>
        <v>0</v>
      </c>
      <c r="AU113">
        <f t="shared" si="129"/>
        <v>0</v>
      </c>
      <c r="AV113">
        <f t="shared" si="129"/>
        <v>0</v>
      </c>
      <c r="AW113">
        <f t="shared" si="129"/>
        <v>0</v>
      </c>
      <c r="AX113">
        <f t="shared" si="129"/>
        <v>0</v>
      </c>
      <c r="AY113">
        <f t="shared" si="130"/>
        <v>0</v>
      </c>
    </row>
    <row r="114" spans="1:53" ht="15" x14ac:dyDescent="0.25">
      <c r="A114" s="1"/>
      <c r="B114" s="2"/>
      <c r="C114" s="1" t="s">
        <v>11</v>
      </c>
      <c r="D114">
        <v>0</v>
      </c>
      <c r="E114" s="360"/>
      <c r="F114">
        <v>0</v>
      </c>
      <c r="G114">
        <v>0</v>
      </c>
      <c r="H114">
        <v>0</v>
      </c>
      <c r="J114">
        <v>0</v>
      </c>
      <c r="K114" s="14">
        <v>0</v>
      </c>
      <c r="L114">
        <v>0</v>
      </c>
      <c r="M114">
        <v>0</v>
      </c>
      <c r="N114">
        <v>0</v>
      </c>
      <c r="O114" s="20"/>
      <c r="P114" s="20"/>
      <c r="Q114" s="438"/>
      <c r="R114" s="197">
        <v>6.531704360902256</v>
      </c>
      <c r="S114" s="197">
        <v>78.227142857142866</v>
      </c>
      <c r="T114" s="197">
        <v>0.5825685654008439</v>
      </c>
      <c r="U114" s="197">
        <v>0.90789473684210531</v>
      </c>
      <c r="V114" s="20">
        <f t="shared" si="121"/>
        <v>0</v>
      </c>
      <c r="W114" s="20">
        <f t="shared" si="121"/>
        <v>0</v>
      </c>
      <c r="X114" s="20">
        <f t="shared" si="121"/>
        <v>0</v>
      </c>
      <c r="Y114" s="20">
        <f t="shared" si="121"/>
        <v>0</v>
      </c>
      <c r="Z114" s="20">
        <f t="shared" si="122"/>
        <v>0</v>
      </c>
      <c r="AA114" s="20">
        <f t="shared" si="122"/>
        <v>0</v>
      </c>
      <c r="AB114" s="20">
        <f t="shared" si="122"/>
        <v>0</v>
      </c>
      <c r="AC114" s="20">
        <f t="shared" si="122"/>
        <v>0</v>
      </c>
      <c r="AD114" s="20">
        <f t="shared" si="123"/>
        <v>0</v>
      </c>
      <c r="AE114" s="20">
        <f t="shared" si="124"/>
        <v>0</v>
      </c>
      <c r="AF114" s="20">
        <f t="shared" si="124"/>
        <v>0</v>
      </c>
      <c r="AG114" s="20">
        <f t="shared" si="124"/>
        <v>0</v>
      </c>
      <c r="AH114" s="20">
        <f t="shared" si="124"/>
        <v>0</v>
      </c>
      <c r="AI114" s="20">
        <f t="shared" si="125"/>
        <v>0</v>
      </c>
      <c r="AJ114" s="20">
        <f t="shared" si="125"/>
        <v>0</v>
      </c>
      <c r="AK114" s="20">
        <f t="shared" si="125"/>
        <v>0</v>
      </c>
      <c r="AL114" s="20">
        <f t="shared" si="125"/>
        <v>0</v>
      </c>
      <c r="AM114" s="20">
        <f t="shared" si="126"/>
        <v>0</v>
      </c>
      <c r="AO114">
        <f t="shared" si="127"/>
        <v>0</v>
      </c>
      <c r="AP114">
        <f t="shared" si="127"/>
        <v>0</v>
      </c>
      <c r="AQ114">
        <f t="shared" si="127"/>
        <v>0</v>
      </c>
      <c r="AR114">
        <f t="shared" si="127"/>
        <v>0</v>
      </c>
      <c r="AS114">
        <f t="shared" si="128"/>
        <v>0</v>
      </c>
      <c r="AU114">
        <f t="shared" si="129"/>
        <v>0</v>
      </c>
      <c r="AV114">
        <f t="shared" si="129"/>
        <v>0</v>
      </c>
      <c r="AW114">
        <f t="shared" si="129"/>
        <v>0</v>
      </c>
      <c r="AX114">
        <f t="shared" si="129"/>
        <v>0</v>
      </c>
      <c r="AY114">
        <f t="shared" si="130"/>
        <v>0</v>
      </c>
    </row>
    <row r="115" spans="1:53" ht="15" x14ac:dyDescent="0.25">
      <c r="A115" s="1"/>
      <c r="B115" s="2"/>
      <c r="C115" s="1" t="s">
        <v>12</v>
      </c>
      <c r="D115">
        <v>0</v>
      </c>
      <c r="E115" s="360"/>
      <c r="F115">
        <v>0</v>
      </c>
      <c r="G115">
        <v>0</v>
      </c>
      <c r="H115">
        <v>0</v>
      </c>
      <c r="J115">
        <v>0</v>
      </c>
      <c r="K115" s="14">
        <v>0</v>
      </c>
      <c r="L115">
        <v>0</v>
      </c>
      <c r="M115">
        <v>0</v>
      </c>
      <c r="N115">
        <v>0</v>
      </c>
      <c r="O115" s="20"/>
      <c r="P115" s="20"/>
      <c r="Q115" s="438"/>
      <c r="R115" s="197">
        <v>6.531704360902256</v>
      </c>
      <c r="S115" s="197">
        <v>78.227142857142866</v>
      </c>
      <c r="T115" s="197">
        <v>0.5825685654008439</v>
      </c>
      <c r="U115" s="197">
        <v>0.90789473684210531</v>
      </c>
      <c r="V115" s="20">
        <f t="shared" si="121"/>
        <v>0</v>
      </c>
      <c r="W115" s="20">
        <f t="shared" si="121"/>
        <v>0</v>
      </c>
      <c r="X115" s="20">
        <f t="shared" si="121"/>
        <v>0</v>
      </c>
      <c r="Y115" s="20">
        <f t="shared" si="121"/>
        <v>0</v>
      </c>
      <c r="Z115" s="20">
        <f t="shared" si="122"/>
        <v>0</v>
      </c>
      <c r="AA115" s="20">
        <f t="shared" si="122"/>
        <v>0</v>
      </c>
      <c r="AB115" s="20">
        <f t="shared" si="122"/>
        <v>0</v>
      </c>
      <c r="AC115" s="20">
        <f t="shared" si="122"/>
        <v>0</v>
      </c>
      <c r="AD115" s="20">
        <f t="shared" si="123"/>
        <v>0</v>
      </c>
      <c r="AE115" s="20">
        <f t="shared" si="124"/>
        <v>0</v>
      </c>
      <c r="AF115" s="20">
        <f t="shared" si="124"/>
        <v>0</v>
      </c>
      <c r="AG115" s="20">
        <f t="shared" si="124"/>
        <v>0</v>
      </c>
      <c r="AH115" s="20">
        <f t="shared" si="124"/>
        <v>0</v>
      </c>
      <c r="AI115" s="20">
        <f t="shared" si="125"/>
        <v>0</v>
      </c>
      <c r="AJ115" s="20">
        <f t="shared" si="125"/>
        <v>0</v>
      </c>
      <c r="AK115" s="20">
        <f t="shared" si="125"/>
        <v>0</v>
      </c>
      <c r="AL115" s="20">
        <f t="shared" si="125"/>
        <v>0</v>
      </c>
      <c r="AM115" s="20">
        <f t="shared" si="126"/>
        <v>0</v>
      </c>
      <c r="AO115">
        <f t="shared" si="127"/>
        <v>0</v>
      </c>
      <c r="AP115">
        <f t="shared" si="127"/>
        <v>0</v>
      </c>
      <c r="AQ115">
        <f t="shared" si="127"/>
        <v>0</v>
      </c>
      <c r="AR115">
        <f t="shared" si="127"/>
        <v>0</v>
      </c>
      <c r="AS115">
        <f t="shared" si="128"/>
        <v>0</v>
      </c>
      <c r="AU115">
        <f t="shared" si="129"/>
        <v>0</v>
      </c>
      <c r="AV115">
        <f t="shared" si="129"/>
        <v>0</v>
      </c>
      <c r="AW115">
        <f t="shared" si="129"/>
        <v>0</v>
      </c>
      <c r="AX115">
        <f t="shared" si="129"/>
        <v>0</v>
      </c>
      <c r="AY115">
        <f t="shared" si="130"/>
        <v>0</v>
      </c>
    </row>
    <row r="116" spans="1:53" ht="15" x14ac:dyDescent="0.25">
      <c r="A116" s="1"/>
      <c r="B116" s="2"/>
      <c r="C116" s="1" t="s">
        <v>13</v>
      </c>
      <c r="D116">
        <v>0</v>
      </c>
      <c r="E116" s="360"/>
      <c r="F116">
        <v>0</v>
      </c>
      <c r="G116">
        <v>0</v>
      </c>
      <c r="H116">
        <v>0</v>
      </c>
      <c r="J116">
        <v>0</v>
      </c>
      <c r="K116" s="14">
        <v>0</v>
      </c>
      <c r="L116">
        <v>0</v>
      </c>
      <c r="M116">
        <v>0</v>
      </c>
      <c r="N116">
        <v>0</v>
      </c>
      <c r="O116" s="20"/>
      <c r="P116" s="20"/>
      <c r="Q116" s="438"/>
      <c r="R116" s="197">
        <v>6.531704360902256</v>
      </c>
      <c r="S116" s="197">
        <v>78.227142857142866</v>
      </c>
      <c r="T116" s="197">
        <v>0.5825685654008439</v>
      </c>
      <c r="U116" s="197">
        <v>0.90789473684210531</v>
      </c>
      <c r="V116" s="20">
        <f t="shared" si="121"/>
        <v>0</v>
      </c>
      <c r="W116" s="20">
        <f t="shared" si="121"/>
        <v>0</v>
      </c>
      <c r="X116" s="20">
        <f t="shared" si="121"/>
        <v>0</v>
      </c>
      <c r="Y116" s="20">
        <f t="shared" si="121"/>
        <v>0</v>
      </c>
      <c r="Z116" s="20">
        <f t="shared" si="122"/>
        <v>0</v>
      </c>
      <c r="AA116" s="20">
        <f t="shared" si="122"/>
        <v>0</v>
      </c>
      <c r="AB116" s="20">
        <f t="shared" si="122"/>
        <v>0</v>
      </c>
      <c r="AC116" s="20">
        <f t="shared" si="122"/>
        <v>0</v>
      </c>
      <c r="AD116" s="20">
        <f t="shared" si="123"/>
        <v>0</v>
      </c>
      <c r="AE116" s="20">
        <f t="shared" si="124"/>
        <v>0</v>
      </c>
      <c r="AF116" s="20">
        <f t="shared" si="124"/>
        <v>0</v>
      </c>
      <c r="AG116" s="20">
        <f t="shared" si="124"/>
        <v>0</v>
      </c>
      <c r="AH116" s="20">
        <f t="shared" si="124"/>
        <v>0</v>
      </c>
      <c r="AI116" s="20">
        <f t="shared" si="125"/>
        <v>0</v>
      </c>
      <c r="AJ116" s="20">
        <f t="shared" si="125"/>
        <v>0</v>
      </c>
      <c r="AK116" s="20">
        <f t="shared" si="125"/>
        <v>0</v>
      </c>
      <c r="AL116" s="20">
        <f t="shared" si="125"/>
        <v>0</v>
      </c>
      <c r="AM116" s="20">
        <f t="shared" si="126"/>
        <v>0</v>
      </c>
      <c r="AO116">
        <f t="shared" si="127"/>
        <v>0</v>
      </c>
      <c r="AP116">
        <f t="shared" si="127"/>
        <v>0</v>
      </c>
      <c r="AQ116">
        <f t="shared" si="127"/>
        <v>0</v>
      </c>
      <c r="AR116">
        <f t="shared" si="127"/>
        <v>0</v>
      </c>
      <c r="AS116">
        <f t="shared" si="128"/>
        <v>0</v>
      </c>
      <c r="AU116">
        <f t="shared" si="129"/>
        <v>0</v>
      </c>
      <c r="AV116">
        <f t="shared" si="129"/>
        <v>0</v>
      </c>
      <c r="AW116">
        <f t="shared" si="129"/>
        <v>0</v>
      </c>
      <c r="AX116">
        <f t="shared" si="129"/>
        <v>0</v>
      </c>
      <c r="AY116">
        <f t="shared" si="130"/>
        <v>0</v>
      </c>
    </row>
    <row r="117" spans="1:53" ht="15" x14ac:dyDescent="0.25">
      <c r="A117" s="7"/>
      <c r="B117" s="8" t="s">
        <v>14</v>
      </c>
      <c r="C117" s="7"/>
      <c r="D117" s="357">
        <f t="shared" ref="D117:H117" si="131">SUM(D111:D116)</f>
        <v>0</v>
      </c>
      <c r="E117" s="363">
        <f>SUM(E111:E116)</f>
        <v>0</v>
      </c>
      <c r="F117" s="357">
        <f t="shared" si="131"/>
        <v>0</v>
      </c>
      <c r="G117" s="357">
        <f t="shared" si="131"/>
        <v>0</v>
      </c>
      <c r="H117" s="357">
        <f t="shared" si="131"/>
        <v>0</v>
      </c>
      <c r="J117">
        <v>0</v>
      </c>
      <c r="K117" s="14">
        <v>0</v>
      </c>
      <c r="L117">
        <v>0</v>
      </c>
      <c r="M117">
        <v>0</v>
      </c>
      <c r="N117">
        <v>0</v>
      </c>
      <c r="O117" s="20"/>
      <c r="P117" s="20"/>
      <c r="Q117" s="438"/>
      <c r="R117" s="197"/>
      <c r="S117" s="197"/>
      <c r="T117" s="197"/>
      <c r="U117" s="197"/>
      <c r="BA117" s="319">
        <f>(E117*10000*Q117*AU$10)</f>
        <v>0</v>
      </c>
    </row>
    <row r="118" spans="1:53" ht="15" x14ac:dyDescent="0.25">
      <c r="A118" s="10"/>
      <c r="B118" s="9" t="s">
        <v>15</v>
      </c>
      <c r="C118" s="5"/>
      <c r="E118" s="363">
        <f>SUM(E117)</f>
        <v>0</v>
      </c>
      <c r="H118" s="358">
        <f>SUM(D117:H117)</f>
        <v>0</v>
      </c>
      <c r="K118" s="14"/>
      <c r="N118">
        <v>0</v>
      </c>
      <c r="O118" s="20"/>
      <c r="P118" s="20"/>
      <c r="Q118" s="438"/>
      <c r="R118" s="197"/>
      <c r="S118" s="197"/>
      <c r="T118" s="197"/>
      <c r="U118" s="197"/>
    </row>
    <row r="119" spans="1:53" ht="15.75" x14ac:dyDescent="0.25">
      <c r="A119" s="1"/>
      <c r="B119" s="2"/>
      <c r="C119" s="1"/>
      <c r="E119" s="361"/>
      <c r="K119" s="14"/>
      <c r="O119" s="20"/>
      <c r="P119" s="20"/>
      <c r="Q119" s="439"/>
      <c r="R119" s="197"/>
      <c r="S119" s="197"/>
      <c r="T119" s="197"/>
      <c r="U119" s="197"/>
    </row>
    <row r="120" spans="1:53" ht="15" x14ac:dyDescent="0.25">
      <c r="A120" s="1">
        <v>13</v>
      </c>
      <c r="B120" s="2" t="s">
        <v>27</v>
      </c>
      <c r="C120" s="1" t="s">
        <v>8</v>
      </c>
      <c r="D120">
        <v>0</v>
      </c>
      <c r="E120" s="360">
        <v>6.2455999999999996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 s="20"/>
      <c r="P120" s="20"/>
      <c r="Q120" s="438">
        <v>1.6611520188266012E-2</v>
      </c>
      <c r="R120" s="197">
        <v>0.49226666666666663</v>
      </c>
      <c r="S120" s="197">
        <v>2.8337500000000002</v>
      </c>
      <c r="T120" s="197">
        <v>0.68718466195761863</v>
      </c>
      <c r="U120" s="197">
        <v>0.90789473684210531</v>
      </c>
      <c r="V120" s="20">
        <f t="shared" ref="V120:Y125" si="132">IF(K120&gt;0,((E120-K120)*$Q120*$R120*10)+(K120*$O$12*$Q120*$R120*10),(E120*$Q120*$R120*10))</f>
        <v>0.51072130336144506</v>
      </c>
      <c r="W120" s="20">
        <f t="shared" si="132"/>
        <v>0</v>
      </c>
      <c r="X120" s="20">
        <f t="shared" si="132"/>
        <v>0</v>
      </c>
      <c r="Y120" s="20">
        <f t="shared" si="132"/>
        <v>0</v>
      </c>
      <c r="Z120" s="20">
        <f t="shared" ref="Z120:AC125" si="133">V120*(EXP(1.01-0.34*LN(Z$8))*(1-$T120)+(1*$T120))</f>
        <v>0.38011675293240138</v>
      </c>
      <c r="AA120" s="20">
        <f t="shared" si="133"/>
        <v>0</v>
      </c>
      <c r="AB120" s="20">
        <f t="shared" si="133"/>
        <v>0</v>
      </c>
      <c r="AC120" s="20">
        <f t="shared" si="133"/>
        <v>0</v>
      </c>
      <c r="AD120" s="20">
        <f t="shared" ref="AD120:AD125" si="134">SUM(Z120:AC120)</f>
        <v>0.38011675293240138</v>
      </c>
      <c r="AE120" s="20">
        <f t="shared" ref="AE120:AH125" si="135">IF(K120&gt;0,((E120-K120)*$Q120*$S120*10)+(K120*$P$12*$Q120*$S120)*10,(E120*$Q120*$S120*10))</f>
        <v>2.9399847509490016</v>
      </c>
      <c r="AF120" s="20">
        <f t="shared" si="135"/>
        <v>0</v>
      </c>
      <c r="AG120" s="20">
        <f t="shared" si="135"/>
        <v>0</v>
      </c>
      <c r="AH120" s="20">
        <f t="shared" si="135"/>
        <v>0</v>
      </c>
      <c r="AI120" s="20">
        <f t="shared" ref="AI120:AL125" si="136">AE120*(EXP(1.01-0.34*LN(AI$8))*(1-$U120)+(1*$U120))</f>
        <v>2.7186162515343639</v>
      </c>
      <c r="AJ120" s="20">
        <f t="shared" si="136"/>
        <v>0</v>
      </c>
      <c r="AK120" s="20">
        <f t="shared" si="136"/>
        <v>0</v>
      </c>
      <c r="AL120" s="20">
        <f t="shared" si="136"/>
        <v>0</v>
      </c>
      <c r="AM120" s="20">
        <f t="shared" ref="AM120:AM125" si="137">SUM(AI120:AL120)</f>
        <v>2.7186162515343639</v>
      </c>
      <c r="AO120">
        <f t="shared" ref="AO120:AR125" si="138">Z120*AO$10</f>
        <v>0.45956115429527328</v>
      </c>
      <c r="AP120">
        <f t="shared" si="138"/>
        <v>0</v>
      </c>
      <c r="AQ120">
        <f t="shared" si="138"/>
        <v>0</v>
      </c>
      <c r="AR120">
        <f t="shared" si="138"/>
        <v>0</v>
      </c>
      <c r="AS120">
        <f t="shared" ref="AS120:AS125" si="139">SUM(AO120:AR120)</f>
        <v>0.45956115429527328</v>
      </c>
      <c r="AU120">
        <f t="shared" ref="AU120:AX125" si="140">AI120*AU$10</f>
        <v>3.2868070481050462</v>
      </c>
      <c r="AV120">
        <f t="shared" si="140"/>
        <v>0</v>
      </c>
      <c r="AW120">
        <f t="shared" si="140"/>
        <v>0</v>
      </c>
      <c r="AX120">
        <f t="shared" si="140"/>
        <v>0</v>
      </c>
      <c r="AY120">
        <f t="shared" ref="AY120:AY125" si="141">SUM(AU120:AX120)</f>
        <v>3.2868070481050462</v>
      </c>
    </row>
    <row r="121" spans="1:53" ht="15" x14ac:dyDescent="0.25">
      <c r="A121" s="1"/>
      <c r="B121" s="2"/>
      <c r="C121" s="1" t="s">
        <v>9</v>
      </c>
      <c r="D121">
        <v>0</v>
      </c>
      <c r="E121" s="360">
        <v>0.30580000000000002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20"/>
      <c r="P121" s="20"/>
      <c r="Q121" s="438">
        <v>2.4223040376532026E-2</v>
      </c>
      <c r="R121" s="197">
        <v>0.49226666666666663</v>
      </c>
      <c r="S121" s="197">
        <v>2.8337500000000002</v>
      </c>
      <c r="T121" s="197">
        <v>0.68718466195761863</v>
      </c>
      <c r="U121" s="197">
        <v>0.90789473684210531</v>
      </c>
      <c r="V121" s="20">
        <f t="shared" si="132"/>
        <v>3.6464189357938367E-2</v>
      </c>
      <c r="W121" s="20">
        <f t="shared" si="132"/>
        <v>0</v>
      </c>
      <c r="X121" s="20">
        <f t="shared" si="132"/>
        <v>0</v>
      </c>
      <c r="Y121" s="20">
        <f t="shared" si="132"/>
        <v>0</v>
      </c>
      <c r="Z121" s="20">
        <f t="shared" si="133"/>
        <v>2.7139359893202597E-2</v>
      </c>
      <c r="AA121" s="20">
        <f t="shared" si="133"/>
        <v>0</v>
      </c>
      <c r="AB121" s="20">
        <f t="shared" si="133"/>
        <v>0</v>
      </c>
      <c r="AC121" s="20">
        <f t="shared" si="133"/>
        <v>0</v>
      </c>
      <c r="AD121" s="20">
        <f t="shared" si="134"/>
        <v>2.7139359893202597E-2</v>
      </c>
      <c r="AE121" s="20">
        <f t="shared" si="135"/>
        <v>0.20990736035967877</v>
      </c>
      <c r="AF121" s="20">
        <f t="shared" si="135"/>
        <v>0</v>
      </c>
      <c r="AG121" s="20">
        <f t="shared" si="135"/>
        <v>0</v>
      </c>
      <c r="AH121" s="20">
        <f t="shared" si="135"/>
        <v>0</v>
      </c>
      <c r="AI121" s="20">
        <f t="shared" si="136"/>
        <v>0.19410221804936215</v>
      </c>
      <c r="AJ121" s="20">
        <f t="shared" si="136"/>
        <v>0</v>
      </c>
      <c r="AK121" s="20">
        <f t="shared" si="136"/>
        <v>0</v>
      </c>
      <c r="AL121" s="20">
        <f t="shared" si="136"/>
        <v>0</v>
      </c>
      <c r="AM121" s="20">
        <f t="shared" si="137"/>
        <v>0.19410221804936215</v>
      </c>
      <c r="AO121">
        <f t="shared" si="138"/>
        <v>3.2811486110881943E-2</v>
      </c>
      <c r="AP121">
        <f t="shared" si="138"/>
        <v>0</v>
      </c>
      <c r="AQ121">
        <f t="shared" si="138"/>
        <v>0</v>
      </c>
      <c r="AR121">
        <f t="shared" si="138"/>
        <v>0</v>
      </c>
      <c r="AS121">
        <f t="shared" si="139"/>
        <v>3.2811486110881943E-2</v>
      </c>
      <c r="AU121">
        <f t="shared" si="140"/>
        <v>0.23466958162167884</v>
      </c>
      <c r="AV121">
        <f t="shared" si="140"/>
        <v>0</v>
      </c>
      <c r="AW121">
        <f t="shared" si="140"/>
        <v>0</v>
      </c>
      <c r="AX121">
        <f t="shared" si="140"/>
        <v>0</v>
      </c>
      <c r="AY121">
        <f t="shared" si="141"/>
        <v>0.23466958162167884</v>
      </c>
    </row>
    <row r="122" spans="1:53" ht="15" x14ac:dyDescent="0.25">
      <c r="A122" s="1"/>
      <c r="B122" s="2"/>
      <c r="C122" s="1" t="s">
        <v>10</v>
      </c>
      <c r="D122">
        <v>0</v>
      </c>
      <c r="E122" s="360"/>
      <c r="F122">
        <v>0</v>
      </c>
      <c r="G122">
        <v>0</v>
      </c>
      <c r="H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s="20"/>
      <c r="P122" s="20"/>
      <c r="Q122" s="438"/>
      <c r="R122" s="197">
        <v>0.49226666666666663</v>
      </c>
      <c r="S122" s="197">
        <v>2.8337500000000002</v>
      </c>
      <c r="T122" s="197">
        <v>0.68718466195761863</v>
      </c>
      <c r="U122" s="197">
        <v>0.90789473684210531</v>
      </c>
      <c r="V122" s="20">
        <f t="shared" si="132"/>
        <v>0</v>
      </c>
      <c r="W122" s="20">
        <f t="shared" si="132"/>
        <v>0</v>
      </c>
      <c r="X122" s="20">
        <f t="shared" si="132"/>
        <v>0</v>
      </c>
      <c r="Y122" s="20">
        <f t="shared" si="132"/>
        <v>0</v>
      </c>
      <c r="Z122" s="20">
        <f t="shared" si="133"/>
        <v>0</v>
      </c>
      <c r="AA122" s="20">
        <f t="shared" si="133"/>
        <v>0</v>
      </c>
      <c r="AB122" s="20">
        <f t="shared" si="133"/>
        <v>0</v>
      </c>
      <c r="AC122" s="20">
        <f t="shared" si="133"/>
        <v>0</v>
      </c>
      <c r="AD122" s="20">
        <f t="shared" si="134"/>
        <v>0</v>
      </c>
      <c r="AE122" s="20">
        <f t="shared" si="135"/>
        <v>0</v>
      </c>
      <c r="AF122" s="20">
        <f t="shared" si="135"/>
        <v>0</v>
      </c>
      <c r="AG122" s="20">
        <f t="shared" si="135"/>
        <v>0</v>
      </c>
      <c r="AH122" s="20">
        <f t="shared" si="135"/>
        <v>0</v>
      </c>
      <c r="AI122" s="20">
        <f t="shared" si="136"/>
        <v>0</v>
      </c>
      <c r="AJ122" s="20">
        <f t="shared" si="136"/>
        <v>0</v>
      </c>
      <c r="AK122" s="20">
        <f t="shared" si="136"/>
        <v>0</v>
      </c>
      <c r="AL122" s="20">
        <f t="shared" si="136"/>
        <v>0</v>
      </c>
      <c r="AM122" s="20">
        <f t="shared" si="137"/>
        <v>0</v>
      </c>
      <c r="AO122">
        <f t="shared" si="138"/>
        <v>0</v>
      </c>
      <c r="AP122">
        <f t="shared" si="138"/>
        <v>0</v>
      </c>
      <c r="AQ122">
        <f t="shared" si="138"/>
        <v>0</v>
      </c>
      <c r="AR122">
        <f t="shared" si="138"/>
        <v>0</v>
      </c>
      <c r="AS122">
        <f t="shared" si="139"/>
        <v>0</v>
      </c>
      <c r="AU122">
        <f t="shared" si="140"/>
        <v>0</v>
      </c>
      <c r="AV122">
        <f t="shared" si="140"/>
        <v>0</v>
      </c>
      <c r="AW122">
        <f t="shared" si="140"/>
        <v>0</v>
      </c>
      <c r="AX122">
        <f t="shared" si="140"/>
        <v>0</v>
      </c>
      <c r="AY122">
        <f t="shared" si="141"/>
        <v>0</v>
      </c>
    </row>
    <row r="123" spans="1:53" ht="15" x14ac:dyDescent="0.25">
      <c r="A123" s="1"/>
      <c r="B123" s="2"/>
      <c r="C123" s="1" t="s">
        <v>11</v>
      </c>
      <c r="D123">
        <v>0</v>
      </c>
      <c r="E123" s="360">
        <v>1.7323999999999999</v>
      </c>
      <c r="F123">
        <v>0</v>
      </c>
      <c r="G123">
        <v>0</v>
      </c>
      <c r="H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 s="20"/>
      <c r="P123" s="20"/>
      <c r="Q123" s="438">
        <v>3.9446080753064043E-2</v>
      </c>
      <c r="R123" s="197">
        <v>0.49226666666666663</v>
      </c>
      <c r="S123" s="197">
        <v>2.8337500000000002</v>
      </c>
      <c r="T123" s="197">
        <v>0.68718466195761863</v>
      </c>
      <c r="U123" s="197">
        <v>0.90789473684210531</v>
      </c>
      <c r="V123" s="20">
        <f t="shared" si="132"/>
        <v>0.33639727063343638</v>
      </c>
      <c r="W123" s="20">
        <f t="shared" si="132"/>
        <v>0</v>
      </c>
      <c r="X123" s="20">
        <f t="shared" si="132"/>
        <v>0</v>
      </c>
      <c r="Y123" s="20">
        <f t="shared" si="132"/>
        <v>0</v>
      </c>
      <c r="Z123" s="20">
        <f t="shared" si="133"/>
        <v>0.25037185127562306</v>
      </c>
      <c r="AA123" s="20">
        <f t="shared" si="133"/>
        <v>0</v>
      </c>
      <c r="AB123" s="20">
        <f t="shared" si="133"/>
        <v>0</v>
      </c>
      <c r="AC123" s="20">
        <f t="shared" si="133"/>
        <v>0</v>
      </c>
      <c r="AD123" s="20">
        <f t="shared" si="134"/>
        <v>0.25037185127562306</v>
      </c>
      <c r="AE123" s="20">
        <f t="shared" si="135"/>
        <v>1.9364824600301336</v>
      </c>
      <c r="AF123" s="20">
        <f t="shared" si="135"/>
        <v>0</v>
      </c>
      <c r="AG123" s="20">
        <f t="shared" si="135"/>
        <v>0</v>
      </c>
      <c r="AH123" s="20">
        <f t="shared" si="135"/>
        <v>0</v>
      </c>
      <c r="AI123" s="20">
        <f t="shared" si="136"/>
        <v>1.7906734669116271</v>
      </c>
      <c r="AJ123" s="20">
        <f t="shared" si="136"/>
        <v>0</v>
      </c>
      <c r="AK123" s="20">
        <f t="shared" si="136"/>
        <v>0</v>
      </c>
      <c r="AL123" s="20">
        <f t="shared" si="136"/>
        <v>0</v>
      </c>
      <c r="AM123" s="20">
        <f t="shared" si="137"/>
        <v>1.7906734669116271</v>
      </c>
      <c r="AO123">
        <f t="shared" si="138"/>
        <v>0.30269956819222832</v>
      </c>
      <c r="AP123">
        <f t="shared" si="138"/>
        <v>0</v>
      </c>
      <c r="AQ123">
        <f t="shared" si="138"/>
        <v>0</v>
      </c>
      <c r="AR123">
        <f t="shared" si="138"/>
        <v>0</v>
      </c>
      <c r="AS123">
        <f t="shared" si="139"/>
        <v>0.30269956819222832</v>
      </c>
      <c r="AU123">
        <f t="shared" si="140"/>
        <v>2.1649242214961575</v>
      </c>
      <c r="AV123">
        <f t="shared" si="140"/>
        <v>0</v>
      </c>
      <c r="AW123">
        <f t="shared" si="140"/>
        <v>0</v>
      </c>
      <c r="AX123">
        <f t="shared" si="140"/>
        <v>0</v>
      </c>
      <c r="AY123">
        <f t="shared" si="141"/>
        <v>2.1649242214961575</v>
      </c>
    </row>
    <row r="124" spans="1:53" ht="15" x14ac:dyDescent="0.25">
      <c r="A124" s="1"/>
      <c r="B124" s="2"/>
      <c r="C124" s="1" t="s">
        <v>12</v>
      </c>
      <c r="D124">
        <v>0</v>
      </c>
      <c r="E124" s="360"/>
      <c r="F124">
        <v>0</v>
      </c>
      <c r="G124">
        <v>0</v>
      </c>
      <c r="H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 s="20"/>
      <c r="P124" s="20"/>
      <c r="Q124" s="438"/>
      <c r="R124" s="197">
        <v>0.49226666666666663</v>
      </c>
      <c r="S124" s="197">
        <v>2.8337500000000002</v>
      </c>
      <c r="T124" s="197">
        <v>0.68718466195761863</v>
      </c>
      <c r="U124" s="197">
        <v>0.90789473684210531</v>
      </c>
      <c r="V124" s="20">
        <f t="shared" si="132"/>
        <v>0</v>
      </c>
      <c r="W124" s="20">
        <f t="shared" si="132"/>
        <v>0</v>
      </c>
      <c r="X124" s="20">
        <f t="shared" si="132"/>
        <v>0</v>
      </c>
      <c r="Y124" s="20">
        <f t="shared" si="132"/>
        <v>0</v>
      </c>
      <c r="Z124" s="20">
        <f t="shared" si="133"/>
        <v>0</v>
      </c>
      <c r="AA124" s="20">
        <f t="shared" si="133"/>
        <v>0</v>
      </c>
      <c r="AB124" s="20">
        <f t="shared" si="133"/>
        <v>0</v>
      </c>
      <c r="AC124" s="20">
        <f t="shared" si="133"/>
        <v>0</v>
      </c>
      <c r="AD124" s="20">
        <f t="shared" si="134"/>
        <v>0</v>
      </c>
      <c r="AE124" s="20">
        <f t="shared" si="135"/>
        <v>0</v>
      </c>
      <c r="AF124" s="20">
        <f t="shared" si="135"/>
        <v>0</v>
      </c>
      <c r="AG124" s="20">
        <f t="shared" si="135"/>
        <v>0</v>
      </c>
      <c r="AH124" s="20">
        <f t="shared" si="135"/>
        <v>0</v>
      </c>
      <c r="AI124" s="20">
        <f t="shared" si="136"/>
        <v>0</v>
      </c>
      <c r="AJ124" s="20">
        <f t="shared" si="136"/>
        <v>0</v>
      </c>
      <c r="AK124" s="20">
        <f t="shared" si="136"/>
        <v>0</v>
      </c>
      <c r="AL124" s="20">
        <f t="shared" si="136"/>
        <v>0</v>
      </c>
      <c r="AM124" s="20">
        <f t="shared" si="137"/>
        <v>0</v>
      </c>
      <c r="AO124">
        <f t="shared" si="138"/>
        <v>0</v>
      </c>
      <c r="AP124">
        <f t="shared" si="138"/>
        <v>0</v>
      </c>
      <c r="AQ124">
        <f t="shared" si="138"/>
        <v>0</v>
      </c>
      <c r="AR124">
        <f t="shared" si="138"/>
        <v>0</v>
      </c>
      <c r="AS124">
        <f t="shared" si="139"/>
        <v>0</v>
      </c>
      <c r="AU124">
        <f t="shared" si="140"/>
        <v>0</v>
      </c>
      <c r="AV124">
        <f t="shared" si="140"/>
        <v>0</v>
      </c>
      <c r="AW124">
        <f t="shared" si="140"/>
        <v>0</v>
      </c>
      <c r="AX124">
        <f t="shared" si="140"/>
        <v>0</v>
      </c>
      <c r="AY124">
        <f t="shared" si="141"/>
        <v>0</v>
      </c>
    </row>
    <row r="125" spans="1:53" ht="15" x14ac:dyDescent="0.25">
      <c r="A125" s="1"/>
      <c r="B125" s="2"/>
      <c r="C125" s="1" t="s">
        <v>13</v>
      </c>
      <c r="D125">
        <v>0</v>
      </c>
      <c r="E125" s="360"/>
      <c r="F125">
        <v>0</v>
      </c>
      <c r="G125">
        <v>0</v>
      </c>
      <c r="H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20"/>
      <c r="P125" s="20"/>
      <c r="Q125" s="438"/>
      <c r="R125" s="197">
        <v>0.49226666666666663</v>
      </c>
      <c r="S125" s="197">
        <v>2.8337500000000002</v>
      </c>
      <c r="T125" s="197">
        <v>0.68718466195761863</v>
      </c>
      <c r="U125" s="197">
        <v>0.90789473684210531</v>
      </c>
      <c r="V125" s="20">
        <f t="shared" si="132"/>
        <v>0</v>
      </c>
      <c r="W125" s="20">
        <f t="shared" si="132"/>
        <v>0</v>
      </c>
      <c r="X125" s="20">
        <f t="shared" si="132"/>
        <v>0</v>
      </c>
      <c r="Y125" s="20">
        <f t="shared" si="132"/>
        <v>0</v>
      </c>
      <c r="Z125" s="20">
        <f t="shared" si="133"/>
        <v>0</v>
      </c>
      <c r="AA125" s="20">
        <f t="shared" si="133"/>
        <v>0</v>
      </c>
      <c r="AB125" s="20">
        <f t="shared" si="133"/>
        <v>0</v>
      </c>
      <c r="AC125" s="20">
        <f t="shared" si="133"/>
        <v>0</v>
      </c>
      <c r="AD125" s="20">
        <f t="shared" si="134"/>
        <v>0</v>
      </c>
      <c r="AE125" s="20">
        <f t="shared" si="135"/>
        <v>0</v>
      </c>
      <c r="AF125" s="20">
        <f t="shared" si="135"/>
        <v>0</v>
      </c>
      <c r="AG125" s="20">
        <f t="shared" si="135"/>
        <v>0</v>
      </c>
      <c r="AH125" s="20">
        <f t="shared" si="135"/>
        <v>0</v>
      </c>
      <c r="AI125" s="20">
        <f t="shared" si="136"/>
        <v>0</v>
      </c>
      <c r="AJ125" s="20">
        <f t="shared" si="136"/>
        <v>0</v>
      </c>
      <c r="AK125" s="20">
        <f t="shared" si="136"/>
        <v>0</v>
      </c>
      <c r="AL125" s="20">
        <f t="shared" si="136"/>
        <v>0</v>
      </c>
      <c r="AM125" s="20">
        <f t="shared" si="137"/>
        <v>0</v>
      </c>
      <c r="AO125">
        <f t="shared" si="138"/>
        <v>0</v>
      </c>
      <c r="AP125">
        <f t="shared" si="138"/>
        <v>0</v>
      </c>
      <c r="AQ125">
        <f t="shared" si="138"/>
        <v>0</v>
      </c>
      <c r="AR125">
        <f t="shared" si="138"/>
        <v>0</v>
      </c>
      <c r="AS125">
        <f t="shared" si="139"/>
        <v>0</v>
      </c>
      <c r="AU125">
        <f t="shared" si="140"/>
        <v>0</v>
      </c>
      <c r="AV125">
        <f t="shared" si="140"/>
        <v>0</v>
      </c>
      <c r="AW125">
        <f t="shared" si="140"/>
        <v>0</v>
      </c>
      <c r="AX125">
        <f t="shared" si="140"/>
        <v>0</v>
      </c>
      <c r="AY125">
        <f t="shared" si="141"/>
        <v>0</v>
      </c>
    </row>
    <row r="126" spans="1:53" ht="15" x14ac:dyDescent="0.25">
      <c r="A126" s="7"/>
      <c r="B126" s="8" t="s">
        <v>14</v>
      </c>
      <c r="C126" s="7"/>
      <c r="D126" s="357">
        <f t="shared" ref="D126:H126" si="142">SUM(D120:D125)</f>
        <v>0</v>
      </c>
      <c r="E126" s="363">
        <f>SUM(E120:E125)</f>
        <v>8.2837999999999994</v>
      </c>
      <c r="F126" s="357">
        <f t="shared" si="142"/>
        <v>0</v>
      </c>
      <c r="G126" s="357">
        <f t="shared" si="142"/>
        <v>0</v>
      </c>
      <c r="H126" s="357">
        <f t="shared" si="142"/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 s="20"/>
      <c r="P126" s="20"/>
      <c r="Q126" s="438">
        <v>2.1667918893694422E-2</v>
      </c>
      <c r="R126" s="197"/>
      <c r="S126" s="197"/>
      <c r="T126" s="197"/>
      <c r="U126" s="197"/>
      <c r="BA126" s="319">
        <f>(E126*10000*Q126*AU$10)</f>
        <v>2170.0668219668732</v>
      </c>
    </row>
    <row r="127" spans="1:53" ht="15" x14ac:dyDescent="0.25">
      <c r="A127" s="10"/>
      <c r="B127" s="9" t="s">
        <v>15</v>
      </c>
      <c r="C127" s="5"/>
      <c r="E127" s="363">
        <f>SUM(E126)</f>
        <v>8.2837999999999994</v>
      </c>
      <c r="H127" s="358">
        <f>SUM(D126:H126)</f>
        <v>8.2837999999999994</v>
      </c>
      <c r="K127" s="14"/>
      <c r="N127">
        <v>0</v>
      </c>
      <c r="O127" s="20"/>
      <c r="P127" s="20"/>
      <c r="Q127" s="438"/>
      <c r="R127" s="197"/>
      <c r="S127" s="197"/>
      <c r="T127" s="197"/>
      <c r="U127" s="197"/>
    </row>
    <row r="128" spans="1:53" ht="15.75" x14ac:dyDescent="0.25">
      <c r="A128" s="1"/>
      <c r="B128" s="2"/>
      <c r="C128" s="1"/>
      <c r="E128" s="361"/>
      <c r="K128" s="14"/>
      <c r="O128" s="20"/>
      <c r="P128" s="20"/>
      <c r="Q128" s="439"/>
      <c r="R128" s="197"/>
      <c r="S128" s="197"/>
      <c r="T128" s="197"/>
      <c r="U128" s="197"/>
    </row>
    <row r="129" spans="1:53" ht="15" x14ac:dyDescent="0.25">
      <c r="A129" s="1">
        <v>14</v>
      </c>
      <c r="B129" s="2" t="s">
        <v>28</v>
      </c>
      <c r="C129" s="1" t="s">
        <v>8</v>
      </c>
      <c r="D129">
        <v>0</v>
      </c>
      <c r="E129" s="360">
        <v>281.78219999999999</v>
      </c>
      <c r="F129">
        <v>0</v>
      </c>
      <c r="G129">
        <v>0</v>
      </c>
      <c r="H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 s="20"/>
      <c r="P129" s="20"/>
      <c r="Q129" s="438">
        <v>1.6611520188266012E-2</v>
      </c>
      <c r="R129" s="197">
        <v>5.6499999999999995E-2</v>
      </c>
      <c r="S129" s="197">
        <v>1.25</v>
      </c>
      <c r="T129" s="197">
        <v>0.50078889239507718</v>
      </c>
      <c r="U129" s="197">
        <v>0.75268470790377973</v>
      </c>
      <c r="V129" s="20">
        <f t="shared" ref="V129:Y134" si="143">E129*$Q129*$R129*10</f>
        <v>2.6446693477566159</v>
      </c>
      <c r="W129" s="20">
        <f t="shared" si="143"/>
        <v>0</v>
      </c>
      <c r="X129" s="20">
        <f t="shared" si="143"/>
        <v>0</v>
      </c>
      <c r="Y129" s="20">
        <f t="shared" si="143"/>
        <v>0</v>
      </c>
      <c r="Z129" s="20">
        <f t="shared" ref="Z129:AC134" si="144">V129*(EXP(1.01-0.34*LN(Z$8))*(1-$T129)+(1*$T129))</f>
        <v>1.5653699934666454</v>
      </c>
      <c r="AA129" s="20">
        <f t="shared" si="144"/>
        <v>0</v>
      </c>
      <c r="AB129" s="20">
        <f t="shared" si="144"/>
        <v>0</v>
      </c>
      <c r="AC129" s="20">
        <f t="shared" si="144"/>
        <v>0</v>
      </c>
      <c r="AD129" s="20">
        <f t="shared" ref="AD129:AD134" si="145">SUM(Z129:AC129)</f>
        <v>1.5653699934666454</v>
      </c>
      <c r="AE129" s="20">
        <f t="shared" ref="AE129:AE134" si="146">E129*$Q129*$S129*10</f>
        <v>58.510383799925137</v>
      </c>
      <c r="AF129" s="20">
        <f t="shared" ref="AF129:AH134" si="147">F129*$Q129*$S129*10</f>
        <v>0</v>
      </c>
      <c r="AG129" s="20">
        <f t="shared" si="147"/>
        <v>0</v>
      </c>
      <c r="AH129" s="20">
        <f t="shared" si="147"/>
        <v>0</v>
      </c>
      <c r="AI129" s="20">
        <f t="shared" ref="AI129:AL134" si="148">AE129*(EXP(1.01-0.34*LN(AI$8))*(1-$U129)+(1*$U129))</f>
        <v>46.680779625718003</v>
      </c>
      <c r="AJ129" s="20">
        <f t="shared" si="148"/>
        <v>0</v>
      </c>
      <c r="AK129" s="20">
        <f t="shared" si="148"/>
        <v>0</v>
      </c>
      <c r="AL129" s="20">
        <f t="shared" si="148"/>
        <v>0</v>
      </c>
      <c r="AM129" s="20">
        <f t="shared" ref="AM129:AM134" si="149">SUM(AI129:AL129)</f>
        <v>46.680779625718003</v>
      </c>
      <c r="AO129">
        <f t="shared" ref="AO129:AR134" si="150">Z129*AO$10</f>
        <v>1.8925323221011745</v>
      </c>
      <c r="AP129">
        <f t="shared" si="150"/>
        <v>0</v>
      </c>
      <c r="AQ129">
        <f t="shared" si="150"/>
        <v>0</v>
      </c>
      <c r="AR129">
        <f t="shared" si="150"/>
        <v>0</v>
      </c>
      <c r="AS129">
        <f t="shared" ref="AS129:AS134" si="151">SUM(AO129:AR129)</f>
        <v>1.8925323221011745</v>
      </c>
      <c r="AU129">
        <f t="shared" ref="AU129:AX134" si="152">AI129*AU$10</f>
        <v>56.437062567493072</v>
      </c>
      <c r="AV129">
        <f t="shared" si="152"/>
        <v>0</v>
      </c>
      <c r="AW129">
        <f t="shared" si="152"/>
        <v>0</v>
      </c>
      <c r="AX129">
        <f t="shared" si="152"/>
        <v>0</v>
      </c>
      <c r="AY129">
        <f t="shared" ref="AY129:AY134" si="153">SUM(AU129:AX129)</f>
        <v>56.437062567493072</v>
      </c>
    </row>
    <row r="130" spans="1:53" ht="15" x14ac:dyDescent="0.25">
      <c r="A130" s="1"/>
      <c r="B130" s="2"/>
      <c r="C130" s="1" t="s">
        <v>9</v>
      </c>
      <c r="D130">
        <v>0</v>
      </c>
      <c r="E130" s="360">
        <v>3.4670999999999998</v>
      </c>
      <c r="F130">
        <v>0</v>
      </c>
      <c r="G130">
        <v>0</v>
      </c>
      <c r="H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 s="20"/>
      <c r="P130" s="20"/>
      <c r="Q130" s="438">
        <v>2.4223040376532022E-2</v>
      </c>
      <c r="R130" s="197">
        <v>5.6499999999999995E-2</v>
      </c>
      <c r="S130" s="197">
        <v>1.25</v>
      </c>
      <c r="T130" s="197">
        <v>0.50078889239507718</v>
      </c>
      <c r="U130" s="197">
        <v>0.75268470790377973</v>
      </c>
      <c r="V130" s="20">
        <f t="shared" si="143"/>
        <v>4.7450792358552901E-2</v>
      </c>
      <c r="W130" s="20">
        <f t="shared" si="143"/>
        <v>0</v>
      </c>
      <c r="X130" s="20">
        <f t="shared" si="143"/>
        <v>0</v>
      </c>
      <c r="Y130" s="20">
        <f t="shared" si="143"/>
        <v>0</v>
      </c>
      <c r="Z130" s="20">
        <f t="shared" si="144"/>
        <v>2.8085948282080202E-2</v>
      </c>
      <c r="AA130" s="20">
        <f t="shared" si="144"/>
        <v>0</v>
      </c>
      <c r="AB130" s="20">
        <f t="shared" si="144"/>
        <v>0</v>
      </c>
      <c r="AC130" s="20">
        <f t="shared" si="144"/>
        <v>0</v>
      </c>
      <c r="AD130" s="20">
        <f t="shared" si="145"/>
        <v>2.8085948282080202E-2</v>
      </c>
      <c r="AE130" s="20">
        <f t="shared" si="146"/>
        <v>1.0497962911184273</v>
      </c>
      <c r="AF130" s="20">
        <f t="shared" si="147"/>
        <v>0</v>
      </c>
      <c r="AG130" s="20">
        <f t="shared" si="147"/>
        <v>0</v>
      </c>
      <c r="AH130" s="20">
        <f t="shared" si="147"/>
        <v>0</v>
      </c>
      <c r="AI130" s="20">
        <f t="shared" si="148"/>
        <v>0.83754892952279869</v>
      </c>
      <c r="AJ130" s="20">
        <f t="shared" si="148"/>
        <v>0</v>
      </c>
      <c r="AK130" s="20">
        <f t="shared" si="148"/>
        <v>0</v>
      </c>
      <c r="AL130" s="20">
        <f t="shared" si="148"/>
        <v>0</v>
      </c>
      <c r="AM130" s="20">
        <f t="shared" si="149"/>
        <v>0.83754892952279869</v>
      </c>
      <c r="AO130">
        <f t="shared" si="150"/>
        <v>3.3955911473034964E-2</v>
      </c>
      <c r="AP130">
        <f t="shared" si="150"/>
        <v>0</v>
      </c>
      <c r="AQ130">
        <f t="shared" si="150"/>
        <v>0</v>
      </c>
      <c r="AR130">
        <f t="shared" si="150"/>
        <v>0</v>
      </c>
      <c r="AS130">
        <f t="shared" si="151"/>
        <v>3.3955911473034964E-2</v>
      </c>
      <c r="AU130">
        <f t="shared" si="152"/>
        <v>1.0125966557930637</v>
      </c>
      <c r="AV130">
        <f t="shared" si="152"/>
        <v>0</v>
      </c>
      <c r="AW130">
        <f t="shared" si="152"/>
        <v>0</v>
      </c>
      <c r="AX130">
        <f t="shared" si="152"/>
        <v>0</v>
      </c>
      <c r="AY130">
        <f t="shared" si="153"/>
        <v>1.0125966557930637</v>
      </c>
    </row>
    <row r="131" spans="1:53" ht="15" x14ac:dyDescent="0.25">
      <c r="A131" s="1"/>
      <c r="B131" s="2"/>
      <c r="C131" s="1" t="s">
        <v>10</v>
      </c>
      <c r="D131">
        <v>0</v>
      </c>
      <c r="E131" s="360">
        <v>1.0326</v>
      </c>
      <c r="F131">
        <v>0</v>
      </c>
      <c r="G131">
        <v>0</v>
      </c>
      <c r="H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 s="20"/>
      <c r="P131" s="20"/>
      <c r="Q131" s="438">
        <v>3.1834560564798033E-2</v>
      </c>
      <c r="R131" s="197">
        <v>5.6499999999999995E-2</v>
      </c>
      <c r="S131" s="197">
        <v>1.25</v>
      </c>
      <c r="T131" s="197">
        <v>0.50078889239507718</v>
      </c>
      <c r="U131" s="197">
        <v>0.75268470790377973</v>
      </c>
      <c r="V131" s="20">
        <f t="shared" si="143"/>
        <v>1.8572887490153903E-2</v>
      </c>
      <c r="W131" s="20">
        <f t="shared" si="143"/>
        <v>0</v>
      </c>
      <c r="X131" s="20">
        <f t="shared" si="143"/>
        <v>0</v>
      </c>
      <c r="Y131" s="20">
        <f t="shared" si="143"/>
        <v>0</v>
      </c>
      <c r="Z131" s="20">
        <f t="shared" si="144"/>
        <v>1.0993223328194498E-2</v>
      </c>
      <c r="AA131" s="20">
        <f t="shared" si="144"/>
        <v>0</v>
      </c>
      <c r="AB131" s="20">
        <f t="shared" si="144"/>
        <v>0</v>
      </c>
      <c r="AC131" s="20">
        <f t="shared" si="144"/>
        <v>0</v>
      </c>
      <c r="AD131" s="20">
        <f t="shared" si="145"/>
        <v>1.0993223328194498E-2</v>
      </c>
      <c r="AE131" s="20">
        <f t="shared" si="146"/>
        <v>0.41090459049013062</v>
      </c>
      <c r="AF131" s="20">
        <f t="shared" si="147"/>
        <v>0</v>
      </c>
      <c r="AG131" s="20">
        <f t="shared" si="147"/>
        <v>0</v>
      </c>
      <c r="AH131" s="20">
        <f t="shared" si="147"/>
        <v>0</v>
      </c>
      <c r="AI131" s="20">
        <f t="shared" si="148"/>
        <v>0.32782807751622078</v>
      </c>
      <c r="AJ131" s="20">
        <f t="shared" si="148"/>
        <v>0</v>
      </c>
      <c r="AK131" s="20">
        <f t="shared" si="148"/>
        <v>0</v>
      </c>
      <c r="AL131" s="20">
        <f t="shared" si="148"/>
        <v>0</v>
      </c>
      <c r="AM131" s="20">
        <f t="shared" si="149"/>
        <v>0.32782807751622078</v>
      </c>
      <c r="AO131">
        <f t="shared" si="150"/>
        <v>1.3290807003787148E-2</v>
      </c>
      <c r="AP131">
        <f t="shared" si="150"/>
        <v>0</v>
      </c>
      <c r="AQ131">
        <f t="shared" si="150"/>
        <v>0</v>
      </c>
      <c r="AR131">
        <f t="shared" si="150"/>
        <v>0</v>
      </c>
      <c r="AS131">
        <f t="shared" si="151"/>
        <v>1.3290807003787148E-2</v>
      </c>
      <c r="AU131">
        <f t="shared" si="152"/>
        <v>0.39634414571711096</v>
      </c>
      <c r="AV131">
        <f t="shared" si="152"/>
        <v>0</v>
      </c>
      <c r="AW131">
        <f t="shared" si="152"/>
        <v>0</v>
      </c>
      <c r="AX131">
        <f t="shared" si="152"/>
        <v>0</v>
      </c>
      <c r="AY131">
        <f t="shared" si="153"/>
        <v>0.39634414571711096</v>
      </c>
    </row>
    <row r="132" spans="1:53" ht="15" x14ac:dyDescent="0.25">
      <c r="A132" s="1"/>
      <c r="B132" s="2"/>
      <c r="C132" s="1" t="s">
        <v>11</v>
      </c>
      <c r="D132">
        <v>0</v>
      </c>
      <c r="E132" s="360">
        <v>113.0378</v>
      </c>
      <c r="F132">
        <v>0</v>
      </c>
      <c r="G132">
        <v>0</v>
      </c>
      <c r="H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 s="20"/>
      <c r="P132" s="20"/>
      <c r="Q132" s="438">
        <v>3.9446080753064043E-2</v>
      </c>
      <c r="R132" s="197">
        <v>5.6499999999999995E-2</v>
      </c>
      <c r="S132" s="197">
        <v>1.25</v>
      </c>
      <c r="T132" s="197">
        <v>0.50078889239507718</v>
      </c>
      <c r="U132" s="197">
        <v>0.75268470790377973</v>
      </c>
      <c r="V132" s="20">
        <f t="shared" si="143"/>
        <v>2.5192774756260174</v>
      </c>
      <c r="W132" s="20">
        <f t="shared" si="143"/>
        <v>0</v>
      </c>
      <c r="X132" s="20">
        <f t="shared" si="143"/>
        <v>0</v>
      </c>
      <c r="Y132" s="20">
        <f t="shared" si="143"/>
        <v>0</v>
      </c>
      <c r="Z132" s="20">
        <f t="shared" si="144"/>
        <v>1.4911510086909694</v>
      </c>
      <c r="AA132" s="20">
        <f t="shared" si="144"/>
        <v>0</v>
      </c>
      <c r="AB132" s="20">
        <f t="shared" si="144"/>
        <v>0</v>
      </c>
      <c r="AC132" s="20">
        <f t="shared" si="144"/>
        <v>0</v>
      </c>
      <c r="AD132" s="20">
        <f t="shared" si="145"/>
        <v>1.4911510086909694</v>
      </c>
      <c r="AE132" s="20">
        <f t="shared" si="146"/>
        <v>55.736227336858789</v>
      </c>
      <c r="AF132" s="20">
        <f t="shared" si="147"/>
        <v>0</v>
      </c>
      <c r="AG132" s="20">
        <f t="shared" si="147"/>
        <v>0</v>
      </c>
      <c r="AH132" s="20">
        <f t="shared" si="147"/>
        <v>0</v>
      </c>
      <c r="AI132" s="20">
        <f t="shared" si="148"/>
        <v>44.467500920480262</v>
      </c>
      <c r="AJ132" s="20">
        <f t="shared" si="148"/>
        <v>0</v>
      </c>
      <c r="AK132" s="20">
        <f t="shared" si="148"/>
        <v>0</v>
      </c>
      <c r="AL132" s="20">
        <f t="shared" si="148"/>
        <v>0</v>
      </c>
      <c r="AM132" s="20">
        <f t="shared" si="149"/>
        <v>44.467500920480262</v>
      </c>
      <c r="AO132">
        <f t="shared" si="150"/>
        <v>1.802801569507382</v>
      </c>
      <c r="AP132">
        <f t="shared" si="150"/>
        <v>0</v>
      </c>
      <c r="AQ132">
        <f t="shared" si="150"/>
        <v>0</v>
      </c>
      <c r="AR132">
        <f t="shared" si="150"/>
        <v>0</v>
      </c>
      <c r="AS132">
        <f t="shared" si="151"/>
        <v>1.802801569507382</v>
      </c>
      <c r="AU132">
        <f t="shared" si="152"/>
        <v>53.761208612860642</v>
      </c>
      <c r="AV132">
        <f t="shared" si="152"/>
        <v>0</v>
      </c>
      <c r="AW132">
        <f t="shared" si="152"/>
        <v>0</v>
      </c>
      <c r="AX132">
        <f t="shared" si="152"/>
        <v>0</v>
      </c>
      <c r="AY132">
        <f t="shared" si="153"/>
        <v>53.761208612860642</v>
      </c>
    </row>
    <row r="133" spans="1:53" ht="15" x14ac:dyDescent="0.25">
      <c r="A133" s="1"/>
      <c r="B133" s="2"/>
      <c r="C133" s="1" t="s">
        <v>12</v>
      </c>
      <c r="D133">
        <v>0</v>
      </c>
      <c r="E133" s="360">
        <v>0</v>
      </c>
      <c r="F133">
        <v>0</v>
      </c>
      <c r="G133">
        <v>0</v>
      </c>
      <c r="H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 s="20"/>
      <c r="P133" s="20"/>
      <c r="Q133" s="438"/>
      <c r="R133" s="197">
        <v>5.6499999999999995E-2</v>
      </c>
      <c r="S133" s="197">
        <v>1.25</v>
      </c>
      <c r="T133" s="197">
        <v>0.50078889239507718</v>
      </c>
      <c r="U133" s="197">
        <v>0.75268470790377973</v>
      </c>
      <c r="V133" s="20">
        <f t="shared" si="143"/>
        <v>0</v>
      </c>
      <c r="W133" s="20">
        <f t="shared" si="143"/>
        <v>0</v>
      </c>
      <c r="X133" s="20">
        <f t="shared" si="143"/>
        <v>0</v>
      </c>
      <c r="Y133" s="20">
        <f t="shared" si="143"/>
        <v>0</v>
      </c>
      <c r="Z133" s="20">
        <f t="shared" si="144"/>
        <v>0</v>
      </c>
      <c r="AA133" s="20">
        <f t="shared" si="144"/>
        <v>0</v>
      </c>
      <c r="AB133" s="20">
        <f t="shared" si="144"/>
        <v>0</v>
      </c>
      <c r="AC133" s="20">
        <f t="shared" si="144"/>
        <v>0</v>
      </c>
      <c r="AD133" s="20">
        <f t="shared" si="145"/>
        <v>0</v>
      </c>
      <c r="AE133" s="20">
        <f t="shared" si="146"/>
        <v>0</v>
      </c>
      <c r="AF133" s="20">
        <f t="shared" si="147"/>
        <v>0</v>
      </c>
      <c r="AG133" s="20">
        <f t="shared" si="147"/>
        <v>0</v>
      </c>
      <c r="AH133" s="20">
        <f t="shared" si="147"/>
        <v>0</v>
      </c>
      <c r="AI133" s="20">
        <f t="shared" si="148"/>
        <v>0</v>
      </c>
      <c r="AJ133" s="20">
        <f t="shared" si="148"/>
        <v>0</v>
      </c>
      <c r="AK133" s="20">
        <f t="shared" si="148"/>
        <v>0</v>
      </c>
      <c r="AL133" s="20">
        <f t="shared" si="148"/>
        <v>0</v>
      </c>
      <c r="AM133" s="20">
        <f t="shared" si="149"/>
        <v>0</v>
      </c>
      <c r="AO133">
        <f t="shared" si="150"/>
        <v>0</v>
      </c>
      <c r="AP133">
        <f t="shared" si="150"/>
        <v>0</v>
      </c>
      <c r="AQ133">
        <f t="shared" si="150"/>
        <v>0</v>
      </c>
      <c r="AR133">
        <f t="shared" si="150"/>
        <v>0</v>
      </c>
      <c r="AS133">
        <f t="shared" si="151"/>
        <v>0</v>
      </c>
      <c r="AU133">
        <f t="shared" si="152"/>
        <v>0</v>
      </c>
      <c r="AV133">
        <f t="shared" si="152"/>
        <v>0</v>
      </c>
      <c r="AW133">
        <f t="shared" si="152"/>
        <v>0</v>
      </c>
      <c r="AX133">
        <f t="shared" si="152"/>
        <v>0</v>
      </c>
      <c r="AY133">
        <f t="shared" si="153"/>
        <v>0</v>
      </c>
    </row>
    <row r="134" spans="1:53" ht="15" x14ac:dyDescent="0.25">
      <c r="A134" s="1"/>
      <c r="B134" s="2"/>
      <c r="C134" s="1" t="s">
        <v>13</v>
      </c>
      <c r="D134">
        <v>0</v>
      </c>
      <c r="E134" s="360">
        <v>0.78949999999999998</v>
      </c>
      <c r="F134">
        <v>0</v>
      </c>
      <c r="G134">
        <v>0</v>
      </c>
      <c r="H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20"/>
      <c r="P134" s="20"/>
      <c r="Q134" s="438">
        <v>3.944608075306405E-2</v>
      </c>
      <c r="R134" s="197">
        <v>5.6499999999999995E-2</v>
      </c>
      <c r="S134" s="197">
        <v>1.25</v>
      </c>
      <c r="T134" s="197">
        <v>0.50078889239507718</v>
      </c>
      <c r="U134" s="197">
        <v>0.75268470790377973</v>
      </c>
      <c r="V134" s="20">
        <f t="shared" si="143"/>
        <v>1.7595614626317396E-2</v>
      </c>
      <c r="W134" s="20">
        <f t="shared" si="143"/>
        <v>0</v>
      </c>
      <c r="X134" s="20">
        <f t="shared" si="143"/>
        <v>0</v>
      </c>
      <c r="Y134" s="20">
        <f t="shared" si="143"/>
        <v>0</v>
      </c>
      <c r="Z134" s="20">
        <f t="shared" si="144"/>
        <v>1.0414779139027124E-2</v>
      </c>
      <c r="AA134" s="20">
        <f t="shared" si="144"/>
        <v>0</v>
      </c>
      <c r="AB134" s="20">
        <f t="shared" si="144"/>
        <v>0</v>
      </c>
      <c r="AC134" s="20">
        <f t="shared" si="144"/>
        <v>0</v>
      </c>
      <c r="AD134" s="20">
        <f t="shared" si="145"/>
        <v>1.0414779139027124E-2</v>
      </c>
      <c r="AE134" s="20">
        <f t="shared" si="146"/>
        <v>0.38928350943180084</v>
      </c>
      <c r="AF134" s="20">
        <f t="shared" si="147"/>
        <v>0</v>
      </c>
      <c r="AG134" s="20">
        <f t="shared" si="147"/>
        <v>0</v>
      </c>
      <c r="AH134" s="20">
        <f t="shared" si="147"/>
        <v>0</v>
      </c>
      <c r="AI134" s="20">
        <f t="shared" si="148"/>
        <v>0.31057833730592038</v>
      </c>
      <c r="AJ134" s="20">
        <f t="shared" si="148"/>
        <v>0</v>
      </c>
      <c r="AK134" s="20">
        <f t="shared" si="148"/>
        <v>0</v>
      </c>
      <c r="AL134" s="20">
        <f t="shared" si="148"/>
        <v>0</v>
      </c>
      <c r="AM134" s="20">
        <f t="shared" si="149"/>
        <v>0.31057833730592038</v>
      </c>
      <c r="AO134">
        <f t="shared" si="150"/>
        <v>1.2591467979083793E-2</v>
      </c>
      <c r="AP134">
        <f t="shared" si="150"/>
        <v>0</v>
      </c>
      <c r="AQ134">
        <f t="shared" si="150"/>
        <v>0</v>
      </c>
      <c r="AR134">
        <f t="shared" si="150"/>
        <v>0</v>
      </c>
      <c r="AS134">
        <f t="shared" si="151"/>
        <v>1.2591467979083793E-2</v>
      </c>
      <c r="AU134">
        <f t="shared" si="152"/>
        <v>0.37548920980285777</v>
      </c>
      <c r="AV134">
        <f t="shared" si="152"/>
        <v>0</v>
      </c>
      <c r="AW134">
        <f t="shared" si="152"/>
        <v>0</v>
      </c>
      <c r="AX134">
        <f t="shared" si="152"/>
        <v>0</v>
      </c>
      <c r="AY134">
        <f t="shared" si="153"/>
        <v>0.37548920980285777</v>
      </c>
    </row>
    <row r="135" spans="1:53" ht="15" x14ac:dyDescent="0.25">
      <c r="A135" s="7"/>
      <c r="B135" s="8" t="s">
        <v>14</v>
      </c>
      <c r="C135" s="7"/>
      <c r="D135" s="357">
        <f t="shared" ref="D135:H135" si="154">SUM(D129:D134)</f>
        <v>0</v>
      </c>
      <c r="E135" s="363">
        <f>SUM(E129:E134)</f>
        <v>400.10919999999999</v>
      </c>
      <c r="F135" s="357">
        <f t="shared" si="154"/>
        <v>0</v>
      </c>
      <c r="G135" s="357">
        <f t="shared" si="154"/>
        <v>0</v>
      </c>
      <c r="H135" s="357">
        <f t="shared" si="154"/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 s="20"/>
      <c r="P135" s="20"/>
      <c r="Q135" s="438">
        <v>2.3212981961489368E-2</v>
      </c>
      <c r="R135" s="197"/>
      <c r="S135" s="197"/>
      <c r="T135" s="197"/>
      <c r="U135" s="197"/>
      <c r="BA135" s="319">
        <f>(E135*10000*Q135*AU$10)</f>
        <v>112288.62719451163</v>
      </c>
    </row>
    <row r="136" spans="1:53" ht="15" x14ac:dyDescent="0.25">
      <c r="A136" s="10"/>
      <c r="B136" s="9" t="s">
        <v>15</v>
      </c>
      <c r="C136" s="5"/>
      <c r="E136" s="363">
        <f>SUM(E135)</f>
        <v>400.10919999999999</v>
      </c>
      <c r="H136" s="358">
        <f>SUM(D135:H135)</f>
        <v>400.10919999999999</v>
      </c>
      <c r="K136" s="14"/>
      <c r="N136">
        <v>0</v>
      </c>
      <c r="O136" s="20"/>
      <c r="P136" s="20"/>
      <c r="Q136" s="438"/>
      <c r="R136" s="197"/>
      <c r="S136" s="197"/>
      <c r="T136" s="197"/>
      <c r="U136" s="197"/>
    </row>
    <row r="137" spans="1:53" ht="15.75" x14ac:dyDescent="0.25">
      <c r="A137" s="1"/>
      <c r="B137" s="2"/>
      <c r="C137" s="1"/>
      <c r="E137" s="361"/>
      <c r="K137" s="14"/>
      <c r="O137" s="20"/>
      <c r="P137" s="20"/>
      <c r="Q137" s="439"/>
      <c r="R137" s="197"/>
      <c r="S137" s="197"/>
      <c r="T137" s="197"/>
      <c r="U137" s="197"/>
    </row>
    <row r="138" spans="1:53" ht="15" x14ac:dyDescent="0.25">
      <c r="A138" s="1">
        <v>15</v>
      </c>
      <c r="B138" s="2" t="s">
        <v>29</v>
      </c>
      <c r="C138" s="1" t="s">
        <v>8</v>
      </c>
      <c r="D138">
        <v>0</v>
      </c>
      <c r="E138" s="360">
        <v>0.63266</v>
      </c>
      <c r="F138">
        <v>0</v>
      </c>
      <c r="G138">
        <v>0</v>
      </c>
      <c r="H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 s="20"/>
      <c r="P138" s="20"/>
      <c r="Q138" s="438">
        <v>0.76615326063458566</v>
      </c>
      <c r="R138" s="197">
        <v>2.5000000000000001E-2</v>
      </c>
      <c r="S138" s="197">
        <v>0.71599999999999997</v>
      </c>
      <c r="T138" s="197">
        <v>0.11808671869809276</v>
      </c>
      <c r="U138" s="197">
        <v>0.41263016220713056</v>
      </c>
      <c r="V138" s="20">
        <f t="shared" ref="V138:Y143" si="155">E138*$Q138*$R138*10</f>
        <v>0.12117863046826924</v>
      </c>
      <c r="W138" s="20">
        <f t="shared" si="155"/>
        <v>0</v>
      </c>
      <c r="X138" s="20">
        <f t="shared" si="155"/>
        <v>0</v>
      </c>
      <c r="Y138" s="20">
        <f t="shared" si="155"/>
        <v>0</v>
      </c>
      <c r="Z138" s="20">
        <f t="shared" ref="Z138:AC143" si="156">V138*(EXP(1.01-0.34*LN(Z$8))*(1-$T138)+(1*$T138))</f>
        <v>3.3813482170356221E-2</v>
      </c>
      <c r="AA138" s="20">
        <f t="shared" si="156"/>
        <v>0</v>
      </c>
      <c r="AB138" s="20">
        <f t="shared" si="156"/>
        <v>0</v>
      </c>
      <c r="AC138" s="20">
        <f t="shared" si="156"/>
        <v>0</v>
      </c>
      <c r="AD138" s="20">
        <f t="shared" ref="AD138:AD143" si="157">SUM(Z138:AC138)</f>
        <v>3.3813482170356221E-2</v>
      </c>
      <c r="AE138" s="20">
        <f t="shared" ref="AE138:AE143" si="158">E138*$Q138*$S138*10</f>
        <v>3.4705559766112311</v>
      </c>
      <c r="AF138" s="20">
        <f t="shared" ref="AF138:AH143" si="159">F138*$Q138*$S138*10</f>
        <v>0</v>
      </c>
      <c r="AG138" s="20">
        <f t="shared" si="159"/>
        <v>0</v>
      </c>
      <c r="AH138" s="20">
        <f t="shared" si="159"/>
        <v>0</v>
      </c>
      <c r="AI138" s="20">
        <f t="shared" ref="AI138:AL143" si="160">AE138*(EXP(1.01-0.34*LN(AI$8))*(1-$U138)+(1*$U138))</f>
        <v>1.8040879319228074</v>
      </c>
      <c r="AJ138" s="20">
        <f t="shared" si="160"/>
        <v>0</v>
      </c>
      <c r="AK138" s="20">
        <f t="shared" si="160"/>
        <v>0</v>
      </c>
      <c r="AL138" s="20">
        <f t="shared" si="160"/>
        <v>0</v>
      </c>
      <c r="AM138" s="20">
        <f t="shared" ref="AM138:AM143" si="161">SUM(AI138:AL138)</f>
        <v>1.8040879319228074</v>
      </c>
      <c r="AO138">
        <f t="shared" ref="AO138:AR143" si="162">Z138*AO$10</f>
        <v>4.0880499943960674E-2</v>
      </c>
      <c r="AP138">
        <f t="shared" si="162"/>
        <v>0</v>
      </c>
      <c r="AQ138">
        <f t="shared" si="162"/>
        <v>0</v>
      </c>
      <c r="AR138">
        <f t="shared" si="162"/>
        <v>0</v>
      </c>
      <c r="AS138">
        <f t="shared" ref="AS138:AS143" si="163">SUM(AO138:AR138)</f>
        <v>4.0880499943960674E-2</v>
      </c>
      <c r="AU138">
        <f t="shared" ref="AU138:AX143" si="164">AI138*AU$10</f>
        <v>2.1811423096946743</v>
      </c>
      <c r="AV138">
        <f t="shared" si="164"/>
        <v>0</v>
      </c>
      <c r="AW138">
        <f t="shared" si="164"/>
        <v>0</v>
      </c>
      <c r="AX138">
        <f t="shared" si="164"/>
        <v>0</v>
      </c>
      <c r="AY138">
        <f t="shared" ref="AY138:AY143" si="165">SUM(AU138:AX138)</f>
        <v>2.1811423096946743</v>
      </c>
    </row>
    <row r="139" spans="1:53" ht="15" x14ac:dyDescent="0.25">
      <c r="A139" s="1"/>
      <c r="B139" s="2"/>
      <c r="C139" s="1" t="s">
        <v>9</v>
      </c>
      <c r="D139">
        <v>0</v>
      </c>
      <c r="E139" s="360">
        <v>1.5754999999999999</v>
      </c>
      <c r="F139">
        <v>0</v>
      </c>
      <c r="G139">
        <v>0</v>
      </c>
      <c r="H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 s="20"/>
      <c r="P139" s="20"/>
      <c r="Q139" s="438">
        <v>0.76730652126917154</v>
      </c>
      <c r="R139" s="197">
        <v>2.5000000000000001E-2</v>
      </c>
      <c r="S139" s="197">
        <v>0.71599999999999997</v>
      </c>
      <c r="T139" s="197">
        <v>0.11808671869809276</v>
      </c>
      <c r="U139" s="197">
        <v>0.41263016220713056</v>
      </c>
      <c r="V139" s="20">
        <f t="shared" si="155"/>
        <v>0.30222285606489491</v>
      </c>
      <c r="W139" s="20">
        <f t="shared" si="155"/>
        <v>0</v>
      </c>
      <c r="X139" s="20">
        <f t="shared" si="155"/>
        <v>0</v>
      </c>
      <c r="Y139" s="20">
        <f t="shared" si="155"/>
        <v>0</v>
      </c>
      <c r="Z139" s="20">
        <f t="shared" si="156"/>
        <v>8.4331759779215934E-2</v>
      </c>
      <c r="AA139" s="20">
        <f t="shared" si="156"/>
        <v>0</v>
      </c>
      <c r="AB139" s="20">
        <f t="shared" si="156"/>
        <v>0</v>
      </c>
      <c r="AC139" s="20">
        <f t="shared" si="156"/>
        <v>0</v>
      </c>
      <c r="AD139" s="20">
        <f t="shared" si="157"/>
        <v>8.4331759779215934E-2</v>
      </c>
      <c r="AE139" s="20">
        <f t="shared" si="158"/>
        <v>8.6556625976985906</v>
      </c>
      <c r="AF139" s="20">
        <f t="shared" si="159"/>
        <v>0</v>
      </c>
      <c r="AG139" s="20">
        <f t="shared" si="159"/>
        <v>0</v>
      </c>
      <c r="AH139" s="20">
        <f t="shared" si="159"/>
        <v>0</v>
      </c>
      <c r="AI139" s="20">
        <f t="shared" si="160"/>
        <v>4.4994452014432644</v>
      </c>
      <c r="AJ139" s="20">
        <f t="shared" si="160"/>
        <v>0</v>
      </c>
      <c r="AK139" s="20">
        <f t="shared" si="160"/>
        <v>0</v>
      </c>
      <c r="AL139" s="20">
        <f t="shared" si="160"/>
        <v>0</v>
      </c>
      <c r="AM139" s="20">
        <f t="shared" si="161"/>
        <v>4.4994452014432644</v>
      </c>
      <c r="AO139">
        <f t="shared" si="162"/>
        <v>0.10195709757307207</v>
      </c>
      <c r="AP139">
        <f t="shared" si="162"/>
        <v>0</v>
      </c>
      <c r="AQ139">
        <f t="shared" si="162"/>
        <v>0</v>
      </c>
      <c r="AR139">
        <f t="shared" si="162"/>
        <v>0</v>
      </c>
      <c r="AS139">
        <f t="shared" si="163"/>
        <v>0.10195709757307207</v>
      </c>
      <c r="AU139">
        <f t="shared" si="164"/>
        <v>5.4398292485449069</v>
      </c>
      <c r="AV139">
        <f t="shared" si="164"/>
        <v>0</v>
      </c>
      <c r="AW139">
        <f t="shared" si="164"/>
        <v>0</v>
      </c>
      <c r="AX139">
        <f t="shared" si="164"/>
        <v>0</v>
      </c>
      <c r="AY139">
        <f t="shared" si="165"/>
        <v>5.4398292485449069</v>
      </c>
    </row>
    <row r="140" spans="1:53" ht="15" x14ac:dyDescent="0.25">
      <c r="A140" s="1"/>
      <c r="B140" s="2"/>
      <c r="C140" s="1" t="s">
        <v>10</v>
      </c>
      <c r="D140">
        <v>0</v>
      </c>
      <c r="E140" s="360">
        <v>0</v>
      </c>
      <c r="F140">
        <v>0</v>
      </c>
      <c r="G140">
        <v>0</v>
      </c>
      <c r="H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 s="20"/>
      <c r="P140" s="20"/>
      <c r="Q140" s="438"/>
      <c r="R140" s="197">
        <v>2.5000000000000001E-2</v>
      </c>
      <c r="S140" s="197">
        <v>0.71599999999999997</v>
      </c>
      <c r="T140" s="197">
        <v>0.11808671869809276</v>
      </c>
      <c r="U140" s="197">
        <v>0.41263016220713056</v>
      </c>
      <c r="V140" s="20">
        <f t="shared" si="155"/>
        <v>0</v>
      </c>
      <c r="W140" s="20">
        <f t="shared" si="155"/>
        <v>0</v>
      </c>
      <c r="X140" s="20">
        <f t="shared" si="155"/>
        <v>0</v>
      </c>
      <c r="Y140" s="20">
        <f t="shared" si="155"/>
        <v>0</v>
      </c>
      <c r="Z140" s="20">
        <f t="shared" si="156"/>
        <v>0</v>
      </c>
      <c r="AA140" s="20">
        <f t="shared" si="156"/>
        <v>0</v>
      </c>
      <c r="AB140" s="20">
        <f t="shared" si="156"/>
        <v>0</v>
      </c>
      <c r="AC140" s="20">
        <f t="shared" si="156"/>
        <v>0</v>
      </c>
      <c r="AD140" s="20">
        <f t="shared" si="157"/>
        <v>0</v>
      </c>
      <c r="AE140" s="20">
        <f t="shared" si="158"/>
        <v>0</v>
      </c>
      <c r="AF140" s="20">
        <f t="shared" si="159"/>
        <v>0</v>
      </c>
      <c r="AG140" s="20">
        <f t="shared" si="159"/>
        <v>0</v>
      </c>
      <c r="AH140" s="20">
        <f t="shared" si="159"/>
        <v>0</v>
      </c>
      <c r="AI140" s="20">
        <f t="shared" si="160"/>
        <v>0</v>
      </c>
      <c r="AJ140" s="20">
        <f t="shared" si="160"/>
        <v>0</v>
      </c>
      <c r="AK140" s="20">
        <f t="shared" si="160"/>
        <v>0</v>
      </c>
      <c r="AL140" s="20">
        <f t="shared" si="160"/>
        <v>0</v>
      </c>
      <c r="AM140" s="20">
        <f t="shared" si="161"/>
        <v>0</v>
      </c>
      <c r="AO140">
        <f t="shared" si="162"/>
        <v>0</v>
      </c>
      <c r="AP140">
        <f t="shared" si="162"/>
        <v>0</v>
      </c>
      <c r="AQ140">
        <f t="shared" si="162"/>
        <v>0</v>
      </c>
      <c r="AR140">
        <f t="shared" si="162"/>
        <v>0</v>
      </c>
      <c r="AS140">
        <f t="shared" si="163"/>
        <v>0</v>
      </c>
      <c r="AU140">
        <f t="shared" si="164"/>
        <v>0</v>
      </c>
      <c r="AV140">
        <f t="shared" si="164"/>
        <v>0</v>
      </c>
      <c r="AW140">
        <f t="shared" si="164"/>
        <v>0</v>
      </c>
      <c r="AX140">
        <f t="shared" si="164"/>
        <v>0</v>
      </c>
      <c r="AY140">
        <f t="shared" si="165"/>
        <v>0</v>
      </c>
    </row>
    <row r="141" spans="1:53" ht="15" x14ac:dyDescent="0.25">
      <c r="A141" s="1"/>
      <c r="B141" s="2"/>
      <c r="C141" s="1" t="s">
        <v>11</v>
      </c>
      <c r="D141">
        <v>0</v>
      </c>
      <c r="E141" s="360">
        <v>10.5235</v>
      </c>
      <c r="F141">
        <v>0</v>
      </c>
      <c r="G141">
        <v>0</v>
      </c>
      <c r="H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 s="20"/>
      <c r="P141" s="20"/>
      <c r="Q141" s="438">
        <v>0.76961304253834295</v>
      </c>
      <c r="R141" s="197">
        <v>2.5000000000000001E-2</v>
      </c>
      <c r="S141" s="197">
        <v>0.71599999999999997</v>
      </c>
      <c r="T141" s="197">
        <v>0.11808671869809276</v>
      </c>
      <c r="U141" s="197">
        <v>0.41263016220713056</v>
      </c>
      <c r="V141" s="20">
        <f t="shared" si="155"/>
        <v>2.0247557132880631</v>
      </c>
      <c r="W141" s="20">
        <f t="shared" si="155"/>
        <v>0</v>
      </c>
      <c r="X141" s="20">
        <f t="shared" si="155"/>
        <v>0</v>
      </c>
      <c r="Y141" s="20">
        <f t="shared" si="155"/>
        <v>0</v>
      </c>
      <c r="Z141" s="20">
        <f t="shared" si="156"/>
        <v>0.56498444441918505</v>
      </c>
      <c r="AA141" s="20">
        <f t="shared" si="156"/>
        <v>0</v>
      </c>
      <c r="AB141" s="20">
        <f t="shared" si="156"/>
        <v>0</v>
      </c>
      <c r="AC141" s="20">
        <f t="shared" si="156"/>
        <v>0</v>
      </c>
      <c r="AD141" s="20">
        <f t="shared" si="157"/>
        <v>0.56498444441918505</v>
      </c>
      <c r="AE141" s="20">
        <f t="shared" si="158"/>
        <v>57.989003628570124</v>
      </c>
      <c r="AF141" s="20">
        <f t="shared" si="159"/>
        <v>0</v>
      </c>
      <c r="AG141" s="20">
        <f t="shared" si="159"/>
        <v>0</v>
      </c>
      <c r="AH141" s="20">
        <f t="shared" si="159"/>
        <v>0</v>
      </c>
      <c r="AI141" s="20">
        <f t="shared" si="160"/>
        <v>30.144236927906608</v>
      </c>
      <c r="AJ141" s="20">
        <f t="shared" si="160"/>
        <v>0</v>
      </c>
      <c r="AK141" s="20">
        <f t="shared" si="160"/>
        <v>0</v>
      </c>
      <c r="AL141" s="20">
        <f t="shared" si="160"/>
        <v>0</v>
      </c>
      <c r="AM141" s="20">
        <f t="shared" si="161"/>
        <v>30.144236927906608</v>
      </c>
      <c r="AO141">
        <f t="shared" si="162"/>
        <v>0.68306619330279472</v>
      </c>
      <c r="AP141">
        <f t="shared" si="162"/>
        <v>0</v>
      </c>
      <c r="AQ141">
        <f t="shared" si="162"/>
        <v>0</v>
      </c>
      <c r="AR141">
        <f t="shared" si="162"/>
        <v>0</v>
      </c>
      <c r="AS141">
        <f t="shared" si="163"/>
        <v>0.68306619330279472</v>
      </c>
      <c r="AU141">
        <f t="shared" si="164"/>
        <v>36.444382445839089</v>
      </c>
      <c r="AV141">
        <f t="shared" si="164"/>
        <v>0</v>
      </c>
      <c r="AW141">
        <f t="shared" si="164"/>
        <v>0</v>
      </c>
      <c r="AX141">
        <f t="shared" si="164"/>
        <v>0</v>
      </c>
      <c r="AY141">
        <f t="shared" si="165"/>
        <v>36.444382445839089</v>
      </c>
    </row>
    <row r="142" spans="1:53" ht="15" x14ac:dyDescent="0.25">
      <c r="A142" s="1"/>
      <c r="B142" s="2"/>
      <c r="C142" s="1" t="s">
        <v>12</v>
      </c>
      <c r="D142">
        <v>0</v>
      </c>
      <c r="E142" s="360">
        <v>0</v>
      </c>
      <c r="F142">
        <v>0</v>
      </c>
      <c r="G142">
        <v>0</v>
      </c>
      <c r="H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 s="20"/>
      <c r="P142" s="20"/>
      <c r="Q142" s="438"/>
      <c r="R142" s="197">
        <v>2.5000000000000001E-2</v>
      </c>
      <c r="S142" s="197">
        <v>0.71599999999999997</v>
      </c>
      <c r="T142" s="197">
        <v>0.11808671869809276</v>
      </c>
      <c r="U142" s="197">
        <v>0.41263016220713056</v>
      </c>
      <c r="V142" s="20">
        <f t="shared" si="155"/>
        <v>0</v>
      </c>
      <c r="W142" s="20">
        <f t="shared" si="155"/>
        <v>0</v>
      </c>
      <c r="X142" s="20">
        <f t="shared" si="155"/>
        <v>0</v>
      </c>
      <c r="Y142" s="20">
        <f t="shared" si="155"/>
        <v>0</v>
      </c>
      <c r="Z142" s="20">
        <f t="shared" si="156"/>
        <v>0</v>
      </c>
      <c r="AA142" s="20">
        <f t="shared" si="156"/>
        <v>0</v>
      </c>
      <c r="AB142" s="20">
        <f t="shared" si="156"/>
        <v>0</v>
      </c>
      <c r="AC142" s="20">
        <f t="shared" si="156"/>
        <v>0</v>
      </c>
      <c r="AD142" s="20">
        <f t="shared" si="157"/>
        <v>0</v>
      </c>
      <c r="AE142" s="20">
        <f t="shared" si="158"/>
        <v>0</v>
      </c>
      <c r="AF142" s="20">
        <f t="shared" si="159"/>
        <v>0</v>
      </c>
      <c r="AG142" s="20">
        <f t="shared" si="159"/>
        <v>0</v>
      </c>
      <c r="AH142" s="20">
        <f t="shared" si="159"/>
        <v>0</v>
      </c>
      <c r="AI142" s="20">
        <f t="shared" si="160"/>
        <v>0</v>
      </c>
      <c r="AJ142" s="20">
        <f t="shared" si="160"/>
        <v>0</v>
      </c>
      <c r="AK142" s="20">
        <f t="shared" si="160"/>
        <v>0</v>
      </c>
      <c r="AL142" s="20">
        <f t="shared" si="160"/>
        <v>0</v>
      </c>
      <c r="AM142" s="20">
        <f t="shared" si="161"/>
        <v>0</v>
      </c>
      <c r="AO142">
        <f t="shared" si="162"/>
        <v>0</v>
      </c>
      <c r="AP142">
        <f t="shared" si="162"/>
        <v>0</v>
      </c>
      <c r="AQ142">
        <f t="shared" si="162"/>
        <v>0</v>
      </c>
      <c r="AR142">
        <f t="shared" si="162"/>
        <v>0</v>
      </c>
      <c r="AS142">
        <f t="shared" si="163"/>
        <v>0</v>
      </c>
      <c r="AU142">
        <f t="shared" si="164"/>
        <v>0</v>
      </c>
      <c r="AV142">
        <f t="shared" si="164"/>
        <v>0</v>
      </c>
      <c r="AW142">
        <f t="shared" si="164"/>
        <v>0</v>
      </c>
      <c r="AX142">
        <f t="shared" si="164"/>
        <v>0</v>
      </c>
      <c r="AY142">
        <f t="shared" si="165"/>
        <v>0</v>
      </c>
    </row>
    <row r="143" spans="1:53" ht="15" x14ac:dyDescent="0.25">
      <c r="A143" s="1"/>
      <c r="B143" s="2"/>
      <c r="C143" s="1" t="s">
        <v>13</v>
      </c>
      <c r="D143">
        <v>0</v>
      </c>
      <c r="E143" s="360">
        <v>12.9397</v>
      </c>
      <c r="F143">
        <v>0</v>
      </c>
      <c r="G143">
        <v>0</v>
      </c>
      <c r="H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20"/>
      <c r="P143" s="20"/>
      <c r="Q143" s="438">
        <v>0.76961304253834306</v>
      </c>
      <c r="R143" s="197">
        <v>2.5000000000000001E-2</v>
      </c>
      <c r="S143" s="197">
        <v>0.71599999999999997</v>
      </c>
      <c r="T143" s="197">
        <v>0.11808671869809276</v>
      </c>
      <c r="U143" s="197">
        <v>0.41263016220713056</v>
      </c>
      <c r="V143" s="20">
        <f t="shared" si="155"/>
        <v>2.4896404716333493</v>
      </c>
      <c r="W143" s="20">
        <f t="shared" si="155"/>
        <v>0</v>
      </c>
      <c r="X143" s="20">
        <f t="shared" si="155"/>
        <v>0</v>
      </c>
      <c r="Y143" s="20">
        <f t="shared" si="155"/>
        <v>0</v>
      </c>
      <c r="Z143" s="20">
        <f t="shared" si="156"/>
        <v>0.69470510908451832</v>
      </c>
      <c r="AA143" s="20">
        <f t="shared" si="156"/>
        <v>0</v>
      </c>
      <c r="AB143" s="20">
        <f t="shared" si="156"/>
        <v>0</v>
      </c>
      <c r="AC143" s="20">
        <f t="shared" si="156"/>
        <v>0</v>
      </c>
      <c r="AD143" s="20">
        <f t="shared" si="157"/>
        <v>0.69470510908451832</v>
      </c>
      <c r="AE143" s="20">
        <f t="shared" si="158"/>
        <v>71.303303107579126</v>
      </c>
      <c r="AF143" s="20">
        <f t="shared" si="159"/>
        <v>0</v>
      </c>
      <c r="AG143" s="20">
        <f t="shared" si="159"/>
        <v>0</v>
      </c>
      <c r="AH143" s="20">
        <f t="shared" si="159"/>
        <v>0</v>
      </c>
      <c r="AI143" s="20">
        <f t="shared" si="160"/>
        <v>37.065366330216484</v>
      </c>
      <c r="AJ143" s="20">
        <f t="shared" si="160"/>
        <v>0</v>
      </c>
      <c r="AK143" s="20">
        <f t="shared" si="160"/>
        <v>0</v>
      </c>
      <c r="AL143" s="20">
        <f t="shared" si="160"/>
        <v>0</v>
      </c>
      <c r="AM143" s="20">
        <f t="shared" si="161"/>
        <v>37.065366330216484</v>
      </c>
      <c r="AO143">
        <f t="shared" si="162"/>
        <v>0.83989847688318275</v>
      </c>
      <c r="AP143">
        <f t="shared" si="162"/>
        <v>0</v>
      </c>
      <c r="AQ143">
        <f t="shared" si="162"/>
        <v>0</v>
      </c>
      <c r="AR143">
        <f t="shared" si="162"/>
        <v>0</v>
      </c>
      <c r="AS143">
        <f t="shared" si="163"/>
        <v>0.83989847688318275</v>
      </c>
      <c r="AU143">
        <f t="shared" si="164"/>
        <v>44.812027893231729</v>
      </c>
      <c r="AV143">
        <f t="shared" si="164"/>
        <v>0</v>
      </c>
      <c r="AW143">
        <f t="shared" si="164"/>
        <v>0</v>
      </c>
      <c r="AX143">
        <f t="shared" si="164"/>
        <v>0</v>
      </c>
      <c r="AY143">
        <f t="shared" si="165"/>
        <v>44.812027893231729</v>
      </c>
    </row>
    <row r="144" spans="1:53" ht="15" x14ac:dyDescent="0.25">
      <c r="A144" s="7"/>
      <c r="B144" s="8" t="s">
        <v>14</v>
      </c>
      <c r="C144" s="7"/>
      <c r="D144" s="357">
        <f t="shared" ref="D144:H144" si="166">SUM(D138:D143)</f>
        <v>0</v>
      </c>
      <c r="E144" s="363">
        <f>SUM(E138:E143)</f>
        <v>25.67136</v>
      </c>
      <c r="F144" s="357">
        <f t="shared" si="166"/>
        <v>0</v>
      </c>
      <c r="G144" s="357">
        <f t="shared" si="166"/>
        <v>0</v>
      </c>
      <c r="H144" s="357">
        <f t="shared" si="166"/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 s="20"/>
      <c r="P144" s="20"/>
      <c r="Q144" s="438">
        <v>0.76938622207075524</v>
      </c>
      <c r="R144" s="197"/>
      <c r="S144" s="197"/>
      <c r="T144" s="197"/>
      <c r="U144" s="197"/>
      <c r="BA144" s="319">
        <f>(E144*10000*Q144*AU$10)</f>
        <v>238791.89539154331</v>
      </c>
    </row>
    <row r="145" spans="1:53" ht="15" x14ac:dyDescent="0.25">
      <c r="A145" s="10"/>
      <c r="B145" s="9" t="s">
        <v>15</v>
      </c>
      <c r="C145" s="5"/>
      <c r="E145" s="363">
        <f>SUM(E144)</f>
        <v>25.67136</v>
      </c>
      <c r="H145" s="358">
        <f>SUM(D144:H144)</f>
        <v>25.67136</v>
      </c>
      <c r="K145" s="14"/>
      <c r="N145">
        <v>0</v>
      </c>
      <c r="O145" s="20"/>
      <c r="P145" s="20"/>
      <c r="Q145" s="438"/>
      <c r="R145" s="197"/>
      <c r="S145" s="197"/>
      <c r="T145" s="197"/>
      <c r="U145" s="197"/>
    </row>
    <row r="146" spans="1:53" ht="15.75" x14ac:dyDescent="0.25">
      <c r="A146" s="1"/>
      <c r="B146" s="2"/>
      <c r="C146" s="1"/>
      <c r="E146" s="361"/>
      <c r="K146" s="14"/>
      <c r="O146" s="20"/>
      <c r="P146" s="20"/>
      <c r="Q146" s="439"/>
      <c r="R146" s="197"/>
      <c r="S146" s="197"/>
      <c r="T146" s="197"/>
      <c r="U146" s="197"/>
    </row>
    <row r="147" spans="1:53" ht="15" x14ac:dyDescent="0.25">
      <c r="A147" s="1">
        <v>16</v>
      </c>
      <c r="B147" s="2" t="s">
        <v>30</v>
      </c>
      <c r="C147" s="1" t="s">
        <v>8</v>
      </c>
      <c r="D147">
        <v>0</v>
      </c>
      <c r="E147" s="360">
        <v>69.565200000000004</v>
      </c>
      <c r="F147">
        <v>0</v>
      </c>
      <c r="G147">
        <v>0</v>
      </c>
      <c r="H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 s="20"/>
      <c r="P147" s="20"/>
      <c r="Q147" s="438">
        <v>0.67692210105764283</v>
      </c>
      <c r="R147" s="197">
        <v>5.6499999999999995E-2</v>
      </c>
      <c r="S147" s="197">
        <v>1.25</v>
      </c>
      <c r="T147" s="197">
        <v>0.50650413159351704</v>
      </c>
      <c r="U147" s="197">
        <v>0.77519673403474398</v>
      </c>
      <c r="V147" s="20">
        <f t="shared" ref="V147:Y152" si="167">E147*$Q147*$R147*10</f>
        <v>26.605975059639754</v>
      </c>
      <c r="W147" s="20">
        <f t="shared" si="167"/>
        <v>0</v>
      </c>
      <c r="X147" s="20">
        <f t="shared" si="167"/>
        <v>0</v>
      </c>
      <c r="Y147" s="20">
        <f t="shared" si="167"/>
        <v>0</v>
      </c>
      <c r="Z147" s="20">
        <f t="shared" ref="Z147:AC152" si="168">V147*(EXP(1.01-0.34*LN(Z$8))*(1-$T147)+(1*$T147))</f>
        <v>15.872286344425859</v>
      </c>
      <c r="AA147" s="20">
        <f t="shared" si="168"/>
        <v>0</v>
      </c>
      <c r="AB147" s="20">
        <f t="shared" si="168"/>
        <v>0</v>
      </c>
      <c r="AC147" s="20">
        <f t="shared" si="168"/>
        <v>0</v>
      </c>
      <c r="AD147" s="20">
        <f t="shared" ref="AD147:AD152" si="169">SUM(Z147:AC147)</f>
        <v>15.872286344425859</v>
      </c>
      <c r="AE147" s="20">
        <f t="shared" ref="AE147:AE152" si="170">E147*$Q147*$S147*10</f>
        <v>588.62776680618924</v>
      </c>
      <c r="AF147" s="20">
        <f t="shared" ref="AF147:AH152" si="171">F147*$Q147*$S147*10</f>
        <v>0</v>
      </c>
      <c r="AG147" s="20">
        <f t="shared" si="171"/>
        <v>0</v>
      </c>
      <c r="AH147" s="20">
        <f t="shared" si="171"/>
        <v>0</v>
      </c>
      <c r="AI147" s="20">
        <f t="shared" ref="AI147:AL152" si="172">AE147*(EXP(1.01-0.34*LN(AI$8))*(1-$U147)+(1*$U147))</f>
        <v>480.45208109412852</v>
      </c>
      <c r="AJ147" s="20">
        <f t="shared" si="172"/>
        <v>0</v>
      </c>
      <c r="AK147" s="20">
        <f t="shared" si="172"/>
        <v>0</v>
      </c>
      <c r="AL147" s="20">
        <f t="shared" si="172"/>
        <v>0</v>
      </c>
      <c r="AM147" s="20">
        <f t="shared" ref="AM147:AM152" si="173">SUM(AI147:AL147)</f>
        <v>480.45208109412852</v>
      </c>
      <c r="AO147">
        <f t="shared" ref="AO147:AR152" si="174">Z147*AO$10</f>
        <v>19.189594190410865</v>
      </c>
      <c r="AP147">
        <f t="shared" si="174"/>
        <v>0</v>
      </c>
      <c r="AQ147">
        <f t="shared" si="174"/>
        <v>0</v>
      </c>
      <c r="AR147">
        <f t="shared" si="174"/>
        <v>0</v>
      </c>
      <c r="AS147">
        <f t="shared" ref="AS147:AS152" si="175">SUM(AO147:AR147)</f>
        <v>19.189594190410865</v>
      </c>
      <c r="AU147">
        <f t="shared" ref="AU147:AX152" si="176">AI147*AU$10</f>
        <v>580.86656604280142</v>
      </c>
      <c r="AV147">
        <f t="shared" si="176"/>
        <v>0</v>
      </c>
      <c r="AW147">
        <f t="shared" si="176"/>
        <v>0</v>
      </c>
      <c r="AX147">
        <f t="shared" si="176"/>
        <v>0</v>
      </c>
      <c r="AY147">
        <f t="shared" ref="AY147:AY152" si="177">SUM(AU147:AX147)</f>
        <v>580.86656604280142</v>
      </c>
    </row>
    <row r="148" spans="1:53" ht="15" x14ac:dyDescent="0.25">
      <c r="A148" s="1"/>
      <c r="B148" s="2"/>
      <c r="C148" s="1" t="s">
        <v>9</v>
      </c>
      <c r="D148">
        <v>0</v>
      </c>
      <c r="E148" s="360">
        <v>8.3310999999999993</v>
      </c>
      <c r="F148">
        <v>0</v>
      </c>
      <c r="G148">
        <v>0</v>
      </c>
      <c r="H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 s="20"/>
      <c r="P148" s="20"/>
      <c r="Q148" s="438">
        <v>0.67884420211528584</v>
      </c>
      <c r="R148" s="197">
        <v>5.6499999999999995E-2</v>
      </c>
      <c r="S148" s="197">
        <v>1.25</v>
      </c>
      <c r="T148" s="197">
        <v>0.50650413159351704</v>
      </c>
      <c r="U148" s="197">
        <v>0.77519673403474398</v>
      </c>
      <c r="V148" s="20">
        <f t="shared" si="167"/>
        <v>3.195368196717101</v>
      </c>
      <c r="W148" s="20">
        <f t="shared" si="167"/>
        <v>0</v>
      </c>
      <c r="X148" s="20">
        <f t="shared" si="167"/>
        <v>0</v>
      </c>
      <c r="Y148" s="20">
        <f t="shared" si="167"/>
        <v>0</v>
      </c>
      <c r="Z148" s="20">
        <f t="shared" si="168"/>
        <v>1.906255977481633</v>
      </c>
      <c r="AA148" s="20">
        <f t="shared" si="168"/>
        <v>0</v>
      </c>
      <c r="AB148" s="20">
        <f t="shared" si="168"/>
        <v>0</v>
      </c>
      <c r="AC148" s="20">
        <f t="shared" si="168"/>
        <v>0</v>
      </c>
      <c r="AD148" s="20">
        <f t="shared" si="169"/>
        <v>1.906255977481633</v>
      </c>
      <c r="AE148" s="20">
        <f t="shared" si="170"/>
        <v>70.693986653033221</v>
      </c>
      <c r="AF148" s="20">
        <f t="shared" si="171"/>
        <v>0</v>
      </c>
      <c r="AG148" s="20">
        <f t="shared" si="171"/>
        <v>0</v>
      </c>
      <c r="AH148" s="20">
        <f t="shared" si="171"/>
        <v>0</v>
      </c>
      <c r="AI148" s="20">
        <f t="shared" si="172"/>
        <v>57.702125050233398</v>
      </c>
      <c r="AJ148" s="20">
        <f t="shared" si="172"/>
        <v>0</v>
      </c>
      <c r="AK148" s="20">
        <f t="shared" si="172"/>
        <v>0</v>
      </c>
      <c r="AL148" s="20">
        <f t="shared" si="172"/>
        <v>0</v>
      </c>
      <c r="AM148" s="20">
        <f t="shared" si="173"/>
        <v>57.702125050233398</v>
      </c>
      <c r="AO148">
        <f t="shared" si="174"/>
        <v>2.3046634767752945</v>
      </c>
      <c r="AP148">
        <f t="shared" si="174"/>
        <v>0</v>
      </c>
      <c r="AQ148">
        <f t="shared" si="174"/>
        <v>0</v>
      </c>
      <c r="AR148">
        <f t="shared" si="174"/>
        <v>0</v>
      </c>
      <c r="AS148">
        <f t="shared" si="175"/>
        <v>2.3046634767752945</v>
      </c>
      <c r="AU148">
        <f t="shared" si="176"/>
        <v>69.761869185732181</v>
      </c>
      <c r="AV148">
        <f t="shared" si="176"/>
        <v>0</v>
      </c>
      <c r="AW148">
        <f t="shared" si="176"/>
        <v>0</v>
      </c>
      <c r="AX148">
        <f t="shared" si="176"/>
        <v>0</v>
      </c>
      <c r="AY148">
        <f t="shared" si="177"/>
        <v>69.761869185732181</v>
      </c>
    </row>
    <row r="149" spans="1:53" ht="15" x14ac:dyDescent="0.25">
      <c r="A149" s="1"/>
      <c r="B149" s="2"/>
      <c r="C149" s="1" t="s">
        <v>10</v>
      </c>
      <c r="D149">
        <v>0</v>
      </c>
      <c r="E149" s="360">
        <v>0</v>
      </c>
      <c r="F149">
        <v>0</v>
      </c>
      <c r="G149">
        <v>0</v>
      </c>
      <c r="H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 s="20"/>
      <c r="P149" s="20"/>
      <c r="Q149" s="438"/>
      <c r="R149" s="197">
        <v>5.6499999999999995E-2</v>
      </c>
      <c r="S149" s="197">
        <v>1.25</v>
      </c>
      <c r="T149" s="197">
        <v>0.50650413159351704</v>
      </c>
      <c r="U149" s="197">
        <v>0.77519673403474398</v>
      </c>
      <c r="V149" s="20">
        <f t="shared" si="167"/>
        <v>0</v>
      </c>
      <c r="W149" s="20">
        <f t="shared" si="167"/>
        <v>0</v>
      </c>
      <c r="X149" s="20">
        <f t="shared" si="167"/>
        <v>0</v>
      </c>
      <c r="Y149" s="20">
        <f t="shared" si="167"/>
        <v>0</v>
      </c>
      <c r="Z149" s="20">
        <f t="shared" si="168"/>
        <v>0</v>
      </c>
      <c r="AA149" s="20">
        <f t="shared" si="168"/>
        <v>0</v>
      </c>
      <c r="AB149" s="20">
        <f t="shared" si="168"/>
        <v>0</v>
      </c>
      <c r="AC149" s="20">
        <f t="shared" si="168"/>
        <v>0</v>
      </c>
      <c r="AD149" s="20">
        <f t="shared" si="169"/>
        <v>0</v>
      </c>
      <c r="AE149" s="20">
        <f t="shared" si="170"/>
        <v>0</v>
      </c>
      <c r="AF149" s="20">
        <f t="shared" si="171"/>
        <v>0</v>
      </c>
      <c r="AG149" s="20">
        <f t="shared" si="171"/>
        <v>0</v>
      </c>
      <c r="AH149" s="20">
        <f t="shared" si="171"/>
        <v>0</v>
      </c>
      <c r="AI149" s="20">
        <f t="shared" si="172"/>
        <v>0</v>
      </c>
      <c r="AJ149" s="20">
        <f t="shared" si="172"/>
        <v>0</v>
      </c>
      <c r="AK149" s="20">
        <f t="shared" si="172"/>
        <v>0</v>
      </c>
      <c r="AL149" s="20">
        <f t="shared" si="172"/>
        <v>0</v>
      </c>
      <c r="AM149" s="20">
        <f t="shared" si="173"/>
        <v>0</v>
      </c>
      <c r="AO149">
        <f t="shared" si="174"/>
        <v>0</v>
      </c>
      <c r="AP149">
        <f t="shared" si="174"/>
        <v>0</v>
      </c>
      <c r="AQ149">
        <f t="shared" si="174"/>
        <v>0</v>
      </c>
      <c r="AR149">
        <f t="shared" si="174"/>
        <v>0</v>
      </c>
      <c r="AS149">
        <f t="shared" si="175"/>
        <v>0</v>
      </c>
      <c r="AU149">
        <f t="shared" si="176"/>
        <v>0</v>
      </c>
      <c r="AV149">
        <f t="shared" si="176"/>
        <v>0</v>
      </c>
      <c r="AW149">
        <f t="shared" si="176"/>
        <v>0</v>
      </c>
      <c r="AX149">
        <f t="shared" si="176"/>
        <v>0</v>
      </c>
      <c r="AY149">
        <f t="shared" si="177"/>
        <v>0</v>
      </c>
    </row>
    <row r="150" spans="1:53" ht="15" x14ac:dyDescent="0.25">
      <c r="A150" s="1"/>
      <c r="B150" s="2"/>
      <c r="C150" s="1" t="s">
        <v>11</v>
      </c>
      <c r="D150">
        <v>0</v>
      </c>
      <c r="E150" s="360">
        <v>1293.5411999999999</v>
      </c>
      <c r="F150">
        <v>0</v>
      </c>
      <c r="G150">
        <v>0</v>
      </c>
      <c r="H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s="20"/>
      <c r="P150" s="20"/>
      <c r="Q150" s="438">
        <v>0.68268840423057175</v>
      </c>
      <c r="R150" s="197">
        <v>5.6499999999999995E-2</v>
      </c>
      <c r="S150" s="197">
        <v>1.25</v>
      </c>
      <c r="T150" s="197">
        <v>0.50650413159351704</v>
      </c>
      <c r="U150" s="197">
        <v>0.77519673403474398</v>
      </c>
      <c r="V150" s="20">
        <f t="shared" si="167"/>
        <v>498.94335136349179</v>
      </c>
      <c r="W150" s="20">
        <f t="shared" si="167"/>
        <v>0</v>
      </c>
      <c r="X150" s="20">
        <f t="shared" si="167"/>
        <v>0</v>
      </c>
      <c r="Y150" s="20">
        <f t="shared" si="167"/>
        <v>0</v>
      </c>
      <c r="Z150" s="20">
        <f t="shared" si="168"/>
        <v>297.65388130812045</v>
      </c>
      <c r="AA150" s="20">
        <f t="shared" si="168"/>
        <v>0</v>
      </c>
      <c r="AB150" s="20">
        <f t="shared" si="168"/>
        <v>0</v>
      </c>
      <c r="AC150" s="20">
        <f t="shared" si="168"/>
        <v>0</v>
      </c>
      <c r="AD150" s="20">
        <f t="shared" si="169"/>
        <v>297.65388130812045</v>
      </c>
      <c r="AE150" s="20">
        <f t="shared" si="170"/>
        <v>11038.569720431235</v>
      </c>
      <c r="AF150" s="20">
        <f t="shared" si="171"/>
        <v>0</v>
      </c>
      <c r="AG150" s="20">
        <f t="shared" si="171"/>
        <v>0</v>
      </c>
      <c r="AH150" s="20">
        <f t="shared" si="171"/>
        <v>0</v>
      </c>
      <c r="AI150" s="20">
        <f t="shared" si="172"/>
        <v>9009.944983159523</v>
      </c>
      <c r="AJ150" s="20">
        <f t="shared" si="172"/>
        <v>0</v>
      </c>
      <c r="AK150" s="20">
        <f t="shared" si="172"/>
        <v>0</v>
      </c>
      <c r="AL150" s="20">
        <f t="shared" si="172"/>
        <v>0</v>
      </c>
      <c r="AM150" s="20">
        <f t="shared" si="173"/>
        <v>9009.944983159523</v>
      </c>
      <c r="AO150">
        <f t="shared" si="174"/>
        <v>359.86354250151766</v>
      </c>
      <c r="AP150">
        <f t="shared" si="174"/>
        <v>0</v>
      </c>
      <c r="AQ150">
        <f t="shared" si="174"/>
        <v>0</v>
      </c>
      <c r="AR150">
        <f t="shared" si="174"/>
        <v>0</v>
      </c>
      <c r="AS150">
        <f t="shared" si="175"/>
        <v>359.86354250151766</v>
      </c>
      <c r="AU150">
        <f t="shared" si="176"/>
        <v>10893.023484639863</v>
      </c>
      <c r="AV150">
        <f t="shared" si="176"/>
        <v>0</v>
      </c>
      <c r="AW150">
        <f t="shared" si="176"/>
        <v>0</v>
      </c>
      <c r="AX150">
        <f t="shared" si="176"/>
        <v>0</v>
      </c>
      <c r="AY150">
        <f t="shared" si="177"/>
        <v>10893.023484639863</v>
      </c>
    </row>
    <row r="151" spans="1:53" ht="15" x14ac:dyDescent="0.25">
      <c r="A151" s="1"/>
      <c r="B151" s="2"/>
      <c r="C151" s="1" t="s">
        <v>12</v>
      </c>
      <c r="D151">
        <v>0</v>
      </c>
      <c r="E151" s="360">
        <v>0</v>
      </c>
      <c r="F151">
        <v>0</v>
      </c>
      <c r="G151">
        <v>0</v>
      </c>
      <c r="H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 s="20"/>
      <c r="P151" s="20"/>
      <c r="Q151" s="438"/>
      <c r="R151" s="197">
        <v>5.6499999999999995E-2</v>
      </c>
      <c r="S151" s="197">
        <v>1.25</v>
      </c>
      <c r="T151" s="197">
        <v>0.50650413159351704</v>
      </c>
      <c r="U151" s="197">
        <v>0.77519673403474398</v>
      </c>
      <c r="V151" s="20">
        <f t="shared" si="167"/>
        <v>0</v>
      </c>
      <c r="W151" s="20">
        <f t="shared" si="167"/>
        <v>0</v>
      </c>
      <c r="X151" s="20">
        <f t="shared" si="167"/>
        <v>0</v>
      </c>
      <c r="Y151" s="20">
        <f t="shared" si="167"/>
        <v>0</v>
      </c>
      <c r="Z151" s="20">
        <f t="shared" si="168"/>
        <v>0</v>
      </c>
      <c r="AA151" s="20">
        <f t="shared" si="168"/>
        <v>0</v>
      </c>
      <c r="AB151" s="20">
        <f t="shared" si="168"/>
        <v>0</v>
      </c>
      <c r="AC151" s="20">
        <f t="shared" si="168"/>
        <v>0</v>
      </c>
      <c r="AD151" s="20">
        <f t="shared" si="169"/>
        <v>0</v>
      </c>
      <c r="AE151" s="20">
        <f t="shared" si="170"/>
        <v>0</v>
      </c>
      <c r="AF151" s="20">
        <f t="shared" si="171"/>
        <v>0</v>
      </c>
      <c r="AG151" s="20">
        <f t="shared" si="171"/>
        <v>0</v>
      </c>
      <c r="AH151" s="20">
        <f t="shared" si="171"/>
        <v>0</v>
      </c>
      <c r="AI151" s="20">
        <f t="shared" si="172"/>
        <v>0</v>
      </c>
      <c r="AJ151" s="20">
        <f t="shared" si="172"/>
        <v>0</v>
      </c>
      <c r="AK151" s="20">
        <f t="shared" si="172"/>
        <v>0</v>
      </c>
      <c r="AL151" s="20">
        <f t="shared" si="172"/>
        <v>0</v>
      </c>
      <c r="AM151" s="20">
        <f t="shared" si="173"/>
        <v>0</v>
      </c>
      <c r="AO151">
        <f t="shared" si="174"/>
        <v>0</v>
      </c>
      <c r="AP151">
        <f t="shared" si="174"/>
        <v>0</v>
      </c>
      <c r="AQ151">
        <f t="shared" si="174"/>
        <v>0</v>
      </c>
      <c r="AR151">
        <f t="shared" si="174"/>
        <v>0</v>
      </c>
      <c r="AS151">
        <f t="shared" si="175"/>
        <v>0</v>
      </c>
      <c r="AU151">
        <f t="shared" si="176"/>
        <v>0</v>
      </c>
      <c r="AV151">
        <f t="shared" si="176"/>
        <v>0</v>
      </c>
      <c r="AW151">
        <f t="shared" si="176"/>
        <v>0</v>
      </c>
      <c r="AX151">
        <f t="shared" si="176"/>
        <v>0</v>
      </c>
      <c r="AY151">
        <f t="shared" si="177"/>
        <v>0</v>
      </c>
    </row>
    <row r="152" spans="1:53" ht="15" x14ac:dyDescent="0.25">
      <c r="A152" s="1"/>
      <c r="B152" s="2"/>
      <c r="C152" s="1" t="s">
        <v>13</v>
      </c>
      <c r="D152">
        <v>0</v>
      </c>
      <c r="E152" s="360">
        <v>25.831499999999998</v>
      </c>
      <c r="F152">
        <v>0</v>
      </c>
      <c r="G152">
        <v>0</v>
      </c>
      <c r="H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20"/>
      <c r="P152" s="20"/>
      <c r="Q152" s="438">
        <v>0.68268840423057175</v>
      </c>
      <c r="R152" s="197">
        <v>5.6499999999999995E-2</v>
      </c>
      <c r="S152" s="197">
        <v>1.25</v>
      </c>
      <c r="T152" s="197">
        <v>0.50650413159351704</v>
      </c>
      <c r="U152" s="197">
        <v>0.77519673403474398</v>
      </c>
      <c r="V152" s="20">
        <f t="shared" si="167"/>
        <v>9.9636990153433356</v>
      </c>
      <c r="W152" s="20">
        <f t="shared" si="167"/>
        <v>0</v>
      </c>
      <c r="X152" s="20">
        <f t="shared" si="167"/>
        <v>0</v>
      </c>
      <c r="Y152" s="20">
        <f t="shared" si="167"/>
        <v>0</v>
      </c>
      <c r="Z152" s="20">
        <f t="shared" si="168"/>
        <v>5.9440288682035893</v>
      </c>
      <c r="AA152" s="20">
        <f t="shared" si="168"/>
        <v>0</v>
      </c>
      <c r="AB152" s="20">
        <f t="shared" si="168"/>
        <v>0</v>
      </c>
      <c r="AC152" s="20">
        <f t="shared" si="168"/>
        <v>0</v>
      </c>
      <c r="AD152" s="20">
        <f t="shared" si="169"/>
        <v>5.9440288682035893</v>
      </c>
      <c r="AE152" s="20">
        <f t="shared" si="170"/>
        <v>220.43581892352512</v>
      </c>
      <c r="AF152" s="20">
        <f t="shared" si="171"/>
        <v>0</v>
      </c>
      <c r="AG152" s="20">
        <f t="shared" si="171"/>
        <v>0</v>
      </c>
      <c r="AH152" s="20">
        <f t="shared" si="171"/>
        <v>0</v>
      </c>
      <c r="AI152" s="20">
        <f t="shared" si="172"/>
        <v>179.92499491510992</v>
      </c>
      <c r="AJ152" s="20">
        <f t="shared" si="172"/>
        <v>0</v>
      </c>
      <c r="AK152" s="20">
        <f t="shared" si="172"/>
        <v>0</v>
      </c>
      <c r="AL152" s="20">
        <f t="shared" si="172"/>
        <v>0</v>
      </c>
      <c r="AM152" s="20">
        <f t="shared" si="173"/>
        <v>179.92499491510992</v>
      </c>
      <c r="AO152">
        <f t="shared" si="174"/>
        <v>7.18633090165814</v>
      </c>
      <c r="AP152">
        <f t="shared" si="174"/>
        <v>0</v>
      </c>
      <c r="AQ152">
        <f t="shared" si="174"/>
        <v>0</v>
      </c>
      <c r="AR152">
        <f t="shared" si="174"/>
        <v>0</v>
      </c>
      <c r="AS152">
        <f t="shared" si="175"/>
        <v>7.18633090165814</v>
      </c>
      <c r="AU152">
        <f t="shared" si="176"/>
        <v>217.52931885236791</v>
      </c>
      <c r="AV152">
        <f t="shared" si="176"/>
        <v>0</v>
      </c>
      <c r="AW152">
        <f t="shared" si="176"/>
        <v>0</v>
      </c>
      <c r="AX152">
        <f t="shared" si="176"/>
        <v>0</v>
      </c>
      <c r="AY152">
        <f t="shared" si="177"/>
        <v>217.52931885236791</v>
      </c>
    </row>
    <row r="153" spans="1:53" ht="15" x14ac:dyDescent="0.25">
      <c r="A153" s="7"/>
      <c r="B153" s="8" t="s">
        <v>14</v>
      </c>
      <c r="C153" s="7"/>
      <c r="D153" s="357">
        <f t="shared" ref="D153:H153" si="178">SUM(D147:D152)</f>
        <v>0</v>
      </c>
      <c r="E153" s="363">
        <f>SUM(E147:E152)</f>
        <v>1397.269</v>
      </c>
      <c r="F153" s="357">
        <f t="shared" si="178"/>
        <v>0</v>
      </c>
      <c r="G153" s="357">
        <f t="shared" si="178"/>
        <v>0</v>
      </c>
      <c r="H153" s="357">
        <f t="shared" si="178"/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 s="20"/>
      <c r="P153" s="20"/>
      <c r="Q153" s="438">
        <v>0.68237839916660192</v>
      </c>
      <c r="R153" s="197"/>
      <c r="S153" s="197"/>
      <c r="T153" s="197"/>
      <c r="U153" s="197"/>
      <c r="BA153" s="319">
        <f>(E153*10000*Q153*AU$10)</f>
        <v>11527406.157609686</v>
      </c>
    </row>
    <row r="154" spans="1:53" ht="15" x14ac:dyDescent="0.25">
      <c r="A154" s="10"/>
      <c r="B154" s="9" t="s">
        <v>15</v>
      </c>
      <c r="C154" s="5"/>
      <c r="E154" s="363">
        <f>SUM(E153)</f>
        <v>1397.269</v>
      </c>
      <c r="H154" s="358">
        <f>SUM(D153:H153)</f>
        <v>1397.269</v>
      </c>
      <c r="K154" s="14"/>
      <c r="N154">
        <v>0</v>
      </c>
      <c r="O154" s="20"/>
      <c r="P154" s="20"/>
      <c r="Q154" s="438"/>
      <c r="R154" s="197"/>
      <c r="S154" s="197"/>
      <c r="T154" s="197"/>
      <c r="U154" s="197"/>
    </row>
    <row r="155" spans="1:53" ht="15.75" x14ac:dyDescent="0.25">
      <c r="A155" s="1"/>
      <c r="B155" s="2"/>
      <c r="C155" s="1"/>
      <c r="E155" s="361"/>
      <c r="K155" s="14"/>
      <c r="O155" s="20"/>
      <c r="P155" s="20"/>
      <c r="Q155" s="439"/>
      <c r="R155" s="197"/>
      <c r="S155" s="197"/>
      <c r="T155" s="197"/>
      <c r="U155" s="197"/>
    </row>
    <row r="156" spans="1:53" ht="15" x14ac:dyDescent="0.25">
      <c r="A156" s="1">
        <v>17</v>
      </c>
      <c r="B156" s="2" t="s">
        <v>31</v>
      </c>
      <c r="C156" s="1" t="s">
        <v>8</v>
      </c>
      <c r="D156">
        <v>0</v>
      </c>
      <c r="E156" s="360"/>
      <c r="F156">
        <v>0</v>
      </c>
      <c r="G156">
        <v>0</v>
      </c>
      <c r="H156">
        <v>0</v>
      </c>
      <c r="J156">
        <v>0</v>
      </c>
      <c r="K156" s="14">
        <v>0</v>
      </c>
      <c r="L156">
        <v>0</v>
      </c>
      <c r="M156">
        <v>0</v>
      </c>
      <c r="N156">
        <v>0</v>
      </c>
      <c r="O156" s="20"/>
      <c r="P156" s="20"/>
      <c r="Q156" s="438"/>
      <c r="R156" s="197"/>
      <c r="S156" s="197"/>
      <c r="T156" s="197"/>
      <c r="U156" s="197"/>
      <c r="V156" s="20">
        <f t="shared" ref="V156:Y161" si="179">IF(K156&gt;0,((E156-K156)*$Q156*$R156*10)+(K156*$O$12*$Q156*$R156*10),(E156*$Q156*$R156*10))</f>
        <v>0</v>
      </c>
      <c r="W156" s="20">
        <f t="shared" si="179"/>
        <v>0</v>
      </c>
      <c r="X156" s="20">
        <f t="shared" si="179"/>
        <v>0</v>
      </c>
      <c r="Y156" s="20">
        <f t="shared" si="179"/>
        <v>0</v>
      </c>
      <c r="Z156" s="20">
        <f t="shared" ref="Z156:AC161" si="180">V156*(EXP(1.01-0.34*LN(Z$8))*(1-$T156)+(1*$T156))</f>
        <v>0</v>
      </c>
      <c r="AA156" s="20">
        <f t="shared" si="180"/>
        <v>0</v>
      </c>
      <c r="AB156" s="20">
        <f t="shared" si="180"/>
        <v>0</v>
      </c>
      <c r="AC156" s="20">
        <f t="shared" si="180"/>
        <v>0</v>
      </c>
      <c r="AD156" s="20">
        <f t="shared" ref="AD156:AD161" si="181">SUM(Z156:AC156)</f>
        <v>0</v>
      </c>
      <c r="AE156" s="20">
        <f t="shared" ref="AE156:AH161" si="182">IF(K156&gt;0,((E156-K156)*$Q156*$S156*10)+(K156*$P$12*$Q156*$S156)*10,(E156*$Q156*$S156*10))</f>
        <v>0</v>
      </c>
      <c r="AF156" s="20">
        <f t="shared" si="182"/>
        <v>0</v>
      </c>
      <c r="AG156" s="20">
        <f t="shared" si="182"/>
        <v>0</v>
      </c>
      <c r="AH156" s="20">
        <f t="shared" si="182"/>
        <v>0</v>
      </c>
      <c r="AI156" s="20">
        <f t="shared" ref="AI156:AL161" si="183">AE156*(EXP(1.01-0.34*LN(AI$8))*(1-$U156)+(1*$U156))</f>
        <v>0</v>
      </c>
      <c r="AJ156" s="20">
        <f t="shared" si="183"/>
        <v>0</v>
      </c>
      <c r="AK156" s="20">
        <f t="shared" si="183"/>
        <v>0</v>
      </c>
      <c r="AL156" s="20">
        <f t="shared" si="183"/>
        <v>0</v>
      </c>
      <c r="AM156" s="20">
        <f t="shared" ref="AM156:AM161" si="184">SUM(AI156:AL156)</f>
        <v>0</v>
      </c>
      <c r="AO156">
        <f t="shared" ref="AO156:AR161" si="185">Z156*AO$10</f>
        <v>0</v>
      </c>
      <c r="AP156">
        <f t="shared" si="185"/>
        <v>0</v>
      </c>
      <c r="AQ156">
        <f t="shared" si="185"/>
        <v>0</v>
      </c>
      <c r="AR156">
        <f t="shared" si="185"/>
        <v>0</v>
      </c>
      <c r="AS156">
        <f t="shared" ref="AS156:AS161" si="186">SUM(AO156:AR156)</f>
        <v>0</v>
      </c>
      <c r="AU156">
        <f t="shared" ref="AU156:AX161" si="187">AI156*AU$10</f>
        <v>0</v>
      </c>
      <c r="AV156">
        <f t="shared" si="187"/>
        <v>0</v>
      </c>
      <c r="AW156">
        <f t="shared" si="187"/>
        <v>0</v>
      </c>
      <c r="AX156">
        <f t="shared" si="187"/>
        <v>0</v>
      </c>
      <c r="AY156">
        <f t="shared" ref="AY156:AY161" si="188">SUM(AU156:AX156)</f>
        <v>0</v>
      </c>
    </row>
    <row r="157" spans="1:53" ht="15" x14ac:dyDescent="0.25">
      <c r="A157" s="1"/>
      <c r="B157" s="2"/>
      <c r="C157" s="1" t="s">
        <v>9</v>
      </c>
      <c r="D157">
        <v>0</v>
      </c>
      <c r="E157" s="360"/>
      <c r="F157">
        <v>0</v>
      </c>
      <c r="G157">
        <v>0</v>
      </c>
      <c r="H157">
        <v>0</v>
      </c>
      <c r="J157">
        <v>0</v>
      </c>
      <c r="K157" s="14">
        <v>0</v>
      </c>
      <c r="L157">
        <v>0</v>
      </c>
      <c r="M157">
        <v>0</v>
      </c>
      <c r="N157">
        <v>0</v>
      </c>
      <c r="O157" s="20"/>
      <c r="P157" s="20"/>
      <c r="Q157" s="438"/>
      <c r="R157" s="197"/>
      <c r="S157" s="197"/>
      <c r="T157" s="197"/>
      <c r="U157" s="197"/>
      <c r="V157" s="20">
        <f t="shared" si="179"/>
        <v>0</v>
      </c>
      <c r="W157" s="20">
        <f t="shared" si="179"/>
        <v>0</v>
      </c>
      <c r="X157" s="20">
        <f t="shared" si="179"/>
        <v>0</v>
      </c>
      <c r="Y157" s="20">
        <f t="shared" si="179"/>
        <v>0</v>
      </c>
      <c r="Z157" s="20">
        <f t="shared" si="180"/>
        <v>0</v>
      </c>
      <c r="AA157" s="20">
        <f t="shared" si="180"/>
        <v>0</v>
      </c>
      <c r="AB157" s="20">
        <f t="shared" si="180"/>
        <v>0</v>
      </c>
      <c r="AC157" s="20">
        <f t="shared" si="180"/>
        <v>0</v>
      </c>
      <c r="AD157" s="20">
        <f t="shared" si="181"/>
        <v>0</v>
      </c>
      <c r="AE157" s="20">
        <f t="shared" si="182"/>
        <v>0</v>
      </c>
      <c r="AF157" s="20">
        <f t="shared" si="182"/>
        <v>0</v>
      </c>
      <c r="AG157" s="20">
        <f t="shared" si="182"/>
        <v>0</v>
      </c>
      <c r="AH157" s="20">
        <f t="shared" si="182"/>
        <v>0</v>
      </c>
      <c r="AI157" s="20">
        <f t="shared" si="183"/>
        <v>0</v>
      </c>
      <c r="AJ157" s="20">
        <f t="shared" si="183"/>
        <v>0</v>
      </c>
      <c r="AK157" s="20">
        <f t="shared" si="183"/>
        <v>0</v>
      </c>
      <c r="AL157" s="20">
        <f t="shared" si="183"/>
        <v>0</v>
      </c>
      <c r="AM157" s="20">
        <f t="shared" si="184"/>
        <v>0</v>
      </c>
      <c r="AO157">
        <f t="shared" si="185"/>
        <v>0</v>
      </c>
      <c r="AP157">
        <f t="shared" si="185"/>
        <v>0</v>
      </c>
      <c r="AQ157">
        <f t="shared" si="185"/>
        <v>0</v>
      </c>
      <c r="AR157">
        <f t="shared" si="185"/>
        <v>0</v>
      </c>
      <c r="AS157">
        <f t="shared" si="186"/>
        <v>0</v>
      </c>
      <c r="AU157">
        <f t="shared" si="187"/>
        <v>0</v>
      </c>
      <c r="AV157">
        <f t="shared" si="187"/>
        <v>0</v>
      </c>
      <c r="AW157">
        <f t="shared" si="187"/>
        <v>0</v>
      </c>
      <c r="AX157">
        <f t="shared" si="187"/>
        <v>0</v>
      </c>
      <c r="AY157">
        <f t="shared" si="188"/>
        <v>0</v>
      </c>
    </row>
    <row r="158" spans="1:53" ht="15" x14ac:dyDescent="0.25">
      <c r="A158" s="1"/>
      <c r="B158" s="2"/>
      <c r="C158" s="1" t="s">
        <v>10</v>
      </c>
      <c r="D158">
        <v>0</v>
      </c>
      <c r="E158" s="360"/>
      <c r="F158">
        <v>0</v>
      </c>
      <c r="G158">
        <v>0</v>
      </c>
      <c r="H158">
        <v>0</v>
      </c>
      <c r="J158">
        <v>0</v>
      </c>
      <c r="K158" s="14">
        <v>0</v>
      </c>
      <c r="L158">
        <v>0</v>
      </c>
      <c r="M158">
        <v>0</v>
      </c>
      <c r="N158">
        <v>0</v>
      </c>
      <c r="O158" s="20"/>
      <c r="P158" s="20"/>
      <c r="Q158" s="438"/>
      <c r="R158" s="197"/>
      <c r="S158" s="197"/>
      <c r="T158" s="197"/>
      <c r="U158" s="197"/>
      <c r="V158" s="20">
        <f t="shared" si="179"/>
        <v>0</v>
      </c>
      <c r="W158" s="20">
        <f t="shared" si="179"/>
        <v>0</v>
      </c>
      <c r="X158" s="20">
        <f t="shared" si="179"/>
        <v>0</v>
      </c>
      <c r="Y158" s="20">
        <f t="shared" si="179"/>
        <v>0</v>
      </c>
      <c r="Z158" s="20">
        <f t="shared" si="180"/>
        <v>0</v>
      </c>
      <c r="AA158" s="20">
        <f t="shared" si="180"/>
        <v>0</v>
      </c>
      <c r="AB158" s="20">
        <f t="shared" si="180"/>
        <v>0</v>
      </c>
      <c r="AC158" s="20">
        <f t="shared" si="180"/>
        <v>0</v>
      </c>
      <c r="AD158" s="20">
        <f t="shared" si="181"/>
        <v>0</v>
      </c>
      <c r="AE158" s="20">
        <f t="shared" si="182"/>
        <v>0</v>
      </c>
      <c r="AF158" s="20">
        <f t="shared" si="182"/>
        <v>0</v>
      </c>
      <c r="AG158" s="20">
        <f t="shared" si="182"/>
        <v>0</v>
      </c>
      <c r="AH158" s="20">
        <f t="shared" si="182"/>
        <v>0</v>
      </c>
      <c r="AI158" s="20">
        <f t="shared" si="183"/>
        <v>0</v>
      </c>
      <c r="AJ158" s="20">
        <f t="shared" si="183"/>
        <v>0</v>
      </c>
      <c r="AK158" s="20">
        <f t="shared" si="183"/>
        <v>0</v>
      </c>
      <c r="AL158" s="20">
        <f t="shared" si="183"/>
        <v>0</v>
      </c>
      <c r="AM158" s="20">
        <f t="shared" si="184"/>
        <v>0</v>
      </c>
      <c r="AO158">
        <f t="shared" si="185"/>
        <v>0</v>
      </c>
      <c r="AP158">
        <f t="shared" si="185"/>
        <v>0</v>
      </c>
      <c r="AQ158">
        <f t="shared" si="185"/>
        <v>0</v>
      </c>
      <c r="AR158">
        <f t="shared" si="185"/>
        <v>0</v>
      </c>
      <c r="AS158">
        <f t="shared" si="186"/>
        <v>0</v>
      </c>
      <c r="AU158">
        <f t="shared" si="187"/>
        <v>0</v>
      </c>
      <c r="AV158">
        <f t="shared" si="187"/>
        <v>0</v>
      </c>
      <c r="AW158">
        <f t="shared" si="187"/>
        <v>0</v>
      </c>
      <c r="AX158">
        <f t="shared" si="187"/>
        <v>0</v>
      </c>
      <c r="AY158">
        <f t="shared" si="188"/>
        <v>0</v>
      </c>
    </row>
    <row r="159" spans="1:53" ht="15" x14ac:dyDescent="0.25">
      <c r="A159" s="1"/>
      <c r="B159" s="2"/>
      <c r="C159" s="1" t="s">
        <v>11</v>
      </c>
      <c r="D159">
        <v>0</v>
      </c>
      <c r="E159" s="360"/>
      <c r="F159">
        <v>0</v>
      </c>
      <c r="G159">
        <v>0</v>
      </c>
      <c r="H159">
        <v>0</v>
      </c>
      <c r="J159">
        <v>0</v>
      </c>
      <c r="K159" s="14">
        <v>0</v>
      </c>
      <c r="L159">
        <v>0</v>
      </c>
      <c r="M159">
        <v>0</v>
      </c>
      <c r="N159">
        <v>0</v>
      </c>
      <c r="O159" s="20"/>
      <c r="P159" s="20"/>
      <c r="Q159" s="438"/>
      <c r="R159" s="197"/>
      <c r="S159" s="197"/>
      <c r="T159" s="197"/>
      <c r="U159" s="197"/>
      <c r="V159" s="20">
        <f t="shared" si="179"/>
        <v>0</v>
      </c>
      <c r="W159" s="20">
        <f t="shared" si="179"/>
        <v>0</v>
      </c>
      <c r="X159" s="20">
        <f t="shared" si="179"/>
        <v>0</v>
      </c>
      <c r="Y159" s="20">
        <f t="shared" si="179"/>
        <v>0</v>
      </c>
      <c r="Z159" s="20">
        <f t="shared" si="180"/>
        <v>0</v>
      </c>
      <c r="AA159" s="20">
        <f t="shared" si="180"/>
        <v>0</v>
      </c>
      <c r="AB159" s="20">
        <f t="shared" si="180"/>
        <v>0</v>
      </c>
      <c r="AC159" s="20">
        <f t="shared" si="180"/>
        <v>0</v>
      </c>
      <c r="AD159" s="20">
        <f t="shared" si="181"/>
        <v>0</v>
      </c>
      <c r="AE159" s="20">
        <f t="shared" si="182"/>
        <v>0</v>
      </c>
      <c r="AF159" s="20">
        <f t="shared" si="182"/>
        <v>0</v>
      </c>
      <c r="AG159" s="20">
        <f t="shared" si="182"/>
        <v>0</v>
      </c>
      <c r="AH159" s="20">
        <f t="shared" si="182"/>
        <v>0</v>
      </c>
      <c r="AI159" s="20">
        <f t="shared" si="183"/>
        <v>0</v>
      </c>
      <c r="AJ159" s="20">
        <f t="shared" si="183"/>
        <v>0</v>
      </c>
      <c r="AK159" s="20">
        <f t="shared" si="183"/>
        <v>0</v>
      </c>
      <c r="AL159" s="20">
        <f t="shared" si="183"/>
        <v>0</v>
      </c>
      <c r="AM159" s="20">
        <f t="shared" si="184"/>
        <v>0</v>
      </c>
      <c r="AO159">
        <f t="shared" si="185"/>
        <v>0</v>
      </c>
      <c r="AP159">
        <f t="shared" si="185"/>
        <v>0</v>
      </c>
      <c r="AQ159">
        <f t="shared" si="185"/>
        <v>0</v>
      </c>
      <c r="AR159">
        <f t="shared" si="185"/>
        <v>0</v>
      </c>
      <c r="AS159">
        <f t="shared" si="186"/>
        <v>0</v>
      </c>
      <c r="AU159">
        <f t="shared" si="187"/>
        <v>0</v>
      </c>
      <c r="AV159">
        <f t="shared" si="187"/>
        <v>0</v>
      </c>
      <c r="AW159">
        <f t="shared" si="187"/>
        <v>0</v>
      </c>
      <c r="AX159">
        <f t="shared" si="187"/>
        <v>0</v>
      </c>
      <c r="AY159">
        <f t="shared" si="188"/>
        <v>0</v>
      </c>
    </row>
    <row r="160" spans="1:53" ht="15" x14ac:dyDescent="0.25">
      <c r="A160" s="1"/>
      <c r="B160" s="2"/>
      <c r="C160" s="1" t="s">
        <v>12</v>
      </c>
      <c r="D160">
        <v>0</v>
      </c>
      <c r="E160" s="360"/>
      <c r="F160">
        <v>0</v>
      </c>
      <c r="G160">
        <v>0</v>
      </c>
      <c r="H160">
        <v>0</v>
      </c>
      <c r="J160">
        <v>0</v>
      </c>
      <c r="K160" s="14">
        <v>0</v>
      </c>
      <c r="L160">
        <v>0</v>
      </c>
      <c r="M160">
        <v>0</v>
      </c>
      <c r="N160">
        <v>0</v>
      </c>
      <c r="O160" s="20"/>
      <c r="P160" s="20"/>
      <c r="Q160" s="438"/>
      <c r="R160" s="197"/>
      <c r="S160" s="197"/>
      <c r="T160" s="197"/>
      <c r="U160" s="197"/>
      <c r="V160" s="20">
        <f t="shared" si="179"/>
        <v>0</v>
      </c>
      <c r="W160" s="20">
        <f t="shared" si="179"/>
        <v>0</v>
      </c>
      <c r="X160" s="20">
        <f t="shared" si="179"/>
        <v>0</v>
      </c>
      <c r="Y160" s="20">
        <f t="shared" si="179"/>
        <v>0</v>
      </c>
      <c r="Z160" s="20">
        <f t="shared" si="180"/>
        <v>0</v>
      </c>
      <c r="AA160" s="20">
        <f t="shared" si="180"/>
        <v>0</v>
      </c>
      <c r="AB160" s="20">
        <f t="shared" si="180"/>
        <v>0</v>
      </c>
      <c r="AC160" s="20">
        <f t="shared" si="180"/>
        <v>0</v>
      </c>
      <c r="AD160" s="20">
        <f t="shared" si="181"/>
        <v>0</v>
      </c>
      <c r="AE160" s="20">
        <f t="shared" si="182"/>
        <v>0</v>
      </c>
      <c r="AF160" s="20">
        <f t="shared" si="182"/>
        <v>0</v>
      </c>
      <c r="AG160" s="20">
        <f t="shared" si="182"/>
        <v>0</v>
      </c>
      <c r="AH160" s="20">
        <f t="shared" si="182"/>
        <v>0</v>
      </c>
      <c r="AI160" s="20">
        <f t="shared" si="183"/>
        <v>0</v>
      </c>
      <c r="AJ160" s="20">
        <f t="shared" si="183"/>
        <v>0</v>
      </c>
      <c r="AK160" s="20">
        <f t="shared" si="183"/>
        <v>0</v>
      </c>
      <c r="AL160" s="20">
        <f t="shared" si="183"/>
        <v>0</v>
      </c>
      <c r="AM160" s="20">
        <f t="shared" si="184"/>
        <v>0</v>
      </c>
      <c r="AO160">
        <f t="shared" si="185"/>
        <v>0</v>
      </c>
      <c r="AP160">
        <f t="shared" si="185"/>
        <v>0</v>
      </c>
      <c r="AQ160">
        <f t="shared" si="185"/>
        <v>0</v>
      </c>
      <c r="AR160">
        <f t="shared" si="185"/>
        <v>0</v>
      </c>
      <c r="AS160">
        <f t="shared" si="186"/>
        <v>0</v>
      </c>
      <c r="AU160">
        <f t="shared" si="187"/>
        <v>0</v>
      </c>
      <c r="AV160">
        <f t="shared" si="187"/>
        <v>0</v>
      </c>
      <c r="AW160">
        <f t="shared" si="187"/>
        <v>0</v>
      </c>
      <c r="AX160">
        <f t="shared" si="187"/>
        <v>0</v>
      </c>
      <c r="AY160">
        <f t="shared" si="188"/>
        <v>0</v>
      </c>
    </row>
    <row r="161" spans="1:53" ht="15" x14ac:dyDescent="0.25">
      <c r="A161" s="1"/>
      <c r="B161" s="2"/>
      <c r="C161" s="1" t="s">
        <v>13</v>
      </c>
      <c r="D161">
        <v>0</v>
      </c>
      <c r="E161" s="360"/>
      <c r="F161">
        <v>0</v>
      </c>
      <c r="G161">
        <v>0</v>
      </c>
      <c r="H161">
        <v>0</v>
      </c>
      <c r="J161">
        <v>0</v>
      </c>
      <c r="K161" s="14">
        <v>0</v>
      </c>
      <c r="L161">
        <v>0</v>
      </c>
      <c r="M161">
        <v>0</v>
      </c>
      <c r="N161">
        <v>0</v>
      </c>
      <c r="O161" s="20"/>
      <c r="P161" s="20"/>
      <c r="Q161" s="438"/>
      <c r="R161" s="197"/>
      <c r="S161" s="197"/>
      <c r="T161" s="197"/>
      <c r="U161" s="197"/>
      <c r="V161" s="20">
        <f t="shared" si="179"/>
        <v>0</v>
      </c>
      <c r="W161" s="20">
        <f t="shared" si="179"/>
        <v>0</v>
      </c>
      <c r="X161" s="20">
        <f t="shared" si="179"/>
        <v>0</v>
      </c>
      <c r="Y161" s="20">
        <f t="shared" si="179"/>
        <v>0</v>
      </c>
      <c r="Z161" s="20">
        <f t="shared" si="180"/>
        <v>0</v>
      </c>
      <c r="AA161" s="20">
        <f t="shared" si="180"/>
        <v>0</v>
      </c>
      <c r="AB161" s="20">
        <f t="shared" si="180"/>
        <v>0</v>
      </c>
      <c r="AC161" s="20">
        <f t="shared" si="180"/>
        <v>0</v>
      </c>
      <c r="AD161" s="20">
        <f t="shared" si="181"/>
        <v>0</v>
      </c>
      <c r="AE161" s="20">
        <f t="shared" si="182"/>
        <v>0</v>
      </c>
      <c r="AF161" s="20">
        <f t="shared" si="182"/>
        <v>0</v>
      </c>
      <c r="AG161" s="20">
        <f t="shared" si="182"/>
        <v>0</v>
      </c>
      <c r="AH161" s="20">
        <f t="shared" si="182"/>
        <v>0</v>
      </c>
      <c r="AI161" s="20">
        <f t="shared" si="183"/>
        <v>0</v>
      </c>
      <c r="AJ161" s="20">
        <f t="shared" si="183"/>
        <v>0</v>
      </c>
      <c r="AK161" s="20">
        <f t="shared" si="183"/>
        <v>0</v>
      </c>
      <c r="AL161" s="20">
        <f t="shared" si="183"/>
        <v>0</v>
      </c>
      <c r="AM161" s="20">
        <f t="shared" si="184"/>
        <v>0</v>
      </c>
      <c r="AO161">
        <f t="shared" si="185"/>
        <v>0</v>
      </c>
      <c r="AP161">
        <f t="shared" si="185"/>
        <v>0</v>
      </c>
      <c r="AQ161">
        <f t="shared" si="185"/>
        <v>0</v>
      </c>
      <c r="AR161">
        <f t="shared" si="185"/>
        <v>0</v>
      </c>
      <c r="AS161">
        <f t="shared" si="186"/>
        <v>0</v>
      </c>
      <c r="AU161">
        <f t="shared" si="187"/>
        <v>0</v>
      </c>
      <c r="AV161">
        <f t="shared" si="187"/>
        <v>0</v>
      </c>
      <c r="AW161">
        <f t="shared" si="187"/>
        <v>0</v>
      </c>
      <c r="AX161">
        <f t="shared" si="187"/>
        <v>0</v>
      </c>
      <c r="AY161">
        <f t="shared" si="188"/>
        <v>0</v>
      </c>
    </row>
    <row r="162" spans="1:53" ht="15" x14ac:dyDescent="0.25">
      <c r="A162" s="7"/>
      <c r="B162" s="8" t="s">
        <v>14</v>
      </c>
      <c r="C162" s="7"/>
      <c r="D162" s="357">
        <f t="shared" ref="D162:H162" si="189">SUM(D156:D161)</f>
        <v>0</v>
      </c>
      <c r="E162" s="363">
        <f>SUM(E156:E161)</f>
        <v>0</v>
      </c>
      <c r="F162" s="357">
        <f t="shared" si="189"/>
        <v>0</v>
      </c>
      <c r="G162" s="357">
        <f t="shared" si="189"/>
        <v>0</v>
      </c>
      <c r="H162" s="357">
        <f t="shared" si="189"/>
        <v>0</v>
      </c>
      <c r="J162">
        <v>0</v>
      </c>
      <c r="K162" s="14">
        <v>0</v>
      </c>
      <c r="L162">
        <v>0</v>
      </c>
      <c r="M162">
        <v>0</v>
      </c>
      <c r="N162">
        <v>0</v>
      </c>
      <c r="O162" s="20"/>
      <c r="P162" s="20"/>
      <c r="Q162" s="438"/>
      <c r="R162" s="197"/>
      <c r="S162" s="197"/>
      <c r="T162" s="197"/>
      <c r="U162" s="197"/>
      <c r="BA162" s="319">
        <f>(E162*10000*Q162*AU$10)</f>
        <v>0</v>
      </c>
    </row>
    <row r="163" spans="1:53" ht="15" x14ac:dyDescent="0.25">
      <c r="A163" s="10"/>
      <c r="B163" s="9" t="s">
        <v>15</v>
      </c>
      <c r="C163" s="5"/>
      <c r="E163" s="363">
        <f>SUM(E162)</f>
        <v>0</v>
      </c>
      <c r="H163" s="358">
        <f>SUM(D162:H162)</f>
        <v>0</v>
      </c>
      <c r="K163" s="14"/>
      <c r="N163">
        <v>0</v>
      </c>
      <c r="O163" s="20"/>
      <c r="P163" s="20"/>
      <c r="Q163" s="438"/>
      <c r="R163" s="197"/>
      <c r="S163" s="197"/>
      <c r="T163" s="197"/>
      <c r="U163" s="197"/>
    </row>
    <row r="164" spans="1:53" ht="15.75" x14ac:dyDescent="0.25">
      <c r="A164" s="1"/>
      <c r="B164" s="2"/>
      <c r="C164" s="1"/>
      <c r="E164" s="361"/>
      <c r="K164" s="14"/>
      <c r="O164" s="20"/>
      <c r="P164" s="20"/>
      <c r="Q164" s="439"/>
      <c r="R164" s="197"/>
      <c r="S164" s="197"/>
      <c r="T164" s="197"/>
      <c r="U164" s="197"/>
    </row>
    <row r="165" spans="1:53" ht="15" x14ac:dyDescent="0.25">
      <c r="A165" s="1">
        <v>18</v>
      </c>
      <c r="B165" s="2" t="s">
        <v>709</v>
      </c>
      <c r="C165" s="1" t="s">
        <v>8</v>
      </c>
      <c r="D165">
        <v>0</v>
      </c>
      <c r="E165" s="360"/>
      <c r="F165">
        <v>0</v>
      </c>
      <c r="G165">
        <v>0</v>
      </c>
      <c r="H165">
        <v>0</v>
      </c>
      <c r="J165">
        <v>0</v>
      </c>
      <c r="K165" s="14">
        <v>0</v>
      </c>
      <c r="L165">
        <v>0</v>
      </c>
      <c r="M165">
        <v>0</v>
      </c>
      <c r="N165">
        <v>0</v>
      </c>
      <c r="O165" s="20"/>
      <c r="P165" s="20"/>
      <c r="Q165" s="438"/>
      <c r="R165" s="197">
        <v>0.66599999999999993</v>
      </c>
      <c r="S165" s="197">
        <v>4.5549999999999997</v>
      </c>
      <c r="T165" s="197">
        <v>0.60039794540960334</v>
      </c>
      <c r="U165" s="197">
        <v>0.90789473684210531</v>
      </c>
      <c r="V165" s="20">
        <f t="shared" ref="V165:Y170" si="190">IF(K165&gt;0,((E165-K165)*$Q165*$R165*10)+(K165*$O$12*$Q165*$R165*10),(E165*$Q165*$R165*10))</f>
        <v>0</v>
      </c>
      <c r="W165" s="20">
        <f t="shared" si="190"/>
        <v>0</v>
      </c>
      <c r="X165" s="20">
        <f t="shared" si="190"/>
        <v>0</v>
      </c>
      <c r="Y165" s="20">
        <f t="shared" si="190"/>
        <v>0</v>
      </c>
      <c r="Z165" s="20">
        <f t="shared" ref="Z165:AC170" si="191">V165*(EXP(1.01-0.34*LN(Z$8))*(1-$T165)+(1*$T165))</f>
        <v>0</v>
      </c>
      <c r="AA165" s="20">
        <f t="shared" si="191"/>
        <v>0</v>
      </c>
      <c r="AB165" s="20">
        <f t="shared" si="191"/>
        <v>0</v>
      </c>
      <c r="AC165" s="20">
        <f t="shared" si="191"/>
        <v>0</v>
      </c>
      <c r="AD165" s="20">
        <f t="shared" ref="AD165:AD170" si="192">SUM(Z165:AC165)</f>
        <v>0</v>
      </c>
      <c r="AE165" s="20">
        <f t="shared" ref="AE165:AH170" si="193">IF(K165&gt;0,((E165-K165)*$Q165*$S165*10)+(K165*$P$12*$Q165*$S165)*10,(E165*$Q165*$S165*10))</f>
        <v>0</v>
      </c>
      <c r="AF165" s="20">
        <f t="shared" si="193"/>
        <v>0</v>
      </c>
      <c r="AG165" s="20">
        <f t="shared" si="193"/>
        <v>0</v>
      </c>
      <c r="AH165" s="20">
        <f t="shared" si="193"/>
        <v>0</v>
      </c>
      <c r="AI165" s="20">
        <f t="shared" ref="AI165:AL170" si="194">AE165*(EXP(1.01-0.34*LN(AI$8))*(1-$U165)+(1*$U165))</f>
        <v>0</v>
      </c>
      <c r="AJ165" s="20">
        <f t="shared" si="194"/>
        <v>0</v>
      </c>
      <c r="AK165" s="20">
        <f t="shared" si="194"/>
        <v>0</v>
      </c>
      <c r="AL165" s="20">
        <f t="shared" si="194"/>
        <v>0</v>
      </c>
      <c r="AM165" s="20">
        <f t="shared" ref="AM165:AM170" si="195">SUM(AI165:AL165)</f>
        <v>0</v>
      </c>
      <c r="AO165">
        <f t="shared" ref="AO165:AR170" si="196">Z165*AO$10</f>
        <v>0</v>
      </c>
      <c r="AP165">
        <f t="shared" si="196"/>
        <v>0</v>
      </c>
      <c r="AQ165">
        <f t="shared" si="196"/>
        <v>0</v>
      </c>
      <c r="AR165">
        <f t="shared" si="196"/>
        <v>0</v>
      </c>
      <c r="AS165">
        <f t="shared" ref="AS165:AS170" si="197">SUM(AO165:AR165)</f>
        <v>0</v>
      </c>
      <c r="AU165">
        <f t="shared" ref="AU165:AX170" si="198">AI165*AU$10</f>
        <v>0</v>
      </c>
      <c r="AV165">
        <f t="shared" si="198"/>
        <v>0</v>
      </c>
      <c r="AW165">
        <f t="shared" si="198"/>
        <v>0</v>
      </c>
      <c r="AX165">
        <f t="shared" si="198"/>
        <v>0</v>
      </c>
      <c r="AY165">
        <f t="shared" ref="AY165:AY170" si="199">SUM(AU165:AX165)</f>
        <v>0</v>
      </c>
    </row>
    <row r="166" spans="1:53" ht="15" x14ac:dyDescent="0.25">
      <c r="A166" s="1"/>
      <c r="B166" s="2"/>
      <c r="C166" s="1" t="s">
        <v>9</v>
      </c>
      <c r="D166">
        <v>0</v>
      </c>
      <c r="E166" s="360"/>
      <c r="F166">
        <v>0</v>
      </c>
      <c r="G166">
        <v>0</v>
      </c>
      <c r="H166">
        <v>0</v>
      </c>
      <c r="J166">
        <v>0</v>
      </c>
      <c r="K166" s="14">
        <v>0</v>
      </c>
      <c r="L166">
        <v>0</v>
      </c>
      <c r="M166">
        <v>0</v>
      </c>
      <c r="N166">
        <v>0</v>
      </c>
      <c r="O166" s="20"/>
      <c r="P166" s="20"/>
      <c r="Q166" s="438"/>
      <c r="R166" s="197">
        <v>0.66599999999999993</v>
      </c>
      <c r="S166" s="197">
        <v>4.5549999999999997</v>
      </c>
      <c r="T166" s="197">
        <v>0.60039794540960334</v>
      </c>
      <c r="U166" s="197">
        <v>0.90789473684210531</v>
      </c>
      <c r="V166" s="20">
        <f t="shared" si="190"/>
        <v>0</v>
      </c>
      <c r="W166" s="20">
        <f t="shared" si="190"/>
        <v>0</v>
      </c>
      <c r="X166" s="20">
        <f t="shared" si="190"/>
        <v>0</v>
      </c>
      <c r="Y166" s="20">
        <f t="shared" si="190"/>
        <v>0</v>
      </c>
      <c r="Z166" s="20">
        <f t="shared" si="191"/>
        <v>0</v>
      </c>
      <c r="AA166" s="20">
        <f t="shared" si="191"/>
        <v>0</v>
      </c>
      <c r="AB166" s="20">
        <f t="shared" si="191"/>
        <v>0</v>
      </c>
      <c r="AC166" s="20">
        <f t="shared" si="191"/>
        <v>0</v>
      </c>
      <c r="AD166" s="20">
        <f t="shared" si="192"/>
        <v>0</v>
      </c>
      <c r="AE166" s="20">
        <f t="shared" si="193"/>
        <v>0</v>
      </c>
      <c r="AF166" s="20">
        <f t="shared" si="193"/>
        <v>0</v>
      </c>
      <c r="AG166" s="20">
        <f t="shared" si="193"/>
        <v>0</v>
      </c>
      <c r="AH166" s="20">
        <f t="shared" si="193"/>
        <v>0</v>
      </c>
      <c r="AI166" s="20">
        <f t="shared" si="194"/>
        <v>0</v>
      </c>
      <c r="AJ166" s="20">
        <f t="shared" si="194"/>
        <v>0</v>
      </c>
      <c r="AK166" s="20">
        <f t="shared" si="194"/>
        <v>0</v>
      </c>
      <c r="AL166" s="20">
        <f t="shared" si="194"/>
        <v>0</v>
      </c>
      <c r="AM166" s="20">
        <f t="shared" si="195"/>
        <v>0</v>
      </c>
      <c r="AO166">
        <f t="shared" si="196"/>
        <v>0</v>
      </c>
      <c r="AP166">
        <f t="shared" si="196"/>
        <v>0</v>
      </c>
      <c r="AQ166">
        <f t="shared" si="196"/>
        <v>0</v>
      </c>
      <c r="AR166">
        <f t="shared" si="196"/>
        <v>0</v>
      </c>
      <c r="AS166">
        <f t="shared" si="197"/>
        <v>0</v>
      </c>
      <c r="AU166">
        <f t="shared" si="198"/>
        <v>0</v>
      </c>
      <c r="AV166">
        <f t="shared" si="198"/>
        <v>0</v>
      </c>
      <c r="AW166">
        <f t="shared" si="198"/>
        <v>0</v>
      </c>
      <c r="AX166">
        <f t="shared" si="198"/>
        <v>0</v>
      </c>
      <c r="AY166">
        <f t="shared" si="199"/>
        <v>0</v>
      </c>
    </row>
    <row r="167" spans="1:53" ht="15" x14ac:dyDescent="0.25">
      <c r="A167" s="1"/>
      <c r="B167" s="2"/>
      <c r="C167" s="1" t="s">
        <v>10</v>
      </c>
      <c r="D167">
        <v>0</v>
      </c>
      <c r="E167" s="360"/>
      <c r="F167">
        <v>0</v>
      </c>
      <c r="G167">
        <v>0</v>
      </c>
      <c r="H167">
        <v>0</v>
      </c>
      <c r="J167">
        <v>0</v>
      </c>
      <c r="K167" s="14">
        <v>0</v>
      </c>
      <c r="L167">
        <v>0</v>
      </c>
      <c r="M167">
        <v>0</v>
      </c>
      <c r="N167">
        <v>0</v>
      </c>
      <c r="O167" s="20"/>
      <c r="P167" s="20"/>
      <c r="Q167" s="438"/>
      <c r="R167" s="197">
        <v>0.66599999999999993</v>
      </c>
      <c r="S167" s="197">
        <v>4.5549999999999997</v>
      </c>
      <c r="T167" s="197">
        <v>0.60039794540960334</v>
      </c>
      <c r="U167" s="197">
        <v>0.90789473684210531</v>
      </c>
      <c r="V167" s="20">
        <f t="shared" si="190"/>
        <v>0</v>
      </c>
      <c r="W167" s="20">
        <f t="shared" si="190"/>
        <v>0</v>
      </c>
      <c r="X167" s="20">
        <f t="shared" si="190"/>
        <v>0</v>
      </c>
      <c r="Y167" s="20">
        <f t="shared" si="190"/>
        <v>0</v>
      </c>
      <c r="Z167" s="20">
        <f t="shared" si="191"/>
        <v>0</v>
      </c>
      <c r="AA167" s="20">
        <f t="shared" si="191"/>
        <v>0</v>
      </c>
      <c r="AB167" s="20">
        <f t="shared" si="191"/>
        <v>0</v>
      </c>
      <c r="AC167" s="20">
        <f t="shared" si="191"/>
        <v>0</v>
      </c>
      <c r="AD167" s="20">
        <f t="shared" si="192"/>
        <v>0</v>
      </c>
      <c r="AE167" s="20">
        <f t="shared" si="193"/>
        <v>0</v>
      </c>
      <c r="AF167" s="20">
        <f t="shared" si="193"/>
        <v>0</v>
      </c>
      <c r="AG167" s="20">
        <f t="shared" si="193"/>
        <v>0</v>
      </c>
      <c r="AH167" s="20">
        <f t="shared" si="193"/>
        <v>0</v>
      </c>
      <c r="AI167" s="20">
        <f t="shared" si="194"/>
        <v>0</v>
      </c>
      <c r="AJ167" s="20">
        <f t="shared" si="194"/>
        <v>0</v>
      </c>
      <c r="AK167" s="20">
        <f t="shared" si="194"/>
        <v>0</v>
      </c>
      <c r="AL167" s="20">
        <f t="shared" si="194"/>
        <v>0</v>
      </c>
      <c r="AM167" s="20">
        <f t="shared" si="195"/>
        <v>0</v>
      </c>
      <c r="AO167">
        <f t="shared" si="196"/>
        <v>0</v>
      </c>
      <c r="AP167">
        <f t="shared" si="196"/>
        <v>0</v>
      </c>
      <c r="AQ167">
        <f t="shared" si="196"/>
        <v>0</v>
      </c>
      <c r="AR167">
        <f t="shared" si="196"/>
        <v>0</v>
      </c>
      <c r="AS167">
        <f t="shared" si="197"/>
        <v>0</v>
      </c>
      <c r="AU167">
        <f t="shared" si="198"/>
        <v>0</v>
      </c>
      <c r="AV167">
        <f t="shared" si="198"/>
        <v>0</v>
      </c>
      <c r="AW167">
        <f t="shared" si="198"/>
        <v>0</v>
      </c>
      <c r="AX167">
        <f t="shared" si="198"/>
        <v>0</v>
      </c>
      <c r="AY167">
        <f t="shared" si="199"/>
        <v>0</v>
      </c>
    </row>
    <row r="168" spans="1:53" ht="15" x14ac:dyDescent="0.25">
      <c r="A168" s="1"/>
      <c r="B168" s="2"/>
      <c r="C168" s="1" t="s">
        <v>11</v>
      </c>
      <c r="D168">
        <v>0</v>
      </c>
      <c r="E168" s="360">
        <v>137.87690000000001</v>
      </c>
      <c r="F168">
        <v>0</v>
      </c>
      <c r="G168">
        <v>0</v>
      </c>
      <c r="H168">
        <v>0</v>
      </c>
      <c r="J168">
        <v>0</v>
      </c>
      <c r="K168" s="14">
        <v>-6.3416431589757849E-4</v>
      </c>
      <c r="L168">
        <v>0</v>
      </c>
      <c r="M168">
        <v>0</v>
      </c>
      <c r="N168">
        <v>0</v>
      </c>
      <c r="O168" s="20"/>
      <c r="P168" s="20"/>
      <c r="Q168" s="438">
        <v>4.8138544583841182E-2</v>
      </c>
      <c r="R168" s="197">
        <v>0.66599999999999993</v>
      </c>
      <c r="S168" s="197">
        <v>4.5549999999999997</v>
      </c>
      <c r="T168" s="197">
        <v>0.60039794540960334</v>
      </c>
      <c r="U168" s="197">
        <v>0.90789473684210531</v>
      </c>
      <c r="V168" s="20">
        <f t="shared" si="190"/>
        <v>44.203707362893866</v>
      </c>
      <c r="W168" s="20">
        <f t="shared" si="190"/>
        <v>0</v>
      </c>
      <c r="X168" s="20">
        <f t="shared" si="190"/>
        <v>0</v>
      </c>
      <c r="Y168" s="20">
        <f t="shared" si="190"/>
        <v>0</v>
      </c>
      <c r="Z168" s="20">
        <f t="shared" si="191"/>
        <v>29.763524158048018</v>
      </c>
      <c r="AA168" s="20">
        <f t="shared" si="191"/>
        <v>0</v>
      </c>
      <c r="AB168" s="20">
        <f t="shared" si="191"/>
        <v>0</v>
      </c>
      <c r="AC168" s="20">
        <f t="shared" si="191"/>
        <v>0</v>
      </c>
      <c r="AD168" s="20">
        <f t="shared" si="192"/>
        <v>29.763524158048018</v>
      </c>
      <c r="AE168" s="20">
        <f t="shared" si="193"/>
        <v>302.32415471168406</v>
      </c>
      <c r="AF168" s="20">
        <f t="shared" si="193"/>
        <v>0</v>
      </c>
      <c r="AG168" s="20">
        <f t="shared" si="193"/>
        <v>0</v>
      </c>
      <c r="AH168" s="20">
        <f t="shared" si="193"/>
        <v>0</v>
      </c>
      <c r="AI168" s="20">
        <f t="shared" si="194"/>
        <v>279.56041607537941</v>
      </c>
      <c r="AJ168" s="20">
        <f t="shared" si="194"/>
        <v>0</v>
      </c>
      <c r="AK168" s="20">
        <f t="shared" si="194"/>
        <v>0</v>
      </c>
      <c r="AL168" s="20">
        <f t="shared" si="194"/>
        <v>0</v>
      </c>
      <c r="AM168" s="20">
        <f t="shared" si="195"/>
        <v>279.56041607537941</v>
      </c>
      <c r="AO168">
        <f t="shared" si="196"/>
        <v>35.984100707080053</v>
      </c>
      <c r="AP168">
        <f t="shared" si="196"/>
        <v>0</v>
      </c>
      <c r="AQ168">
        <f t="shared" si="196"/>
        <v>0</v>
      </c>
      <c r="AR168">
        <f t="shared" si="196"/>
        <v>0</v>
      </c>
      <c r="AS168">
        <f t="shared" si="197"/>
        <v>35.984100707080053</v>
      </c>
      <c r="AU168">
        <f t="shared" si="198"/>
        <v>337.98854303513372</v>
      </c>
      <c r="AV168">
        <f t="shared" si="198"/>
        <v>0</v>
      </c>
      <c r="AW168">
        <f t="shared" si="198"/>
        <v>0</v>
      </c>
      <c r="AX168">
        <f t="shared" si="198"/>
        <v>0</v>
      </c>
      <c r="AY168">
        <f t="shared" si="199"/>
        <v>337.98854303513372</v>
      </c>
    </row>
    <row r="169" spans="1:53" ht="15" x14ac:dyDescent="0.25">
      <c r="A169" s="1"/>
      <c r="B169" s="2"/>
      <c r="C169" s="1" t="s">
        <v>12</v>
      </c>
      <c r="D169">
        <v>0</v>
      </c>
      <c r="E169" s="360"/>
      <c r="F169">
        <v>0</v>
      </c>
      <c r="G169">
        <v>0</v>
      </c>
      <c r="H169">
        <v>0</v>
      </c>
      <c r="J169">
        <v>0</v>
      </c>
      <c r="K169" s="14">
        <v>0</v>
      </c>
      <c r="L169">
        <v>0</v>
      </c>
      <c r="M169">
        <v>0</v>
      </c>
      <c r="N169">
        <v>0</v>
      </c>
      <c r="O169" s="20"/>
      <c r="P169" s="20"/>
      <c r="Q169" s="438"/>
      <c r="R169" s="197">
        <v>0.66599999999999993</v>
      </c>
      <c r="S169" s="197">
        <v>4.5549999999999997</v>
      </c>
      <c r="T169" s="197">
        <v>0.60039794540960334</v>
      </c>
      <c r="U169" s="197">
        <v>0.90789473684210531</v>
      </c>
      <c r="V169" s="20">
        <f t="shared" si="190"/>
        <v>0</v>
      </c>
      <c r="W169" s="20">
        <f t="shared" si="190"/>
        <v>0</v>
      </c>
      <c r="X169" s="20">
        <f t="shared" si="190"/>
        <v>0</v>
      </c>
      <c r="Y169" s="20">
        <f t="shared" si="190"/>
        <v>0</v>
      </c>
      <c r="Z169" s="20">
        <f t="shared" si="191"/>
        <v>0</v>
      </c>
      <c r="AA169" s="20">
        <f t="shared" si="191"/>
        <v>0</v>
      </c>
      <c r="AB169" s="20">
        <f t="shared" si="191"/>
        <v>0</v>
      </c>
      <c r="AC169" s="20">
        <f t="shared" si="191"/>
        <v>0</v>
      </c>
      <c r="AD169" s="20">
        <f t="shared" si="192"/>
        <v>0</v>
      </c>
      <c r="AE169" s="20">
        <f t="shared" si="193"/>
        <v>0</v>
      </c>
      <c r="AF169" s="20">
        <f t="shared" si="193"/>
        <v>0</v>
      </c>
      <c r="AG169" s="20">
        <f t="shared" si="193"/>
        <v>0</v>
      </c>
      <c r="AH169" s="20">
        <f t="shared" si="193"/>
        <v>0</v>
      </c>
      <c r="AI169" s="20">
        <f t="shared" si="194"/>
        <v>0</v>
      </c>
      <c r="AJ169" s="20">
        <f t="shared" si="194"/>
        <v>0</v>
      </c>
      <c r="AK169" s="20">
        <f t="shared" si="194"/>
        <v>0</v>
      </c>
      <c r="AL169" s="20">
        <f t="shared" si="194"/>
        <v>0</v>
      </c>
      <c r="AM169" s="20">
        <f t="shared" si="195"/>
        <v>0</v>
      </c>
      <c r="AO169">
        <f t="shared" si="196"/>
        <v>0</v>
      </c>
      <c r="AP169">
        <f t="shared" si="196"/>
        <v>0</v>
      </c>
      <c r="AQ169">
        <f t="shared" si="196"/>
        <v>0</v>
      </c>
      <c r="AR169">
        <f t="shared" si="196"/>
        <v>0</v>
      </c>
      <c r="AS169">
        <f t="shared" si="197"/>
        <v>0</v>
      </c>
      <c r="AU169">
        <f t="shared" si="198"/>
        <v>0</v>
      </c>
      <c r="AV169">
        <f t="shared" si="198"/>
        <v>0</v>
      </c>
      <c r="AW169">
        <f t="shared" si="198"/>
        <v>0</v>
      </c>
      <c r="AX169">
        <f t="shared" si="198"/>
        <v>0</v>
      </c>
      <c r="AY169">
        <f t="shared" si="199"/>
        <v>0</v>
      </c>
    </row>
    <row r="170" spans="1:53" ht="15" x14ac:dyDescent="0.25">
      <c r="A170" s="1"/>
      <c r="B170" s="2"/>
      <c r="C170" s="1" t="s">
        <v>13</v>
      </c>
      <c r="D170">
        <v>0</v>
      </c>
      <c r="E170" s="360"/>
      <c r="F170">
        <v>0</v>
      </c>
      <c r="G170">
        <v>0</v>
      </c>
      <c r="H170">
        <v>0</v>
      </c>
      <c r="J170">
        <v>0</v>
      </c>
      <c r="K170" s="14">
        <v>0</v>
      </c>
      <c r="L170">
        <v>0</v>
      </c>
      <c r="M170">
        <v>0</v>
      </c>
      <c r="N170">
        <v>0</v>
      </c>
      <c r="O170" s="20"/>
      <c r="P170" s="20"/>
      <c r="Q170" s="438"/>
      <c r="R170" s="197">
        <v>0.66599999999999993</v>
      </c>
      <c r="S170" s="197">
        <v>4.5549999999999997</v>
      </c>
      <c r="T170" s="197">
        <v>0.60039794540960334</v>
      </c>
      <c r="U170" s="197">
        <v>0.90789473684210531</v>
      </c>
      <c r="V170" s="20">
        <f t="shared" si="190"/>
        <v>0</v>
      </c>
      <c r="W170" s="20">
        <f t="shared" si="190"/>
        <v>0</v>
      </c>
      <c r="X170" s="20">
        <f t="shared" si="190"/>
        <v>0</v>
      </c>
      <c r="Y170" s="20">
        <f t="shared" si="190"/>
        <v>0</v>
      </c>
      <c r="Z170" s="20">
        <f t="shared" si="191"/>
        <v>0</v>
      </c>
      <c r="AA170" s="20">
        <f t="shared" si="191"/>
        <v>0</v>
      </c>
      <c r="AB170" s="20">
        <f t="shared" si="191"/>
        <v>0</v>
      </c>
      <c r="AC170" s="20">
        <f t="shared" si="191"/>
        <v>0</v>
      </c>
      <c r="AD170" s="20">
        <f t="shared" si="192"/>
        <v>0</v>
      </c>
      <c r="AE170" s="20">
        <f t="shared" si="193"/>
        <v>0</v>
      </c>
      <c r="AF170" s="20">
        <f t="shared" si="193"/>
        <v>0</v>
      </c>
      <c r="AG170" s="20">
        <f t="shared" si="193"/>
        <v>0</v>
      </c>
      <c r="AH170" s="20">
        <f t="shared" si="193"/>
        <v>0</v>
      </c>
      <c r="AI170" s="20">
        <f t="shared" si="194"/>
        <v>0</v>
      </c>
      <c r="AJ170" s="20">
        <f t="shared" si="194"/>
        <v>0</v>
      </c>
      <c r="AK170" s="20">
        <f t="shared" si="194"/>
        <v>0</v>
      </c>
      <c r="AL170" s="20">
        <f t="shared" si="194"/>
        <v>0</v>
      </c>
      <c r="AM170" s="20">
        <f t="shared" si="195"/>
        <v>0</v>
      </c>
      <c r="AO170">
        <f t="shared" si="196"/>
        <v>0</v>
      </c>
      <c r="AP170">
        <f t="shared" si="196"/>
        <v>0</v>
      </c>
      <c r="AQ170">
        <f t="shared" si="196"/>
        <v>0</v>
      </c>
      <c r="AR170">
        <f t="shared" si="196"/>
        <v>0</v>
      </c>
      <c r="AS170">
        <f t="shared" si="197"/>
        <v>0</v>
      </c>
      <c r="AU170">
        <f t="shared" si="198"/>
        <v>0</v>
      </c>
      <c r="AV170">
        <f t="shared" si="198"/>
        <v>0</v>
      </c>
      <c r="AW170">
        <f t="shared" si="198"/>
        <v>0</v>
      </c>
      <c r="AX170">
        <f t="shared" si="198"/>
        <v>0</v>
      </c>
      <c r="AY170">
        <f t="shared" si="199"/>
        <v>0</v>
      </c>
    </row>
    <row r="171" spans="1:53" ht="15" x14ac:dyDescent="0.25">
      <c r="A171" s="7"/>
      <c r="B171" s="8" t="s">
        <v>14</v>
      </c>
      <c r="C171" s="7"/>
      <c r="D171" s="357">
        <f t="shared" ref="D171:H171" si="200">SUM(D165:D170)</f>
        <v>0</v>
      </c>
      <c r="E171" s="363">
        <f>SUM(E165:E170)</f>
        <v>137.87690000000001</v>
      </c>
      <c r="F171" s="357">
        <f t="shared" si="200"/>
        <v>0</v>
      </c>
      <c r="G171" s="357">
        <f t="shared" si="200"/>
        <v>0</v>
      </c>
      <c r="H171" s="357">
        <f t="shared" si="200"/>
        <v>0</v>
      </c>
      <c r="J171">
        <v>0</v>
      </c>
      <c r="K171" s="14">
        <v>-6.3416431589757849E-4</v>
      </c>
      <c r="L171">
        <v>0</v>
      </c>
      <c r="M171">
        <v>0</v>
      </c>
      <c r="N171">
        <v>0</v>
      </c>
      <c r="O171" s="20"/>
      <c r="P171" s="20"/>
      <c r="Q171" s="438">
        <v>4.8138544583841182E-2</v>
      </c>
      <c r="R171" s="20"/>
      <c r="S171" s="20"/>
      <c r="T171" s="20"/>
      <c r="U171" s="20"/>
      <c r="BA171" s="319">
        <f>(E171*10000*Q171*AU$10)</f>
        <v>80243.666969577622</v>
      </c>
    </row>
    <row r="172" spans="1:53" ht="15" x14ac:dyDescent="0.25">
      <c r="A172" s="1"/>
      <c r="B172" s="9" t="s">
        <v>15</v>
      </c>
      <c r="C172" s="5"/>
      <c r="E172" s="363">
        <f>SUM(E171)</f>
        <v>137.87690000000001</v>
      </c>
      <c r="H172" s="358">
        <f>SUM(D171:H171)</f>
        <v>137.87690000000001</v>
      </c>
      <c r="K172" s="14"/>
      <c r="N172">
        <v>0</v>
      </c>
      <c r="O172" s="20"/>
      <c r="P172" s="20"/>
      <c r="Q172" s="438"/>
      <c r="R172" s="20"/>
      <c r="S172" s="20"/>
      <c r="T172" s="20"/>
      <c r="U172" s="20"/>
    </row>
    <row r="173" spans="1:53" ht="15.75" x14ac:dyDescent="0.25">
      <c r="A173" s="1"/>
      <c r="B173" s="2"/>
      <c r="C173" s="1"/>
      <c r="E173" s="361"/>
      <c r="K173" s="14"/>
      <c r="O173" s="20"/>
      <c r="P173" s="20"/>
      <c r="Q173" s="439"/>
      <c r="R173" s="20"/>
      <c r="S173" s="20"/>
      <c r="T173" s="20"/>
      <c r="U173" s="20"/>
    </row>
    <row r="174" spans="1:53" ht="15" x14ac:dyDescent="0.25">
      <c r="A174" s="1">
        <v>19</v>
      </c>
      <c r="B174" s="154" t="s">
        <v>865</v>
      </c>
      <c r="C174" s="1" t="s">
        <v>8</v>
      </c>
      <c r="D174">
        <v>0</v>
      </c>
      <c r="E174" s="360">
        <v>0</v>
      </c>
      <c r="F174">
        <v>0</v>
      </c>
      <c r="G174">
        <v>0</v>
      </c>
      <c r="H174">
        <v>0</v>
      </c>
      <c r="J174">
        <v>0</v>
      </c>
      <c r="K174" s="14">
        <v>0</v>
      </c>
      <c r="L174">
        <v>0</v>
      </c>
      <c r="M174">
        <v>0</v>
      </c>
      <c r="N174">
        <v>0</v>
      </c>
      <c r="O174" s="20"/>
      <c r="P174" s="20"/>
      <c r="Q174" s="438"/>
      <c r="R174" s="20"/>
      <c r="S174" s="20"/>
      <c r="T174" s="20"/>
      <c r="U174" s="20"/>
    </row>
    <row r="175" spans="1:53" ht="15" x14ac:dyDescent="0.25">
      <c r="A175" s="1"/>
      <c r="B175" s="2"/>
      <c r="C175" s="1" t="s">
        <v>9</v>
      </c>
      <c r="D175">
        <v>0</v>
      </c>
      <c r="E175" s="360">
        <v>0</v>
      </c>
      <c r="F175">
        <v>0</v>
      </c>
      <c r="G175">
        <v>0</v>
      </c>
      <c r="H175">
        <v>0</v>
      </c>
      <c r="J175">
        <v>0</v>
      </c>
      <c r="K175" s="14">
        <v>0</v>
      </c>
      <c r="L175">
        <v>0</v>
      </c>
      <c r="M175">
        <v>0</v>
      </c>
      <c r="N175">
        <v>0</v>
      </c>
      <c r="O175" s="20"/>
      <c r="P175" s="20"/>
      <c r="Q175" s="438"/>
      <c r="R175" s="20"/>
      <c r="S175" s="20"/>
      <c r="T175" s="20"/>
      <c r="U175" s="20"/>
    </row>
    <row r="176" spans="1:53" ht="15" x14ac:dyDescent="0.25">
      <c r="A176" s="1"/>
      <c r="B176" s="2"/>
      <c r="C176" s="1" t="s">
        <v>10</v>
      </c>
      <c r="D176">
        <v>0</v>
      </c>
      <c r="E176" s="360">
        <v>0</v>
      </c>
      <c r="F176">
        <v>0</v>
      </c>
      <c r="G176">
        <v>0</v>
      </c>
      <c r="H176">
        <v>0</v>
      </c>
      <c r="J176">
        <v>0</v>
      </c>
      <c r="K176" s="14">
        <v>0</v>
      </c>
      <c r="L176">
        <v>0</v>
      </c>
      <c r="M176">
        <v>0</v>
      </c>
      <c r="N176">
        <v>0</v>
      </c>
      <c r="O176" s="20"/>
      <c r="P176" s="20"/>
      <c r="Q176" s="438"/>
      <c r="R176" s="20"/>
      <c r="S176" s="20"/>
      <c r="T176" s="20"/>
      <c r="U176" s="20"/>
    </row>
    <row r="177" spans="1:53" ht="15" x14ac:dyDescent="0.25">
      <c r="A177" s="1"/>
      <c r="B177" s="2"/>
      <c r="C177" s="1" t="s">
        <v>11</v>
      </c>
      <c r="D177">
        <v>0</v>
      </c>
      <c r="E177" s="360">
        <v>1.3947290000000001</v>
      </c>
      <c r="F177">
        <v>0</v>
      </c>
      <c r="G177">
        <v>0</v>
      </c>
      <c r="H177">
        <v>0</v>
      </c>
      <c r="J177">
        <v>0</v>
      </c>
      <c r="K177" s="14">
        <v>1.3220211001474524E-6</v>
      </c>
      <c r="L177">
        <v>0</v>
      </c>
      <c r="M177">
        <v>0</v>
      </c>
      <c r="N177">
        <v>0</v>
      </c>
      <c r="O177" s="20"/>
      <c r="P177" s="20"/>
      <c r="Q177" s="438">
        <v>0.90000000000000013</v>
      </c>
      <c r="R177" s="20"/>
      <c r="S177" s="20"/>
      <c r="T177" s="20"/>
      <c r="U177" s="20"/>
    </row>
    <row r="178" spans="1:53" ht="15" x14ac:dyDescent="0.25">
      <c r="A178" s="1"/>
      <c r="B178" s="2"/>
      <c r="C178" s="1" t="s">
        <v>12</v>
      </c>
      <c r="D178">
        <v>0</v>
      </c>
      <c r="E178" s="360">
        <v>0</v>
      </c>
      <c r="F178">
        <v>0</v>
      </c>
      <c r="G178">
        <v>0</v>
      </c>
      <c r="H178">
        <v>0</v>
      </c>
      <c r="J178">
        <v>0</v>
      </c>
      <c r="K178" s="14">
        <v>0</v>
      </c>
      <c r="L178">
        <v>0</v>
      </c>
      <c r="M178">
        <v>0</v>
      </c>
      <c r="N178">
        <v>0</v>
      </c>
      <c r="O178" s="20"/>
      <c r="P178" s="20"/>
      <c r="Q178" s="438"/>
      <c r="R178" s="20"/>
      <c r="S178" s="20"/>
      <c r="T178" s="20"/>
      <c r="U178" s="20"/>
    </row>
    <row r="179" spans="1:53" ht="15" x14ac:dyDescent="0.25">
      <c r="A179" s="1"/>
      <c r="B179" s="2"/>
      <c r="C179" s="1" t="s">
        <v>13</v>
      </c>
      <c r="D179">
        <v>0</v>
      </c>
      <c r="E179" s="360">
        <v>99.678190000000001</v>
      </c>
      <c r="F179">
        <v>0</v>
      </c>
      <c r="G179">
        <v>0</v>
      </c>
      <c r="H179">
        <v>0</v>
      </c>
      <c r="J179">
        <v>0</v>
      </c>
      <c r="K179" s="14">
        <v>8.7469220872549158E-5</v>
      </c>
      <c r="L179">
        <v>0</v>
      </c>
      <c r="M179">
        <v>0</v>
      </c>
      <c r="N179">
        <v>0</v>
      </c>
      <c r="O179" s="20"/>
      <c r="P179" s="20"/>
      <c r="Q179" s="438">
        <v>0.90000000000000013</v>
      </c>
      <c r="R179" s="20"/>
      <c r="S179" s="20"/>
      <c r="T179" s="20"/>
      <c r="U179" s="20"/>
    </row>
    <row r="180" spans="1:53" ht="15" x14ac:dyDescent="0.25">
      <c r="A180" s="7"/>
      <c r="B180" s="8" t="s">
        <v>14</v>
      </c>
      <c r="C180" s="7"/>
      <c r="D180" s="357">
        <f t="shared" ref="D180:H180" si="201">SUM(D174:D179)</f>
        <v>0</v>
      </c>
      <c r="E180" s="363">
        <f>SUM(E174:E179)</f>
        <v>101.072919</v>
      </c>
      <c r="F180" s="357">
        <f t="shared" si="201"/>
        <v>0</v>
      </c>
      <c r="G180" s="357">
        <f t="shared" si="201"/>
        <v>0</v>
      </c>
      <c r="H180" s="357">
        <f t="shared" si="201"/>
        <v>0</v>
      </c>
      <c r="J180">
        <v>0</v>
      </c>
      <c r="K180">
        <v>0</v>
      </c>
      <c r="L180">
        <v>0</v>
      </c>
      <c r="M180">
        <v>0</v>
      </c>
      <c r="N180">
        <v>0</v>
      </c>
      <c r="Q180" s="438">
        <v>0.9</v>
      </c>
      <c r="BA180" s="319">
        <f>(E180*10000*Q180*AU$10)</f>
        <v>1099774.4316390001</v>
      </c>
    </row>
    <row r="181" spans="1:53" ht="15" x14ac:dyDescent="0.25">
      <c r="A181" s="5"/>
      <c r="B181" s="9" t="s">
        <v>15</v>
      </c>
      <c r="C181" s="5"/>
      <c r="E181" s="363">
        <f>SUM(E180)</f>
        <v>101.072919</v>
      </c>
      <c r="H181" s="358">
        <f>SUM(D180:H180)</f>
        <v>101.072919</v>
      </c>
      <c r="N181">
        <v>0</v>
      </c>
    </row>
    <row r="182" spans="1:53" s="79" customFormat="1" ht="15" x14ac:dyDescent="0.25">
      <c r="A182" s="199"/>
      <c r="B182" s="198" t="s">
        <v>661</v>
      </c>
      <c r="C182" s="199"/>
      <c r="Q182" s="419"/>
    </row>
    <row r="183" spans="1:53" x14ac:dyDescent="0.2">
      <c r="E183" s="14">
        <f>SUM(E180,E171,E162,E153,E144,E135,E126,E117,E108,E99,E90,E81,E72,E63,E54,E45,E36,E27,E18,)</f>
        <v>2788.5485690000005</v>
      </c>
    </row>
  </sheetData>
  <phoneticPr fontId="0" type="noConversion"/>
  <pageMargins left="0.75" right="0.75" top="1" bottom="1" header="0.5" footer="0.5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BA183"/>
  <sheetViews>
    <sheetView defaultGridColor="0" colorId="11" zoomScale="75" workbookViewId="0">
      <pane xSplit="3" topLeftCell="D1" activePane="topRight" state="frozen"/>
      <selection pane="topRight" activeCell="BA12" sqref="BA12:BA180"/>
    </sheetView>
  </sheetViews>
  <sheetFormatPr defaultRowHeight="12.75" x14ac:dyDescent="0.2"/>
  <cols>
    <col min="2" max="2" width="26.42578125" bestFit="1" customWidth="1"/>
    <col min="4" max="8" width="13.7109375" customWidth="1"/>
    <col min="10" max="14" width="13.5703125" customWidth="1"/>
    <col min="15" max="15" width="12" bestFit="1" customWidth="1"/>
    <col min="17" max="17" width="15.7109375" style="108" bestFit="1" customWidth="1"/>
    <col min="18" max="19" width="12" bestFit="1" customWidth="1"/>
    <col min="20" max="21" width="12" customWidth="1"/>
    <col min="22" max="25" width="11.5703125" customWidth="1"/>
    <col min="26" max="29" width="10.7109375" customWidth="1"/>
    <col min="30" max="30" width="11.42578125" customWidth="1"/>
    <col min="31" max="34" width="13.42578125" customWidth="1"/>
    <col min="35" max="39" width="10.85546875" customWidth="1"/>
    <col min="45" max="45" width="28.140625" customWidth="1"/>
    <col min="51" max="51" width="27" customWidth="1"/>
  </cols>
  <sheetData>
    <row r="1" spans="1:53" ht="15" x14ac:dyDescent="0.25">
      <c r="A1" s="15" t="s">
        <v>32</v>
      </c>
      <c r="B1" s="16"/>
    </row>
    <row r="2" spans="1:53" ht="15" x14ac:dyDescent="0.25">
      <c r="A2" s="15"/>
      <c r="B2" s="16">
        <v>2002</v>
      </c>
      <c r="V2" s="99"/>
      <c r="W2" s="99"/>
      <c r="X2" s="99"/>
      <c r="Y2" s="99"/>
      <c r="Z2" s="26"/>
      <c r="AA2" s="26"/>
      <c r="AB2" s="26"/>
      <c r="AC2" s="26"/>
      <c r="AD2" s="26"/>
      <c r="AE2" s="28"/>
      <c r="AF2" s="28"/>
      <c r="AG2" s="28"/>
      <c r="AH2" s="28"/>
      <c r="AI2" s="124"/>
      <c r="AJ2" s="124"/>
      <c r="AK2" s="124"/>
      <c r="AL2" s="124"/>
      <c r="AM2" s="124"/>
    </row>
    <row r="3" spans="1:53" ht="78.75" x14ac:dyDescent="0.25">
      <c r="B3" s="16"/>
      <c r="D3" s="179" t="s">
        <v>759</v>
      </c>
      <c r="E3" s="179"/>
      <c r="F3" s="179"/>
      <c r="G3" s="179"/>
      <c r="H3" s="179"/>
      <c r="J3" s="181" t="s">
        <v>758</v>
      </c>
      <c r="K3" s="181"/>
      <c r="L3" s="181"/>
      <c r="M3" s="181"/>
      <c r="N3" s="181"/>
      <c r="V3" s="99" t="s">
        <v>534</v>
      </c>
      <c r="W3" s="99"/>
      <c r="X3" s="99"/>
      <c r="Y3" s="99"/>
      <c r="Z3" s="26" t="s">
        <v>535</v>
      </c>
      <c r="AA3" s="26"/>
      <c r="AB3" s="26"/>
      <c r="AC3" s="26"/>
      <c r="AD3" s="125"/>
      <c r="AE3" s="28" t="s">
        <v>536</v>
      </c>
      <c r="AF3" s="28"/>
      <c r="AG3" s="28"/>
      <c r="AH3" s="28"/>
      <c r="AI3" s="124" t="s">
        <v>537</v>
      </c>
      <c r="AJ3" s="131"/>
      <c r="AK3" s="131"/>
      <c r="AL3" s="131"/>
      <c r="AM3" s="131"/>
    </row>
    <row r="4" spans="1:53" ht="15.75" x14ac:dyDescent="0.25">
      <c r="D4" s="180"/>
      <c r="E4" s="180"/>
      <c r="F4" s="180"/>
      <c r="G4" s="180"/>
      <c r="H4" s="180"/>
      <c r="J4" s="182"/>
      <c r="K4" s="182"/>
      <c r="L4" s="182"/>
      <c r="M4" s="182"/>
      <c r="N4" s="182"/>
      <c r="V4" s="101" t="s">
        <v>40</v>
      </c>
      <c r="W4" s="101"/>
      <c r="X4" s="101"/>
      <c r="Y4" s="101"/>
      <c r="Z4" s="27" t="s">
        <v>40</v>
      </c>
      <c r="AA4" s="27"/>
      <c r="AB4" s="27"/>
      <c r="AC4" s="27"/>
      <c r="AD4" s="126"/>
      <c r="AE4" s="30" t="s">
        <v>40</v>
      </c>
      <c r="AF4" s="30"/>
      <c r="AG4" s="30"/>
      <c r="AH4" s="30"/>
      <c r="AI4" s="132" t="s">
        <v>40</v>
      </c>
      <c r="AJ4" s="133"/>
      <c r="AK4" s="133"/>
      <c r="AL4" s="133"/>
      <c r="AM4" s="133"/>
    </row>
    <row r="5" spans="1:53" ht="94.5" x14ac:dyDescent="0.25">
      <c r="A5" s="1"/>
      <c r="B5" s="2"/>
      <c r="C5" s="3"/>
      <c r="D5" s="103"/>
      <c r="E5" s="229"/>
      <c r="F5" s="229"/>
      <c r="G5" s="229"/>
      <c r="H5" s="229"/>
      <c r="J5" s="115"/>
      <c r="K5" s="232"/>
      <c r="L5" s="232"/>
      <c r="M5" s="232"/>
      <c r="N5" s="232"/>
      <c r="V5" s="103"/>
      <c r="W5" s="103"/>
      <c r="X5" s="103"/>
      <c r="Y5" s="103"/>
      <c r="Z5" s="93"/>
      <c r="AA5" s="236"/>
      <c r="AB5" s="236"/>
      <c r="AC5" s="236"/>
      <c r="AD5" s="127"/>
      <c r="AE5" s="90"/>
      <c r="AF5" s="90"/>
      <c r="AG5" s="90"/>
      <c r="AH5" s="90"/>
      <c r="AI5" s="134"/>
      <c r="AJ5" s="135"/>
      <c r="AK5" s="135"/>
      <c r="AL5" s="135"/>
      <c r="AM5" s="135"/>
      <c r="AO5" s="240" t="s">
        <v>727</v>
      </c>
      <c r="AP5" s="241"/>
      <c r="AQ5" s="241"/>
      <c r="AR5" s="241"/>
      <c r="AS5" s="242" t="s">
        <v>727</v>
      </c>
      <c r="AU5" s="244" t="s">
        <v>728</v>
      </c>
      <c r="AV5" s="245"/>
      <c r="AW5" s="245"/>
      <c r="AX5" s="245"/>
      <c r="AY5" s="246" t="s">
        <v>728</v>
      </c>
    </row>
    <row r="6" spans="1:53" ht="39" x14ac:dyDescent="0.25">
      <c r="A6" s="1"/>
      <c r="B6" s="2" t="s">
        <v>0</v>
      </c>
      <c r="C6" s="3"/>
      <c r="D6" s="234"/>
      <c r="E6" s="234" t="s">
        <v>862</v>
      </c>
      <c r="F6" s="234"/>
      <c r="G6" s="234"/>
      <c r="H6" s="234"/>
      <c r="J6" s="117"/>
      <c r="K6" s="117" t="s">
        <v>862</v>
      </c>
      <c r="L6" s="117"/>
      <c r="M6" s="117"/>
      <c r="N6" s="117"/>
      <c r="O6" s="17" t="s">
        <v>35</v>
      </c>
      <c r="P6" s="18"/>
      <c r="Q6" s="146">
        <v>2002</v>
      </c>
      <c r="R6" s="22" t="s">
        <v>38</v>
      </c>
      <c r="S6" s="22" t="s">
        <v>39</v>
      </c>
      <c r="T6" s="196" t="s">
        <v>659</v>
      </c>
      <c r="U6" s="196" t="s">
        <v>660</v>
      </c>
      <c r="V6" s="105" t="s">
        <v>862</v>
      </c>
      <c r="W6" s="105"/>
      <c r="X6" s="105"/>
      <c r="Y6" s="105"/>
      <c r="Z6" s="78" t="s">
        <v>862</v>
      </c>
      <c r="AA6" s="78"/>
      <c r="AB6" s="78"/>
      <c r="AC6" s="78"/>
      <c r="AD6" s="128" t="s">
        <v>42</v>
      </c>
      <c r="AE6" s="72" t="s">
        <v>862</v>
      </c>
      <c r="AF6" s="72"/>
      <c r="AG6" s="72"/>
      <c r="AH6" s="72"/>
      <c r="AI6" s="137"/>
      <c r="AJ6" s="137"/>
      <c r="AK6" s="137"/>
      <c r="AL6" s="137"/>
      <c r="AM6" s="137" t="s">
        <v>42</v>
      </c>
      <c r="AO6" s="32" t="s">
        <v>862</v>
      </c>
      <c r="AP6" s="32"/>
      <c r="AQ6" s="32"/>
      <c r="AR6" s="32"/>
      <c r="AS6" s="129"/>
      <c r="AU6" s="32" t="s">
        <v>862</v>
      </c>
      <c r="AV6" s="32"/>
      <c r="AW6" s="32"/>
      <c r="AX6" s="32"/>
      <c r="AY6" s="247"/>
    </row>
    <row r="7" spans="1:53" ht="26.25" x14ac:dyDescent="0.25">
      <c r="A7" s="1"/>
      <c r="B7" s="2" t="s">
        <v>1</v>
      </c>
      <c r="C7" s="2"/>
      <c r="D7" s="107"/>
      <c r="E7" s="107"/>
      <c r="F7" s="107"/>
      <c r="G7" s="107"/>
      <c r="H7" s="107"/>
      <c r="J7" s="119"/>
      <c r="K7" s="233"/>
      <c r="L7" s="233"/>
      <c r="M7" s="233"/>
      <c r="N7" s="233"/>
      <c r="O7" s="21" t="s">
        <v>36</v>
      </c>
      <c r="P7" s="21" t="s">
        <v>37</v>
      </c>
      <c r="Q7" s="148" t="s">
        <v>538</v>
      </c>
      <c r="R7" s="22"/>
      <c r="S7" s="22"/>
      <c r="T7" s="22"/>
      <c r="U7" s="22"/>
      <c r="V7" s="107"/>
      <c r="W7" s="107"/>
      <c r="X7" s="107"/>
      <c r="Y7" s="107"/>
      <c r="Z7" s="237"/>
      <c r="AA7" s="237"/>
      <c r="AB7" s="237"/>
      <c r="AC7" s="237"/>
      <c r="AD7" s="129"/>
      <c r="AE7" s="91"/>
      <c r="AF7" s="91"/>
      <c r="AG7" s="91"/>
      <c r="AH7" s="91"/>
      <c r="AI7" s="139"/>
      <c r="AJ7" s="139"/>
      <c r="AK7" s="139"/>
      <c r="AL7" s="139"/>
      <c r="AM7" s="139"/>
      <c r="AS7" s="129"/>
      <c r="AY7" s="247"/>
      <c r="BA7" t="s">
        <v>864</v>
      </c>
    </row>
    <row r="8" spans="1:53" ht="15.75" x14ac:dyDescent="0.25">
      <c r="A8" s="1"/>
      <c r="B8" s="2" t="s">
        <v>4</v>
      </c>
      <c r="C8" s="2"/>
      <c r="D8" s="107"/>
      <c r="E8" s="230"/>
      <c r="F8" s="230"/>
      <c r="G8" s="230"/>
      <c r="H8" s="230"/>
      <c r="J8" s="183"/>
      <c r="K8" s="183"/>
      <c r="L8" s="183"/>
      <c r="M8" s="183"/>
      <c r="N8" s="183"/>
      <c r="O8" s="20"/>
      <c r="P8" s="20"/>
      <c r="Q8" s="145"/>
      <c r="R8" s="20"/>
      <c r="S8" s="20"/>
      <c r="T8" s="20"/>
      <c r="U8" s="20"/>
      <c r="V8" s="107"/>
      <c r="W8" s="107"/>
      <c r="X8" s="107"/>
      <c r="Y8" s="107"/>
      <c r="Z8" s="237">
        <v>2903</v>
      </c>
      <c r="AA8" s="237">
        <v>2903</v>
      </c>
      <c r="AB8" s="237">
        <v>2903</v>
      </c>
      <c r="AC8" s="237">
        <v>2903</v>
      </c>
      <c r="AD8" s="129"/>
      <c r="AE8" s="91"/>
      <c r="AF8" s="91"/>
      <c r="AG8" s="91"/>
      <c r="AH8" s="91"/>
      <c r="AI8" s="237">
        <v>2903</v>
      </c>
      <c r="AJ8" s="237">
        <v>2903</v>
      </c>
      <c r="AK8" s="237">
        <v>2903</v>
      </c>
      <c r="AL8" s="237">
        <v>2903</v>
      </c>
      <c r="AM8" s="139"/>
      <c r="AS8" s="129"/>
      <c r="AY8" s="247"/>
    </row>
    <row r="9" spans="1:53" ht="15.75" x14ac:dyDescent="0.25">
      <c r="A9" s="1"/>
      <c r="B9" s="15" t="s">
        <v>558</v>
      </c>
      <c r="C9" s="2"/>
      <c r="D9" s="109"/>
      <c r="E9" s="231"/>
      <c r="F9" s="231"/>
      <c r="G9" s="231"/>
      <c r="H9" s="231"/>
      <c r="J9" s="119"/>
      <c r="K9" s="233"/>
      <c r="L9" s="233"/>
      <c r="M9" s="233"/>
      <c r="N9" s="233"/>
      <c r="O9" s="21"/>
      <c r="P9" s="21"/>
      <c r="Q9" s="145"/>
      <c r="R9" s="20"/>
      <c r="S9" s="20"/>
      <c r="T9" s="20"/>
      <c r="U9" s="20"/>
      <c r="V9" s="109"/>
      <c r="W9" s="109"/>
      <c r="X9" s="109"/>
      <c r="Y9" s="109"/>
      <c r="Z9" s="238"/>
      <c r="AA9" s="238"/>
      <c r="AB9" s="238"/>
      <c r="AC9" s="238"/>
      <c r="AD9" s="129"/>
      <c r="AE9" s="92"/>
      <c r="AF9" s="92"/>
      <c r="AG9" s="92"/>
      <c r="AH9" s="92"/>
      <c r="AI9" s="139"/>
      <c r="AJ9" s="139"/>
      <c r="AK9" s="139"/>
      <c r="AL9" s="139"/>
      <c r="AM9" s="139"/>
      <c r="AO9" s="239">
        <v>2002</v>
      </c>
      <c r="AP9" s="239">
        <v>2002</v>
      </c>
      <c r="AQ9" s="239">
        <v>2002</v>
      </c>
      <c r="AR9" s="239">
        <v>2002</v>
      </c>
      <c r="AS9" s="243">
        <v>2002</v>
      </c>
      <c r="AU9" s="239">
        <v>2002</v>
      </c>
      <c r="AV9" s="239">
        <v>2002</v>
      </c>
      <c r="AW9" s="239">
        <v>2002</v>
      </c>
      <c r="AX9" s="239">
        <v>2002</v>
      </c>
      <c r="AY9" s="248">
        <v>2002</v>
      </c>
    </row>
    <row r="10" spans="1:53" ht="15" x14ac:dyDescent="0.2">
      <c r="B10" s="15" t="s">
        <v>726</v>
      </c>
      <c r="AO10" s="239">
        <v>1.4080999999999999</v>
      </c>
      <c r="AP10" s="239">
        <v>1.4080999999999999</v>
      </c>
      <c r="AQ10" s="239">
        <v>1.4080999999999999</v>
      </c>
      <c r="AR10" s="239">
        <v>1.4080999999999999</v>
      </c>
      <c r="AU10" s="239">
        <v>1.4080999999999999</v>
      </c>
      <c r="AV10" s="239">
        <v>1.4080999999999999</v>
      </c>
      <c r="AW10" s="239">
        <v>1.4080999999999999</v>
      </c>
      <c r="AX10" s="239">
        <v>1.4080999999999999</v>
      </c>
    </row>
    <row r="11" spans="1:53" ht="27" x14ac:dyDescent="0.25">
      <c r="A11" s="1"/>
      <c r="B11" s="2" t="s">
        <v>5</v>
      </c>
      <c r="C11" s="4" t="s">
        <v>6</v>
      </c>
      <c r="D11" s="107"/>
      <c r="E11" s="230"/>
      <c r="F11" s="230"/>
      <c r="G11" s="230"/>
      <c r="H11" s="230"/>
      <c r="J11" s="183"/>
      <c r="K11" s="183"/>
      <c r="L11" s="183"/>
      <c r="M11" s="183"/>
      <c r="N11" s="183"/>
      <c r="O11" s="20"/>
      <c r="P11" s="20"/>
      <c r="Q11" s="147"/>
      <c r="R11" s="20"/>
      <c r="S11" s="20"/>
      <c r="T11" s="20"/>
      <c r="U11" s="20"/>
      <c r="V11" s="230"/>
      <c r="W11" s="230"/>
      <c r="X11" s="230"/>
      <c r="Y11" s="230"/>
      <c r="Z11" s="130"/>
      <c r="AA11" s="130"/>
      <c r="AB11" s="130"/>
      <c r="AC11" s="130"/>
      <c r="AD11" s="129"/>
      <c r="AE11" s="91"/>
      <c r="AF11" s="91"/>
      <c r="AG11" s="91"/>
      <c r="AH11" s="91"/>
      <c r="AI11" s="139"/>
      <c r="AJ11" s="139"/>
      <c r="AK11" s="139"/>
      <c r="AL11" s="139"/>
      <c r="AM11" s="139"/>
    </row>
    <row r="12" spans="1:53" ht="15" x14ac:dyDescent="0.25">
      <c r="A12" s="1">
        <v>1</v>
      </c>
      <c r="B12" s="2" t="s">
        <v>7</v>
      </c>
      <c r="C12" s="3" t="s">
        <v>8</v>
      </c>
      <c r="D12">
        <v>0</v>
      </c>
      <c r="E12" s="360">
        <v>49.05538</v>
      </c>
      <c r="F12">
        <v>0</v>
      </c>
      <c r="G12">
        <v>0</v>
      </c>
      <c r="H12">
        <v>0</v>
      </c>
      <c r="J12">
        <v>0</v>
      </c>
      <c r="K12" s="14">
        <v>39.279498939624276</v>
      </c>
      <c r="L12">
        <v>0</v>
      </c>
      <c r="M12">
        <v>0</v>
      </c>
      <c r="N12">
        <v>0</v>
      </c>
      <c r="O12" s="20">
        <v>0.36775204520040022</v>
      </c>
      <c r="P12" s="20">
        <v>0.57913019816794442</v>
      </c>
      <c r="Q12" s="438">
        <v>7.9667360686887789E-2</v>
      </c>
      <c r="R12" s="197">
        <v>0.17699999999999999</v>
      </c>
      <c r="S12" s="197">
        <v>1.77</v>
      </c>
      <c r="T12" s="197">
        <v>0.50078889239507718</v>
      </c>
      <c r="U12" s="197">
        <v>0.75268470790377973</v>
      </c>
      <c r="V12" s="20">
        <f>IF(K12&gt;0,((E12-K12)*$Q12*$R12*10)+(K12*$O$12*$Q12*$R12*10),(E12*$Q12*$R12*10))</f>
        <v>3.4154325587382561</v>
      </c>
      <c r="W12" s="20">
        <f t="shared" ref="V12:Y17" si="0">IF(L12&gt;0,((F12-L12)*$Q12*$R12*10)+(L12*$O$12*$Q12*$R12*10),(F12*$Q12*$R12*10))</f>
        <v>0</v>
      </c>
      <c r="X12" s="20">
        <f t="shared" si="0"/>
        <v>0</v>
      </c>
      <c r="Y12" s="20">
        <f t="shared" si="0"/>
        <v>0</v>
      </c>
      <c r="Z12" s="20">
        <f>V12*(EXP(1.01-0.34*LN(Z$8))*(1-$T12)+(1*$T12))</f>
        <v>2.0215818838347621</v>
      </c>
      <c r="AA12" s="20">
        <f t="shared" ref="Z12:AC17" si="1">W12*(EXP(1.01-0.34*LN(AA$8))*(1-$T12)+(1*$T12))</f>
        <v>0</v>
      </c>
      <c r="AB12" s="20">
        <f t="shared" si="1"/>
        <v>0</v>
      </c>
      <c r="AC12" s="20">
        <f t="shared" si="1"/>
        <v>0</v>
      </c>
      <c r="AD12" s="20">
        <f t="shared" ref="AD12:AD17" si="2">SUM(Z12:AC12)</f>
        <v>2.0215818838347621</v>
      </c>
      <c r="AE12" s="20">
        <f t="shared" ref="AE12:AH17" si="3">IF(K12&gt;0,((E12-K12)*$Q12*$S12*10)+(K12*$P$12*$Q12*$S12)*10,(E12*$Q12*$S12*10))</f>
        <v>45.862245252266817</v>
      </c>
      <c r="AF12" s="20">
        <f t="shared" si="3"/>
        <v>0</v>
      </c>
      <c r="AG12" s="20">
        <f t="shared" si="3"/>
        <v>0</v>
      </c>
      <c r="AH12" s="20">
        <f t="shared" si="3"/>
        <v>0</v>
      </c>
      <c r="AI12" s="20">
        <f t="shared" ref="AI12:AL17" si="4">AE12*(EXP(1.01-0.34*LN(AI$8))*(1-$U12)+(1*$U12))</f>
        <v>36.589836277307725</v>
      </c>
      <c r="AJ12" s="20">
        <f t="shared" si="4"/>
        <v>0</v>
      </c>
      <c r="AK12" s="20">
        <f t="shared" si="4"/>
        <v>0</v>
      </c>
      <c r="AL12" s="20">
        <f t="shared" si="4"/>
        <v>0</v>
      </c>
      <c r="AM12" s="20">
        <f t="shared" ref="AM12:AM17" si="5">SUM(AI12:AL12)</f>
        <v>36.589836277307725</v>
      </c>
      <c r="AO12">
        <f t="shared" ref="AO12:AR17" si="6">Z12*AO$10</f>
        <v>2.8465894506277283</v>
      </c>
      <c r="AP12">
        <f t="shared" si="6"/>
        <v>0</v>
      </c>
      <c r="AQ12">
        <f t="shared" si="6"/>
        <v>0</v>
      </c>
      <c r="AR12">
        <f t="shared" si="6"/>
        <v>0</v>
      </c>
      <c r="AS12">
        <f t="shared" ref="AS12:AS17" si="7">SUM(AO12:AR12)</f>
        <v>2.8465894506277283</v>
      </c>
      <c r="AU12">
        <f t="shared" ref="AU12:AX17" si="8">AI12*AU$10</f>
        <v>51.522148462077006</v>
      </c>
      <c r="AV12">
        <f t="shared" si="8"/>
        <v>0</v>
      </c>
      <c r="AW12">
        <f t="shared" si="8"/>
        <v>0</v>
      </c>
      <c r="AX12">
        <f t="shared" si="8"/>
        <v>0</v>
      </c>
      <c r="AY12">
        <f t="shared" ref="AY12:AY17" si="9">SUM(AU12:AX12)</f>
        <v>51.522148462077006</v>
      </c>
    </row>
    <row r="13" spans="1:53" ht="15" x14ac:dyDescent="0.25">
      <c r="A13" s="1"/>
      <c r="B13" s="2"/>
      <c r="C13" s="1" t="s">
        <v>9</v>
      </c>
      <c r="D13">
        <v>0</v>
      </c>
      <c r="E13" s="360">
        <v>6.3624999999999998</v>
      </c>
      <c r="F13">
        <v>0</v>
      </c>
      <c r="G13">
        <v>0</v>
      </c>
      <c r="H13">
        <v>0</v>
      </c>
      <c r="J13">
        <v>0</v>
      </c>
      <c r="K13" s="14">
        <v>4.7318476998009995</v>
      </c>
      <c r="L13">
        <v>0</v>
      </c>
      <c r="M13">
        <v>0</v>
      </c>
      <c r="N13">
        <v>0</v>
      </c>
      <c r="O13" s="20"/>
      <c r="P13" s="20"/>
      <c r="Q13" s="438">
        <v>0.11433472137377558</v>
      </c>
      <c r="R13" s="197">
        <v>0.17699999999999999</v>
      </c>
      <c r="S13" s="197">
        <v>1.77</v>
      </c>
      <c r="T13" s="197">
        <v>0.50078889239507718</v>
      </c>
      <c r="U13" s="197">
        <v>0.75268470790377973</v>
      </c>
      <c r="V13" s="20">
        <f t="shared" si="0"/>
        <v>0.6821568689183175</v>
      </c>
      <c r="W13" s="20">
        <f t="shared" si="0"/>
        <v>0</v>
      </c>
      <c r="X13" s="20">
        <f t="shared" si="0"/>
        <v>0</v>
      </c>
      <c r="Y13" s="20">
        <f t="shared" si="0"/>
        <v>0</v>
      </c>
      <c r="Z13" s="20">
        <f t="shared" si="1"/>
        <v>0.4037661246188286</v>
      </c>
      <c r="AA13" s="20">
        <f t="shared" si="1"/>
        <v>0</v>
      </c>
      <c r="AB13" s="20">
        <f t="shared" si="1"/>
        <v>0</v>
      </c>
      <c r="AC13" s="20">
        <f t="shared" si="1"/>
        <v>0</v>
      </c>
      <c r="AD13" s="20">
        <f t="shared" si="2"/>
        <v>0.4037661246188286</v>
      </c>
      <c r="AE13" s="20">
        <f t="shared" si="3"/>
        <v>8.8457166751323832</v>
      </c>
      <c r="AF13" s="20">
        <f t="shared" si="3"/>
        <v>0</v>
      </c>
      <c r="AG13" s="20">
        <f t="shared" si="3"/>
        <v>0</v>
      </c>
      <c r="AH13" s="20">
        <f t="shared" si="3"/>
        <v>0</v>
      </c>
      <c r="AI13" s="20">
        <f t="shared" si="4"/>
        <v>7.0572934909362539</v>
      </c>
      <c r="AJ13" s="20">
        <f t="shared" si="4"/>
        <v>0</v>
      </c>
      <c r="AK13" s="20">
        <f t="shared" si="4"/>
        <v>0</v>
      </c>
      <c r="AL13" s="20">
        <f t="shared" si="4"/>
        <v>0</v>
      </c>
      <c r="AM13" s="20">
        <f t="shared" si="5"/>
        <v>7.0572934909362539</v>
      </c>
      <c r="AO13">
        <f t="shared" si="6"/>
        <v>0.56854308007577248</v>
      </c>
      <c r="AP13">
        <f t="shared" si="6"/>
        <v>0</v>
      </c>
      <c r="AQ13">
        <f t="shared" si="6"/>
        <v>0</v>
      </c>
      <c r="AR13">
        <f t="shared" si="6"/>
        <v>0</v>
      </c>
      <c r="AS13">
        <f t="shared" si="7"/>
        <v>0.56854308007577248</v>
      </c>
      <c r="AU13">
        <f t="shared" si="8"/>
        <v>9.9373749645873382</v>
      </c>
      <c r="AV13">
        <f t="shared" si="8"/>
        <v>0</v>
      </c>
      <c r="AW13">
        <f t="shared" si="8"/>
        <v>0</v>
      </c>
      <c r="AX13">
        <f t="shared" si="8"/>
        <v>0</v>
      </c>
      <c r="AY13">
        <f t="shared" si="9"/>
        <v>9.9373749645873382</v>
      </c>
    </row>
    <row r="14" spans="1:53" ht="15" x14ac:dyDescent="0.25">
      <c r="A14" s="1"/>
      <c r="B14" s="2"/>
      <c r="C14" s="1" t="s">
        <v>10</v>
      </c>
      <c r="D14">
        <v>0</v>
      </c>
      <c r="E14" s="360">
        <v>1.1967000000000001</v>
      </c>
      <c r="F14">
        <v>0</v>
      </c>
      <c r="G14">
        <v>0</v>
      </c>
      <c r="H14">
        <v>0</v>
      </c>
      <c r="J14">
        <v>0</v>
      </c>
      <c r="K14" s="14">
        <v>-0.89230754213099961</v>
      </c>
      <c r="L14">
        <v>0</v>
      </c>
      <c r="M14">
        <v>0</v>
      </c>
      <c r="N14">
        <v>0</v>
      </c>
      <c r="O14" s="20"/>
      <c r="P14" s="20"/>
      <c r="Q14" s="438">
        <v>0.14900208206066334</v>
      </c>
      <c r="R14" s="197">
        <v>0.17699999999999999</v>
      </c>
      <c r="S14" s="197">
        <v>1.77</v>
      </c>
      <c r="T14" s="197">
        <v>0.50078889239507718</v>
      </c>
      <c r="U14" s="197">
        <v>0.75268470790377973</v>
      </c>
      <c r="V14" s="20">
        <f t="shared" si="0"/>
        <v>0.31561010113553267</v>
      </c>
      <c r="W14" s="20">
        <f t="shared" si="0"/>
        <v>0</v>
      </c>
      <c r="X14" s="20">
        <f t="shared" si="0"/>
        <v>0</v>
      </c>
      <c r="Y14" s="20">
        <f t="shared" si="0"/>
        <v>0</v>
      </c>
      <c r="Z14" s="20">
        <f t="shared" si="1"/>
        <v>0.18680845012690117</v>
      </c>
      <c r="AA14" s="20">
        <f t="shared" si="1"/>
        <v>0</v>
      </c>
      <c r="AB14" s="20">
        <f t="shared" si="1"/>
        <v>0</v>
      </c>
      <c r="AC14" s="20">
        <f t="shared" si="1"/>
        <v>0</v>
      </c>
      <c r="AD14" s="20">
        <f t="shared" si="2"/>
        <v>0.18680845012690117</v>
      </c>
      <c r="AE14" s="20">
        <f t="shared" si="3"/>
        <v>3.1561010113553261</v>
      </c>
      <c r="AF14" s="20">
        <f t="shared" si="3"/>
        <v>0</v>
      </c>
      <c r="AG14" s="20">
        <f t="shared" si="3"/>
        <v>0</v>
      </c>
      <c r="AH14" s="20">
        <f t="shared" si="3"/>
        <v>0</v>
      </c>
      <c r="AI14" s="20">
        <f t="shared" si="4"/>
        <v>2.5180018694010378</v>
      </c>
      <c r="AJ14" s="20">
        <f t="shared" si="4"/>
        <v>0</v>
      </c>
      <c r="AK14" s="20">
        <f t="shared" si="4"/>
        <v>0</v>
      </c>
      <c r="AL14" s="20">
        <f t="shared" si="4"/>
        <v>0</v>
      </c>
      <c r="AM14" s="20">
        <f t="shared" si="5"/>
        <v>2.5180018694010378</v>
      </c>
      <c r="AO14">
        <f t="shared" si="6"/>
        <v>0.26304497862368953</v>
      </c>
      <c r="AP14">
        <f t="shared" si="6"/>
        <v>0</v>
      </c>
      <c r="AQ14">
        <f t="shared" si="6"/>
        <v>0</v>
      </c>
      <c r="AR14">
        <f t="shared" si="6"/>
        <v>0</v>
      </c>
      <c r="AS14">
        <f t="shared" si="7"/>
        <v>0.26304497862368953</v>
      </c>
      <c r="AU14">
        <f t="shared" si="8"/>
        <v>3.5455984323036009</v>
      </c>
      <c r="AV14">
        <f t="shared" si="8"/>
        <v>0</v>
      </c>
      <c r="AW14">
        <f t="shared" si="8"/>
        <v>0</v>
      </c>
      <c r="AX14">
        <f t="shared" si="8"/>
        <v>0</v>
      </c>
      <c r="AY14">
        <f t="shared" si="9"/>
        <v>3.5455984323036009</v>
      </c>
    </row>
    <row r="15" spans="1:53" ht="15" x14ac:dyDescent="0.25">
      <c r="A15" s="1"/>
      <c r="B15" s="2"/>
      <c r="C15" s="1" t="s">
        <v>11</v>
      </c>
      <c r="D15">
        <v>0</v>
      </c>
      <c r="E15" s="360">
        <v>16.971299999999999</v>
      </c>
      <c r="F15">
        <v>0</v>
      </c>
      <c r="G15">
        <v>0</v>
      </c>
      <c r="H15">
        <v>0</v>
      </c>
      <c r="J15">
        <v>0</v>
      </c>
      <c r="K15" s="14">
        <v>5.2454741905186246</v>
      </c>
      <c r="L15">
        <v>0</v>
      </c>
      <c r="M15">
        <v>0</v>
      </c>
      <c r="N15">
        <v>0</v>
      </c>
      <c r="O15" s="20"/>
      <c r="P15" s="20"/>
      <c r="Q15" s="438">
        <v>0.18366944274755112</v>
      </c>
      <c r="R15" s="197">
        <v>0.17699999999999999</v>
      </c>
      <c r="S15" s="197">
        <v>1.77</v>
      </c>
      <c r="T15" s="197">
        <v>0.50078889239507718</v>
      </c>
      <c r="U15" s="197">
        <v>0.75268470790377973</v>
      </c>
      <c r="V15" s="20">
        <f t="shared" si="0"/>
        <v>4.4391254258558099</v>
      </c>
      <c r="W15" s="20">
        <f t="shared" si="0"/>
        <v>0</v>
      </c>
      <c r="X15" s="20">
        <f t="shared" si="0"/>
        <v>0</v>
      </c>
      <c r="Y15" s="20">
        <f t="shared" si="0"/>
        <v>0</v>
      </c>
      <c r="Z15" s="20">
        <f t="shared" si="1"/>
        <v>2.6275019010463536</v>
      </c>
      <c r="AA15" s="20">
        <f t="shared" si="1"/>
        <v>0</v>
      </c>
      <c r="AB15" s="20">
        <f t="shared" si="1"/>
        <v>0</v>
      </c>
      <c r="AC15" s="20">
        <f t="shared" si="1"/>
        <v>0</v>
      </c>
      <c r="AD15" s="20">
        <f t="shared" si="2"/>
        <v>2.6275019010463536</v>
      </c>
      <c r="AE15" s="20">
        <f t="shared" si="3"/>
        <v>47.995837239937202</v>
      </c>
      <c r="AF15" s="20">
        <f t="shared" si="3"/>
        <v>0</v>
      </c>
      <c r="AG15" s="20">
        <f t="shared" si="3"/>
        <v>0</v>
      </c>
      <c r="AH15" s="20">
        <f t="shared" si="3"/>
        <v>0</v>
      </c>
      <c r="AI15" s="20">
        <f t="shared" si="4"/>
        <v>38.292059556652653</v>
      </c>
      <c r="AJ15" s="20">
        <f t="shared" si="4"/>
        <v>0</v>
      </c>
      <c r="AK15" s="20">
        <f t="shared" si="4"/>
        <v>0</v>
      </c>
      <c r="AL15" s="20">
        <f t="shared" si="4"/>
        <v>0</v>
      </c>
      <c r="AM15" s="20">
        <f t="shared" si="5"/>
        <v>38.292059556652653</v>
      </c>
      <c r="AO15">
        <f t="shared" si="6"/>
        <v>3.6997854268633703</v>
      </c>
      <c r="AP15">
        <f t="shared" si="6"/>
        <v>0</v>
      </c>
      <c r="AQ15">
        <f t="shared" si="6"/>
        <v>0</v>
      </c>
      <c r="AR15">
        <f t="shared" si="6"/>
        <v>0</v>
      </c>
      <c r="AS15">
        <f t="shared" si="7"/>
        <v>3.6997854268633703</v>
      </c>
      <c r="AU15">
        <f t="shared" si="8"/>
        <v>53.919049061722596</v>
      </c>
      <c r="AV15">
        <f t="shared" si="8"/>
        <v>0</v>
      </c>
      <c r="AW15">
        <f t="shared" si="8"/>
        <v>0</v>
      </c>
      <c r="AX15">
        <f t="shared" si="8"/>
        <v>0</v>
      </c>
      <c r="AY15">
        <f t="shared" si="9"/>
        <v>53.919049061722596</v>
      </c>
    </row>
    <row r="16" spans="1:53" ht="15" x14ac:dyDescent="0.25">
      <c r="A16" s="5"/>
      <c r="B16" s="6"/>
      <c r="C16" s="5" t="s">
        <v>12</v>
      </c>
      <c r="D16">
        <v>0</v>
      </c>
      <c r="E16" s="360">
        <v>0</v>
      </c>
      <c r="F16">
        <v>0</v>
      </c>
      <c r="G16">
        <v>0</v>
      </c>
      <c r="H16">
        <v>0</v>
      </c>
      <c r="J16">
        <v>0</v>
      </c>
      <c r="K16" s="14">
        <v>0</v>
      </c>
      <c r="L16">
        <v>0</v>
      </c>
      <c r="M16">
        <v>0</v>
      </c>
      <c r="N16">
        <v>0</v>
      </c>
      <c r="O16" s="20"/>
      <c r="P16" s="20"/>
      <c r="Q16" s="438"/>
      <c r="R16" s="197">
        <v>0.17699999999999999</v>
      </c>
      <c r="S16" s="197">
        <v>1.77</v>
      </c>
      <c r="T16" s="197">
        <v>0.50078889239507718</v>
      </c>
      <c r="U16" s="197">
        <v>0.75268470790377973</v>
      </c>
      <c r="V16" s="20">
        <f t="shared" si="0"/>
        <v>0</v>
      </c>
      <c r="W16" s="20">
        <f t="shared" si="0"/>
        <v>0</v>
      </c>
      <c r="X16" s="20">
        <f t="shared" si="0"/>
        <v>0</v>
      </c>
      <c r="Y16" s="20">
        <f t="shared" si="0"/>
        <v>0</v>
      </c>
      <c r="Z16" s="20">
        <f t="shared" si="1"/>
        <v>0</v>
      </c>
      <c r="AA16" s="20">
        <f t="shared" si="1"/>
        <v>0</v>
      </c>
      <c r="AB16" s="20">
        <f t="shared" si="1"/>
        <v>0</v>
      </c>
      <c r="AC16" s="20">
        <f t="shared" si="1"/>
        <v>0</v>
      </c>
      <c r="AD16" s="20">
        <f t="shared" si="2"/>
        <v>0</v>
      </c>
      <c r="AE16" s="20">
        <f t="shared" si="3"/>
        <v>0</v>
      </c>
      <c r="AF16" s="20">
        <f t="shared" si="3"/>
        <v>0</v>
      </c>
      <c r="AG16" s="20">
        <f t="shared" si="3"/>
        <v>0</v>
      </c>
      <c r="AH16" s="20">
        <f t="shared" si="3"/>
        <v>0</v>
      </c>
      <c r="AI16" s="20">
        <f t="shared" si="4"/>
        <v>0</v>
      </c>
      <c r="AJ16" s="20">
        <f t="shared" si="4"/>
        <v>0</v>
      </c>
      <c r="AK16" s="20">
        <f t="shared" si="4"/>
        <v>0</v>
      </c>
      <c r="AL16" s="20">
        <f t="shared" si="4"/>
        <v>0</v>
      </c>
      <c r="AM16" s="20">
        <f t="shared" si="5"/>
        <v>0</v>
      </c>
      <c r="AO16">
        <f t="shared" si="6"/>
        <v>0</v>
      </c>
      <c r="AP16">
        <f t="shared" si="6"/>
        <v>0</v>
      </c>
      <c r="AQ16">
        <f t="shared" si="6"/>
        <v>0</v>
      </c>
      <c r="AR16">
        <f t="shared" si="6"/>
        <v>0</v>
      </c>
      <c r="AS16">
        <f t="shared" si="7"/>
        <v>0</v>
      </c>
      <c r="AU16">
        <f t="shared" si="8"/>
        <v>0</v>
      </c>
      <c r="AV16">
        <f t="shared" si="8"/>
        <v>0</v>
      </c>
      <c r="AW16">
        <f t="shared" si="8"/>
        <v>0</v>
      </c>
      <c r="AX16">
        <f t="shared" si="8"/>
        <v>0</v>
      </c>
      <c r="AY16">
        <f t="shared" si="9"/>
        <v>0</v>
      </c>
    </row>
    <row r="17" spans="1:53" ht="15" x14ac:dyDescent="0.25">
      <c r="A17" s="5"/>
      <c r="B17" s="6"/>
      <c r="C17" s="5" t="s">
        <v>13</v>
      </c>
      <c r="D17">
        <v>0</v>
      </c>
      <c r="E17" s="360">
        <v>3.8789999999999998E-2</v>
      </c>
      <c r="F17">
        <v>0</v>
      </c>
      <c r="G17">
        <v>0</v>
      </c>
      <c r="H17">
        <v>0</v>
      </c>
      <c r="J17">
        <v>0</v>
      </c>
      <c r="K17" s="14">
        <v>3.8789999999999998E-2</v>
      </c>
      <c r="L17">
        <v>0</v>
      </c>
      <c r="M17">
        <v>0</v>
      </c>
      <c r="N17">
        <v>0</v>
      </c>
      <c r="O17" s="20"/>
      <c r="P17" s="20"/>
      <c r="Q17" s="438">
        <v>0.18366944274755115</v>
      </c>
      <c r="R17" s="197">
        <v>0.17699999999999999</v>
      </c>
      <c r="S17" s="197">
        <v>1.77</v>
      </c>
      <c r="T17" s="197">
        <v>0.50078889239507718</v>
      </c>
      <c r="U17" s="197">
        <v>0.75268470790377973</v>
      </c>
      <c r="V17" s="20">
        <f t="shared" si="0"/>
        <v>4.6375120489005744E-3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1"/>
        <v>2.7449262085813887E-3</v>
      </c>
      <c r="AA17" s="20">
        <f t="shared" si="1"/>
        <v>0</v>
      </c>
      <c r="AB17" s="20">
        <f t="shared" si="1"/>
        <v>0</v>
      </c>
      <c r="AC17" s="20">
        <f t="shared" si="1"/>
        <v>0</v>
      </c>
      <c r="AD17" s="20">
        <f t="shared" si="2"/>
        <v>2.7449262085813887E-3</v>
      </c>
      <c r="AE17" s="20">
        <f t="shared" si="3"/>
        <v>7.3030818099800943E-2</v>
      </c>
      <c r="AF17" s="20">
        <f t="shared" si="3"/>
        <v>0</v>
      </c>
      <c r="AG17" s="20">
        <f t="shared" si="3"/>
        <v>0</v>
      </c>
      <c r="AH17" s="20">
        <f t="shared" si="3"/>
        <v>0</v>
      </c>
      <c r="AI17" s="20">
        <f t="shared" si="4"/>
        <v>5.8265478778265462E-2</v>
      </c>
      <c r="AJ17" s="20">
        <f t="shared" si="4"/>
        <v>0</v>
      </c>
      <c r="AK17" s="20">
        <f t="shared" si="4"/>
        <v>0</v>
      </c>
      <c r="AL17" s="20">
        <f t="shared" si="4"/>
        <v>0</v>
      </c>
      <c r="AM17" s="20">
        <f t="shared" si="5"/>
        <v>5.8265478778265462E-2</v>
      </c>
      <c r="AO17">
        <f t="shared" si="6"/>
        <v>3.8651305943034533E-3</v>
      </c>
      <c r="AP17">
        <f t="shared" si="6"/>
        <v>0</v>
      </c>
      <c r="AQ17">
        <f t="shared" si="6"/>
        <v>0</v>
      </c>
      <c r="AR17">
        <f t="shared" si="6"/>
        <v>0</v>
      </c>
      <c r="AS17">
        <f t="shared" si="7"/>
        <v>3.8651305943034533E-3</v>
      </c>
      <c r="AU17">
        <f t="shared" si="8"/>
        <v>8.2043620667675593E-2</v>
      </c>
      <c r="AV17">
        <f t="shared" si="8"/>
        <v>0</v>
      </c>
      <c r="AW17">
        <f t="shared" si="8"/>
        <v>0</v>
      </c>
      <c r="AX17">
        <f t="shared" si="8"/>
        <v>0</v>
      </c>
      <c r="AY17">
        <f t="shared" si="9"/>
        <v>8.2043620667675593E-2</v>
      </c>
    </row>
    <row r="18" spans="1:53" ht="15" x14ac:dyDescent="0.25">
      <c r="A18" s="7"/>
      <c r="B18" s="8" t="s">
        <v>14</v>
      </c>
      <c r="C18" s="7"/>
      <c r="D18" s="357">
        <f t="shared" ref="D18:H18" si="10">SUM(D12:D17)</f>
        <v>0</v>
      </c>
      <c r="E18" s="363">
        <f>SUM(E12:E17)</f>
        <v>73.624670000000009</v>
      </c>
      <c r="F18" s="357">
        <f t="shared" si="10"/>
        <v>0</v>
      </c>
      <c r="G18" s="357">
        <f t="shared" si="10"/>
        <v>0</v>
      </c>
      <c r="H18" s="357">
        <f t="shared" si="10"/>
        <v>0</v>
      </c>
      <c r="J18">
        <v>0</v>
      </c>
      <c r="K18" s="14">
        <v>48.403303287812918</v>
      </c>
      <c r="L18">
        <v>0</v>
      </c>
      <c r="M18">
        <v>0</v>
      </c>
      <c r="N18">
        <v>0</v>
      </c>
      <c r="O18" s="20"/>
      <c r="P18" s="20"/>
      <c r="Q18" s="438">
        <v>0.10781864095038626</v>
      </c>
      <c r="R18" s="197"/>
      <c r="S18" s="197"/>
      <c r="T18" s="197"/>
      <c r="U18" s="197"/>
      <c r="BA18" s="319">
        <f>(E18*10000*Q18*AU$10)</f>
        <v>111776.55309813493</v>
      </c>
    </row>
    <row r="19" spans="1:53" ht="15" x14ac:dyDescent="0.25">
      <c r="A19" s="5"/>
      <c r="B19" s="9" t="s">
        <v>15</v>
      </c>
      <c r="C19" s="5"/>
      <c r="E19" s="363">
        <f>SUM(E18)</f>
        <v>73.624670000000009</v>
      </c>
      <c r="H19" s="358">
        <f>SUM(D18:H18)</f>
        <v>73.624670000000009</v>
      </c>
      <c r="K19" s="14"/>
      <c r="N19">
        <v>0</v>
      </c>
      <c r="O19" s="20"/>
      <c r="P19" s="20"/>
      <c r="Q19" s="438"/>
      <c r="R19" s="197"/>
      <c r="S19" s="197"/>
      <c r="T19" s="197"/>
      <c r="U19" s="197"/>
    </row>
    <row r="20" spans="1:53" ht="15.75" x14ac:dyDescent="0.25">
      <c r="A20" s="1"/>
      <c r="B20" s="2"/>
      <c r="C20" s="1"/>
      <c r="E20" s="361"/>
      <c r="K20" s="14"/>
      <c r="O20" s="20"/>
      <c r="P20" s="20"/>
      <c r="Q20" s="439"/>
      <c r="R20" s="197"/>
      <c r="S20" s="197"/>
      <c r="T20" s="197"/>
      <c r="U20" s="197"/>
    </row>
    <row r="21" spans="1:53" s="319" customFormat="1" ht="15" x14ac:dyDescent="0.25">
      <c r="A21" s="384">
        <v>2</v>
      </c>
      <c r="B21" s="376" t="s">
        <v>16</v>
      </c>
      <c r="C21" s="384" t="s">
        <v>8</v>
      </c>
      <c r="D21" s="319">
        <v>0</v>
      </c>
      <c r="E21" s="385">
        <v>16.384799999999998</v>
      </c>
      <c r="F21" s="319">
        <v>0</v>
      </c>
      <c r="G21" s="319">
        <v>0</v>
      </c>
      <c r="H21" s="319">
        <v>0</v>
      </c>
      <c r="J21" s="319">
        <v>0</v>
      </c>
      <c r="K21" s="386">
        <v>-39.910024524594213</v>
      </c>
      <c r="L21" s="319">
        <v>0</v>
      </c>
      <c r="M21" s="319">
        <v>0</v>
      </c>
      <c r="N21" s="319">
        <v>0</v>
      </c>
      <c r="O21" s="372"/>
      <c r="P21" s="372"/>
      <c r="Q21" s="438">
        <v>0.16601816482511011</v>
      </c>
      <c r="R21" s="373">
        <v>0.3</v>
      </c>
      <c r="S21" s="373">
        <v>2.29</v>
      </c>
      <c r="T21" s="373">
        <v>0.50078889239507718</v>
      </c>
      <c r="U21" s="373">
        <v>0.75268470790377973</v>
      </c>
      <c r="V21" s="372">
        <f>IF(K21&gt;0,((E21-K21)*$Q21*$R21*10)+(K21*$O$12*$Q21*$R21*10),(E21*$Q21*$R21*10))</f>
        <v>8.1605232810793922</v>
      </c>
      <c r="W21" s="372">
        <f t="shared" ref="V21:Y26" si="11">IF(L21&gt;0,((F21-L21)*$Q21*$R21*10)+(L21*$O$12*$Q21*$R21*10),(F21*$Q21*$R21*10))</f>
        <v>0</v>
      </c>
      <c r="X21" s="372">
        <f t="shared" si="11"/>
        <v>0</v>
      </c>
      <c r="Y21" s="372">
        <f t="shared" si="11"/>
        <v>0</v>
      </c>
      <c r="Z21" s="372">
        <f>V21*(EXP(1.01-0.34*LN(Z$8))*(1-$T21)+(1*$T21))</f>
        <v>4.830183510851219</v>
      </c>
      <c r="AA21" s="372">
        <f t="shared" ref="Z21:AC26" si="12">W21*(EXP(1.01-0.34*LN(AA$8))*(1-$T21)+(1*$T21))</f>
        <v>0</v>
      </c>
      <c r="AB21" s="372">
        <f t="shared" si="12"/>
        <v>0</v>
      </c>
      <c r="AC21" s="372">
        <f t="shared" si="12"/>
        <v>0</v>
      </c>
      <c r="AD21" s="372">
        <f t="shared" ref="AD21:AD26" si="13">SUM(Z21:AC21)</f>
        <v>4.830183510851219</v>
      </c>
      <c r="AE21" s="372">
        <f t="shared" ref="AE21:AH26" si="14">IF(K21&gt;0,((E21-K21)*$Q21*$S21*10)+(K21*$P$12*$Q21*$S21)*10,(E21*$Q21*$S21*10))</f>
        <v>62.291994378906026</v>
      </c>
      <c r="AF21" s="372">
        <f t="shared" si="14"/>
        <v>0</v>
      </c>
      <c r="AG21" s="372">
        <f t="shared" si="14"/>
        <v>0</v>
      </c>
      <c r="AH21" s="372">
        <f t="shared" si="14"/>
        <v>0</v>
      </c>
      <c r="AI21" s="372">
        <f t="shared" ref="AI21:AL26" si="15">AE21*(EXP(1.01-0.34*LN(AI$8))*(1-$U21)+(1*$U21))</f>
        <v>49.697825808004652</v>
      </c>
      <c r="AJ21" s="372">
        <f t="shared" si="15"/>
        <v>0</v>
      </c>
      <c r="AK21" s="372">
        <f t="shared" si="15"/>
        <v>0</v>
      </c>
      <c r="AL21" s="372">
        <f t="shared" si="15"/>
        <v>0</v>
      </c>
      <c r="AM21" s="372">
        <f t="shared" ref="AM21:AM26" si="16">SUM(AI21:AL21)</f>
        <v>49.697825808004652</v>
      </c>
      <c r="AO21" s="319">
        <f t="shared" ref="AO21:AR26" si="17">Z21*AO$10</f>
        <v>6.8013814016296008</v>
      </c>
      <c r="AP21" s="319">
        <f t="shared" si="17"/>
        <v>0</v>
      </c>
      <c r="AQ21" s="319">
        <f t="shared" si="17"/>
        <v>0</v>
      </c>
      <c r="AR21" s="319">
        <f t="shared" si="17"/>
        <v>0</v>
      </c>
      <c r="AS21" s="319">
        <f t="shared" ref="AS21:AS26" si="18">SUM(AO21:AR21)</f>
        <v>6.8013814016296008</v>
      </c>
      <c r="AU21" s="319">
        <f t="shared" ref="AU21:AX26" si="19">AI21*AU$10</f>
        <v>69.979508520251343</v>
      </c>
      <c r="AV21" s="319">
        <f t="shared" si="19"/>
        <v>0</v>
      </c>
      <c r="AW21" s="319">
        <f t="shared" si="19"/>
        <v>0</v>
      </c>
      <c r="AX21" s="319">
        <f t="shared" si="19"/>
        <v>0</v>
      </c>
      <c r="AY21" s="319">
        <f t="shared" ref="AY21:AY26" si="20">SUM(AU21:AX21)</f>
        <v>69.979508520251343</v>
      </c>
    </row>
    <row r="22" spans="1:53" s="319" customFormat="1" ht="15" x14ac:dyDescent="0.25">
      <c r="A22" s="384"/>
      <c r="B22" s="376"/>
      <c r="C22" s="384" t="s">
        <v>9</v>
      </c>
      <c r="D22" s="319">
        <v>0</v>
      </c>
      <c r="E22" s="385">
        <v>2.0095999999999998</v>
      </c>
      <c r="F22" s="319">
        <v>0</v>
      </c>
      <c r="G22" s="319">
        <v>0</v>
      </c>
      <c r="H22" s="319">
        <v>0</v>
      </c>
      <c r="J22" s="319">
        <v>0</v>
      </c>
      <c r="K22" s="386">
        <v>-0.49104187160940027</v>
      </c>
      <c r="L22" s="319">
        <v>0</v>
      </c>
      <c r="M22" s="319">
        <v>0</v>
      </c>
      <c r="N22" s="319">
        <v>0</v>
      </c>
      <c r="O22" s="372"/>
      <c r="P22" s="372"/>
      <c r="Q22" s="438">
        <v>0.19703632965022025</v>
      </c>
      <c r="R22" s="373">
        <v>0.3</v>
      </c>
      <c r="S22" s="373">
        <v>2.29</v>
      </c>
      <c r="T22" s="373">
        <v>0.50078889239507718</v>
      </c>
      <c r="U22" s="373">
        <v>0.75268470790377973</v>
      </c>
      <c r="V22" s="372">
        <f t="shared" si="11"/>
        <v>1.1878926241952477</v>
      </c>
      <c r="W22" s="372">
        <f t="shared" si="11"/>
        <v>0</v>
      </c>
      <c r="X22" s="372">
        <f t="shared" si="11"/>
        <v>0</v>
      </c>
      <c r="Y22" s="372">
        <f t="shared" si="11"/>
        <v>0</v>
      </c>
      <c r="Z22" s="372">
        <f t="shared" si="12"/>
        <v>0.70310924537804131</v>
      </c>
      <c r="AA22" s="372">
        <f t="shared" si="12"/>
        <v>0</v>
      </c>
      <c r="AB22" s="372">
        <f t="shared" si="12"/>
        <v>0</v>
      </c>
      <c r="AC22" s="372">
        <f t="shared" si="12"/>
        <v>0</v>
      </c>
      <c r="AD22" s="372">
        <f t="shared" si="13"/>
        <v>0.70310924537804131</v>
      </c>
      <c r="AE22" s="372">
        <f t="shared" si="14"/>
        <v>9.0675803646903912</v>
      </c>
      <c r="AF22" s="372">
        <f t="shared" si="14"/>
        <v>0</v>
      </c>
      <c r="AG22" s="372">
        <f t="shared" si="14"/>
        <v>0</v>
      </c>
      <c r="AH22" s="372">
        <f t="shared" si="14"/>
        <v>0</v>
      </c>
      <c r="AI22" s="372">
        <f t="shared" si="15"/>
        <v>7.2343008753796854</v>
      </c>
      <c r="AJ22" s="372">
        <f t="shared" si="15"/>
        <v>0</v>
      </c>
      <c r="AK22" s="372">
        <f t="shared" si="15"/>
        <v>0</v>
      </c>
      <c r="AL22" s="372">
        <f t="shared" si="15"/>
        <v>0</v>
      </c>
      <c r="AM22" s="372">
        <f t="shared" si="16"/>
        <v>7.2343008753796854</v>
      </c>
      <c r="AO22" s="319">
        <f t="shared" si="17"/>
        <v>0.99004812841681988</v>
      </c>
      <c r="AP22" s="319">
        <f t="shared" si="17"/>
        <v>0</v>
      </c>
      <c r="AQ22" s="319">
        <f t="shared" si="17"/>
        <v>0</v>
      </c>
      <c r="AR22" s="319">
        <f t="shared" si="17"/>
        <v>0</v>
      </c>
      <c r="AS22" s="319">
        <f t="shared" si="18"/>
        <v>0.99004812841681988</v>
      </c>
      <c r="AU22" s="319">
        <f t="shared" si="19"/>
        <v>10.186619062622134</v>
      </c>
      <c r="AV22" s="319">
        <f t="shared" si="19"/>
        <v>0</v>
      </c>
      <c r="AW22" s="319">
        <f t="shared" si="19"/>
        <v>0</v>
      </c>
      <c r="AX22" s="319">
        <f t="shared" si="19"/>
        <v>0</v>
      </c>
      <c r="AY22" s="319">
        <f t="shared" si="20"/>
        <v>10.186619062622134</v>
      </c>
    </row>
    <row r="23" spans="1:53" s="319" customFormat="1" ht="15" x14ac:dyDescent="0.25">
      <c r="A23" s="384"/>
      <c r="B23" s="376"/>
      <c r="C23" s="384" t="s">
        <v>10</v>
      </c>
      <c r="D23" s="319">
        <v>0</v>
      </c>
      <c r="E23" s="385">
        <v>0</v>
      </c>
      <c r="F23" s="319">
        <v>0</v>
      </c>
      <c r="G23" s="319">
        <v>0</v>
      </c>
      <c r="H23" s="319">
        <v>0</v>
      </c>
      <c r="J23" s="319">
        <v>0</v>
      </c>
      <c r="K23" s="386">
        <v>0</v>
      </c>
      <c r="L23" s="319">
        <v>0</v>
      </c>
      <c r="M23" s="319">
        <v>0</v>
      </c>
      <c r="N23" s="319">
        <v>0</v>
      </c>
      <c r="O23" s="372"/>
      <c r="P23" s="372"/>
      <c r="Q23" s="438"/>
      <c r="R23" s="373">
        <v>0.3</v>
      </c>
      <c r="S23" s="373">
        <v>2.29</v>
      </c>
      <c r="T23" s="373">
        <v>0.50078889239507718</v>
      </c>
      <c r="U23" s="373">
        <v>0.75268470790377973</v>
      </c>
      <c r="V23" s="372">
        <f t="shared" si="11"/>
        <v>0</v>
      </c>
      <c r="W23" s="372">
        <f t="shared" si="11"/>
        <v>0</v>
      </c>
      <c r="X23" s="372">
        <f t="shared" si="11"/>
        <v>0</v>
      </c>
      <c r="Y23" s="372">
        <f t="shared" si="11"/>
        <v>0</v>
      </c>
      <c r="Z23" s="372">
        <f t="shared" si="12"/>
        <v>0</v>
      </c>
      <c r="AA23" s="372">
        <f t="shared" si="12"/>
        <v>0</v>
      </c>
      <c r="AB23" s="372">
        <f t="shared" si="12"/>
        <v>0</v>
      </c>
      <c r="AC23" s="372">
        <f t="shared" si="12"/>
        <v>0</v>
      </c>
      <c r="AD23" s="372">
        <f t="shared" si="13"/>
        <v>0</v>
      </c>
      <c r="AE23" s="372">
        <f t="shared" si="14"/>
        <v>0</v>
      </c>
      <c r="AF23" s="372">
        <f t="shared" si="14"/>
        <v>0</v>
      </c>
      <c r="AG23" s="372">
        <f t="shared" si="14"/>
        <v>0</v>
      </c>
      <c r="AH23" s="372">
        <f t="shared" si="14"/>
        <v>0</v>
      </c>
      <c r="AI23" s="372">
        <f t="shared" si="15"/>
        <v>0</v>
      </c>
      <c r="AJ23" s="372">
        <f t="shared" si="15"/>
        <v>0</v>
      </c>
      <c r="AK23" s="372">
        <f t="shared" si="15"/>
        <v>0</v>
      </c>
      <c r="AL23" s="372">
        <f t="shared" si="15"/>
        <v>0</v>
      </c>
      <c r="AM23" s="372">
        <f t="shared" si="16"/>
        <v>0</v>
      </c>
      <c r="AO23" s="319">
        <f t="shared" si="17"/>
        <v>0</v>
      </c>
      <c r="AP23" s="319">
        <f t="shared" si="17"/>
        <v>0</v>
      </c>
      <c r="AQ23" s="319">
        <f t="shared" si="17"/>
        <v>0</v>
      </c>
      <c r="AR23" s="319">
        <f t="shared" si="17"/>
        <v>0</v>
      </c>
      <c r="AS23" s="319">
        <f t="shared" si="18"/>
        <v>0</v>
      </c>
      <c r="AU23" s="319">
        <f t="shared" si="19"/>
        <v>0</v>
      </c>
      <c r="AV23" s="319">
        <f t="shared" si="19"/>
        <v>0</v>
      </c>
      <c r="AW23" s="319">
        <f t="shared" si="19"/>
        <v>0</v>
      </c>
      <c r="AX23" s="319">
        <f t="shared" si="19"/>
        <v>0</v>
      </c>
      <c r="AY23" s="319">
        <f t="shared" si="20"/>
        <v>0</v>
      </c>
    </row>
    <row r="24" spans="1:53" s="319" customFormat="1" ht="15" x14ac:dyDescent="0.25">
      <c r="A24" s="384"/>
      <c r="B24" s="376"/>
      <c r="C24" s="384" t="s">
        <v>11</v>
      </c>
      <c r="D24" s="319">
        <v>0</v>
      </c>
      <c r="E24" s="385">
        <v>0.63349999999999995</v>
      </c>
      <c r="F24" s="319">
        <v>0</v>
      </c>
      <c r="G24" s="319">
        <v>0</v>
      </c>
      <c r="H24" s="319">
        <v>0</v>
      </c>
      <c r="J24" s="319">
        <v>0</v>
      </c>
      <c r="K24" s="386">
        <v>-9.2556332118376989</v>
      </c>
      <c r="L24" s="319">
        <v>0</v>
      </c>
      <c r="M24" s="319">
        <v>0</v>
      </c>
      <c r="N24" s="319">
        <v>0</v>
      </c>
      <c r="O24" s="372"/>
      <c r="P24" s="372"/>
      <c r="Q24" s="438">
        <v>0.25907265930044049</v>
      </c>
      <c r="R24" s="373">
        <v>0.3</v>
      </c>
      <c r="S24" s="373">
        <v>2.29</v>
      </c>
      <c r="T24" s="373">
        <v>0.50078889239507718</v>
      </c>
      <c r="U24" s="373">
        <v>0.75268470790377973</v>
      </c>
      <c r="V24" s="372">
        <f t="shared" si="11"/>
        <v>0.49236758900048705</v>
      </c>
      <c r="W24" s="372">
        <f t="shared" si="11"/>
        <v>0</v>
      </c>
      <c r="X24" s="372">
        <f t="shared" si="11"/>
        <v>0</v>
      </c>
      <c r="Y24" s="372">
        <f t="shared" si="11"/>
        <v>0</v>
      </c>
      <c r="Z24" s="372">
        <f t="shared" si="12"/>
        <v>0.29143055264381956</v>
      </c>
      <c r="AA24" s="372">
        <f t="shared" si="12"/>
        <v>0</v>
      </c>
      <c r="AB24" s="372">
        <f t="shared" si="12"/>
        <v>0</v>
      </c>
      <c r="AC24" s="372">
        <f t="shared" si="12"/>
        <v>0</v>
      </c>
      <c r="AD24" s="372">
        <f t="shared" si="13"/>
        <v>0.29143055264381956</v>
      </c>
      <c r="AE24" s="372">
        <f t="shared" si="14"/>
        <v>3.7584059293703849</v>
      </c>
      <c r="AF24" s="372">
        <f t="shared" si="14"/>
        <v>0</v>
      </c>
      <c r="AG24" s="372">
        <f t="shared" si="14"/>
        <v>0</v>
      </c>
      <c r="AH24" s="372">
        <f t="shared" si="14"/>
        <v>0</v>
      </c>
      <c r="AI24" s="372">
        <f t="shared" si="15"/>
        <v>2.9985330387314133</v>
      </c>
      <c r="AJ24" s="372">
        <f t="shared" si="15"/>
        <v>0</v>
      </c>
      <c r="AK24" s="372">
        <f t="shared" si="15"/>
        <v>0</v>
      </c>
      <c r="AL24" s="372">
        <f t="shared" si="15"/>
        <v>0</v>
      </c>
      <c r="AM24" s="372">
        <f t="shared" si="16"/>
        <v>2.9985330387314133</v>
      </c>
      <c r="AO24" s="319">
        <f t="shared" si="17"/>
        <v>0.41036336117776229</v>
      </c>
      <c r="AP24" s="319">
        <f t="shared" si="17"/>
        <v>0</v>
      </c>
      <c r="AQ24" s="319">
        <f t="shared" si="17"/>
        <v>0</v>
      </c>
      <c r="AR24" s="319">
        <f t="shared" si="17"/>
        <v>0</v>
      </c>
      <c r="AS24" s="319">
        <f t="shared" si="18"/>
        <v>0.41036336117776229</v>
      </c>
      <c r="AU24" s="319">
        <f t="shared" si="19"/>
        <v>4.2222343718377031</v>
      </c>
      <c r="AV24" s="319">
        <f t="shared" si="19"/>
        <v>0</v>
      </c>
      <c r="AW24" s="319">
        <f t="shared" si="19"/>
        <v>0</v>
      </c>
      <c r="AX24" s="319">
        <f t="shared" si="19"/>
        <v>0</v>
      </c>
      <c r="AY24" s="319">
        <f t="shared" si="20"/>
        <v>4.2222343718377031</v>
      </c>
    </row>
    <row r="25" spans="1:53" s="319" customFormat="1" ht="15" x14ac:dyDescent="0.25">
      <c r="A25" s="384"/>
      <c r="B25" s="376"/>
      <c r="C25" s="384" t="s">
        <v>12</v>
      </c>
      <c r="D25" s="319">
        <v>0</v>
      </c>
      <c r="E25" s="385">
        <v>0</v>
      </c>
      <c r="F25" s="319">
        <v>0</v>
      </c>
      <c r="G25" s="319">
        <v>0</v>
      </c>
      <c r="H25" s="319">
        <v>0</v>
      </c>
      <c r="J25" s="319">
        <v>0</v>
      </c>
      <c r="K25" s="386">
        <v>0</v>
      </c>
      <c r="L25" s="319">
        <v>0</v>
      </c>
      <c r="M25" s="319">
        <v>0</v>
      </c>
      <c r="N25" s="319">
        <v>0</v>
      </c>
      <c r="O25" s="372"/>
      <c r="P25" s="372"/>
      <c r="Q25" s="438"/>
      <c r="R25" s="373">
        <v>0.3</v>
      </c>
      <c r="S25" s="373">
        <v>2.29</v>
      </c>
      <c r="T25" s="373">
        <v>0.50078889239507718</v>
      </c>
      <c r="U25" s="373">
        <v>0.75268470790377973</v>
      </c>
      <c r="V25" s="372">
        <f t="shared" si="11"/>
        <v>0</v>
      </c>
      <c r="W25" s="372">
        <f t="shared" si="11"/>
        <v>0</v>
      </c>
      <c r="X25" s="372">
        <f t="shared" si="11"/>
        <v>0</v>
      </c>
      <c r="Y25" s="372">
        <f t="shared" si="11"/>
        <v>0</v>
      </c>
      <c r="Z25" s="372">
        <f t="shared" si="12"/>
        <v>0</v>
      </c>
      <c r="AA25" s="372">
        <f t="shared" si="12"/>
        <v>0</v>
      </c>
      <c r="AB25" s="372">
        <f t="shared" si="12"/>
        <v>0</v>
      </c>
      <c r="AC25" s="372">
        <f t="shared" si="12"/>
        <v>0</v>
      </c>
      <c r="AD25" s="372">
        <f t="shared" si="13"/>
        <v>0</v>
      </c>
      <c r="AE25" s="372">
        <f t="shared" si="14"/>
        <v>0</v>
      </c>
      <c r="AF25" s="372">
        <f t="shared" si="14"/>
        <v>0</v>
      </c>
      <c r="AG25" s="372">
        <f t="shared" si="14"/>
        <v>0</v>
      </c>
      <c r="AH25" s="372">
        <f t="shared" si="14"/>
        <v>0</v>
      </c>
      <c r="AI25" s="372">
        <f t="shared" si="15"/>
        <v>0</v>
      </c>
      <c r="AJ25" s="372">
        <f t="shared" si="15"/>
        <v>0</v>
      </c>
      <c r="AK25" s="372">
        <f t="shared" si="15"/>
        <v>0</v>
      </c>
      <c r="AL25" s="372">
        <f t="shared" si="15"/>
        <v>0</v>
      </c>
      <c r="AM25" s="372">
        <f t="shared" si="16"/>
        <v>0</v>
      </c>
      <c r="AO25" s="319">
        <f t="shared" si="17"/>
        <v>0</v>
      </c>
      <c r="AP25" s="319">
        <f t="shared" si="17"/>
        <v>0</v>
      </c>
      <c r="AQ25" s="319">
        <f t="shared" si="17"/>
        <v>0</v>
      </c>
      <c r="AR25" s="319">
        <f t="shared" si="17"/>
        <v>0</v>
      </c>
      <c r="AS25" s="319">
        <f t="shared" si="18"/>
        <v>0</v>
      </c>
      <c r="AU25" s="319">
        <f t="shared" si="19"/>
        <v>0</v>
      </c>
      <c r="AV25" s="319">
        <f t="shared" si="19"/>
        <v>0</v>
      </c>
      <c r="AW25" s="319">
        <f t="shared" si="19"/>
        <v>0</v>
      </c>
      <c r="AX25" s="319">
        <f t="shared" si="19"/>
        <v>0</v>
      </c>
      <c r="AY25" s="319">
        <f t="shared" si="20"/>
        <v>0</v>
      </c>
    </row>
    <row r="26" spans="1:53" s="319" customFormat="1" ht="15" x14ac:dyDescent="0.25">
      <c r="A26" s="384"/>
      <c r="B26" s="376"/>
      <c r="C26" s="384" t="s">
        <v>13</v>
      </c>
      <c r="D26" s="319">
        <v>0</v>
      </c>
      <c r="E26" s="385">
        <v>3.5499999999999997E-2</v>
      </c>
      <c r="F26" s="319">
        <v>0</v>
      </c>
      <c r="G26" s="319">
        <v>0</v>
      </c>
      <c r="H26" s="319">
        <v>0</v>
      </c>
      <c r="J26" s="319">
        <v>0</v>
      </c>
      <c r="K26" s="386">
        <v>-1.4578033836145998</v>
      </c>
      <c r="L26" s="319">
        <v>0</v>
      </c>
      <c r="M26" s="319">
        <v>0</v>
      </c>
      <c r="N26" s="319">
        <v>0</v>
      </c>
      <c r="O26" s="372"/>
      <c r="P26" s="372"/>
      <c r="Q26" s="438">
        <v>0.25907265930044054</v>
      </c>
      <c r="R26" s="373">
        <v>0.3</v>
      </c>
      <c r="S26" s="373">
        <v>2.29</v>
      </c>
      <c r="T26" s="373">
        <v>0.50078889239507718</v>
      </c>
      <c r="U26" s="373">
        <v>0.75268470790377973</v>
      </c>
      <c r="V26" s="372">
        <f t="shared" si="11"/>
        <v>2.7591238215496916E-2</v>
      </c>
      <c r="W26" s="372">
        <f t="shared" si="11"/>
        <v>0</v>
      </c>
      <c r="X26" s="372">
        <f t="shared" si="11"/>
        <v>0</v>
      </c>
      <c r="Y26" s="372">
        <f t="shared" si="11"/>
        <v>0</v>
      </c>
      <c r="Z26" s="372">
        <f t="shared" si="12"/>
        <v>1.6331151726686026E-2</v>
      </c>
      <c r="AA26" s="372">
        <f t="shared" si="12"/>
        <v>0</v>
      </c>
      <c r="AB26" s="372">
        <f t="shared" si="12"/>
        <v>0</v>
      </c>
      <c r="AC26" s="372">
        <f t="shared" si="12"/>
        <v>0</v>
      </c>
      <c r="AD26" s="372">
        <f t="shared" si="13"/>
        <v>1.6331151726686026E-2</v>
      </c>
      <c r="AE26" s="372">
        <f t="shared" si="14"/>
        <v>0.21061311837829316</v>
      </c>
      <c r="AF26" s="372">
        <f t="shared" si="14"/>
        <v>0</v>
      </c>
      <c r="AG26" s="372">
        <f t="shared" si="14"/>
        <v>0</v>
      </c>
      <c r="AH26" s="372">
        <f t="shared" si="14"/>
        <v>0</v>
      </c>
      <c r="AI26" s="372">
        <f t="shared" si="15"/>
        <v>0.16803144889497273</v>
      </c>
      <c r="AJ26" s="372">
        <f t="shared" si="15"/>
        <v>0</v>
      </c>
      <c r="AK26" s="372">
        <f t="shared" si="15"/>
        <v>0</v>
      </c>
      <c r="AL26" s="372">
        <f t="shared" si="15"/>
        <v>0</v>
      </c>
      <c r="AM26" s="372">
        <f t="shared" si="16"/>
        <v>0.16803144889497273</v>
      </c>
      <c r="AO26" s="319">
        <f t="shared" si="17"/>
        <v>2.2995894746346592E-2</v>
      </c>
      <c r="AP26" s="319">
        <f t="shared" si="17"/>
        <v>0</v>
      </c>
      <c r="AQ26" s="319">
        <f t="shared" si="17"/>
        <v>0</v>
      </c>
      <c r="AR26" s="319">
        <f t="shared" si="17"/>
        <v>0</v>
      </c>
      <c r="AS26" s="319">
        <f t="shared" si="18"/>
        <v>2.2995894746346592E-2</v>
      </c>
      <c r="AU26" s="319">
        <f t="shared" si="19"/>
        <v>0.23660508318901108</v>
      </c>
      <c r="AV26" s="319">
        <f t="shared" si="19"/>
        <v>0</v>
      </c>
      <c r="AW26" s="319">
        <f t="shared" si="19"/>
        <v>0</v>
      </c>
      <c r="AX26" s="319">
        <f t="shared" si="19"/>
        <v>0</v>
      </c>
      <c r="AY26" s="319">
        <f t="shared" si="20"/>
        <v>0.23660508318901108</v>
      </c>
    </row>
    <row r="27" spans="1:53" s="319" customFormat="1" ht="15" x14ac:dyDescent="0.25">
      <c r="A27" s="368"/>
      <c r="B27" s="369" t="s">
        <v>14</v>
      </c>
      <c r="C27" s="368"/>
      <c r="D27" s="370">
        <f t="shared" ref="D27:H27" si="21">SUM(D21:D26)</f>
        <v>0</v>
      </c>
      <c r="E27" s="371">
        <f>SUM(E21:E26)</f>
        <v>19.063399999999998</v>
      </c>
      <c r="F27" s="370">
        <f t="shared" si="21"/>
        <v>0</v>
      </c>
      <c r="G27" s="370">
        <f t="shared" si="21"/>
        <v>0</v>
      </c>
      <c r="H27" s="370">
        <f t="shared" si="21"/>
        <v>0</v>
      </c>
      <c r="J27" s="319">
        <v>0</v>
      </c>
      <c r="K27" s="386">
        <v>-51.114502991655911</v>
      </c>
      <c r="L27" s="319">
        <v>0</v>
      </c>
      <c r="M27" s="319">
        <v>0</v>
      </c>
      <c r="N27" s="319">
        <v>0</v>
      </c>
      <c r="O27" s="372"/>
      <c r="P27" s="372"/>
      <c r="Q27" s="438">
        <v>0.17255359716333613</v>
      </c>
      <c r="R27" s="373"/>
      <c r="S27" s="373"/>
      <c r="T27" s="373"/>
      <c r="U27" s="373"/>
      <c r="BA27" s="319">
        <f>(E27*10000*Q27*AU$10)</f>
        <v>46318.861536066826</v>
      </c>
    </row>
    <row r="28" spans="1:53" s="319" customFormat="1" ht="15" x14ac:dyDescent="0.25">
      <c r="A28" s="394"/>
      <c r="B28" s="395" t="s">
        <v>15</v>
      </c>
      <c r="C28" s="394"/>
      <c r="E28" s="371">
        <f>SUM(E27)</f>
        <v>19.063399999999998</v>
      </c>
      <c r="H28" s="396">
        <f>SUM(D27:H27)</f>
        <v>19.063399999999998</v>
      </c>
      <c r="K28" s="386"/>
      <c r="N28" s="319">
        <v>0</v>
      </c>
      <c r="O28" s="372"/>
      <c r="P28" s="372"/>
      <c r="Q28" s="438"/>
      <c r="R28" s="373"/>
      <c r="S28" s="373"/>
      <c r="T28" s="373"/>
      <c r="U28" s="373"/>
    </row>
    <row r="29" spans="1:53" ht="15.75" x14ac:dyDescent="0.25">
      <c r="A29" s="1"/>
      <c r="B29" s="2"/>
      <c r="C29" s="1"/>
      <c r="E29" s="361"/>
      <c r="K29" s="14"/>
      <c r="O29" s="20"/>
      <c r="P29" s="20"/>
      <c r="Q29" s="439"/>
      <c r="R29" s="197"/>
      <c r="S29" s="197"/>
      <c r="T29" s="197"/>
      <c r="U29" s="197"/>
    </row>
    <row r="30" spans="1:53" ht="15" x14ac:dyDescent="0.25">
      <c r="A30" s="1">
        <v>3</v>
      </c>
      <c r="B30" s="2" t="s">
        <v>17</v>
      </c>
      <c r="C30" s="1" t="s">
        <v>8</v>
      </c>
      <c r="D30">
        <v>0</v>
      </c>
      <c r="E30" s="360">
        <v>23.123049999999999</v>
      </c>
      <c r="F30">
        <v>0</v>
      </c>
      <c r="G30">
        <v>0</v>
      </c>
      <c r="H30">
        <v>0</v>
      </c>
      <c r="J30">
        <v>0</v>
      </c>
      <c r="K30" s="14">
        <v>3.4634967865729998</v>
      </c>
      <c r="L30">
        <v>0</v>
      </c>
      <c r="M30">
        <v>0</v>
      </c>
      <c r="N30">
        <v>0</v>
      </c>
      <c r="O30" s="20"/>
      <c r="P30" s="20"/>
      <c r="Q30" s="438">
        <v>0.2523689689633325</v>
      </c>
      <c r="R30" s="197">
        <v>0.49</v>
      </c>
      <c r="S30" s="197">
        <v>2.42</v>
      </c>
      <c r="T30" s="197">
        <v>0.50078889239507718</v>
      </c>
      <c r="U30" s="197">
        <v>0.75268470790377973</v>
      </c>
      <c r="V30" s="20">
        <f t="shared" ref="V30:Y35" si="22">IF(K30&gt;0,((E30-K30)*$Q30*$R30*10)+(K30*$O$12*$Q30*$R30*10),(E30*$Q30*$R30*10))</f>
        <v>25.886237225566227</v>
      </c>
      <c r="W30" s="20">
        <f t="shared" si="22"/>
        <v>0</v>
      </c>
      <c r="X30" s="20">
        <f t="shared" si="22"/>
        <v>0</v>
      </c>
      <c r="Y30" s="20">
        <f t="shared" si="22"/>
        <v>0</v>
      </c>
      <c r="Z30" s="20">
        <f t="shared" ref="Z30:AC35" si="23">V30*(EXP(1.01-0.34*LN(Z$8))*(1-$T30)+(1*$T30))</f>
        <v>15.321967954532273</v>
      </c>
      <c r="AA30" s="20">
        <f t="shared" si="23"/>
        <v>0</v>
      </c>
      <c r="AB30" s="20">
        <f t="shared" si="23"/>
        <v>0</v>
      </c>
      <c r="AC30" s="20">
        <f t="shared" si="23"/>
        <v>0</v>
      </c>
      <c r="AD30" s="20">
        <f t="shared" ref="AD30:AD35" si="24">SUM(Z30:AC30)</f>
        <v>15.321967954532273</v>
      </c>
      <c r="AE30" s="20">
        <f t="shared" ref="AE30:AH35" si="25">IF(K30&gt;0,((E30-K30)*$Q30*$S30*10)+(K30*$P$12*$Q30*$S30)*10,(E30*$Q30*$S30*10))</f>
        <v>132.31753618971348</v>
      </c>
      <c r="AF30" s="20">
        <f t="shared" si="25"/>
        <v>0</v>
      </c>
      <c r="AG30" s="20">
        <f t="shared" si="25"/>
        <v>0</v>
      </c>
      <c r="AH30" s="20">
        <f t="shared" si="25"/>
        <v>0</v>
      </c>
      <c r="AI30" s="20">
        <f t="shared" ref="AI30:AL35" si="26">AE30*(EXP(1.01-0.34*LN(AI$8))*(1-$U30)+(1*$U30))</f>
        <v>105.56563376188082</v>
      </c>
      <c r="AJ30" s="20">
        <f t="shared" si="26"/>
        <v>0</v>
      </c>
      <c r="AK30" s="20">
        <f t="shared" si="26"/>
        <v>0</v>
      </c>
      <c r="AL30" s="20">
        <f t="shared" si="26"/>
        <v>0</v>
      </c>
      <c r="AM30" s="20">
        <f t="shared" ref="AM30:AM35" si="27">SUM(AI30:AL30)</f>
        <v>105.56563376188082</v>
      </c>
      <c r="AO30">
        <f t="shared" ref="AO30:AR35" si="28">Z30*AO$10</f>
        <v>21.574863076776893</v>
      </c>
      <c r="AP30">
        <f t="shared" si="28"/>
        <v>0</v>
      </c>
      <c r="AQ30">
        <f t="shared" si="28"/>
        <v>0</v>
      </c>
      <c r="AR30">
        <f t="shared" si="28"/>
        <v>0</v>
      </c>
      <c r="AS30">
        <f t="shared" ref="AS30:AS35" si="29">SUM(AO30:AR30)</f>
        <v>21.574863076776893</v>
      </c>
      <c r="AU30">
        <f t="shared" ref="AU30:AX35" si="30">AI30*AU$10</f>
        <v>148.64696890010438</v>
      </c>
      <c r="AV30">
        <f t="shared" si="30"/>
        <v>0</v>
      </c>
      <c r="AW30">
        <f t="shared" si="30"/>
        <v>0</v>
      </c>
      <c r="AX30">
        <f t="shared" si="30"/>
        <v>0</v>
      </c>
      <c r="AY30">
        <f t="shared" ref="AY30:AY35" si="31">SUM(AU30:AX30)</f>
        <v>148.64696890010438</v>
      </c>
    </row>
    <row r="31" spans="1:53" ht="15" x14ac:dyDescent="0.25">
      <c r="A31" s="1"/>
      <c r="B31" s="2"/>
      <c r="C31" s="1" t="s">
        <v>9</v>
      </c>
      <c r="D31">
        <v>0</v>
      </c>
      <c r="E31" s="360">
        <v>3.0118</v>
      </c>
      <c r="F31">
        <v>0</v>
      </c>
      <c r="G31">
        <v>0</v>
      </c>
      <c r="H31">
        <v>0</v>
      </c>
      <c r="J31">
        <v>0</v>
      </c>
      <c r="K31" s="14">
        <v>3.0118</v>
      </c>
      <c r="L31">
        <v>0</v>
      </c>
      <c r="M31">
        <v>0</v>
      </c>
      <c r="N31">
        <v>0</v>
      </c>
      <c r="O31" s="20"/>
      <c r="P31" s="20"/>
      <c r="Q31" s="438">
        <v>0.27973793792666496</v>
      </c>
      <c r="R31" s="197">
        <v>0.49</v>
      </c>
      <c r="S31" s="197">
        <v>2.42</v>
      </c>
      <c r="T31" s="197">
        <v>0.50078889239507718</v>
      </c>
      <c r="U31" s="197">
        <v>0.75268470790377973</v>
      </c>
      <c r="V31" s="20">
        <f t="shared" si="22"/>
        <v>1.5181989084264949</v>
      </c>
      <c r="W31" s="20">
        <f t="shared" si="22"/>
        <v>0</v>
      </c>
      <c r="X31" s="20">
        <f t="shared" si="22"/>
        <v>0</v>
      </c>
      <c r="Y31" s="20">
        <f t="shared" si="22"/>
        <v>0</v>
      </c>
      <c r="Z31" s="20">
        <f t="shared" si="23"/>
        <v>0.89861631185788571</v>
      </c>
      <c r="AA31" s="20">
        <f t="shared" si="23"/>
        <v>0</v>
      </c>
      <c r="AB31" s="20">
        <f t="shared" si="23"/>
        <v>0</v>
      </c>
      <c r="AC31" s="20">
        <f t="shared" si="23"/>
        <v>0</v>
      </c>
      <c r="AD31" s="20">
        <f t="shared" si="24"/>
        <v>0.89861631185788571</v>
      </c>
      <c r="AE31" s="20">
        <f t="shared" si="25"/>
        <v>11.8078023657099</v>
      </c>
      <c r="AF31" s="20">
        <f t="shared" si="25"/>
        <v>0</v>
      </c>
      <c r="AG31" s="20">
        <f t="shared" si="25"/>
        <v>0</v>
      </c>
      <c r="AH31" s="20">
        <f t="shared" si="25"/>
        <v>0</v>
      </c>
      <c r="AI31" s="20">
        <f t="shared" si="26"/>
        <v>9.4205059734788605</v>
      </c>
      <c r="AJ31" s="20">
        <f t="shared" si="26"/>
        <v>0</v>
      </c>
      <c r="AK31" s="20">
        <f t="shared" si="26"/>
        <v>0</v>
      </c>
      <c r="AL31" s="20">
        <f t="shared" si="26"/>
        <v>0</v>
      </c>
      <c r="AM31" s="20">
        <f t="shared" si="27"/>
        <v>9.4205059734788605</v>
      </c>
      <c r="AO31">
        <f t="shared" si="28"/>
        <v>1.2653416287270889</v>
      </c>
      <c r="AP31">
        <f t="shared" si="28"/>
        <v>0</v>
      </c>
      <c r="AQ31">
        <f t="shared" si="28"/>
        <v>0</v>
      </c>
      <c r="AR31">
        <f t="shared" si="28"/>
        <v>0</v>
      </c>
      <c r="AS31">
        <f t="shared" si="29"/>
        <v>1.2653416287270889</v>
      </c>
      <c r="AU31">
        <f t="shared" si="30"/>
        <v>13.265014461255582</v>
      </c>
      <c r="AV31">
        <f t="shared" si="30"/>
        <v>0</v>
      </c>
      <c r="AW31">
        <f t="shared" si="30"/>
        <v>0</v>
      </c>
      <c r="AX31">
        <f t="shared" si="30"/>
        <v>0</v>
      </c>
      <c r="AY31">
        <f t="shared" si="31"/>
        <v>13.265014461255582</v>
      </c>
    </row>
    <row r="32" spans="1:53" ht="15" x14ac:dyDescent="0.25">
      <c r="A32" s="1"/>
      <c r="B32" s="2"/>
      <c r="C32" s="1" t="s">
        <v>10</v>
      </c>
      <c r="D32">
        <v>0</v>
      </c>
      <c r="E32" s="360">
        <v>1.19706</v>
      </c>
      <c r="F32">
        <v>0</v>
      </c>
      <c r="G32">
        <v>0</v>
      </c>
      <c r="H32">
        <v>0</v>
      </c>
      <c r="J32">
        <v>0</v>
      </c>
      <c r="K32" s="14">
        <v>2.7851047800000472E-3</v>
      </c>
      <c r="L32">
        <v>0</v>
      </c>
      <c r="M32">
        <v>0</v>
      </c>
      <c r="N32">
        <v>0</v>
      </c>
      <c r="O32" s="20"/>
      <c r="P32" s="20"/>
      <c r="Q32" s="438">
        <v>0.30710690688999742</v>
      </c>
      <c r="R32" s="197">
        <v>0.49</v>
      </c>
      <c r="S32" s="197">
        <v>2.42</v>
      </c>
      <c r="T32" s="197">
        <v>0.50078889239507718</v>
      </c>
      <c r="U32" s="197">
        <v>0.75268470790377973</v>
      </c>
      <c r="V32" s="20">
        <f t="shared" si="22"/>
        <v>1.7987146210163705</v>
      </c>
      <c r="W32" s="20">
        <f t="shared" si="22"/>
        <v>0</v>
      </c>
      <c r="X32" s="20">
        <f t="shared" si="22"/>
        <v>0</v>
      </c>
      <c r="Y32" s="20">
        <f t="shared" si="22"/>
        <v>0</v>
      </c>
      <c r="Z32" s="20">
        <f t="shared" si="23"/>
        <v>1.0646525233625821</v>
      </c>
      <c r="AA32" s="20">
        <f t="shared" si="23"/>
        <v>0</v>
      </c>
      <c r="AB32" s="20">
        <f t="shared" si="23"/>
        <v>0</v>
      </c>
      <c r="AC32" s="20">
        <f t="shared" si="23"/>
        <v>0</v>
      </c>
      <c r="AD32" s="20">
        <f t="shared" si="24"/>
        <v>1.0646525233625821</v>
      </c>
      <c r="AE32" s="20">
        <f t="shared" si="25"/>
        <v>8.8878230075357632</v>
      </c>
      <c r="AF32" s="20">
        <f t="shared" si="25"/>
        <v>0</v>
      </c>
      <c r="AG32" s="20">
        <f t="shared" si="25"/>
        <v>0</v>
      </c>
      <c r="AH32" s="20">
        <f t="shared" si="25"/>
        <v>0</v>
      </c>
      <c r="AI32" s="20">
        <f t="shared" si="26"/>
        <v>7.0908867832053764</v>
      </c>
      <c r="AJ32" s="20">
        <f t="shared" si="26"/>
        <v>0</v>
      </c>
      <c r="AK32" s="20">
        <f t="shared" si="26"/>
        <v>0</v>
      </c>
      <c r="AL32" s="20">
        <f t="shared" si="26"/>
        <v>0</v>
      </c>
      <c r="AM32" s="20">
        <f t="shared" si="27"/>
        <v>7.0908867832053764</v>
      </c>
      <c r="AO32">
        <f t="shared" si="28"/>
        <v>1.4991372181468516</v>
      </c>
      <c r="AP32">
        <f t="shared" si="28"/>
        <v>0</v>
      </c>
      <c r="AQ32">
        <f t="shared" si="28"/>
        <v>0</v>
      </c>
      <c r="AR32">
        <f t="shared" si="28"/>
        <v>0</v>
      </c>
      <c r="AS32">
        <f t="shared" si="29"/>
        <v>1.4991372181468516</v>
      </c>
      <c r="AU32">
        <f t="shared" si="30"/>
        <v>9.9846776794314902</v>
      </c>
      <c r="AV32">
        <f t="shared" si="30"/>
        <v>0</v>
      </c>
      <c r="AW32">
        <f t="shared" si="30"/>
        <v>0</v>
      </c>
      <c r="AX32">
        <f t="shared" si="30"/>
        <v>0</v>
      </c>
      <c r="AY32">
        <f t="shared" si="31"/>
        <v>9.9846776794314902</v>
      </c>
    </row>
    <row r="33" spans="1:53" ht="15" x14ac:dyDescent="0.25">
      <c r="A33" s="1"/>
      <c r="B33" s="2"/>
      <c r="C33" s="1" t="s">
        <v>11</v>
      </c>
      <c r="D33">
        <v>0</v>
      </c>
      <c r="E33" s="360">
        <v>6.4028799999999997</v>
      </c>
      <c r="F33">
        <v>0</v>
      </c>
      <c r="G33">
        <v>0</v>
      </c>
      <c r="H33">
        <v>0</v>
      </c>
      <c r="J33">
        <v>0</v>
      </c>
      <c r="K33" s="14">
        <v>6.2604168422762765</v>
      </c>
      <c r="L33">
        <v>0</v>
      </c>
      <c r="M33">
        <v>0</v>
      </c>
      <c r="N33">
        <v>0</v>
      </c>
      <c r="O33" s="20"/>
      <c r="P33" s="20"/>
      <c r="Q33" s="438">
        <v>0.33447587585332988</v>
      </c>
      <c r="R33" s="197">
        <v>0.49</v>
      </c>
      <c r="S33" s="197">
        <v>2.42</v>
      </c>
      <c r="T33" s="197">
        <v>0.50078889239507718</v>
      </c>
      <c r="U33" s="197">
        <v>0.75268470790377973</v>
      </c>
      <c r="V33" s="20">
        <f t="shared" si="22"/>
        <v>4.0067690825051407</v>
      </c>
      <c r="W33" s="20">
        <f t="shared" si="22"/>
        <v>0</v>
      </c>
      <c r="X33" s="20">
        <f t="shared" si="22"/>
        <v>0</v>
      </c>
      <c r="Y33" s="20">
        <f t="shared" si="22"/>
        <v>0</v>
      </c>
      <c r="Z33" s="20">
        <f t="shared" si="23"/>
        <v>2.3715917824751211</v>
      </c>
      <c r="AA33" s="20">
        <f t="shared" si="23"/>
        <v>0</v>
      </c>
      <c r="AB33" s="20">
        <f t="shared" si="23"/>
        <v>0</v>
      </c>
      <c r="AC33" s="20">
        <f t="shared" si="23"/>
        <v>0</v>
      </c>
      <c r="AD33" s="20">
        <f t="shared" si="24"/>
        <v>2.3715917824751211</v>
      </c>
      <c r="AE33" s="20">
        <f t="shared" si="25"/>
        <v>30.499865880494227</v>
      </c>
      <c r="AF33" s="20">
        <f t="shared" si="25"/>
        <v>0</v>
      </c>
      <c r="AG33" s="20">
        <f t="shared" si="25"/>
        <v>0</v>
      </c>
      <c r="AH33" s="20">
        <f t="shared" si="25"/>
        <v>0</v>
      </c>
      <c r="AI33" s="20">
        <f t="shared" si="26"/>
        <v>24.33341614455669</v>
      </c>
      <c r="AJ33" s="20">
        <f t="shared" si="26"/>
        <v>0</v>
      </c>
      <c r="AK33" s="20">
        <f t="shared" si="26"/>
        <v>0</v>
      </c>
      <c r="AL33" s="20">
        <f t="shared" si="26"/>
        <v>0</v>
      </c>
      <c r="AM33" s="20">
        <f t="shared" si="27"/>
        <v>24.33341614455669</v>
      </c>
      <c r="AO33">
        <f t="shared" si="28"/>
        <v>3.339438388903218</v>
      </c>
      <c r="AP33">
        <f t="shared" si="28"/>
        <v>0</v>
      </c>
      <c r="AQ33">
        <f t="shared" si="28"/>
        <v>0</v>
      </c>
      <c r="AR33">
        <f t="shared" si="28"/>
        <v>0</v>
      </c>
      <c r="AS33">
        <f t="shared" si="29"/>
        <v>3.339438388903218</v>
      </c>
      <c r="AU33">
        <f t="shared" si="30"/>
        <v>34.26388327315027</v>
      </c>
      <c r="AV33">
        <f t="shared" si="30"/>
        <v>0</v>
      </c>
      <c r="AW33">
        <f t="shared" si="30"/>
        <v>0</v>
      </c>
      <c r="AX33">
        <f t="shared" si="30"/>
        <v>0</v>
      </c>
      <c r="AY33">
        <f t="shared" si="31"/>
        <v>34.26388327315027</v>
      </c>
    </row>
    <row r="34" spans="1:53" ht="15" x14ac:dyDescent="0.25">
      <c r="A34" s="1"/>
      <c r="B34" s="2"/>
      <c r="C34" s="1" t="s">
        <v>12</v>
      </c>
      <c r="D34">
        <v>0</v>
      </c>
      <c r="E34" s="360">
        <v>0</v>
      </c>
      <c r="F34">
        <v>0</v>
      </c>
      <c r="G34">
        <v>0</v>
      </c>
      <c r="H34">
        <v>0</v>
      </c>
      <c r="J34">
        <v>0</v>
      </c>
      <c r="K34" s="14">
        <v>0</v>
      </c>
      <c r="L34">
        <v>0</v>
      </c>
      <c r="M34">
        <v>0</v>
      </c>
      <c r="N34">
        <v>0</v>
      </c>
      <c r="O34" s="20"/>
      <c r="P34" s="20"/>
      <c r="Q34" s="438"/>
      <c r="R34" s="197">
        <v>0.49</v>
      </c>
      <c r="S34" s="197">
        <v>2.42</v>
      </c>
      <c r="T34" s="197">
        <v>0.50078889239507718</v>
      </c>
      <c r="U34" s="197">
        <v>0.75268470790377973</v>
      </c>
      <c r="V34" s="20">
        <f t="shared" si="22"/>
        <v>0</v>
      </c>
      <c r="W34" s="20">
        <f t="shared" si="22"/>
        <v>0</v>
      </c>
      <c r="X34" s="20">
        <f t="shared" si="22"/>
        <v>0</v>
      </c>
      <c r="Y34" s="20">
        <f t="shared" si="22"/>
        <v>0</v>
      </c>
      <c r="Z34" s="20">
        <f t="shared" si="23"/>
        <v>0</v>
      </c>
      <c r="AA34" s="20">
        <f t="shared" si="23"/>
        <v>0</v>
      </c>
      <c r="AB34" s="20">
        <f t="shared" si="23"/>
        <v>0</v>
      </c>
      <c r="AC34" s="20">
        <f t="shared" si="23"/>
        <v>0</v>
      </c>
      <c r="AD34" s="20">
        <f t="shared" si="24"/>
        <v>0</v>
      </c>
      <c r="AE34" s="20">
        <f t="shared" si="25"/>
        <v>0</v>
      </c>
      <c r="AF34" s="20">
        <f t="shared" si="25"/>
        <v>0</v>
      </c>
      <c r="AG34" s="20">
        <f t="shared" si="25"/>
        <v>0</v>
      </c>
      <c r="AH34" s="20">
        <f t="shared" si="25"/>
        <v>0</v>
      </c>
      <c r="AI34" s="20">
        <f t="shared" si="26"/>
        <v>0</v>
      </c>
      <c r="AJ34" s="20">
        <f t="shared" si="26"/>
        <v>0</v>
      </c>
      <c r="AK34" s="20">
        <f t="shared" si="26"/>
        <v>0</v>
      </c>
      <c r="AL34" s="20">
        <f t="shared" si="26"/>
        <v>0</v>
      </c>
      <c r="AM34" s="20">
        <f t="shared" si="27"/>
        <v>0</v>
      </c>
      <c r="AO34">
        <f t="shared" si="28"/>
        <v>0</v>
      </c>
      <c r="AP34">
        <f t="shared" si="28"/>
        <v>0</v>
      </c>
      <c r="AQ34">
        <f t="shared" si="28"/>
        <v>0</v>
      </c>
      <c r="AR34">
        <f t="shared" si="28"/>
        <v>0</v>
      </c>
      <c r="AS34">
        <f t="shared" si="29"/>
        <v>0</v>
      </c>
      <c r="AU34">
        <f t="shared" si="30"/>
        <v>0</v>
      </c>
      <c r="AV34">
        <f t="shared" si="30"/>
        <v>0</v>
      </c>
      <c r="AW34">
        <f t="shared" si="30"/>
        <v>0</v>
      </c>
      <c r="AX34">
        <f t="shared" si="30"/>
        <v>0</v>
      </c>
      <c r="AY34">
        <f t="shared" si="31"/>
        <v>0</v>
      </c>
    </row>
    <row r="35" spans="1:53" ht="15" x14ac:dyDescent="0.25">
      <c r="A35" s="1"/>
      <c r="B35" s="2"/>
      <c r="C35" s="1" t="s">
        <v>13</v>
      </c>
      <c r="D35">
        <v>0</v>
      </c>
      <c r="E35" s="360">
        <v>4.8399999999999999E-2</v>
      </c>
      <c r="F35">
        <v>0</v>
      </c>
      <c r="G35">
        <v>0</v>
      </c>
      <c r="H35">
        <v>0</v>
      </c>
      <c r="J35">
        <v>0</v>
      </c>
      <c r="K35" s="14">
        <v>-0.1467011429</v>
      </c>
      <c r="L35">
        <v>0</v>
      </c>
      <c r="M35">
        <v>0</v>
      </c>
      <c r="N35">
        <v>0</v>
      </c>
      <c r="O35" s="20"/>
      <c r="P35" s="20"/>
      <c r="Q35" s="438">
        <v>0.33447587585332988</v>
      </c>
      <c r="R35" s="197">
        <v>0.49</v>
      </c>
      <c r="S35" s="197">
        <v>2.42</v>
      </c>
      <c r="T35" s="197">
        <v>0.50078889239507718</v>
      </c>
      <c r="U35" s="197">
        <v>0.75268470790377973</v>
      </c>
      <c r="V35" s="20">
        <f t="shared" si="22"/>
        <v>7.932429871737573E-2</v>
      </c>
      <c r="W35" s="20">
        <f t="shared" si="22"/>
        <v>0</v>
      </c>
      <c r="X35" s="20">
        <f t="shared" si="22"/>
        <v>0</v>
      </c>
      <c r="Y35" s="20">
        <f t="shared" si="22"/>
        <v>0</v>
      </c>
      <c r="Z35" s="20">
        <f t="shared" si="23"/>
        <v>4.695175866514107E-2</v>
      </c>
      <c r="AA35" s="20">
        <f t="shared" si="23"/>
        <v>0</v>
      </c>
      <c r="AB35" s="20">
        <f t="shared" si="23"/>
        <v>0</v>
      </c>
      <c r="AC35" s="20">
        <f t="shared" si="23"/>
        <v>0</v>
      </c>
      <c r="AD35" s="20">
        <f t="shared" si="24"/>
        <v>4.695175866514107E-2</v>
      </c>
      <c r="AE35" s="20">
        <f t="shared" si="25"/>
        <v>0.3917649038694882</v>
      </c>
      <c r="AF35" s="20">
        <f t="shared" si="25"/>
        <v>0</v>
      </c>
      <c r="AG35" s="20">
        <f t="shared" si="25"/>
        <v>0</v>
      </c>
      <c r="AH35" s="20">
        <f t="shared" si="25"/>
        <v>0</v>
      </c>
      <c r="AI35" s="20">
        <f t="shared" si="26"/>
        <v>0.31255804448586738</v>
      </c>
      <c r="AJ35" s="20">
        <f t="shared" si="26"/>
        <v>0</v>
      </c>
      <c r="AK35" s="20">
        <f t="shared" si="26"/>
        <v>0</v>
      </c>
      <c r="AL35" s="20">
        <f t="shared" si="26"/>
        <v>0</v>
      </c>
      <c r="AM35" s="20">
        <f t="shared" si="27"/>
        <v>0.31255804448586738</v>
      </c>
      <c r="AO35">
        <f t="shared" si="28"/>
        <v>6.6112771376385132E-2</v>
      </c>
      <c r="AP35">
        <f t="shared" si="28"/>
        <v>0</v>
      </c>
      <c r="AQ35">
        <f t="shared" si="28"/>
        <v>0</v>
      </c>
      <c r="AR35">
        <f t="shared" si="28"/>
        <v>0</v>
      </c>
      <c r="AS35">
        <f t="shared" si="29"/>
        <v>6.6112771376385132E-2</v>
      </c>
      <c r="AU35">
        <f t="shared" si="30"/>
        <v>0.4401129824405498</v>
      </c>
      <c r="AV35">
        <f t="shared" si="30"/>
        <v>0</v>
      </c>
      <c r="AW35">
        <f t="shared" si="30"/>
        <v>0</v>
      </c>
      <c r="AX35">
        <f t="shared" si="30"/>
        <v>0</v>
      </c>
      <c r="AY35">
        <f t="shared" si="31"/>
        <v>0.4401129824405498</v>
      </c>
    </row>
    <row r="36" spans="1:53" ht="15" x14ac:dyDescent="0.25">
      <c r="A36" s="7"/>
      <c r="B36" s="8" t="s">
        <v>14</v>
      </c>
      <c r="C36" s="7"/>
      <c r="D36" s="357">
        <f t="shared" ref="D36:H36" si="32">SUM(D30:D35)</f>
        <v>0</v>
      </c>
      <c r="E36" s="363">
        <f>SUM(E30:E35)</f>
        <v>33.783190000000005</v>
      </c>
      <c r="F36" s="357">
        <f t="shared" si="32"/>
        <v>0</v>
      </c>
      <c r="G36" s="357">
        <f t="shared" si="32"/>
        <v>0</v>
      </c>
      <c r="H36" s="357">
        <f t="shared" si="32"/>
        <v>0</v>
      </c>
      <c r="J36">
        <v>0</v>
      </c>
      <c r="K36" s="14">
        <v>12.591797590729282</v>
      </c>
      <c r="L36">
        <v>0</v>
      </c>
      <c r="M36">
        <v>0</v>
      </c>
      <c r="N36">
        <v>0</v>
      </c>
      <c r="O36" s="20"/>
      <c r="P36" s="20"/>
      <c r="Q36" s="438">
        <v>0.27242773496439865</v>
      </c>
      <c r="R36" s="197"/>
      <c r="S36" s="197"/>
      <c r="T36" s="197"/>
      <c r="U36" s="197"/>
      <c r="BA36" s="319">
        <f>(E36*10000*Q36*AU$10)</f>
        <v>129594.17275446425</v>
      </c>
    </row>
    <row r="37" spans="1:53" ht="15" x14ac:dyDescent="0.25">
      <c r="A37" s="5"/>
      <c r="B37" s="9" t="s">
        <v>15</v>
      </c>
      <c r="C37" s="5"/>
      <c r="E37" s="363">
        <f>SUM(E36)</f>
        <v>33.783190000000005</v>
      </c>
      <c r="H37" s="358">
        <f>SUM(D36:H36)</f>
        <v>33.783190000000005</v>
      </c>
      <c r="K37" s="14"/>
      <c r="N37">
        <v>0</v>
      </c>
      <c r="O37" s="20"/>
      <c r="P37" s="20"/>
      <c r="Q37" s="438"/>
      <c r="R37" s="197"/>
      <c r="S37" s="197"/>
      <c r="T37" s="197"/>
      <c r="U37" s="197"/>
    </row>
    <row r="38" spans="1:53" ht="15.75" x14ac:dyDescent="0.25">
      <c r="A38" s="1"/>
      <c r="B38" s="2"/>
      <c r="C38" s="1"/>
      <c r="E38" s="362"/>
      <c r="K38" s="14"/>
      <c r="O38" s="20"/>
      <c r="P38" s="20"/>
      <c r="Q38" s="439"/>
      <c r="R38" s="197"/>
      <c r="S38" s="197"/>
      <c r="T38" s="197"/>
      <c r="U38" s="197"/>
    </row>
    <row r="39" spans="1:53" ht="15" x14ac:dyDescent="0.25">
      <c r="A39" s="1">
        <v>4</v>
      </c>
      <c r="B39" s="2" t="s">
        <v>18</v>
      </c>
      <c r="C39" s="1" t="s">
        <v>8</v>
      </c>
      <c r="D39">
        <v>0</v>
      </c>
      <c r="E39" s="360">
        <v>45.117100000000001</v>
      </c>
      <c r="F39">
        <v>0</v>
      </c>
      <c r="G39">
        <v>0</v>
      </c>
      <c r="H39">
        <v>0</v>
      </c>
      <c r="J39">
        <v>0</v>
      </c>
      <c r="K39" s="14">
        <v>42.497645392392101</v>
      </c>
      <c r="L39">
        <v>0</v>
      </c>
      <c r="M39">
        <v>0</v>
      </c>
      <c r="N39">
        <v>0</v>
      </c>
      <c r="O39" s="20"/>
      <c r="P39" s="20"/>
      <c r="Q39" s="438">
        <v>0.38189517517066596</v>
      </c>
      <c r="R39" s="197">
        <v>0.19500000000000001</v>
      </c>
      <c r="S39" s="197">
        <v>1.22</v>
      </c>
      <c r="T39" s="197">
        <v>0.4144562334217507</v>
      </c>
      <c r="U39" s="197">
        <v>0.6566321730950142</v>
      </c>
      <c r="V39" s="20">
        <f t="shared" ref="V39:Y44" si="33">IF(K39&gt;0,((E39-K39)*$Q39*$R39*10)+(K39*$O$12*$Q39*$R39*10),(E39*$Q39*$R39*10))</f>
        <v>13.589242849356499</v>
      </c>
      <c r="W39" s="20">
        <f t="shared" si="33"/>
        <v>0</v>
      </c>
      <c r="X39" s="20">
        <f t="shared" si="33"/>
        <v>0</v>
      </c>
      <c r="Y39" s="20">
        <f t="shared" si="33"/>
        <v>0</v>
      </c>
      <c r="Z39" s="20">
        <f t="shared" ref="Z39:AC44" si="34">V39*(EXP(1.01-0.34*LN(Z$8))*(1-$T39)+(1*$T39))</f>
        <v>7.084338461588942</v>
      </c>
      <c r="AA39" s="20">
        <f t="shared" si="34"/>
        <v>0</v>
      </c>
      <c r="AB39" s="20">
        <f t="shared" si="34"/>
        <v>0</v>
      </c>
      <c r="AC39" s="20">
        <f t="shared" si="34"/>
        <v>0</v>
      </c>
      <c r="AD39" s="20">
        <f t="shared" ref="AD39:AD44" si="35">SUM(Z39:AC39)</f>
        <v>7.084338461588942</v>
      </c>
      <c r="AE39" s="20">
        <f t="shared" ref="AE39:AH44" si="36">IF(K39&gt;0,((E39-K39)*$Q39*$S39*10)+(K39*$P$12*$Q39*$S39)*10,(E39*$Q39*$S39*10))</f>
        <v>126.87310730359539</v>
      </c>
      <c r="AF39" s="20">
        <f t="shared" si="36"/>
        <v>0</v>
      </c>
      <c r="AG39" s="20">
        <f t="shared" si="36"/>
        <v>0</v>
      </c>
      <c r="AH39" s="20">
        <f t="shared" si="36"/>
        <v>0</v>
      </c>
      <c r="AI39" s="20">
        <f t="shared" ref="AI39:AL44" si="37">AE39*(EXP(1.01-0.34*LN(AI$8))*(1-$U39)+(1*$U39))</f>
        <v>91.259540477923437</v>
      </c>
      <c r="AJ39" s="20">
        <f t="shared" si="37"/>
        <v>0</v>
      </c>
      <c r="AK39" s="20">
        <f t="shared" si="37"/>
        <v>0</v>
      </c>
      <c r="AL39" s="20">
        <f t="shared" si="37"/>
        <v>0</v>
      </c>
      <c r="AM39" s="20">
        <f t="shared" ref="AM39:AM44" si="38">SUM(AI39:AL39)</f>
        <v>91.259540477923437</v>
      </c>
      <c r="AO39">
        <f t="shared" ref="AO39:AR44" si="39">Z39*AO$10</f>
        <v>9.9754569877633887</v>
      </c>
      <c r="AP39">
        <f t="shared" si="39"/>
        <v>0</v>
      </c>
      <c r="AQ39">
        <f t="shared" si="39"/>
        <v>0</v>
      </c>
      <c r="AR39">
        <f t="shared" si="39"/>
        <v>0</v>
      </c>
      <c r="AS39">
        <f t="shared" ref="AS39:AS44" si="40">SUM(AO39:AR39)</f>
        <v>9.9754569877633887</v>
      </c>
      <c r="AU39">
        <f t="shared" ref="AU39:AX44" si="41">AI39*AU$10</f>
        <v>128.50255894696397</v>
      </c>
      <c r="AV39">
        <f t="shared" si="41"/>
        <v>0</v>
      </c>
      <c r="AW39">
        <f t="shared" si="41"/>
        <v>0</v>
      </c>
      <c r="AX39">
        <f t="shared" si="41"/>
        <v>0</v>
      </c>
      <c r="AY39">
        <f t="shared" ref="AY39:AY44" si="42">SUM(AU39:AX39)</f>
        <v>128.50255894696397</v>
      </c>
    </row>
    <row r="40" spans="1:53" ht="15" x14ac:dyDescent="0.25">
      <c r="A40" s="1"/>
      <c r="B40" s="2"/>
      <c r="C40" s="1" t="s">
        <v>9</v>
      </c>
      <c r="D40">
        <v>0</v>
      </c>
      <c r="E40" s="360">
        <v>26.16705</v>
      </c>
      <c r="F40">
        <v>0</v>
      </c>
      <c r="G40">
        <v>0</v>
      </c>
      <c r="H40">
        <v>0</v>
      </c>
      <c r="J40">
        <v>0</v>
      </c>
      <c r="K40" s="14">
        <v>26.16705</v>
      </c>
      <c r="L40">
        <v>0</v>
      </c>
      <c r="M40">
        <v>0</v>
      </c>
      <c r="N40">
        <v>0</v>
      </c>
      <c r="O40" s="20"/>
      <c r="P40" s="20"/>
      <c r="Q40" s="438">
        <v>0.40379035034133193</v>
      </c>
      <c r="R40" s="197">
        <v>0.19500000000000001</v>
      </c>
      <c r="S40" s="197">
        <v>1.22</v>
      </c>
      <c r="T40" s="197">
        <v>0.4144562334217507</v>
      </c>
      <c r="U40" s="197">
        <v>0.6566321730950142</v>
      </c>
      <c r="V40" s="20">
        <f t="shared" si="33"/>
        <v>7.5770544536685733</v>
      </c>
      <c r="W40" s="20">
        <f t="shared" si="33"/>
        <v>0</v>
      </c>
      <c r="X40" s="20">
        <f t="shared" si="33"/>
        <v>0</v>
      </c>
      <c r="Y40" s="20">
        <f t="shared" si="33"/>
        <v>0</v>
      </c>
      <c r="Z40" s="20">
        <f t="shared" si="34"/>
        <v>3.9500668938461083</v>
      </c>
      <c r="AA40" s="20">
        <f t="shared" si="34"/>
        <v>0</v>
      </c>
      <c r="AB40" s="20">
        <f t="shared" si="34"/>
        <v>0</v>
      </c>
      <c r="AC40" s="20">
        <f t="shared" si="34"/>
        <v>0</v>
      </c>
      <c r="AD40" s="20">
        <f t="shared" si="35"/>
        <v>3.9500668938461083</v>
      </c>
      <c r="AE40" s="20">
        <f t="shared" si="36"/>
        <v>74.652910178709263</v>
      </c>
      <c r="AF40" s="20">
        <f t="shared" si="36"/>
        <v>0</v>
      </c>
      <c r="AG40" s="20">
        <f t="shared" si="36"/>
        <v>0</v>
      </c>
      <c r="AH40" s="20">
        <f t="shared" si="36"/>
        <v>0</v>
      </c>
      <c r="AI40" s="20">
        <f t="shared" si="37"/>
        <v>53.69767023949634</v>
      </c>
      <c r="AJ40" s="20">
        <f t="shared" si="37"/>
        <v>0</v>
      </c>
      <c r="AK40" s="20">
        <f t="shared" si="37"/>
        <v>0</v>
      </c>
      <c r="AL40" s="20">
        <f t="shared" si="37"/>
        <v>0</v>
      </c>
      <c r="AM40" s="20">
        <f t="shared" si="38"/>
        <v>53.69767023949634</v>
      </c>
      <c r="AO40">
        <f t="shared" si="39"/>
        <v>5.562089193224705</v>
      </c>
      <c r="AP40">
        <f t="shared" si="39"/>
        <v>0</v>
      </c>
      <c r="AQ40">
        <f t="shared" si="39"/>
        <v>0</v>
      </c>
      <c r="AR40">
        <f t="shared" si="39"/>
        <v>0</v>
      </c>
      <c r="AS40">
        <f t="shared" si="40"/>
        <v>5.562089193224705</v>
      </c>
      <c r="AU40">
        <f t="shared" si="41"/>
        <v>75.611689464234786</v>
      </c>
      <c r="AV40">
        <f t="shared" si="41"/>
        <v>0</v>
      </c>
      <c r="AW40">
        <f t="shared" si="41"/>
        <v>0</v>
      </c>
      <c r="AX40">
        <f t="shared" si="41"/>
        <v>0</v>
      </c>
      <c r="AY40">
        <f t="shared" si="42"/>
        <v>75.611689464234786</v>
      </c>
    </row>
    <row r="41" spans="1:53" ht="15" x14ac:dyDescent="0.25">
      <c r="A41" s="1"/>
      <c r="B41" s="2"/>
      <c r="C41" s="1" t="s">
        <v>10</v>
      </c>
      <c r="D41">
        <v>0</v>
      </c>
      <c r="E41" s="360">
        <v>0</v>
      </c>
      <c r="F41">
        <v>0</v>
      </c>
      <c r="G41">
        <v>0</v>
      </c>
      <c r="H41">
        <v>0</v>
      </c>
      <c r="J41">
        <v>0</v>
      </c>
      <c r="K41" s="14">
        <v>0</v>
      </c>
      <c r="L41">
        <v>0</v>
      </c>
      <c r="M41">
        <v>0</v>
      </c>
      <c r="N41">
        <v>0</v>
      </c>
      <c r="O41" s="20"/>
      <c r="P41" s="20"/>
      <c r="Q41" s="438"/>
      <c r="R41" s="197">
        <v>0.19500000000000001</v>
      </c>
      <c r="S41" s="197">
        <v>1.22</v>
      </c>
      <c r="T41" s="197">
        <v>0.4144562334217507</v>
      </c>
      <c r="U41" s="197">
        <v>0.6566321730950142</v>
      </c>
      <c r="V41" s="20">
        <f t="shared" si="33"/>
        <v>0</v>
      </c>
      <c r="W41" s="20">
        <f t="shared" si="33"/>
        <v>0</v>
      </c>
      <c r="X41" s="20">
        <f t="shared" si="33"/>
        <v>0</v>
      </c>
      <c r="Y41" s="20">
        <f t="shared" si="33"/>
        <v>0</v>
      </c>
      <c r="Z41" s="20">
        <f t="shared" si="34"/>
        <v>0</v>
      </c>
      <c r="AA41" s="20">
        <f t="shared" si="34"/>
        <v>0</v>
      </c>
      <c r="AB41" s="20">
        <f t="shared" si="34"/>
        <v>0</v>
      </c>
      <c r="AC41" s="20">
        <f t="shared" si="34"/>
        <v>0</v>
      </c>
      <c r="AD41" s="20">
        <f t="shared" si="35"/>
        <v>0</v>
      </c>
      <c r="AE41" s="20">
        <f t="shared" si="36"/>
        <v>0</v>
      </c>
      <c r="AF41" s="20">
        <f t="shared" si="36"/>
        <v>0</v>
      </c>
      <c r="AG41" s="20">
        <f t="shared" si="36"/>
        <v>0</v>
      </c>
      <c r="AH41" s="20">
        <f t="shared" si="36"/>
        <v>0</v>
      </c>
      <c r="AI41" s="20">
        <f t="shared" si="37"/>
        <v>0</v>
      </c>
      <c r="AJ41" s="20">
        <f t="shared" si="37"/>
        <v>0</v>
      </c>
      <c r="AK41" s="20">
        <f t="shared" si="37"/>
        <v>0</v>
      </c>
      <c r="AL41" s="20">
        <f t="shared" si="37"/>
        <v>0</v>
      </c>
      <c r="AM41" s="20">
        <f t="shared" si="38"/>
        <v>0</v>
      </c>
      <c r="AO41">
        <f t="shared" si="39"/>
        <v>0</v>
      </c>
      <c r="AP41">
        <f t="shared" si="39"/>
        <v>0</v>
      </c>
      <c r="AQ41">
        <f t="shared" si="39"/>
        <v>0</v>
      </c>
      <c r="AR41">
        <f t="shared" si="39"/>
        <v>0</v>
      </c>
      <c r="AS41">
        <f t="shared" si="40"/>
        <v>0</v>
      </c>
      <c r="AU41">
        <f t="shared" si="41"/>
        <v>0</v>
      </c>
      <c r="AV41">
        <f t="shared" si="41"/>
        <v>0</v>
      </c>
      <c r="AW41">
        <f t="shared" si="41"/>
        <v>0</v>
      </c>
      <c r="AX41">
        <f t="shared" si="41"/>
        <v>0</v>
      </c>
      <c r="AY41">
        <f t="shared" si="42"/>
        <v>0</v>
      </c>
    </row>
    <row r="42" spans="1:53" ht="15" x14ac:dyDescent="0.25">
      <c r="A42" s="1"/>
      <c r="B42" s="2"/>
      <c r="C42" s="1" t="s">
        <v>11</v>
      </c>
      <c r="D42">
        <v>0</v>
      </c>
      <c r="E42" s="360">
        <v>3.6983999999999999</v>
      </c>
      <c r="F42">
        <v>0</v>
      </c>
      <c r="G42">
        <v>0</v>
      </c>
      <c r="H42">
        <v>0</v>
      </c>
      <c r="J42">
        <v>0</v>
      </c>
      <c r="K42" s="14">
        <v>3.6943102895907001</v>
      </c>
      <c r="L42">
        <v>0</v>
      </c>
      <c r="M42">
        <v>0</v>
      </c>
      <c r="N42">
        <v>0</v>
      </c>
      <c r="O42" s="20"/>
      <c r="P42" s="20"/>
      <c r="Q42" s="438">
        <v>0.44758070068266387</v>
      </c>
      <c r="R42" s="197">
        <v>0.19500000000000001</v>
      </c>
      <c r="S42" s="197">
        <v>1.22</v>
      </c>
      <c r="T42" s="197">
        <v>0.4144562334217507</v>
      </c>
      <c r="U42" s="197">
        <v>0.6566321730950142</v>
      </c>
      <c r="V42" s="20">
        <f t="shared" si="33"/>
        <v>1.1893229658641389</v>
      </c>
      <c r="W42" s="20">
        <f t="shared" si="33"/>
        <v>0</v>
      </c>
      <c r="X42" s="20">
        <f t="shared" si="33"/>
        <v>0</v>
      </c>
      <c r="Y42" s="20">
        <f t="shared" si="33"/>
        <v>0</v>
      </c>
      <c r="Z42" s="20">
        <f t="shared" si="34"/>
        <v>0.62001735664922153</v>
      </c>
      <c r="AA42" s="20">
        <f t="shared" si="34"/>
        <v>0</v>
      </c>
      <c r="AB42" s="20">
        <f t="shared" si="34"/>
        <v>0</v>
      </c>
      <c r="AC42" s="20">
        <f t="shared" si="34"/>
        <v>0</v>
      </c>
      <c r="AD42" s="20">
        <f t="shared" si="35"/>
        <v>0.62001735664922153</v>
      </c>
      <c r="AE42" s="20">
        <f t="shared" si="36"/>
        <v>11.704965594748055</v>
      </c>
      <c r="AF42" s="20">
        <f t="shared" si="36"/>
        <v>0</v>
      </c>
      <c r="AG42" s="20">
        <f t="shared" si="36"/>
        <v>0</v>
      </c>
      <c r="AH42" s="20">
        <f t="shared" si="36"/>
        <v>0</v>
      </c>
      <c r="AI42" s="20">
        <f t="shared" si="37"/>
        <v>8.4193554031157589</v>
      </c>
      <c r="AJ42" s="20">
        <f t="shared" si="37"/>
        <v>0</v>
      </c>
      <c r="AK42" s="20">
        <f t="shared" si="37"/>
        <v>0</v>
      </c>
      <c r="AL42" s="20">
        <f t="shared" si="37"/>
        <v>0</v>
      </c>
      <c r="AM42" s="20">
        <f t="shared" si="38"/>
        <v>8.4193554031157589</v>
      </c>
      <c r="AO42">
        <f t="shared" si="39"/>
        <v>0.87304643989776876</v>
      </c>
      <c r="AP42">
        <f t="shared" si="39"/>
        <v>0</v>
      </c>
      <c r="AQ42">
        <f t="shared" si="39"/>
        <v>0</v>
      </c>
      <c r="AR42">
        <f t="shared" si="39"/>
        <v>0</v>
      </c>
      <c r="AS42">
        <f t="shared" si="40"/>
        <v>0.87304643989776876</v>
      </c>
      <c r="AU42">
        <f t="shared" si="41"/>
        <v>11.8552943431273</v>
      </c>
      <c r="AV42">
        <f t="shared" si="41"/>
        <v>0</v>
      </c>
      <c r="AW42">
        <f t="shared" si="41"/>
        <v>0</v>
      </c>
      <c r="AX42">
        <f t="shared" si="41"/>
        <v>0</v>
      </c>
      <c r="AY42">
        <f t="shared" si="42"/>
        <v>11.8552943431273</v>
      </c>
    </row>
    <row r="43" spans="1:53" ht="15" x14ac:dyDescent="0.25">
      <c r="A43" s="1"/>
      <c r="B43" s="2"/>
      <c r="C43" s="1" t="s">
        <v>12</v>
      </c>
      <c r="D43">
        <v>0</v>
      </c>
      <c r="E43" s="360">
        <v>0</v>
      </c>
      <c r="F43">
        <v>0</v>
      </c>
      <c r="G43">
        <v>0</v>
      </c>
      <c r="H43">
        <v>0</v>
      </c>
      <c r="J43">
        <v>0</v>
      </c>
      <c r="K43" s="14">
        <v>0</v>
      </c>
      <c r="L43">
        <v>0</v>
      </c>
      <c r="M43">
        <v>0</v>
      </c>
      <c r="N43">
        <v>0</v>
      </c>
      <c r="O43" s="20"/>
      <c r="P43" s="20"/>
      <c r="Q43" s="438"/>
      <c r="R43" s="197">
        <v>0.19500000000000001</v>
      </c>
      <c r="S43" s="197">
        <v>1.22</v>
      </c>
      <c r="T43" s="197">
        <v>0.4144562334217507</v>
      </c>
      <c r="U43" s="197">
        <v>0.6566321730950142</v>
      </c>
      <c r="V43" s="20">
        <f t="shared" si="33"/>
        <v>0</v>
      </c>
      <c r="W43" s="20">
        <f t="shared" si="33"/>
        <v>0</v>
      </c>
      <c r="X43" s="20">
        <f t="shared" si="33"/>
        <v>0</v>
      </c>
      <c r="Y43" s="20">
        <f t="shared" si="33"/>
        <v>0</v>
      </c>
      <c r="Z43" s="20">
        <f t="shared" si="34"/>
        <v>0</v>
      </c>
      <c r="AA43" s="20">
        <f t="shared" si="34"/>
        <v>0</v>
      </c>
      <c r="AB43" s="20">
        <f t="shared" si="34"/>
        <v>0</v>
      </c>
      <c r="AC43" s="20">
        <f t="shared" si="34"/>
        <v>0</v>
      </c>
      <c r="AD43" s="20">
        <f t="shared" si="35"/>
        <v>0</v>
      </c>
      <c r="AE43" s="20">
        <f t="shared" si="36"/>
        <v>0</v>
      </c>
      <c r="AF43" s="20">
        <f t="shared" si="36"/>
        <v>0</v>
      </c>
      <c r="AG43" s="20">
        <f t="shared" si="36"/>
        <v>0</v>
      </c>
      <c r="AH43" s="20">
        <f t="shared" si="36"/>
        <v>0</v>
      </c>
      <c r="AI43" s="20">
        <f t="shared" si="37"/>
        <v>0</v>
      </c>
      <c r="AJ43" s="20">
        <f t="shared" si="37"/>
        <v>0</v>
      </c>
      <c r="AK43" s="20">
        <f t="shared" si="37"/>
        <v>0</v>
      </c>
      <c r="AL43" s="20">
        <f t="shared" si="37"/>
        <v>0</v>
      </c>
      <c r="AM43" s="20">
        <f t="shared" si="38"/>
        <v>0</v>
      </c>
      <c r="AO43">
        <f t="shared" si="39"/>
        <v>0</v>
      </c>
      <c r="AP43">
        <f t="shared" si="39"/>
        <v>0</v>
      </c>
      <c r="AQ43">
        <f t="shared" si="39"/>
        <v>0</v>
      </c>
      <c r="AR43">
        <f t="shared" si="39"/>
        <v>0</v>
      </c>
      <c r="AS43">
        <f t="shared" si="40"/>
        <v>0</v>
      </c>
      <c r="AU43">
        <f t="shared" si="41"/>
        <v>0</v>
      </c>
      <c r="AV43">
        <f t="shared" si="41"/>
        <v>0</v>
      </c>
      <c r="AW43">
        <f t="shared" si="41"/>
        <v>0</v>
      </c>
      <c r="AX43">
        <f t="shared" si="41"/>
        <v>0</v>
      </c>
      <c r="AY43">
        <f t="shared" si="42"/>
        <v>0</v>
      </c>
    </row>
    <row r="44" spans="1:53" ht="15" x14ac:dyDescent="0.25">
      <c r="A44" s="1"/>
      <c r="B44" s="2"/>
      <c r="C44" s="1" t="s">
        <v>13</v>
      </c>
      <c r="D44">
        <v>0</v>
      </c>
      <c r="E44" s="360">
        <v>2.7449999999999999E-2</v>
      </c>
      <c r="F44">
        <v>0</v>
      </c>
      <c r="G44">
        <v>0</v>
      </c>
      <c r="H44">
        <v>0</v>
      </c>
      <c r="J44">
        <v>0</v>
      </c>
      <c r="K44" s="14">
        <v>2.7449999999999999E-2</v>
      </c>
      <c r="L44">
        <v>0</v>
      </c>
      <c r="M44">
        <v>0</v>
      </c>
      <c r="N44">
        <v>0</v>
      </c>
      <c r="O44" s="20"/>
      <c r="P44" s="20"/>
      <c r="Q44" s="438">
        <v>0.44758070068266387</v>
      </c>
      <c r="R44" s="197">
        <v>0.19500000000000001</v>
      </c>
      <c r="S44" s="197">
        <v>1.22</v>
      </c>
      <c r="T44" s="197">
        <v>0.4144562334217507</v>
      </c>
      <c r="U44" s="197">
        <v>0.6566321730950142</v>
      </c>
      <c r="V44" s="20">
        <f t="shared" si="33"/>
        <v>8.8105578813997398E-3</v>
      </c>
      <c r="W44" s="20">
        <f t="shared" si="33"/>
        <v>0</v>
      </c>
      <c r="X44" s="20">
        <f t="shared" si="33"/>
        <v>0</v>
      </c>
      <c r="Y44" s="20">
        <f t="shared" si="33"/>
        <v>0</v>
      </c>
      <c r="Z44" s="20">
        <f t="shared" si="34"/>
        <v>4.5931163906023972E-3</v>
      </c>
      <c r="AA44" s="20">
        <f t="shared" si="34"/>
        <v>0</v>
      </c>
      <c r="AB44" s="20">
        <f t="shared" si="34"/>
        <v>0</v>
      </c>
      <c r="AC44" s="20">
        <f t="shared" si="34"/>
        <v>0</v>
      </c>
      <c r="AD44" s="20">
        <f t="shared" si="35"/>
        <v>4.5931163906023972E-3</v>
      </c>
      <c r="AE44" s="20">
        <f t="shared" si="36"/>
        <v>8.6805999635649916E-2</v>
      </c>
      <c r="AF44" s="20">
        <f t="shared" si="36"/>
        <v>0</v>
      </c>
      <c r="AG44" s="20">
        <f t="shared" si="36"/>
        <v>0</v>
      </c>
      <c r="AH44" s="20">
        <f t="shared" si="36"/>
        <v>0</v>
      </c>
      <c r="AI44" s="20">
        <f t="shared" si="37"/>
        <v>6.2439360127910307E-2</v>
      </c>
      <c r="AJ44" s="20">
        <f t="shared" si="37"/>
        <v>0</v>
      </c>
      <c r="AK44" s="20">
        <f t="shared" si="37"/>
        <v>0</v>
      </c>
      <c r="AL44" s="20">
        <f t="shared" si="37"/>
        <v>0</v>
      </c>
      <c r="AM44" s="20">
        <f t="shared" si="38"/>
        <v>6.2439360127910307E-2</v>
      </c>
      <c r="AO44">
        <f t="shared" si="39"/>
        <v>6.4675671896072349E-3</v>
      </c>
      <c r="AP44">
        <f t="shared" si="39"/>
        <v>0</v>
      </c>
      <c r="AQ44">
        <f t="shared" si="39"/>
        <v>0</v>
      </c>
      <c r="AR44">
        <f t="shared" si="39"/>
        <v>0</v>
      </c>
      <c r="AS44">
        <f t="shared" si="40"/>
        <v>6.4675671896072349E-3</v>
      </c>
      <c r="AU44">
        <f t="shared" si="41"/>
        <v>8.7920862996110502E-2</v>
      </c>
      <c r="AV44">
        <f t="shared" si="41"/>
        <v>0</v>
      </c>
      <c r="AW44">
        <f t="shared" si="41"/>
        <v>0</v>
      </c>
      <c r="AX44">
        <f t="shared" si="41"/>
        <v>0</v>
      </c>
      <c r="AY44">
        <f t="shared" si="42"/>
        <v>8.7920862996110502E-2</v>
      </c>
    </row>
    <row r="45" spans="1:53" ht="15" x14ac:dyDescent="0.25">
      <c r="A45" s="7"/>
      <c r="B45" s="8" t="s">
        <v>14</v>
      </c>
      <c r="C45" s="7"/>
      <c r="D45" s="357">
        <f t="shared" ref="D45:H45" si="43">SUM(D39:D44)</f>
        <v>0</v>
      </c>
      <c r="E45" s="363">
        <f>SUM(E39:E44)</f>
        <v>75.010000000000005</v>
      </c>
      <c r="F45" s="357">
        <f t="shared" si="43"/>
        <v>0</v>
      </c>
      <c r="G45" s="357">
        <f t="shared" si="43"/>
        <v>0</v>
      </c>
      <c r="H45" s="357">
        <f t="shared" si="43"/>
        <v>0</v>
      </c>
      <c r="J45">
        <v>0</v>
      </c>
      <c r="K45" s="14">
        <v>72.38645568198281</v>
      </c>
      <c r="L45">
        <v>0</v>
      </c>
      <c r="M45">
        <v>0</v>
      </c>
      <c r="N45">
        <v>0</v>
      </c>
      <c r="O45" s="20"/>
      <c r="P45" s="20"/>
      <c r="Q45" s="438">
        <v>0.39279594251739908</v>
      </c>
      <c r="R45" s="197"/>
      <c r="S45" s="197"/>
      <c r="T45" s="197"/>
      <c r="U45" s="197"/>
      <c r="BA45" s="319">
        <f>(E45*10000*Q45*AU$10)</f>
        <v>414877.28459072806</v>
      </c>
    </row>
    <row r="46" spans="1:53" ht="15" x14ac:dyDescent="0.25">
      <c r="A46" s="10"/>
      <c r="B46" s="9" t="s">
        <v>15</v>
      </c>
      <c r="C46" s="5"/>
      <c r="E46" s="363">
        <f>SUM(E45)</f>
        <v>75.010000000000005</v>
      </c>
      <c r="H46" s="358">
        <f>SUM(D45:H45)</f>
        <v>75.010000000000005</v>
      </c>
      <c r="K46" s="14"/>
      <c r="N46">
        <v>0</v>
      </c>
      <c r="O46" s="20"/>
      <c r="P46" s="20"/>
      <c r="Q46" s="438"/>
      <c r="R46" s="197"/>
      <c r="S46" s="197"/>
      <c r="T46" s="197"/>
      <c r="U46" s="197"/>
    </row>
    <row r="47" spans="1:53" ht="15.75" x14ac:dyDescent="0.25">
      <c r="A47" s="1"/>
      <c r="B47" s="2"/>
      <c r="C47" s="1"/>
      <c r="E47" s="361"/>
      <c r="K47" s="14"/>
      <c r="O47" s="20"/>
      <c r="P47" s="20"/>
      <c r="Q47" s="439"/>
      <c r="R47" s="197"/>
      <c r="S47" s="197"/>
      <c r="T47" s="197"/>
      <c r="U47" s="197"/>
    </row>
    <row r="48" spans="1:53" ht="15" x14ac:dyDescent="0.25">
      <c r="A48" s="1">
        <v>5</v>
      </c>
      <c r="B48" s="2" t="s">
        <v>19</v>
      </c>
      <c r="C48" s="1" t="s">
        <v>8</v>
      </c>
      <c r="D48">
        <v>0</v>
      </c>
      <c r="E48" s="360">
        <v>38.547699999999999</v>
      </c>
      <c r="F48">
        <v>0</v>
      </c>
      <c r="G48">
        <v>0</v>
      </c>
      <c r="H48">
        <v>0</v>
      </c>
      <c r="J48">
        <v>0</v>
      </c>
      <c r="K48" s="14">
        <v>26.9039327586814</v>
      </c>
      <c r="L48">
        <v>0</v>
      </c>
      <c r="M48">
        <v>0</v>
      </c>
      <c r="N48">
        <v>0</v>
      </c>
      <c r="O48" s="20"/>
      <c r="P48" s="20"/>
      <c r="Q48" s="438">
        <v>0.42507057723977709</v>
      </c>
      <c r="R48" s="197">
        <v>0.43</v>
      </c>
      <c r="S48" s="197">
        <v>2.83</v>
      </c>
      <c r="T48" s="197">
        <v>0.76744186046511631</v>
      </c>
      <c r="U48" s="197">
        <v>0.76744186046511631</v>
      </c>
      <c r="V48" s="20">
        <f t="shared" ref="V48:Y53" si="44">IF(K48&gt;0,((E48-K48)*$Q48*$R48*10)+(K48*$O$12*$Q48*$R48*10),(E48*$Q48*$R48*10))</f>
        <v>39.366762634645013</v>
      </c>
      <c r="W48" s="20">
        <f t="shared" si="44"/>
        <v>0</v>
      </c>
      <c r="X48" s="20">
        <f t="shared" si="44"/>
        <v>0</v>
      </c>
      <c r="Y48" s="20">
        <f t="shared" si="44"/>
        <v>0</v>
      </c>
      <c r="Z48" s="20">
        <f t="shared" ref="Z48:AC53" si="45">V48*(EXP(1.01-0.34*LN(Z$8))*(1-$T48)+(1*$T48))</f>
        <v>31.882525463167912</v>
      </c>
      <c r="AA48" s="20">
        <f t="shared" si="45"/>
        <v>0</v>
      </c>
      <c r="AB48" s="20">
        <f t="shared" si="45"/>
        <v>0</v>
      </c>
      <c r="AC48" s="20">
        <f t="shared" si="45"/>
        <v>0</v>
      </c>
      <c r="AD48" s="20">
        <f t="shared" ref="AD48:AD53" si="46">SUM(Z48:AC48)</f>
        <v>31.882525463167912</v>
      </c>
      <c r="AE48" s="20">
        <f t="shared" ref="AE48:AH53" si="47">IF(K48&gt;0,((E48-K48)*$Q48*$S48*10)+(K48*$P$12*$Q48*$S48)*10,(E48*$Q48*$S48*10))</f>
        <v>327.49882037760256</v>
      </c>
      <c r="AF48" s="20">
        <f t="shared" si="47"/>
        <v>0</v>
      </c>
      <c r="AG48" s="20">
        <f t="shared" si="47"/>
        <v>0</v>
      </c>
      <c r="AH48" s="20">
        <f t="shared" si="47"/>
        <v>0</v>
      </c>
      <c r="AI48" s="20">
        <f t="shared" ref="AI48:AI53" si="48">AE48*(EXP(1.01-0.34*LN(AI$8))*(1-$U48)+(1*$U48))</f>
        <v>265.23617338696926</v>
      </c>
      <c r="AJ48" s="20">
        <f t="shared" ref="AJ48:AJ53" si="49">AF48*(EXP(1.01-0.34*LN(AJ$8))*(1-$U48)+(1*$U48))</f>
        <v>0</v>
      </c>
      <c r="AK48" s="20">
        <f t="shared" ref="AK48:AK53" si="50">AG48*(EXP(1.01-0.34*LN(AK$8))*(1-$U48)+(1*$U48))</f>
        <v>0</v>
      </c>
      <c r="AL48" s="20">
        <f t="shared" ref="AL48:AL53" si="51">AH48*(EXP(1.01-0.34*LN(AL$8))*(1-$U48)+(1*$U48))</f>
        <v>0</v>
      </c>
      <c r="AM48" s="20">
        <f t="shared" ref="AM48:AM53" si="52">SUM(AI48:AL48)</f>
        <v>265.23617338696926</v>
      </c>
      <c r="AO48">
        <f t="shared" ref="AO48:AR53" si="53">Z48*AO$10</f>
        <v>44.893784104686738</v>
      </c>
      <c r="AP48">
        <f t="shared" si="53"/>
        <v>0</v>
      </c>
      <c r="AQ48">
        <f t="shared" si="53"/>
        <v>0</v>
      </c>
      <c r="AR48">
        <f t="shared" si="53"/>
        <v>0</v>
      </c>
      <c r="AS48">
        <f t="shared" ref="AS48:AS53" si="54">SUM(AO48:AR48)</f>
        <v>44.893784104686738</v>
      </c>
      <c r="AU48">
        <f t="shared" ref="AU48:AX53" si="55">AI48*AU$10</f>
        <v>373.47905574619136</v>
      </c>
      <c r="AV48">
        <f t="shared" si="55"/>
        <v>0</v>
      </c>
      <c r="AW48">
        <f t="shared" si="55"/>
        <v>0</v>
      </c>
      <c r="AX48">
        <f t="shared" si="55"/>
        <v>0</v>
      </c>
      <c r="AY48">
        <f t="shared" ref="AY48:AY53" si="56">SUM(AU48:AX48)</f>
        <v>373.47905574619136</v>
      </c>
    </row>
    <row r="49" spans="1:53" ht="15" x14ac:dyDescent="0.25">
      <c r="A49" s="1"/>
      <c r="B49" s="2"/>
      <c r="C49" s="1" t="s">
        <v>9</v>
      </c>
      <c r="D49">
        <v>0</v>
      </c>
      <c r="E49" s="360">
        <v>14.5405</v>
      </c>
      <c r="F49">
        <v>0</v>
      </c>
      <c r="G49">
        <v>0</v>
      </c>
      <c r="H49">
        <v>0</v>
      </c>
      <c r="J49">
        <v>0</v>
      </c>
      <c r="K49" s="14">
        <v>2.7821109557028958</v>
      </c>
      <c r="L49">
        <v>0</v>
      </c>
      <c r="M49">
        <v>0</v>
      </c>
      <c r="N49">
        <v>0</v>
      </c>
      <c r="O49" s="20"/>
      <c r="P49" s="20"/>
      <c r="Q49" s="438">
        <v>0.44514115447955421</v>
      </c>
      <c r="R49" s="197">
        <v>0.43</v>
      </c>
      <c r="S49" s="197">
        <v>2.83</v>
      </c>
      <c r="T49" s="197">
        <v>0.76744186046511631</v>
      </c>
      <c r="U49" s="197">
        <v>0.76744186046511631</v>
      </c>
      <c r="V49" s="20">
        <f t="shared" si="44"/>
        <v>24.465188862606009</v>
      </c>
      <c r="W49" s="20">
        <f t="shared" si="44"/>
        <v>0</v>
      </c>
      <c r="X49" s="20">
        <f t="shared" si="44"/>
        <v>0</v>
      </c>
      <c r="Y49" s="20">
        <f t="shared" si="44"/>
        <v>0</v>
      </c>
      <c r="Z49" s="20">
        <f t="shared" si="45"/>
        <v>19.813973887372509</v>
      </c>
      <c r="AA49" s="20">
        <f t="shared" si="45"/>
        <v>0</v>
      </c>
      <c r="AB49" s="20">
        <f t="shared" si="45"/>
        <v>0</v>
      </c>
      <c r="AC49" s="20">
        <f t="shared" si="45"/>
        <v>0</v>
      </c>
      <c r="AD49" s="20">
        <f t="shared" si="46"/>
        <v>19.813973887372509</v>
      </c>
      <c r="AE49" s="20">
        <f t="shared" si="47"/>
        <v>168.42338304878729</v>
      </c>
      <c r="AF49" s="20">
        <f t="shared" si="47"/>
        <v>0</v>
      </c>
      <c r="AG49" s="20">
        <f t="shared" si="47"/>
        <v>0</v>
      </c>
      <c r="AH49" s="20">
        <f t="shared" si="47"/>
        <v>0</v>
      </c>
      <c r="AI49" s="20">
        <f t="shared" si="48"/>
        <v>136.40346422390709</v>
      </c>
      <c r="AJ49" s="20">
        <f t="shared" si="49"/>
        <v>0</v>
      </c>
      <c r="AK49" s="20">
        <f t="shared" si="50"/>
        <v>0</v>
      </c>
      <c r="AL49" s="20">
        <f t="shared" si="51"/>
        <v>0</v>
      </c>
      <c r="AM49" s="20">
        <f t="shared" si="52"/>
        <v>136.40346422390709</v>
      </c>
      <c r="AO49">
        <f t="shared" si="53"/>
        <v>27.900056630809228</v>
      </c>
      <c r="AP49">
        <f t="shared" si="53"/>
        <v>0</v>
      </c>
      <c r="AQ49">
        <f t="shared" si="53"/>
        <v>0</v>
      </c>
      <c r="AR49">
        <f t="shared" si="53"/>
        <v>0</v>
      </c>
      <c r="AS49">
        <f t="shared" si="54"/>
        <v>27.900056630809228</v>
      </c>
      <c r="AU49">
        <f t="shared" si="55"/>
        <v>192.06971797368357</v>
      </c>
      <c r="AV49">
        <f t="shared" si="55"/>
        <v>0</v>
      </c>
      <c r="AW49">
        <f t="shared" si="55"/>
        <v>0</v>
      </c>
      <c r="AX49">
        <f t="shared" si="55"/>
        <v>0</v>
      </c>
      <c r="AY49">
        <f t="shared" si="56"/>
        <v>192.06971797368357</v>
      </c>
    </row>
    <row r="50" spans="1:53" ht="15" x14ac:dyDescent="0.25">
      <c r="A50" s="1"/>
      <c r="B50" s="2"/>
      <c r="C50" s="1" t="s">
        <v>10</v>
      </c>
      <c r="D50">
        <v>0</v>
      </c>
      <c r="E50" s="360">
        <v>1.9340999999999999</v>
      </c>
      <c r="F50">
        <v>0</v>
      </c>
      <c r="G50">
        <v>0</v>
      </c>
      <c r="H50">
        <v>0</v>
      </c>
      <c r="J50">
        <v>0</v>
      </c>
      <c r="K50" s="14">
        <v>0.76237952362999994</v>
      </c>
      <c r="L50">
        <v>0</v>
      </c>
      <c r="M50">
        <v>0</v>
      </c>
      <c r="N50">
        <v>0</v>
      </c>
      <c r="O50" s="20"/>
      <c r="P50" s="20"/>
      <c r="Q50" s="438">
        <v>0.46521173171933144</v>
      </c>
      <c r="R50" s="197">
        <v>0.43</v>
      </c>
      <c r="S50" s="197">
        <v>2.83</v>
      </c>
      <c r="T50" s="197">
        <v>0.76744186046511631</v>
      </c>
      <c r="U50" s="197">
        <v>0.76744186046511631</v>
      </c>
      <c r="V50" s="20">
        <f t="shared" si="44"/>
        <v>2.9047702147225953</v>
      </c>
      <c r="W50" s="20">
        <f t="shared" si="44"/>
        <v>0</v>
      </c>
      <c r="X50" s="20">
        <f t="shared" si="44"/>
        <v>0</v>
      </c>
      <c r="Y50" s="20">
        <f t="shared" si="44"/>
        <v>0</v>
      </c>
      <c r="Z50" s="20">
        <f t="shared" si="45"/>
        <v>2.3525279737897855</v>
      </c>
      <c r="AA50" s="20">
        <f t="shared" si="45"/>
        <v>0</v>
      </c>
      <c r="AB50" s="20">
        <f t="shared" si="45"/>
        <v>0</v>
      </c>
      <c r="AC50" s="20">
        <f t="shared" si="45"/>
        <v>0</v>
      </c>
      <c r="AD50" s="20">
        <f t="shared" si="46"/>
        <v>2.3525279737897855</v>
      </c>
      <c r="AE50" s="20">
        <f t="shared" si="47"/>
        <v>21.239065162150538</v>
      </c>
      <c r="AF50" s="20">
        <f t="shared" si="47"/>
        <v>0</v>
      </c>
      <c r="AG50" s="20">
        <f t="shared" si="47"/>
        <v>0</v>
      </c>
      <c r="AH50" s="20">
        <f t="shared" si="47"/>
        <v>0</v>
      </c>
      <c r="AI50" s="20">
        <f t="shared" si="48"/>
        <v>17.201186750627336</v>
      </c>
      <c r="AJ50" s="20">
        <f t="shared" si="49"/>
        <v>0</v>
      </c>
      <c r="AK50" s="20">
        <f t="shared" si="50"/>
        <v>0</v>
      </c>
      <c r="AL50" s="20">
        <f t="shared" si="51"/>
        <v>0</v>
      </c>
      <c r="AM50" s="20">
        <f t="shared" si="52"/>
        <v>17.201186750627336</v>
      </c>
      <c r="AO50">
        <f t="shared" si="53"/>
        <v>3.3125946398933968</v>
      </c>
      <c r="AP50">
        <f t="shared" si="53"/>
        <v>0</v>
      </c>
      <c r="AQ50">
        <f t="shared" si="53"/>
        <v>0</v>
      </c>
      <c r="AR50">
        <f t="shared" si="53"/>
        <v>0</v>
      </c>
      <c r="AS50">
        <f t="shared" si="54"/>
        <v>3.3125946398933968</v>
      </c>
      <c r="AU50">
        <f t="shared" si="55"/>
        <v>24.220991063558351</v>
      </c>
      <c r="AV50">
        <f t="shared" si="55"/>
        <v>0</v>
      </c>
      <c r="AW50">
        <f t="shared" si="55"/>
        <v>0</v>
      </c>
      <c r="AX50">
        <f t="shared" si="55"/>
        <v>0</v>
      </c>
      <c r="AY50">
        <f t="shared" si="56"/>
        <v>24.220991063558351</v>
      </c>
    </row>
    <row r="51" spans="1:53" ht="15" x14ac:dyDescent="0.25">
      <c r="A51" s="1"/>
      <c r="B51" s="2"/>
      <c r="C51" s="1" t="s">
        <v>11</v>
      </c>
      <c r="D51">
        <v>0</v>
      </c>
      <c r="E51" s="360">
        <v>31.224499999999999</v>
      </c>
      <c r="F51">
        <v>0</v>
      </c>
      <c r="G51">
        <v>0</v>
      </c>
      <c r="H51">
        <v>0</v>
      </c>
      <c r="J51">
        <v>0</v>
      </c>
      <c r="K51" s="14">
        <v>23.721428580574699</v>
      </c>
      <c r="L51">
        <v>0</v>
      </c>
      <c r="M51">
        <v>0</v>
      </c>
      <c r="N51">
        <v>0</v>
      </c>
      <c r="O51" s="20"/>
      <c r="P51" s="20"/>
      <c r="Q51" s="438">
        <v>0.48528230895910851</v>
      </c>
      <c r="R51" s="197">
        <v>0.43</v>
      </c>
      <c r="S51" s="197">
        <v>2.83</v>
      </c>
      <c r="T51" s="197">
        <v>0.76744186046511631</v>
      </c>
      <c r="U51" s="197">
        <v>0.76744186046511631</v>
      </c>
      <c r="V51" s="20">
        <f t="shared" si="44"/>
        <v>33.860429351729834</v>
      </c>
      <c r="W51" s="20">
        <f t="shared" si="44"/>
        <v>0</v>
      </c>
      <c r="X51" s="20">
        <f t="shared" si="44"/>
        <v>0</v>
      </c>
      <c r="Y51" s="20">
        <f t="shared" si="44"/>
        <v>0</v>
      </c>
      <c r="Z51" s="20">
        <f t="shared" si="45"/>
        <v>27.423032242185272</v>
      </c>
      <c r="AA51" s="20">
        <f t="shared" si="45"/>
        <v>0</v>
      </c>
      <c r="AB51" s="20">
        <f t="shared" si="45"/>
        <v>0</v>
      </c>
      <c r="AC51" s="20">
        <f t="shared" si="45"/>
        <v>0</v>
      </c>
      <c r="AD51" s="20">
        <f t="shared" si="46"/>
        <v>27.423032242185272</v>
      </c>
      <c r="AE51" s="20">
        <f t="shared" si="47"/>
        <v>291.71122133536937</v>
      </c>
      <c r="AF51" s="20">
        <f t="shared" si="47"/>
        <v>0</v>
      </c>
      <c r="AG51" s="20">
        <f t="shared" si="47"/>
        <v>0</v>
      </c>
      <c r="AH51" s="20">
        <f t="shared" si="47"/>
        <v>0</v>
      </c>
      <c r="AI51" s="20">
        <f t="shared" si="48"/>
        <v>236.25235654840864</v>
      </c>
      <c r="AJ51" s="20">
        <f t="shared" si="49"/>
        <v>0</v>
      </c>
      <c r="AK51" s="20">
        <f t="shared" si="50"/>
        <v>0</v>
      </c>
      <c r="AL51" s="20">
        <f t="shared" si="51"/>
        <v>0</v>
      </c>
      <c r="AM51" s="20">
        <f t="shared" si="52"/>
        <v>236.25235654840864</v>
      </c>
      <c r="AO51">
        <f t="shared" si="53"/>
        <v>38.614371700221078</v>
      </c>
      <c r="AP51">
        <f t="shared" si="53"/>
        <v>0</v>
      </c>
      <c r="AQ51">
        <f t="shared" si="53"/>
        <v>0</v>
      </c>
      <c r="AR51">
        <f t="shared" si="53"/>
        <v>0</v>
      </c>
      <c r="AS51">
        <f t="shared" si="54"/>
        <v>38.614371700221078</v>
      </c>
      <c r="AU51">
        <f t="shared" si="55"/>
        <v>332.6669432558142</v>
      </c>
      <c r="AV51">
        <f t="shared" si="55"/>
        <v>0</v>
      </c>
      <c r="AW51">
        <f t="shared" si="55"/>
        <v>0</v>
      </c>
      <c r="AX51">
        <f t="shared" si="55"/>
        <v>0</v>
      </c>
      <c r="AY51">
        <f t="shared" si="56"/>
        <v>332.6669432558142</v>
      </c>
    </row>
    <row r="52" spans="1:53" ht="15" x14ac:dyDescent="0.25">
      <c r="A52" s="1"/>
      <c r="B52" s="2"/>
      <c r="C52" s="1" t="s">
        <v>12</v>
      </c>
      <c r="D52">
        <v>0</v>
      </c>
      <c r="E52" s="360">
        <v>0</v>
      </c>
      <c r="F52">
        <v>0</v>
      </c>
      <c r="G52">
        <v>0</v>
      </c>
      <c r="H52">
        <v>0</v>
      </c>
      <c r="J52">
        <v>0</v>
      </c>
      <c r="K52" s="14">
        <v>0</v>
      </c>
      <c r="L52">
        <v>0</v>
      </c>
      <c r="M52">
        <v>0</v>
      </c>
      <c r="N52">
        <v>0</v>
      </c>
      <c r="O52" s="20"/>
      <c r="P52" s="20"/>
      <c r="Q52" s="438"/>
      <c r="R52" s="197">
        <v>0.43</v>
      </c>
      <c r="S52" s="197">
        <v>2.83</v>
      </c>
      <c r="T52" s="197">
        <v>0.76744186046511631</v>
      </c>
      <c r="U52" s="197">
        <v>0.76744186046511631</v>
      </c>
      <c r="V52" s="20">
        <f t="shared" si="44"/>
        <v>0</v>
      </c>
      <c r="W52" s="20">
        <f t="shared" si="44"/>
        <v>0</v>
      </c>
      <c r="X52" s="20">
        <f t="shared" si="44"/>
        <v>0</v>
      </c>
      <c r="Y52" s="20">
        <f t="shared" si="44"/>
        <v>0</v>
      </c>
      <c r="Z52" s="20">
        <f t="shared" si="45"/>
        <v>0</v>
      </c>
      <c r="AA52" s="20">
        <f t="shared" si="45"/>
        <v>0</v>
      </c>
      <c r="AB52" s="20">
        <f t="shared" si="45"/>
        <v>0</v>
      </c>
      <c r="AC52" s="20">
        <f t="shared" si="45"/>
        <v>0</v>
      </c>
      <c r="AD52" s="20">
        <f t="shared" si="46"/>
        <v>0</v>
      </c>
      <c r="AE52" s="20">
        <f t="shared" si="47"/>
        <v>0</v>
      </c>
      <c r="AF52" s="20">
        <f t="shared" si="47"/>
        <v>0</v>
      </c>
      <c r="AG52" s="20">
        <f t="shared" si="47"/>
        <v>0</v>
      </c>
      <c r="AH52" s="20">
        <f t="shared" si="47"/>
        <v>0</v>
      </c>
      <c r="AI52" s="20">
        <f t="shared" si="48"/>
        <v>0</v>
      </c>
      <c r="AJ52" s="20">
        <f t="shared" si="49"/>
        <v>0</v>
      </c>
      <c r="AK52" s="20">
        <f t="shared" si="50"/>
        <v>0</v>
      </c>
      <c r="AL52" s="20">
        <f t="shared" si="51"/>
        <v>0</v>
      </c>
      <c r="AM52" s="20">
        <f t="shared" si="52"/>
        <v>0</v>
      </c>
      <c r="AO52">
        <f t="shared" si="53"/>
        <v>0</v>
      </c>
      <c r="AP52">
        <f t="shared" si="53"/>
        <v>0</v>
      </c>
      <c r="AQ52">
        <f t="shared" si="53"/>
        <v>0</v>
      </c>
      <c r="AR52">
        <f t="shared" si="53"/>
        <v>0</v>
      </c>
      <c r="AS52">
        <f t="shared" si="54"/>
        <v>0</v>
      </c>
      <c r="AU52">
        <f t="shared" si="55"/>
        <v>0</v>
      </c>
      <c r="AV52">
        <f t="shared" si="55"/>
        <v>0</v>
      </c>
      <c r="AW52">
        <f t="shared" si="55"/>
        <v>0</v>
      </c>
      <c r="AX52">
        <f t="shared" si="55"/>
        <v>0</v>
      </c>
      <c r="AY52">
        <f t="shared" si="56"/>
        <v>0</v>
      </c>
    </row>
    <row r="53" spans="1:53" ht="15" x14ac:dyDescent="0.25">
      <c r="A53" s="1"/>
      <c r="B53" s="2"/>
      <c r="C53" s="1" t="s">
        <v>13</v>
      </c>
      <c r="D53">
        <v>0</v>
      </c>
      <c r="E53" s="360">
        <v>7.3499999999999996E-2</v>
      </c>
      <c r="F53">
        <v>0</v>
      </c>
      <c r="G53">
        <v>0</v>
      </c>
      <c r="H53">
        <v>0</v>
      </c>
      <c r="J53">
        <v>0</v>
      </c>
      <c r="K53" s="14">
        <v>5.4110147222699995E-2</v>
      </c>
      <c r="L53">
        <v>0</v>
      </c>
      <c r="M53">
        <v>0</v>
      </c>
      <c r="N53">
        <v>0</v>
      </c>
      <c r="O53" s="20"/>
      <c r="P53" s="20"/>
      <c r="Q53" s="438">
        <v>0.48528230895910868</v>
      </c>
      <c r="R53" s="197">
        <v>0.43</v>
      </c>
      <c r="S53" s="197">
        <v>2.83</v>
      </c>
      <c r="T53" s="197">
        <v>0.76744186046511631</v>
      </c>
      <c r="U53" s="197">
        <v>0.76744186046511631</v>
      </c>
      <c r="V53" s="20">
        <f t="shared" si="44"/>
        <v>8.1984841112784548E-2</v>
      </c>
      <c r="W53" s="20">
        <f t="shared" si="44"/>
        <v>0</v>
      </c>
      <c r="X53" s="20">
        <f t="shared" si="44"/>
        <v>0</v>
      </c>
      <c r="Y53" s="20">
        <f t="shared" si="44"/>
        <v>0</v>
      </c>
      <c r="Z53" s="20">
        <f t="shared" si="45"/>
        <v>6.6398240785788182E-2</v>
      </c>
      <c r="AA53" s="20">
        <f t="shared" si="45"/>
        <v>0</v>
      </c>
      <c r="AB53" s="20">
        <f t="shared" si="45"/>
        <v>0</v>
      </c>
      <c r="AC53" s="20">
        <f t="shared" si="45"/>
        <v>0</v>
      </c>
      <c r="AD53" s="20">
        <f t="shared" si="46"/>
        <v>6.6398240785788182E-2</v>
      </c>
      <c r="AE53" s="20">
        <f t="shared" si="47"/>
        <v>0.69665422392045206</v>
      </c>
      <c r="AF53" s="20">
        <f t="shared" si="47"/>
        <v>0</v>
      </c>
      <c r="AG53" s="20">
        <f t="shared" si="47"/>
        <v>0</v>
      </c>
      <c r="AH53" s="20">
        <f t="shared" si="47"/>
        <v>0</v>
      </c>
      <c r="AI53" s="20">
        <f t="shared" si="48"/>
        <v>0.56420936207795391</v>
      </c>
      <c r="AJ53" s="20">
        <f t="shared" si="49"/>
        <v>0</v>
      </c>
      <c r="AK53" s="20">
        <f t="shared" si="50"/>
        <v>0</v>
      </c>
      <c r="AL53" s="20">
        <f t="shared" si="51"/>
        <v>0</v>
      </c>
      <c r="AM53" s="20">
        <f t="shared" si="52"/>
        <v>0.56420936207795391</v>
      </c>
      <c r="AO53">
        <f t="shared" si="53"/>
        <v>9.3495362850468333E-2</v>
      </c>
      <c r="AP53">
        <f t="shared" si="53"/>
        <v>0</v>
      </c>
      <c r="AQ53">
        <f t="shared" si="53"/>
        <v>0</v>
      </c>
      <c r="AR53">
        <f t="shared" si="53"/>
        <v>0</v>
      </c>
      <c r="AS53">
        <f t="shared" si="54"/>
        <v>9.3495362850468333E-2</v>
      </c>
      <c r="AU53">
        <f t="shared" si="55"/>
        <v>0.7944632027419668</v>
      </c>
      <c r="AV53">
        <f t="shared" si="55"/>
        <v>0</v>
      </c>
      <c r="AW53">
        <f t="shared" si="55"/>
        <v>0</v>
      </c>
      <c r="AX53">
        <f t="shared" si="55"/>
        <v>0</v>
      </c>
      <c r="AY53">
        <f t="shared" si="56"/>
        <v>0.7944632027419668</v>
      </c>
    </row>
    <row r="54" spans="1:53" ht="15" x14ac:dyDescent="0.25">
      <c r="A54" s="7"/>
      <c r="B54" s="8" t="s">
        <v>14</v>
      </c>
      <c r="C54" s="7"/>
      <c r="D54" s="357">
        <f t="shared" ref="D54:H54" si="57">SUM(D48:D53)</f>
        <v>0</v>
      </c>
      <c r="E54" s="363">
        <f>SUM(E48:E53)</f>
        <v>86.320300000000003</v>
      </c>
      <c r="F54" s="357">
        <f t="shared" si="57"/>
        <v>0</v>
      </c>
      <c r="G54" s="357">
        <f t="shared" si="57"/>
        <v>0</v>
      </c>
      <c r="H54" s="357">
        <f t="shared" si="57"/>
        <v>0</v>
      </c>
      <c r="J54">
        <v>0</v>
      </c>
      <c r="K54" s="14">
        <v>54.223961965811704</v>
      </c>
      <c r="L54">
        <v>0</v>
      </c>
      <c r="M54">
        <v>0</v>
      </c>
      <c r="N54">
        <v>0</v>
      </c>
      <c r="O54" s="20"/>
      <c r="P54" s="20"/>
      <c r="Q54" s="438">
        <v>0.45118239583384495</v>
      </c>
      <c r="R54" s="197"/>
      <c r="S54" s="197"/>
      <c r="T54" s="197"/>
      <c r="U54" s="197"/>
      <c r="BA54" s="319">
        <f>(E54*10000*Q54*AU$10)</f>
        <v>548401.43886415823</v>
      </c>
    </row>
    <row r="55" spans="1:53" ht="15" x14ac:dyDescent="0.25">
      <c r="A55" s="10"/>
      <c r="B55" s="9" t="s">
        <v>15</v>
      </c>
      <c r="C55" s="5"/>
      <c r="E55" s="363">
        <f>SUM(E54)</f>
        <v>86.320300000000003</v>
      </c>
      <c r="H55" s="358">
        <f>SUM(D54:H54)</f>
        <v>86.320300000000003</v>
      </c>
      <c r="K55" s="14">
        <v>54.223961965811704</v>
      </c>
      <c r="N55">
        <v>0</v>
      </c>
      <c r="O55" s="20"/>
      <c r="P55" s="20"/>
      <c r="Q55" s="438"/>
      <c r="R55" s="197"/>
      <c r="S55" s="197"/>
      <c r="T55" s="197"/>
      <c r="U55" s="197"/>
    </row>
    <row r="56" spans="1:53" ht="15.75" x14ac:dyDescent="0.25">
      <c r="A56" s="1"/>
      <c r="B56" s="2"/>
      <c r="C56" s="1"/>
      <c r="E56" s="361"/>
      <c r="K56" s="14"/>
      <c r="O56" s="20"/>
      <c r="P56" s="20"/>
      <c r="Q56" s="439"/>
      <c r="R56" s="197"/>
      <c r="S56" s="197"/>
      <c r="T56" s="197"/>
      <c r="U56" s="197"/>
    </row>
    <row r="57" spans="1:53" ht="15" x14ac:dyDescent="0.25">
      <c r="A57" s="1">
        <v>6</v>
      </c>
      <c r="B57" s="2" t="s">
        <v>20</v>
      </c>
      <c r="C57" s="1" t="s">
        <v>8</v>
      </c>
      <c r="D57">
        <v>0</v>
      </c>
      <c r="E57" s="360">
        <v>11.9978</v>
      </c>
      <c r="F57">
        <v>0</v>
      </c>
      <c r="G57">
        <v>0</v>
      </c>
      <c r="H57">
        <v>0</v>
      </c>
      <c r="J57">
        <v>0</v>
      </c>
      <c r="K57" s="14">
        <v>11.908647118760999</v>
      </c>
      <c r="L57">
        <v>0</v>
      </c>
      <c r="M57">
        <v>0</v>
      </c>
      <c r="N57">
        <v>0</v>
      </c>
      <c r="O57" s="20"/>
      <c r="P57" s="20"/>
      <c r="Q57" s="438">
        <v>0.46824597930888828</v>
      </c>
      <c r="R57" s="197">
        <v>0.33900000000000002</v>
      </c>
      <c r="S57" s="197">
        <v>1.9830000000000001</v>
      </c>
      <c r="T57" s="197">
        <v>0.76146788990825687</v>
      </c>
      <c r="U57" s="197">
        <v>0.76146788990825687</v>
      </c>
      <c r="V57" s="20">
        <f t="shared" ref="V57:Y62" si="58">IF(K57&gt;0,((E57-K57)*$Q57*$R57*10)+(K57*$O$12*$Q57*$R57*10),(E57*$Q57*$R57*10))</f>
        <v>7.0932212713315135</v>
      </c>
      <c r="W57" s="20">
        <f t="shared" si="58"/>
        <v>0</v>
      </c>
      <c r="X57" s="20">
        <f t="shared" si="58"/>
        <v>0</v>
      </c>
      <c r="Y57" s="20">
        <f t="shared" si="58"/>
        <v>0</v>
      </c>
      <c r="Z57" s="20">
        <f t="shared" ref="Z57:AC62" si="59">V57*(EXP(1.01-0.34*LN(Z$8))*(1-$T57)+(1*$T57))</f>
        <v>5.7100477916959207</v>
      </c>
      <c r="AA57" s="20">
        <f t="shared" si="59"/>
        <v>0</v>
      </c>
      <c r="AB57" s="20">
        <f t="shared" si="59"/>
        <v>0</v>
      </c>
      <c r="AC57" s="20">
        <f t="shared" si="59"/>
        <v>0</v>
      </c>
      <c r="AD57" s="20">
        <f t="shared" ref="AD57:AD62" si="60">SUM(Z57:AC57)</f>
        <v>5.7100477916959207</v>
      </c>
      <c r="AE57" s="20">
        <f t="shared" ref="AE57:AH62" si="61">IF(K57&gt;0,((E57-K57)*$Q57*$S57*10)+(K57*$P$12*$Q57*$S57)*10,(E57*$Q57*$S57*10))</f>
        <v>64.865466165488527</v>
      </c>
      <c r="AF57" s="20">
        <f t="shared" si="61"/>
        <v>0</v>
      </c>
      <c r="AG57" s="20">
        <f t="shared" si="61"/>
        <v>0</v>
      </c>
      <c r="AH57" s="20">
        <f t="shared" si="61"/>
        <v>0</v>
      </c>
      <c r="AI57" s="20">
        <f t="shared" ref="AI57:AI62" si="62">AE57*(EXP(1.01-0.34*LN(AI$8))*(1-$U57)+(1*$U57))</f>
        <v>52.216742953240328</v>
      </c>
      <c r="AJ57" s="20">
        <f t="shared" ref="AJ57:AJ62" si="63">AF57*(EXP(1.01-0.34*LN(AJ$8))*(1-$U57)+(1*$U57))</f>
        <v>0</v>
      </c>
      <c r="AK57" s="20">
        <f t="shared" ref="AK57:AK62" si="64">AG57*(EXP(1.01-0.34*LN(AK$8))*(1-$U57)+(1*$U57))</f>
        <v>0</v>
      </c>
      <c r="AL57" s="20">
        <f t="shared" ref="AL57:AL62" si="65">AH57*(EXP(1.01-0.34*LN(AL$8))*(1-$U57)+(1*$U57))</f>
        <v>0</v>
      </c>
      <c r="AM57" s="20">
        <f t="shared" ref="AM57:AM62" si="66">SUM(AI57:AL57)</f>
        <v>52.216742953240328</v>
      </c>
      <c r="AO57">
        <f t="shared" ref="AO57:AR62" si="67">Z57*AO$10</f>
        <v>8.040318295487026</v>
      </c>
      <c r="AP57">
        <f t="shared" si="67"/>
        <v>0</v>
      </c>
      <c r="AQ57">
        <f t="shared" si="67"/>
        <v>0</v>
      </c>
      <c r="AR57">
        <f t="shared" si="67"/>
        <v>0</v>
      </c>
      <c r="AS57">
        <f t="shared" ref="AS57:AS62" si="68">SUM(AO57:AR57)</f>
        <v>8.040318295487026</v>
      </c>
      <c r="AU57">
        <f t="shared" ref="AU57:AX62" si="69">AI57*AU$10</f>
        <v>73.526395752457702</v>
      </c>
      <c r="AV57">
        <f t="shared" si="69"/>
        <v>0</v>
      </c>
      <c r="AW57">
        <f t="shared" si="69"/>
        <v>0</v>
      </c>
      <c r="AX57">
        <f t="shared" si="69"/>
        <v>0</v>
      </c>
      <c r="AY57">
        <f t="shared" ref="AY57:AY62" si="70">SUM(AU57:AX57)</f>
        <v>73.526395752457702</v>
      </c>
    </row>
    <row r="58" spans="1:53" ht="15" x14ac:dyDescent="0.25">
      <c r="A58" s="1"/>
      <c r="B58" s="2"/>
      <c r="C58" s="1" t="s">
        <v>9</v>
      </c>
      <c r="D58">
        <v>0</v>
      </c>
      <c r="E58" s="360">
        <v>3.8092000000000001</v>
      </c>
      <c r="F58">
        <v>0</v>
      </c>
      <c r="G58">
        <v>0</v>
      </c>
      <c r="H58">
        <v>0</v>
      </c>
      <c r="J58">
        <v>0</v>
      </c>
      <c r="K58" s="14">
        <v>2.2897921524700005</v>
      </c>
      <c r="L58">
        <v>0</v>
      </c>
      <c r="M58">
        <v>0</v>
      </c>
      <c r="N58">
        <v>0</v>
      </c>
      <c r="O58" s="20"/>
      <c r="P58" s="20"/>
      <c r="Q58" s="438">
        <v>0.48649195861777661</v>
      </c>
      <c r="R58" s="197">
        <v>0.33900000000000002</v>
      </c>
      <c r="S58" s="197">
        <v>1.9830000000000001</v>
      </c>
      <c r="T58" s="197">
        <v>0.76146788990825687</v>
      </c>
      <c r="U58" s="197">
        <v>0.76146788990825687</v>
      </c>
      <c r="V58" s="20">
        <f t="shared" si="58"/>
        <v>3.8945770215622151</v>
      </c>
      <c r="W58" s="20">
        <f t="shared" si="58"/>
        <v>0</v>
      </c>
      <c r="X58" s="20">
        <f t="shared" si="58"/>
        <v>0</v>
      </c>
      <c r="Y58" s="20">
        <f t="shared" si="58"/>
        <v>0</v>
      </c>
      <c r="Z58" s="20">
        <f t="shared" si="59"/>
        <v>3.1351370655023318</v>
      </c>
      <c r="AA58" s="20">
        <f t="shared" si="59"/>
        <v>0</v>
      </c>
      <c r="AB58" s="20">
        <f t="shared" si="59"/>
        <v>0</v>
      </c>
      <c r="AC58" s="20">
        <f t="shared" si="59"/>
        <v>0</v>
      </c>
      <c r="AD58" s="20">
        <f t="shared" si="60"/>
        <v>3.1351370655023318</v>
      </c>
      <c r="AE58" s="20">
        <f t="shared" si="61"/>
        <v>27.45088202469168</v>
      </c>
      <c r="AF58" s="20">
        <f t="shared" si="61"/>
        <v>0</v>
      </c>
      <c r="AG58" s="20">
        <f t="shared" si="61"/>
        <v>0</v>
      </c>
      <c r="AH58" s="20">
        <f t="shared" si="61"/>
        <v>0</v>
      </c>
      <c r="AI58" s="20">
        <f t="shared" si="62"/>
        <v>22.097978096173534</v>
      </c>
      <c r="AJ58" s="20">
        <f t="shared" si="63"/>
        <v>0</v>
      </c>
      <c r="AK58" s="20">
        <f t="shared" si="64"/>
        <v>0</v>
      </c>
      <c r="AL58" s="20">
        <f t="shared" si="65"/>
        <v>0</v>
      </c>
      <c r="AM58" s="20">
        <f t="shared" si="66"/>
        <v>22.097978096173534</v>
      </c>
      <c r="AO58">
        <f t="shared" si="67"/>
        <v>4.4145865019338331</v>
      </c>
      <c r="AP58">
        <f t="shared" si="67"/>
        <v>0</v>
      </c>
      <c r="AQ58">
        <f t="shared" si="67"/>
        <v>0</v>
      </c>
      <c r="AR58">
        <f t="shared" si="67"/>
        <v>0</v>
      </c>
      <c r="AS58">
        <f t="shared" si="68"/>
        <v>4.4145865019338331</v>
      </c>
      <c r="AU58">
        <f t="shared" si="69"/>
        <v>31.116162957221952</v>
      </c>
      <c r="AV58">
        <f t="shared" si="69"/>
        <v>0</v>
      </c>
      <c r="AW58">
        <f t="shared" si="69"/>
        <v>0</v>
      </c>
      <c r="AX58">
        <f t="shared" si="69"/>
        <v>0</v>
      </c>
      <c r="AY58">
        <f t="shared" si="70"/>
        <v>31.116162957221952</v>
      </c>
    </row>
    <row r="59" spans="1:53" ht="15" x14ac:dyDescent="0.25">
      <c r="A59" s="1"/>
      <c r="B59" s="2"/>
      <c r="C59" s="1" t="s">
        <v>10</v>
      </c>
      <c r="D59">
        <v>0</v>
      </c>
      <c r="E59" s="360">
        <v>0.1384</v>
      </c>
      <c r="F59">
        <v>0</v>
      </c>
      <c r="G59">
        <v>0</v>
      </c>
      <c r="H59">
        <v>0</v>
      </c>
      <c r="J59">
        <v>0</v>
      </c>
      <c r="K59" s="14">
        <v>-8.809080921500001E-2</v>
      </c>
      <c r="L59">
        <v>0</v>
      </c>
      <c r="M59">
        <v>0</v>
      </c>
      <c r="N59">
        <v>0</v>
      </c>
      <c r="O59" s="20"/>
      <c r="P59" s="20"/>
      <c r="Q59" s="438">
        <v>0.50473793792666499</v>
      </c>
      <c r="R59" s="197">
        <v>0.33900000000000002</v>
      </c>
      <c r="S59" s="197">
        <v>1.9830000000000001</v>
      </c>
      <c r="T59" s="197">
        <v>0.76146788990825687</v>
      </c>
      <c r="U59" s="197">
        <v>0.76146788990825687</v>
      </c>
      <c r="V59" s="20">
        <f t="shared" si="58"/>
        <v>0.23681092676468096</v>
      </c>
      <c r="W59" s="20">
        <f t="shared" si="58"/>
        <v>0</v>
      </c>
      <c r="X59" s="20">
        <f t="shared" si="58"/>
        <v>0</v>
      </c>
      <c r="Y59" s="20">
        <f t="shared" si="58"/>
        <v>0</v>
      </c>
      <c r="Z59" s="20">
        <f t="shared" si="59"/>
        <v>0.19063295189835527</v>
      </c>
      <c r="AA59" s="20">
        <f t="shared" si="59"/>
        <v>0</v>
      </c>
      <c r="AB59" s="20">
        <f t="shared" si="59"/>
        <v>0</v>
      </c>
      <c r="AC59" s="20">
        <f t="shared" si="59"/>
        <v>0</v>
      </c>
      <c r="AD59" s="20">
        <f t="shared" si="60"/>
        <v>0.19063295189835527</v>
      </c>
      <c r="AE59" s="20">
        <f t="shared" si="61"/>
        <v>1.38523913797747</v>
      </c>
      <c r="AF59" s="20">
        <f t="shared" si="61"/>
        <v>0</v>
      </c>
      <c r="AG59" s="20">
        <f t="shared" si="61"/>
        <v>0</v>
      </c>
      <c r="AH59" s="20">
        <f t="shared" si="61"/>
        <v>0</v>
      </c>
      <c r="AI59" s="20">
        <f t="shared" si="62"/>
        <v>1.1151184177417066</v>
      </c>
      <c r="AJ59" s="20">
        <f t="shared" si="63"/>
        <v>0</v>
      </c>
      <c r="AK59" s="20">
        <f t="shared" si="64"/>
        <v>0</v>
      </c>
      <c r="AL59" s="20">
        <f t="shared" si="65"/>
        <v>0</v>
      </c>
      <c r="AM59" s="20">
        <f t="shared" si="66"/>
        <v>1.1151184177417066</v>
      </c>
      <c r="AO59">
        <f t="shared" si="67"/>
        <v>0.26843025956807404</v>
      </c>
      <c r="AP59">
        <f t="shared" si="67"/>
        <v>0</v>
      </c>
      <c r="AQ59">
        <f t="shared" si="67"/>
        <v>0</v>
      </c>
      <c r="AR59">
        <f t="shared" si="67"/>
        <v>0</v>
      </c>
      <c r="AS59">
        <f t="shared" si="68"/>
        <v>0.26843025956807404</v>
      </c>
      <c r="AU59">
        <f t="shared" si="69"/>
        <v>1.570198244022097</v>
      </c>
      <c r="AV59">
        <f t="shared" si="69"/>
        <v>0</v>
      </c>
      <c r="AW59">
        <f t="shared" si="69"/>
        <v>0</v>
      </c>
      <c r="AX59">
        <f t="shared" si="69"/>
        <v>0</v>
      </c>
      <c r="AY59">
        <f t="shared" si="70"/>
        <v>1.570198244022097</v>
      </c>
    </row>
    <row r="60" spans="1:53" ht="15" x14ac:dyDescent="0.25">
      <c r="A60" s="1"/>
      <c r="B60" s="2"/>
      <c r="C60" s="1" t="s">
        <v>11</v>
      </c>
      <c r="D60">
        <v>0</v>
      </c>
      <c r="E60" s="360">
        <v>2.6183000000000001</v>
      </c>
      <c r="F60">
        <v>0</v>
      </c>
      <c r="G60">
        <v>0</v>
      </c>
      <c r="H60">
        <v>0</v>
      </c>
      <c r="J60">
        <v>0</v>
      </c>
      <c r="K60" s="14">
        <v>2.1201244640930001</v>
      </c>
      <c r="L60">
        <v>0</v>
      </c>
      <c r="M60">
        <v>0</v>
      </c>
      <c r="N60">
        <v>0</v>
      </c>
      <c r="O60" s="20"/>
      <c r="P60" s="20"/>
      <c r="Q60" s="438">
        <v>0.52298391723555326</v>
      </c>
      <c r="R60" s="197">
        <v>0.33900000000000002</v>
      </c>
      <c r="S60" s="197">
        <v>1.9830000000000001</v>
      </c>
      <c r="T60" s="197">
        <v>0.76146788990825687</v>
      </c>
      <c r="U60" s="197">
        <v>0.76146788990825687</v>
      </c>
      <c r="V60" s="20">
        <f t="shared" si="58"/>
        <v>2.2655300511138941</v>
      </c>
      <c r="W60" s="20">
        <f t="shared" si="58"/>
        <v>0</v>
      </c>
      <c r="X60" s="20">
        <f t="shared" si="58"/>
        <v>0</v>
      </c>
      <c r="Y60" s="20">
        <f t="shared" si="58"/>
        <v>0</v>
      </c>
      <c r="Z60" s="20">
        <f t="shared" si="59"/>
        <v>1.8237531821639177</v>
      </c>
      <c r="AA60" s="20">
        <f t="shared" si="59"/>
        <v>0</v>
      </c>
      <c r="AB60" s="20">
        <f t="shared" si="59"/>
        <v>0</v>
      </c>
      <c r="AC60" s="20">
        <f t="shared" si="59"/>
        <v>0</v>
      </c>
      <c r="AD60" s="20">
        <f t="shared" si="60"/>
        <v>1.8237531821639177</v>
      </c>
      <c r="AE60" s="20">
        <f t="shared" si="61"/>
        <v>17.899988599826287</v>
      </c>
      <c r="AF60" s="20">
        <f t="shared" si="61"/>
        <v>0</v>
      </c>
      <c r="AG60" s="20">
        <f t="shared" si="61"/>
        <v>0</v>
      </c>
      <c r="AH60" s="20">
        <f t="shared" si="61"/>
        <v>0</v>
      </c>
      <c r="AI60" s="20">
        <f t="shared" si="62"/>
        <v>14.409502603410791</v>
      </c>
      <c r="AJ60" s="20">
        <f t="shared" si="63"/>
        <v>0</v>
      </c>
      <c r="AK60" s="20">
        <f t="shared" si="64"/>
        <v>0</v>
      </c>
      <c r="AL60" s="20">
        <f t="shared" si="65"/>
        <v>0</v>
      </c>
      <c r="AM60" s="20">
        <f t="shared" si="66"/>
        <v>14.409502603410791</v>
      </c>
      <c r="AO60">
        <f t="shared" si="67"/>
        <v>2.5680268558050123</v>
      </c>
      <c r="AP60">
        <f t="shared" si="67"/>
        <v>0</v>
      </c>
      <c r="AQ60">
        <f t="shared" si="67"/>
        <v>0</v>
      </c>
      <c r="AR60">
        <f t="shared" si="67"/>
        <v>0</v>
      </c>
      <c r="AS60">
        <f t="shared" si="68"/>
        <v>2.5680268558050123</v>
      </c>
      <c r="AU60">
        <f t="shared" si="69"/>
        <v>20.290020615862733</v>
      </c>
      <c r="AV60">
        <f t="shared" si="69"/>
        <v>0</v>
      </c>
      <c r="AW60">
        <f t="shared" si="69"/>
        <v>0</v>
      </c>
      <c r="AX60">
        <f t="shared" si="69"/>
        <v>0</v>
      </c>
      <c r="AY60">
        <f t="shared" si="70"/>
        <v>20.290020615862733</v>
      </c>
    </row>
    <row r="61" spans="1:53" ht="15" x14ac:dyDescent="0.25">
      <c r="A61" s="1"/>
      <c r="B61" s="2"/>
      <c r="C61" s="1" t="s">
        <v>12</v>
      </c>
      <c r="D61">
        <v>0</v>
      </c>
      <c r="E61" s="360">
        <v>0</v>
      </c>
      <c r="F61">
        <v>0</v>
      </c>
      <c r="G61">
        <v>0</v>
      </c>
      <c r="H61">
        <v>0</v>
      </c>
      <c r="J61">
        <v>0</v>
      </c>
      <c r="K61" s="14">
        <v>0</v>
      </c>
      <c r="L61">
        <v>0</v>
      </c>
      <c r="M61">
        <v>0</v>
      </c>
      <c r="N61">
        <v>0</v>
      </c>
      <c r="O61" s="20"/>
      <c r="P61" s="20"/>
      <c r="Q61" s="438"/>
      <c r="R61" s="197">
        <v>0.33900000000000002</v>
      </c>
      <c r="S61" s="197">
        <v>1.9830000000000001</v>
      </c>
      <c r="T61" s="197">
        <v>0.76146788990825687</v>
      </c>
      <c r="U61" s="197">
        <v>0.76146788990825687</v>
      </c>
      <c r="V61" s="20">
        <f t="shared" si="58"/>
        <v>0</v>
      </c>
      <c r="W61" s="20">
        <f t="shared" si="58"/>
        <v>0</v>
      </c>
      <c r="X61" s="20">
        <f t="shared" si="58"/>
        <v>0</v>
      </c>
      <c r="Y61" s="20">
        <f t="shared" si="58"/>
        <v>0</v>
      </c>
      <c r="Z61" s="20">
        <f t="shared" si="59"/>
        <v>0</v>
      </c>
      <c r="AA61" s="20">
        <f t="shared" si="59"/>
        <v>0</v>
      </c>
      <c r="AB61" s="20">
        <f t="shared" si="59"/>
        <v>0</v>
      </c>
      <c r="AC61" s="20">
        <f t="shared" si="59"/>
        <v>0</v>
      </c>
      <c r="AD61" s="20">
        <f t="shared" si="60"/>
        <v>0</v>
      </c>
      <c r="AE61" s="20">
        <f t="shared" si="61"/>
        <v>0</v>
      </c>
      <c r="AF61" s="20">
        <f t="shared" si="61"/>
        <v>0</v>
      </c>
      <c r="AG61" s="20">
        <f t="shared" si="61"/>
        <v>0</v>
      </c>
      <c r="AH61" s="20">
        <f t="shared" si="61"/>
        <v>0</v>
      </c>
      <c r="AI61" s="20">
        <f t="shared" si="62"/>
        <v>0</v>
      </c>
      <c r="AJ61" s="20">
        <f t="shared" si="63"/>
        <v>0</v>
      </c>
      <c r="AK61" s="20">
        <f t="shared" si="64"/>
        <v>0</v>
      </c>
      <c r="AL61" s="20">
        <f t="shared" si="65"/>
        <v>0</v>
      </c>
      <c r="AM61" s="20">
        <f t="shared" si="66"/>
        <v>0</v>
      </c>
      <c r="AO61">
        <f t="shared" si="67"/>
        <v>0</v>
      </c>
      <c r="AP61">
        <f t="shared" si="67"/>
        <v>0</v>
      </c>
      <c r="AQ61">
        <f t="shared" si="67"/>
        <v>0</v>
      </c>
      <c r="AR61">
        <f t="shared" si="67"/>
        <v>0</v>
      </c>
      <c r="AS61">
        <f t="shared" si="68"/>
        <v>0</v>
      </c>
      <c r="AU61">
        <f t="shared" si="69"/>
        <v>0</v>
      </c>
      <c r="AV61">
        <f t="shared" si="69"/>
        <v>0</v>
      </c>
      <c r="AW61">
        <f t="shared" si="69"/>
        <v>0</v>
      </c>
      <c r="AX61">
        <f t="shared" si="69"/>
        <v>0</v>
      </c>
      <c r="AY61">
        <f t="shared" si="70"/>
        <v>0</v>
      </c>
    </row>
    <row r="62" spans="1:53" ht="15" x14ac:dyDescent="0.25">
      <c r="A62" s="1"/>
      <c r="B62" s="2"/>
      <c r="C62" s="1" t="s">
        <v>13</v>
      </c>
      <c r="D62">
        <v>0</v>
      </c>
      <c r="E62" s="360">
        <v>1.4E-3</v>
      </c>
      <c r="F62">
        <v>0</v>
      </c>
      <c r="G62">
        <v>0</v>
      </c>
      <c r="H62">
        <v>0</v>
      </c>
      <c r="J62">
        <v>0</v>
      </c>
      <c r="K62" s="14">
        <v>1.4E-3</v>
      </c>
      <c r="L62">
        <v>0</v>
      </c>
      <c r="M62">
        <v>0</v>
      </c>
      <c r="N62">
        <v>0</v>
      </c>
      <c r="O62" s="20"/>
      <c r="P62" s="20"/>
      <c r="Q62" s="438">
        <v>0.52298391723555326</v>
      </c>
      <c r="R62" s="197">
        <v>0.33900000000000002</v>
      </c>
      <c r="S62" s="197">
        <v>1.9830000000000001</v>
      </c>
      <c r="T62" s="197">
        <v>0.76146788990825687</v>
      </c>
      <c r="U62" s="197">
        <v>0.76146788990825687</v>
      </c>
      <c r="V62" s="20">
        <f t="shared" si="58"/>
        <v>9.1279061093820369E-4</v>
      </c>
      <c r="W62" s="20">
        <f t="shared" si="58"/>
        <v>0</v>
      </c>
      <c r="X62" s="20">
        <f t="shared" si="58"/>
        <v>0</v>
      </c>
      <c r="Y62" s="20">
        <f t="shared" si="58"/>
        <v>0</v>
      </c>
      <c r="Z62" s="20">
        <f t="shared" si="59"/>
        <v>7.3479704254172636E-4</v>
      </c>
      <c r="AA62" s="20">
        <f t="shared" si="59"/>
        <v>0</v>
      </c>
      <c r="AB62" s="20">
        <f t="shared" si="59"/>
        <v>0</v>
      </c>
      <c r="AC62" s="20">
        <f t="shared" si="59"/>
        <v>0</v>
      </c>
      <c r="AD62" s="20">
        <f t="shared" si="60"/>
        <v>7.3479704254172636E-4</v>
      </c>
      <c r="AE62" s="20">
        <f t="shared" si="61"/>
        <v>8.4084373940123761E-3</v>
      </c>
      <c r="AF62" s="20">
        <f t="shared" si="61"/>
        <v>0</v>
      </c>
      <c r="AG62" s="20">
        <f t="shared" si="61"/>
        <v>0</v>
      </c>
      <c r="AH62" s="20">
        <f t="shared" si="61"/>
        <v>0</v>
      </c>
      <c r="AI62" s="20">
        <f t="shared" si="62"/>
        <v>6.7687976360394893E-3</v>
      </c>
      <c r="AJ62" s="20">
        <f t="shared" si="63"/>
        <v>0</v>
      </c>
      <c r="AK62" s="20">
        <f t="shared" si="64"/>
        <v>0</v>
      </c>
      <c r="AL62" s="20">
        <f t="shared" si="65"/>
        <v>0</v>
      </c>
      <c r="AM62" s="20">
        <f t="shared" si="66"/>
        <v>6.7687976360394893E-3</v>
      </c>
      <c r="AO62">
        <f t="shared" si="67"/>
        <v>1.0346677156030048E-3</v>
      </c>
      <c r="AP62">
        <f t="shared" si="67"/>
        <v>0</v>
      </c>
      <c r="AQ62">
        <f t="shared" si="67"/>
        <v>0</v>
      </c>
      <c r="AR62">
        <f t="shared" si="67"/>
        <v>0</v>
      </c>
      <c r="AS62">
        <f t="shared" si="68"/>
        <v>1.0346677156030048E-3</v>
      </c>
      <c r="AU62">
        <f t="shared" si="69"/>
        <v>9.5311439513072038E-3</v>
      </c>
      <c r="AV62">
        <f t="shared" si="69"/>
        <v>0</v>
      </c>
      <c r="AW62">
        <f t="shared" si="69"/>
        <v>0</v>
      </c>
      <c r="AX62">
        <f t="shared" si="69"/>
        <v>0</v>
      </c>
      <c r="AY62">
        <f t="shared" si="70"/>
        <v>9.5311439513072038E-3</v>
      </c>
    </row>
    <row r="63" spans="1:53" ht="15" x14ac:dyDescent="0.25">
      <c r="A63" s="7"/>
      <c r="B63" s="8" t="s">
        <v>14</v>
      </c>
      <c r="C63" s="7"/>
      <c r="D63" s="357">
        <f t="shared" ref="D63:H63" si="71">SUM(D57:D62)</f>
        <v>0</v>
      </c>
      <c r="E63" s="363">
        <f>SUM(E57:E62)</f>
        <v>18.565100000000001</v>
      </c>
      <c r="F63" s="357">
        <f t="shared" si="71"/>
        <v>0</v>
      </c>
      <c r="G63" s="357">
        <f t="shared" si="71"/>
        <v>0</v>
      </c>
      <c r="H63" s="357">
        <f t="shared" si="71"/>
        <v>0</v>
      </c>
      <c r="J63">
        <v>0</v>
      </c>
      <c r="K63" s="14">
        <v>16.231872926109002</v>
      </c>
      <c r="L63">
        <v>0</v>
      </c>
      <c r="M63">
        <v>0</v>
      </c>
      <c r="N63">
        <v>0</v>
      </c>
      <c r="O63" s="20"/>
      <c r="P63" s="20"/>
      <c r="Q63" s="438">
        <v>0.47998575164744828</v>
      </c>
      <c r="R63" s="197"/>
      <c r="S63" s="197"/>
      <c r="T63" s="197"/>
      <c r="U63" s="197"/>
      <c r="BA63" s="319">
        <f>(E63*10000*Q63*AU$10)</f>
        <v>125475.55835245129</v>
      </c>
    </row>
    <row r="64" spans="1:53" ht="15" x14ac:dyDescent="0.25">
      <c r="A64" s="10"/>
      <c r="B64" s="9" t="s">
        <v>15</v>
      </c>
      <c r="C64" s="5"/>
      <c r="E64" s="363">
        <f>SUM(E63)</f>
        <v>18.565100000000001</v>
      </c>
      <c r="H64" s="358">
        <f>SUM(D63:H63)</f>
        <v>18.565100000000001</v>
      </c>
      <c r="K64" s="14"/>
      <c r="N64">
        <v>0</v>
      </c>
      <c r="O64" s="20"/>
      <c r="P64" s="20"/>
      <c r="Q64" s="438"/>
      <c r="R64" s="197"/>
      <c r="S64" s="197"/>
      <c r="T64" s="197"/>
      <c r="U64" s="197"/>
    </row>
    <row r="65" spans="1:53" ht="15.75" x14ac:dyDescent="0.25">
      <c r="A65" s="3"/>
      <c r="B65" s="11"/>
      <c r="C65" s="3"/>
      <c r="E65" s="361"/>
      <c r="K65" s="14"/>
      <c r="O65" s="20"/>
      <c r="P65" s="20"/>
      <c r="Q65" s="439"/>
      <c r="R65" s="197"/>
      <c r="S65" s="197"/>
      <c r="T65" s="197"/>
      <c r="U65" s="197"/>
    </row>
    <row r="66" spans="1:53" ht="15" x14ac:dyDescent="0.25">
      <c r="A66" s="3">
        <v>7</v>
      </c>
      <c r="B66" s="11" t="s">
        <v>21</v>
      </c>
      <c r="C66" s="3" t="s">
        <v>8</v>
      </c>
      <c r="D66">
        <v>0</v>
      </c>
      <c r="E66" s="360">
        <v>3.6787999999999998</v>
      </c>
      <c r="F66">
        <v>0</v>
      </c>
      <c r="G66">
        <v>0</v>
      </c>
      <c r="H66">
        <v>0</v>
      </c>
      <c r="J66">
        <v>0</v>
      </c>
      <c r="K66" s="14">
        <v>0.48486916860059948</v>
      </c>
      <c r="L66">
        <v>0</v>
      </c>
      <c r="M66">
        <v>0</v>
      </c>
      <c r="N66">
        <v>0</v>
      </c>
      <c r="O66" s="20"/>
      <c r="P66" s="20"/>
      <c r="Q66" s="438">
        <v>4.5127039031598849E-2</v>
      </c>
      <c r="R66" s="197">
        <v>0.15</v>
      </c>
      <c r="S66" s="197">
        <v>1.18</v>
      </c>
      <c r="T66" s="197">
        <v>0.46666666666666673</v>
      </c>
      <c r="U66" s="197">
        <v>0.6566321730950142</v>
      </c>
      <c r="V66" s="20">
        <f t="shared" ref="V66:Y71" si="72">IF(K66&gt;0,((E66-K66)*$Q66*$R66*10)+(K66*$O$12*$Q66*$R66*10),(E66*$Q66*$R66*10))</f>
        <v>0.22826897566158055</v>
      </c>
      <c r="W66" s="20">
        <f t="shared" si="72"/>
        <v>0</v>
      </c>
      <c r="X66" s="20">
        <f t="shared" si="72"/>
        <v>0</v>
      </c>
      <c r="Y66" s="20">
        <f t="shared" si="72"/>
        <v>0</v>
      </c>
      <c r="Z66" s="20">
        <f t="shared" ref="Z66:AC71" si="73">V66*(EXP(1.01-0.34*LN(Z$8))*(1-$T66)+(1*$T66))</f>
        <v>0.12874403817436877</v>
      </c>
      <c r="AA66" s="20">
        <f t="shared" si="73"/>
        <v>0</v>
      </c>
      <c r="AB66" s="20">
        <f t="shared" si="73"/>
        <v>0</v>
      </c>
      <c r="AC66" s="20">
        <f t="shared" si="73"/>
        <v>0</v>
      </c>
      <c r="AD66" s="20">
        <f t="shared" ref="AD66:AD71" si="74">SUM(Z66:AC66)</f>
        <v>0.12874403817436877</v>
      </c>
      <c r="AE66" s="20">
        <f t="shared" ref="AE66:AH71" si="75">IF(K66&gt;0,((E66-K66)*$Q66*$S66*10)+(K66*$P$12*$Q66*$S66)*10,(E66*$Q66*$S66*10))</f>
        <v>1.8502921695852765</v>
      </c>
      <c r="AF66" s="20">
        <f t="shared" si="75"/>
        <v>0</v>
      </c>
      <c r="AG66" s="20">
        <f t="shared" si="75"/>
        <v>0</v>
      </c>
      <c r="AH66" s="20">
        <f t="shared" si="75"/>
        <v>0</v>
      </c>
      <c r="AI66" s="20">
        <f t="shared" ref="AI66:AI71" si="76">AE66*(EXP(1.01-0.34*LN(AI$8))*(1-$U66)+(1*$U66))</f>
        <v>1.330910992368098</v>
      </c>
      <c r="AJ66" s="20">
        <f t="shared" ref="AJ66:AJ71" si="77">AF66*(EXP(1.01-0.34*LN(AJ$8))*(1-$U66)+(1*$U66))</f>
        <v>0</v>
      </c>
      <c r="AK66" s="20">
        <f t="shared" ref="AK66:AK71" si="78">AG66*(EXP(1.01-0.34*LN(AK$8))*(1-$U66)+(1*$U66))</f>
        <v>0</v>
      </c>
      <c r="AL66" s="20">
        <f t="shared" ref="AL66:AL71" si="79">AH66*(EXP(1.01-0.34*LN(AL$8))*(1-$U66)+(1*$U66))</f>
        <v>0</v>
      </c>
      <c r="AM66" s="20">
        <f t="shared" ref="AM66:AM71" si="80">SUM(AI66:AL66)</f>
        <v>1.330910992368098</v>
      </c>
      <c r="AO66">
        <f t="shared" ref="AO66:AR71" si="81">Z66*AO$10</f>
        <v>0.18128448015332865</v>
      </c>
      <c r="AP66">
        <f t="shared" si="81"/>
        <v>0</v>
      </c>
      <c r="AQ66">
        <f t="shared" si="81"/>
        <v>0</v>
      </c>
      <c r="AR66">
        <f t="shared" si="81"/>
        <v>0</v>
      </c>
      <c r="AS66">
        <f t="shared" ref="AS66:AS71" si="82">SUM(AO66:AR66)</f>
        <v>0.18128448015332865</v>
      </c>
      <c r="AU66">
        <f t="shared" ref="AU66:AX71" si="83">AI66*AU$10</f>
        <v>1.8740557683535186</v>
      </c>
      <c r="AV66">
        <f t="shared" si="83"/>
        <v>0</v>
      </c>
      <c r="AW66">
        <f t="shared" si="83"/>
        <v>0</v>
      </c>
      <c r="AX66">
        <f t="shared" si="83"/>
        <v>0</v>
      </c>
      <c r="AY66">
        <f t="shared" ref="AY66:AY71" si="84">SUM(AU66:AX66)</f>
        <v>1.8740557683535186</v>
      </c>
    </row>
    <row r="67" spans="1:53" ht="15" x14ac:dyDescent="0.25">
      <c r="A67" s="3"/>
      <c r="B67" s="11"/>
      <c r="C67" s="3" t="s">
        <v>9</v>
      </c>
      <c r="D67">
        <v>0</v>
      </c>
      <c r="E67" s="360">
        <v>4.2149000000000001</v>
      </c>
      <c r="F67">
        <v>0</v>
      </c>
      <c r="G67">
        <v>0</v>
      </c>
      <c r="H67">
        <v>0</v>
      </c>
      <c r="J67">
        <v>0</v>
      </c>
      <c r="K67" s="14">
        <v>-24.0944119095</v>
      </c>
      <c r="L67">
        <v>0</v>
      </c>
      <c r="M67">
        <v>0</v>
      </c>
      <c r="N67">
        <v>0</v>
      </c>
      <c r="O67" s="20"/>
      <c r="P67" s="20"/>
      <c r="Q67" s="438">
        <v>8.1254078063197704E-2</v>
      </c>
      <c r="R67" s="197">
        <v>0.15</v>
      </c>
      <c r="S67" s="197">
        <v>1.18</v>
      </c>
      <c r="T67" s="197">
        <v>0.46666666666666673</v>
      </c>
      <c r="U67" s="197">
        <v>0.6566321730950142</v>
      </c>
      <c r="V67" s="20">
        <f t="shared" si="72"/>
        <v>0.51371672044285799</v>
      </c>
      <c r="W67" s="20">
        <f t="shared" si="72"/>
        <v>0</v>
      </c>
      <c r="X67" s="20">
        <f t="shared" si="72"/>
        <v>0</v>
      </c>
      <c r="Y67" s="20">
        <f t="shared" si="72"/>
        <v>0</v>
      </c>
      <c r="Z67" s="20">
        <f t="shared" si="73"/>
        <v>0.28973698627166694</v>
      </c>
      <c r="AA67" s="20">
        <f t="shared" si="73"/>
        <v>0</v>
      </c>
      <c r="AB67" s="20">
        <f t="shared" si="73"/>
        <v>0</v>
      </c>
      <c r="AC67" s="20">
        <f t="shared" si="73"/>
        <v>0</v>
      </c>
      <c r="AD67" s="20">
        <f t="shared" si="74"/>
        <v>0.28973698627166694</v>
      </c>
      <c r="AE67" s="20">
        <f t="shared" si="75"/>
        <v>4.0412382008171495</v>
      </c>
      <c r="AF67" s="20">
        <f t="shared" si="75"/>
        <v>0</v>
      </c>
      <c r="AG67" s="20">
        <f t="shared" si="75"/>
        <v>0</v>
      </c>
      <c r="AH67" s="20">
        <f t="shared" si="75"/>
        <v>0</v>
      </c>
      <c r="AI67" s="20">
        <f t="shared" si="76"/>
        <v>2.9068535405686546</v>
      </c>
      <c r="AJ67" s="20">
        <f t="shared" si="77"/>
        <v>0</v>
      </c>
      <c r="AK67" s="20">
        <f t="shared" si="78"/>
        <v>0</v>
      </c>
      <c r="AL67" s="20">
        <f t="shared" si="79"/>
        <v>0</v>
      </c>
      <c r="AM67" s="20">
        <f t="shared" si="80"/>
        <v>2.9068535405686546</v>
      </c>
      <c r="AO67">
        <f t="shared" si="81"/>
        <v>0.40797865036913417</v>
      </c>
      <c r="AP67">
        <f t="shared" si="81"/>
        <v>0</v>
      </c>
      <c r="AQ67">
        <f t="shared" si="81"/>
        <v>0</v>
      </c>
      <c r="AR67">
        <f t="shared" si="81"/>
        <v>0</v>
      </c>
      <c r="AS67">
        <f t="shared" si="82"/>
        <v>0.40797865036913417</v>
      </c>
      <c r="AU67">
        <f t="shared" si="83"/>
        <v>4.0931404704747223</v>
      </c>
      <c r="AV67">
        <f t="shared" si="83"/>
        <v>0</v>
      </c>
      <c r="AW67">
        <f t="shared" si="83"/>
        <v>0</v>
      </c>
      <c r="AX67">
        <f t="shared" si="83"/>
        <v>0</v>
      </c>
      <c r="AY67">
        <f t="shared" si="84"/>
        <v>4.0931404704747223</v>
      </c>
    </row>
    <row r="68" spans="1:53" ht="15" x14ac:dyDescent="0.25">
      <c r="A68" s="3"/>
      <c r="B68" s="11"/>
      <c r="C68" s="3" t="s">
        <v>10</v>
      </c>
      <c r="D68">
        <v>0</v>
      </c>
      <c r="E68" s="360">
        <v>0</v>
      </c>
      <c r="F68">
        <v>0</v>
      </c>
      <c r="G68">
        <v>0</v>
      </c>
      <c r="H68">
        <v>0</v>
      </c>
      <c r="J68">
        <v>0</v>
      </c>
      <c r="K68" s="14">
        <v>0</v>
      </c>
      <c r="L68">
        <v>0</v>
      </c>
      <c r="M68">
        <v>0</v>
      </c>
      <c r="N68">
        <v>0</v>
      </c>
      <c r="O68" s="20"/>
      <c r="P68" s="20"/>
      <c r="Q68" s="438"/>
      <c r="R68" s="197">
        <v>0.15</v>
      </c>
      <c r="S68" s="197">
        <v>1.18</v>
      </c>
      <c r="T68" s="197">
        <v>0.46666666666666673</v>
      </c>
      <c r="U68" s="197">
        <v>0.6566321730950142</v>
      </c>
      <c r="V68" s="20">
        <f t="shared" si="72"/>
        <v>0</v>
      </c>
      <c r="W68" s="20">
        <f t="shared" si="72"/>
        <v>0</v>
      </c>
      <c r="X68" s="20">
        <f t="shared" si="72"/>
        <v>0</v>
      </c>
      <c r="Y68" s="20">
        <f t="shared" si="72"/>
        <v>0</v>
      </c>
      <c r="Z68" s="20">
        <f t="shared" si="73"/>
        <v>0</v>
      </c>
      <c r="AA68" s="20">
        <f t="shared" si="73"/>
        <v>0</v>
      </c>
      <c r="AB68" s="20">
        <f t="shared" si="73"/>
        <v>0</v>
      </c>
      <c r="AC68" s="20">
        <f t="shared" si="73"/>
        <v>0</v>
      </c>
      <c r="AD68" s="20">
        <f t="shared" si="74"/>
        <v>0</v>
      </c>
      <c r="AE68" s="20">
        <f t="shared" si="75"/>
        <v>0</v>
      </c>
      <c r="AF68" s="20">
        <f t="shared" si="75"/>
        <v>0</v>
      </c>
      <c r="AG68" s="20">
        <f t="shared" si="75"/>
        <v>0</v>
      </c>
      <c r="AH68" s="20">
        <f t="shared" si="75"/>
        <v>0</v>
      </c>
      <c r="AI68" s="20">
        <f t="shared" si="76"/>
        <v>0</v>
      </c>
      <c r="AJ68" s="20">
        <f t="shared" si="77"/>
        <v>0</v>
      </c>
      <c r="AK68" s="20">
        <f t="shared" si="78"/>
        <v>0</v>
      </c>
      <c r="AL68" s="20">
        <f t="shared" si="79"/>
        <v>0</v>
      </c>
      <c r="AM68" s="20">
        <f t="shared" si="80"/>
        <v>0</v>
      </c>
      <c r="AO68">
        <f t="shared" si="81"/>
        <v>0</v>
      </c>
      <c r="AP68">
        <f t="shared" si="81"/>
        <v>0</v>
      </c>
      <c r="AQ68">
        <f t="shared" si="81"/>
        <v>0</v>
      </c>
      <c r="AR68">
        <f t="shared" si="81"/>
        <v>0</v>
      </c>
      <c r="AS68">
        <f t="shared" si="82"/>
        <v>0</v>
      </c>
      <c r="AU68">
        <f t="shared" si="83"/>
        <v>0</v>
      </c>
      <c r="AV68">
        <f t="shared" si="83"/>
        <v>0</v>
      </c>
      <c r="AW68">
        <f t="shared" si="83"/>
        <v>0</v>
      </c>
      <c r="AX68">
        <f t="shared" si="83"/>
        <v>0</v>
      </c>
      <c r="AY68">
        <f t="shared" si="84"/>
        <v>0</v>
      </c>
    </row>
    <row r="69" spans="1:53" ht="15" x14ac:dyDescent="0.25">
      <c r="A69" s="3"/>
      <c r="B69" s="11"/>
      <c r="C69" s="3" t="s">
        <v>11</v>
      </c>
      <c r="D69">
        <v>0</v>
      </c>
      <c r="E69" s="360">
        <v>0.18565999999999999</v>
      </c>
      <c r="F69">
        <v>0</v>
      </c>
      <c r="G69">
        <v>0</v>
      </c>
      <c r="H69">
        <v>0</v>
      </c>
      <c r="J69">
        <v>0</v>
      </c>
      <c r="K69" s="14">
        <v>-0.24479512371430001</v>
      </c>
      <c r="L69">
        <v>0</v>
      </c>
      <c r="M69">
        <v>0</v>
      </c>
      <c r="N69">
        <v>0</v>
      </c>
      <c r="O69" s="20"/>
      <c r="P69" s="20"/>
      <c r="Q69" s="438">
        <v>0.1535081561263954</v>
      </c>
      <c r="R69" s="197">
        <v>0.15</v>
      </c>
      <c r="S69" s="197">
        <v>1.18</v>
      </c>
      <c r="T69" s="197">
        <v>0.46666666666666673</v>
      </c>
      <c r="U69" s="197">
        <v>0.6566321730950142</v>
      </c>
      <c r="V69" s="20">
        <f t="shared" si="72"/>
        <v>4.2750486399639853E-2</v>
      </c>
      <c r="W69" s="20">
        <f t="shared" si="72"/>
        <v>0</v>
      </c>
      <c r="X69" s="20">
        <f t="shared" si="72"/>
        <v>0</v>
      </c>
      <c r="Y69" s="20">
        <f t="shared" si="72"/>
        <v>0</v>
      </c>
      <c r="Z69" s="20">
        <f t="shared" si="73"/>
        <v>2.4111337237381795E-2</v>
      </c>
      <c r="AA69" s="20">
        <f t="shared" si="73"/>
        <v>0</v>
      </c>
      <c r="AB69" s="20">
        <f t="shared" si="73"/>
        <v>0</v>
      </c>
      <c r="AC69" s="20">
        <f t="shared" si="73"/>
        <v>0</v>
      </c>
      <c r="AD69" s="20">
        <f t="shared" si="74"/>
        <v>2.4111337237381795E-2</v>
      </c>
      <c r="AE69" s="20">
        <f t="shared" si="75"/>
        <v>0.33630382634383349</v>
      </c>
      <c r="AF69" s="20">
        <f t="shared" si="75"/>
        <v>0</v>
      </c>
      <c r="AG69" s="20">
        <f t="shared" si="75"/>
        <v>0</v>
      </c>
      <c r="AH69" s="20">
        <f t="shared" si="75"/>
        <v>0</v>
      </c>
      <c r="AI69" s="20">
        <f t="shared" si="76"/>
        <v>0.24190258523159755</v>
      </c>
      <c r="AJ69" s="20">
        <f t="shared" si="77"/>
        <v>0</v>
      </c>
      <c r="AK69" s="20">
        <f t="shared" si="78"/>
        <v>0</v>
      </c>
      <c r="AL69" s="20">
        <f t="shared" si="79"/>
        <v>0</v>
      </c>
      <c r="AM69" s="20">
        <f t="shared" si="80"/>
        <v>0.24190258523159755</v>
      </c>
      <c r="AO69">
        <f t="shared" si="81"/>
        <v>3.3951173963957304E-2</v>
      </c>
      <c r="AP69">
        <f t="shared" si="81"/>
        <v>0</v>
      </c>
      <c r="AQ69">
        <f t="shared" si="81"/>
        <v>0</v>
      </c>
      <c r="AR69">
        <f t="shared" si="81"/>
        <v>0</v>
      </c>
      <c r="AS69">
        <f t="shared" si="82"/>
        <v>3.3951173963957304E-2</v>
      </c>
      <c r="AU69">
        <f t="shared" si="83"/>
        <v>0.34062303026461249</v>
      </c>
      <c r="AV69">
        <f t="shared" si="83"/>
        <v>0</v>
      </c>
      <c r="AW69">
        <f t="shared" si="83"/>
        <v>0</v>
      </c>
      <c r="AX69">
        <f t="shared" si="83"/>
        <v>0</v>
      </c>
      <c r="AY69">
        <f t="shared" si="84"/>
        <v>0.34062303026461249</v>
      </c>
    </row>
    <row r="70" spans="1:53" ht="15" x14ac:dyDescent="0.25">
      <c r="A70" s="3"/>
      <c r="B70" s="12"/>
      <c r="C70" s="3" t="s">
        <v>12</v>
      </c>
      <c r="D70">
        <v>0</v>
      </c>
      <c r="E70" s="360">
        <v>0</v>
      </c>
      <c r="F70">
        <v>0</v>
      </c>
      <c r="G70">
        <v>0</v>
      </c>
      <c r="H70">
        <v>0</v>
      </c>
      <c r="J70">
        <v>0</v>
      </c>
      <c r="K70" s="14">
        <v>0</v>
      </c>
      <c r="L70">
        <v>0</v>
      </c>
      <c r="M70">
        <v>0</v>
      </c>
      <c r="N70">
        <v>0</v>
      </c>
      <c r="O70" s="20"/>
      <c r="P70" s="20"/>
      <c r="Q70" s="438"/>
      <c r="R70" s="197">
        <v>0.15</v>
      </c>
      <c r="S70" s="197">
        <v>1.18</v>
      </c>
      <c r="T70" s="197">
        <v>0.46666666666666673</v>
      </c>
      <c r="U70" s="197">
        <v>0.6566321730950142</v>
      </c>
      <c r="V70" s="20">
        <f t="shared" si="72"/>
        <v>0</v>
      </c>
      <c r="W70" s="20">
        <f t="shared" si="72"/>
        <v>0</v>
      </c>
      <c r="X70" s="20">
        <f t="shared" si="72"/>
        <v>0</v>
      </c>
      <c r="Y70" s="20">
        <f t="shared" si="72"/>
        <v>0</v>
      </c>
      <c r="Z70" s="20">
        <f t="shared" si="73"/>
        <v>0</v>
      </c>
      <c r="AA70" s="20">
        <f t="shared" si="73"/>
        <v>0</v>
      </c>
      <c r="AB70" s="20">
        <f t="shared" si="73"/>
        <v>0</v>
      </c>
      <c r="AC70" s="20">
        <f t="shared" si="73"/>
        <v>0</v>
      </c>
      <c r="AD70" s="20">
        <f t="shared" si="74"/>
        <v>0</v>
      </c>
      <c r="AE70" s="20">
        <f t="shared" si="75"/>
        <v>0</v>
      </c>
      <c r="AF70" s="20">
        <f t="shared" si="75"/>
        <v>0</v>
      </c>
      <c r="AG70" s="20">
        <f t="shared" si="75"/>
        <v>0</v>
      </c>
      <c r="AH70" s="20">
        <f t="shared" si="75"/>
        <v>0</v>
      </c>
      <c r="AI70" s="20">
        <f t="shared" si="76"/>
        <v>0</v>
      </c>
      <c r="AJ70" s="20">
        <f t="shared" si="77"/>
        <v>0</v>
      </c>
      <c r="AK70" s="20">
        <f t="shared" si="78"/>
        <v>0</v>
      </c>
      <c r="AL70" s="20">
        <f t="shared" si="79"/>
        <v>0</v>
      </c>
      <c r="AM70" s="20">
        <f t="shared" si="80"/>
        <v>0</v>
      </c>
      <c r="AO70">
        <f t="shared" si="81"/>
        <v>0</v>
      </c>
      <c r="AP70">
        <f t="shared" si="81"/>
        <v>0</v>
      </c>
      <c r="AQ70">
        <f t="shared" si="81"/>
        <v>0</v>
      </c>
      <c r="AR70">
        <f t="shared" si="81"/>
        <v>0</v>
      </c>
      <c r="AS70">
        <f t="shared" si="82"/>
        <v>0</v>
      </c>
      <c r="AU70">
        <f t="shared" si="83"/>
        <v>0</v>
      </c>
      <c r="AV70">
        <f t="shared" si="83"/>
        <v>0</v>
      </c>
      <c r="AW70">
        <f t="shared" si="83"/>
        <v>0</v>
      </c>
      <c r="AX70">
        <f t="shared" si="83"/>
        <v>0</v>
      </c>
      <c r="AY70">
        <f t="shared" si="84"/>
        <v>0</v>
      </c>
    </row>
    <row r="71" spans="1:53" ht="15" x14ac:dyDescent="0.25">
      <c r="A71" s="3"/>
      <c r="B71" s="12"/>
      <c r="C71" s="3" t="s">
        <v>13</v>
      </c>
      <c r="D71">
        <v>0</v>
      </c>
      <c r="E71" s="360">
        <v>0</v>
      </c>
      <c r="F71">
        <v>0</v>
      </c>
      <c r="G71">
        <v>0</v>
      </c>
      <c r="H71">
        <v>0</v>
      </c>
      <c r="J71">
        <v>0</v>
      </c>
      <c r="K71" s="14">
        <v>-3.8476341248699999</v>
      </c>
      <c r="L71">
        <v>0</v>
      </c>
      <c r="M71">
        <v>0</v>
      </c>
      <c r="N71">
        <v>0</v>
      </c>
      <c r="O71" s="20"/>
      <c r="P71" s="20"/>
      <c r="Q71" s="438"/>
      <c r="R71" s="197">
        <v>0.15</v>
      </c>
      <c r="S71" s="197">
        <v>1.18</v>
      </c>
      <c r="T71" s="197">
        <v>0.46666666666666673</v>
      </c>
      <c r="U71" s="197">
        <v>0.6566321730950142</v>
      </c>
      <c r="V71" s="20">
        <f t="shared" si="72"/>
        <v>0</v>
      </c>
      <c r="W71" s="20">
        <f t="shared" si="72"/>
        <v>0</v>
      </c>
      <c r="X71" s="20">
        <f t="shared" si="72"/>
        <v>0</v>
      </c>
      <c r="Y71" s="20">
        <f t="shared" si="72"/>
        <v>0</v>
      </c>
      <c r="Z71" s="20">
        <f t="shared" si="73"/>
        <v>0</v>
      </c>
      <c r="AA71" s="20">
        <f t="shared" si="73"/>
        <v>0</v>
      </c>
      <c r="AB71" s="20">
        <f t="shared" si="73"/>
        <v>0</v>
      </c>
      <c r="AC71" s="20">
        <f t="shared" si="73"/>
        <v>0</v>
      </c>
      <c r="AD71" s="20">
        <f t="shared" si="74"/>
        <v>0</v>
      </c>
      <c r="AE71" s="20">
        <f t="shared" si="75"/>
        <v>0</v>
      </c>
      <c r="AF71" s="20">
        <f t="shared" si="75"/>
        <v>0</v>
      </c>
      <c r="AG71" s="20">
        <f t="shared" si="75"/>
        <v>0</v>
      </c>
      <c r="AH71" s="20">
        <f t="shared" si="75"/>
        <v>0</v>
      </c>
      <c r="AI71" s="20">
        <f t="shared" si="76"/>
        <v>0</v>
      </c>
      <c r="AJ71" s="20">
        <f t="shared" si="77"/>
        <v>0</v>
      </c>
      <c r="AK71" s="20">
        <f t="shared" si="78"/>
        <v>0</v>
      </c>
      <c r="AL71" s="20">
        <f t="shared" si="79"/>
        <v>0</v>
      </c>
      <c r="AM71" s="20">
        <f t="shared" si="80"/>
        <v>0</v>
      </c>
      <c r="AO71">
        <f t="shared" si="81"/>
        <v>0</v>
      </c>
      <c r="AP71">
        <f t="shared" si="81"/>
        <v>0</v>
      </c>
      <c r="AQ71">
        <f t="shared" si="81"/>
        <v>0</v>
      </c>
      <c r="AR71">
        <f t="shared" si="81"/>
        <v>0</v>
      </c>
      <c r="AS71">
        <f t="shared" si="82"/>
        <v>0</v>
      </c>
      <c r="AU71">
        <f t="shared" si="83"/>
        <v>0</v>
      </c>
      <c r="AV71">
        <f t="shared" si="83"/>
        <v>0</v>
      </c>
      <c r="AW71">
        <f t="shared" si="83"/>
        <v>0</v>
      </c>
      <c r="AX71">
        <f t="shared" si="83"/>
        <v>0</v>
      </c>
      <c r="AY71">
        <f t="shared" si="84"/>
        <v>0</v>
      </c>
    </row>
    <row r="72" spans="1:53" ht="15" x14ac:dyDescent="0.25">
      <c r="A72" s="7"/>
      <c r="B72" s="8" t="s">
        <v>14</v>
      </c>
      <c r="C72" s="7"/>
      <c r="D72" s="357">
        <f t="shared" ref="D72:H72" si="85">SUM(D66:D71)</f>
        <v>0</v>
      </c>
      <c r="E72" s="363">
        <f>SUM(E66:E71)</f>
        <v>8.0793599999999994</v>
      </c>
      <c r="F72" s="357">
        <f t="shared" si="85"/>
        <v>0</v>
      </c>
      <c r="G72" s="357">
        <f t="shared" si="85"/>
        <v>0</v>
      </c>
      <c r="H72" s="357">
        <f t="shared" si="85"/>
        <v>0</v>
      </c>
      <c r="J72">
        <v>0</v>
      </c>
      <c r="K72" s="14">
        <v>-27.701971989483695</v>
      </c>
      <c r="L72">
        <v>0</v>
      </c>
      <c r="M72">
        <v>0</v>
      </c>
      <c r="N72">
        <v>0</v>
      </c>
      <c r="O72" s="20"/>
      <c r="P72" s="20"/>
      <c r="Q72" s="438">
        <v>6.646460723181595E-2</v>
      </c>
      <c r="R72" s="197"/>
      <c r="S72" s="197"/>
      <c r="T72" s="197"/>
      <c r="U72" s="197"/>
      <c r="BA72" s="319">
        <f>(E72*10000*Q72*AU$10)</f>
        <v>7561.3771577980624</v>
      </c>
    </row>
    <row r="73" spans="1:53" ht="15" x14ac:dyDescent="0.25">
      <c r="A73" s="10"/>
      <c r="B73" s="9" t="s">
        <v>15</v>
      </c>
      <c r="C73" s="5"/>
      <c r="E73" s="363">
        <f>SUM(E72)</f>
        <v>8.0793599999999994</v>
      </c>
      <c r="H73" s="358">
        <f>SUM(D72:H72)</f>
        <v>8.0793599999999994</v>
      </c>
      <c r="K73" s="14"/>
      <c r="N73">
        <v>0</v>
      </c>
      <c r="O73" s="20"/>
      <c r="P73" s="20"/>
      <c r="Q73" s="438"/>
      <c r="R73" s="197"/>
      <c r="S73" s="197"/>
      <c r="T73" s="197"/>
      <c r="U73" s="197"/>
    </row>
    <row r="74" spans="1:53" ht="15.75" x14ac:dyDescent="0.25">
      <c r="A74" s="1"/>
      <c r="B74" s="2"/>
      <c r="C74" s="1"/>
      <c r="E74" s="361"/>
      <c r="K74" s="14"/>
      <c r="O74" s="20"/>
      <c r="P74" s="20"/>
      <c r="Q74" s="439"/>
      <c r="R74" s="197"/>
      <c r="S74" s="197"/>
      <c r="T74" s="197"/>
      <c r="U74" s="197"/>
    </row>
    <row r="75" spans="1:53" ht="15" x14ac:dyDescent="0.25">
      <c r="A75" s="1">
        <v>8</v>
      </c>
      <c r="B75" s="2" t="s">
        <v>22</v>
      </c>
      <c r="C75" s="1" t="s">
        <v>8</v>
      </c>
      <c r="D75">
        <v>0</v>
      </c>
      <c r="E75" s="360">
        <v>0</v>
      </c>
      <c r="F75">
        <v>0</v>
      </c>
      <c r="G75">
        <v>0</v>
      </c>
      <c r="H75">
        <v>0</v>
      </c>
      <c r="J75">
        <v>0</v>
      </c>
      <c r="K75">
        <v>0</v>
      </c>
      <c r="L75">
        <v>0</v>
      </c>
      <c r="M75">
        <v>0</v>
      </c>
      <c r="N75">
        <v>0</v>
      </c>
      <c r="O75" s="20"/>
      <c r="P75" s="20"/>
      <c r="Q75" s="438"/>
      <c r="R75" s="197">
        <v>5.6499999999999995E-2</v>
      </c>
      <c r="S75" s="197">
        <v>1.25</v>
      </c>
      <c r="T75" s="197">
        <v>0.50078889239507718</v>
      </c>
      <c r="U75" s="197">
        <v>0.75268470790377973</v>
      </c>
      <c r="V75" s="20">
        <f t="shared" ref="V75:Y80" si="86">IF(K75&gt;0,((E75-K75)*$Q75*$R75*10)+(K75*$O$12*$Q75*$R75*10),(E75*$Q75*$R75*10))</f>
        <v>0</v>
      </c>
      <c r="W75" s="20">
        <f t="shared" si="86"/>
        <v>0</v>
      </c>
      <c r="X75" s="20">
        <f t="shared" si="86"/>
        <v>0</v>
      </c>
      <c r="Y75" s="20">
        <f t="shared" si="86"/>
        <v>0</v>
      </c>
      <c r="Z75" s="20">
        <f t="shared" ref="Z75:AC80" si="87">V75*(EXP(1.01-0.34*LN(Z$8))*(1-$T75)+(1*$T75))</f>
        <v>0</v>
      </c>
      <c r="AA75" s="20">
        <f t="shared" si="87"/>
        <v>0</v>
      </c>
      <c r="AB75" s="20">
        <f t="shared" si="87"/>
        <v>0</v>
      </c>
      <c r="AC75" s="20">
        <f t="shared" si="87"/>
        <v>0</v>
      </c>
      <c r="AD75" s="20">
        <f t="shared" ref="AD75:AD80" si="88">SUM(Z75:AC75)</f>
        <v>0</v>
      </c>
      <c r="AE75" s="20">
        <f t="shared" ref="AE75:AH80" si="89">IF(K75&gt;0,((E75-K75)*$Q75*$S75*10)+(K75*$P$12*$Q75*$S75)*10,(E75*$Q75*$S75*10))</f>
        <v>0</v>
      </c>
      <c r="AF75" s="20">
        <f t="shared" si="89"/>
        <v>0</v>
      </c>
      <c r="AG75" s="20">
        <f t="shared" si="89"/>
        <v>0</v>
      </c>
      <c r="AH75" s="20">
        <f t="shared" si="89"/>
        <v>0</v>
      </c>
      <c r="AI75" s="20">
        <f t="shared" ref="AI75:AI80" si="90">AE75*(EXP(1.01-0.34*LN(AI$8))*(1-$U75)+(1*$U75))</f>
        <v>0</v>
      </c>
      <c r="AJ75" s="20">
        <f t="shared" ref="AJ75:AJ80" si="91">AF75*(EXP(1.01-0.34*LN(AJ$8))*(1-$U75)+(1*$U75))</f>
        <v>0</v>
      </c>
      <c r="AK75" s="20">
        <f t="shared" ref="AK75:AK80" si="92">AG75*(EXP(1.01-0.34*LN(AK$8))*(1-$U75)+(1*$U75))</f>
        <v>0</v>
      </c>
      <c r="AL75" s="20">
        <f t="shared" ref="AL75:AL80" si="93">AH75*(EXP(1.01-0.34*LN(AL$8))*(1-$U75)+(1*$U75))</f>
        <v>0</v>
      </c>
      <c r="AM75" s="20">
        <f t="shared" ref="AM75:AM80" si="94">SUM(AI75:AL75)</f>
        <v>0</v>
      </c>
      <c r="AO75">
        <f t="shared" ref="AO75:AR80" si="95">Z75*AO$10</f>
        <v>0</v>
      </c>
      <c r="AP75">
        <f t="shared" si="95"/>
        <v>0</v>
      </c>
      <c r="AQ75">
        <f t="shared" si="95"/>
        <v>0</v>
      </c>
      <c r="AR75">
        <f t="shared" si="95"/>
        <v>0</v>
      </c>
      <c r="AS75">
        <f t="shared" ref="AS75:AS80" si="96">SUM(AO75:AR75)</f>
        <v>0</v>
      </c>
      <c r="AU75">
        <f t="shared" ref="AU75:AX80" si="97">AI75*AU$10</f>
        <v>0</v>
      </c>
      <c r="AV75">
        <f t="shared" si="97"/>
        <v>0</v>
      </c>
      <c r="AW75">
        <f t="shared" si="97"/>
        <v>0</v>
      </c>
      <c r="AX75">
        <f t="shared" si="97"/>
        <v>0</v>
      </c>
      <c r="AY75">
        <f t="shared" ref="AY75:AY80" si="98">SUM(AU75:AX75)</f>
        <v>0</v>
      </c>
    </row>
    <row r="76" spans="1:53" ht="15" x14ac:dyDescent="0.25">
      <c r="A76" s="1"/>
      <c r="B76" s="2"/>
      <c r="C76" s="1" t="s">
        <v>9</v>
      </c>
      <c r="D76">
        <v>0</v>
      </c>
      <c r="E76" s="360">
        <v>0</v>
      </c>
      <c r="F76">
        <v>0</v>
      </c>
      <c r="G76">
        <v>0</v>
      </c>
      <c r="H76">
        <v>0</v>
      </c>
      <c r="J76">
        <v>0</v>
      </c>
      <c r="K76">
        <v>0</v>
      </c>
      <c r="L76">
        <v>0</v>
      </c>
      <c r="M76">
        <v>0</v>
      </c>
      <c r="N76">
        <v>0</v>
      </c>
      <c r="O76" s="20"/>
      <c r="P76" s="20"/>
      <c r="Q76" s="438"/>
      <c r="R76" s="197">
        <v>5.6499999999999995E-2</v>
      </c>
      <c r="S76" s="197">
        <v>1.25</v>
      </c>
      <c r="T76" s="197">
        <v>0.50078889239507718</v>
      </c>
      <c r="U76" s="197">
        <v>0.75268470790377973</v>
      </c>
      <c r="V76" s="20">
        <f t="shared" si="86"/>
        <v>0</v>
      </c>
      <c r="W76" s="20">
        <f t="shared" si="86"/>
        <v>0</v>
      </c>
      <c r="X76" s="20">
        <f t="shared" si="86"/>
        <v>0</v>
      </c>
      <c r="Y76" s="20">
        <f t="shared" si="86"/>
        <v>0</v>
      </c>
      <c r="Z76" s="20">
        <f t="shared" si="87"/>
        <v>0</v>
      </c>
      <c r="AA76" s="20">
        <f t="shared" si="87"/>
        <v>0</v>
      </c>
      <c r="AB76" s="20">
        <f t="shared" si="87"/>
        <v>0</v>
      </c>
      <c r="AC76" s="20">
        <f t="shared" si="87"/>
        <v>0</v>
      </c>
      <c r="AD76" s="20">
        <f t="shared" si="88"/>
        <v>0</v>
      </c>
      <c r="AE76" s="20">
        <f t="shared" si="89"/>
        <v>0</v>
      </c>
      <c r="AF76" s="20">
        <f t="shared" si="89"/>
        <v>0</v>
      </c>
      <c r="AG76" s="20">
        <f t="shared" si="89"/>
        <v>0</v>
      </c>
      <c r="AH76" s="20">
        <f t="shared" si="89"/>
        <v>0</v>
      </c>
      <c r="AI76" s="20">
        <f t="shared" si="90"/>
        <v>0</v>
      </c>
      <c r="AJ76" s="20">
        <f t="shared" si="91"/>
        <v>0</v>
      </c>
      <c r="AK76" s="20">
        <f t="shared" si="92"/>
        <v>0</v>
      </c>
      <c r="AL76" s="20">
        <f t="shared" si="93"/>
        <v>0</v>
      </c>
      <c r="AM76" s="20">
        <f t="shared" si="94"/>
        <v>0</v>
      </c>
      <c r="AO76">
        <f t="shared" si="95"/>
        <v>0</v>
      </c>
      <c r="AP76">
        <f t="shared" si="95"/>
        <v>0</v>
      </c>
      <c r="AQ76">
        <f t="shared" si="95"/>
        <v>0</v>
      </c>
      <c r="AR76">
        <f t="shared" si="95"/>
        <v>0</v>
      </c>
      <c r="AS76">
        <f t="shared" si="96"/>
        <v>0</v>
      </c>
      <c r="AU76">
        <f t="shared" si="97"/>
        <v>0</v>
      </c>
      <c r="AV76">
        <f t="shared" si="97"/>
        <v>0</v>
      </c>
      <c r="AW76">
        <f t="shared" si="97"/>
        <v>0</v>
      </c>
      <c r="AX76">
        <f t="shared" si="97"/>
        <v>0</v>
      </c>
      <c r="AY76">
        <f t="shared" si="98"/>
        <v>0</v>
      </c>
    </row>
    <row r="77" spans="1:53" ht="15" x14ac:dyDescent="0.25">
      <c r="A77" s="1"/>
      <c r="B77" s="2"/>
      <c r="C77" s="1" t="s">
        <v>10</v>
      </c>
      <c r="D77">
        <v>0</v>
      </c>
      <c r="E77" s="360">
        <v>0</v>
      </c>
      <c r="F77">
        <v>0</v>
      </c>
      <c r="G77">
        <v>0</v>
      </c>
      <c r="H77">
        <v>0</v>
      </c>
      <c r="J77">
        <v>0</v>
      </c>
      <c r="K77">
        <v>0</v>
      </c>
      <c r="L77">
        <v>0</v>
      </c>
      <c r="M77">
        <v>0</v>
      </c>
      <c r="N77">
        <v>0</v>
      </c>
      <c r="O77" s="20"/>
      <c r="P77" s="20"/>
      <c r="Q77" s="438"/>
      <c r="R77" s="197">
        <v>5.6499999999999995E-2</v>
      </c>
      <c r="S77" s="197">
        <v>1.25</v>
      </c>
      <c r="T77" s="197">
        <v>0.50078889239507718</v>
      </c>
      <c r="U77" s="197">
        <v>0.75268470790377973</v>
      </c>
      <c r="V77" s="20">
        <f t="shared" si="86"/>
        <v>0</v>
      </c>
      <c r="W77" s="20">
        <f t="shared" si="86"/>
        <v>0</v>
      </c>
      <c r="X77" s="20">
        <f t="shared" si="86"/>
        <v>0</v>
      </c>
      <c r="Y77" s="20">
        <f t="shared" si="86"/>
        <v>0</v>
      </c>
      <c r="Z77" s="20">
        <f t="shared" si="87"/>
        <v>0</v>
      </c>
      <c r="AA77" s="20">
        <f t="shared" si="87"/>
        <v>0</v>
      </c>
      <c r="AB77" s="20">
        <f t="shared" si="87"/>
        <v>0</v>
      </c>
      <c r="AC77" s="20">
        <f t="shared" si="87"/>
        <v>0</v>
      </c>
      <c r="AD77" s="20">
        <f t="shared" si="88"/>
        <v>0</v>
      </c>
      <c r="AE77" s="20">
        <f t="shared" si="89"/>
        <v>0</v>
      </c>
      <c r="AF77" s="20">
        <f t="shared" si="89"/>
        <v>0</v>
      </c>
      <c r="AG77" s="20">
        <f t="shared" si="89"/>
        <v>0</v>
      </c>
      <c r="AH77" s="20">
        <f t="shared" si="89"/>
        <v>0</v>
      </c>
      <c r="AI77" s="20">
        <f t="shared" si="90"/>
        <v>0</v>
      </c>
      <c r="AJ77" s="20">
        <f t="shared" si="91"/>
        <v>0</v>
      </c>
      <c r="AK77" s="20">
        <f t="shared" si="92"/>
        <v>0</v>
      </c>
      <c r="AL77" s="20">
        <f t="shared" si="93"/>
        <v>0</v>
      </c>
      <c r="AM77" s="20">
        <f t="shared" si="94"/>
        <v>0</v>
      </c>
      <c r="AO77">
        <f t="shared" si="95"/>
        <v>0</v>
      </c>
      <c r="AP77">
        <f t="shared" si="95"/>
        <v>0</v>
      </c>
      <c r="AQ77">
        <f t="shared" si="95"/>
        <v>0</v>
      </c>
      <c r="AR77">
        <f t="shared" si="95"/>
        <v>0</v>
      </c>
      <c r="AS77">
        <f t="shared" si="96"/>
        <v>0</v>
      </c>
      <c r="AU77">
        <f t="shared" si="97"/>
        <v>0</v>
      </c>
      <c r="AV77">
        <f t="shared" si="97"/>
        <v>0</v>
      </c>
      <c r="AW77">
        <f t="shared" si="97"/>
        <v>0</v>
      </c>
      <c r="AX77">
        <f t="shared" si="97"/>
        <v>0</v>
      </c>
      <c r="AY77">
        <f t="shared" si="98"/>
        <v>0</v>
      </c>
    </row>
    <row r="78" spans="1:53" ht="15" x14ac:dyDescent="0.25">
      <c r="A78" s="1"/>
      <c r="B78" s="2"/>
      <c r="C78" s="1" t="s">
        <v>11</v>
      </c>
      <c r="D78">
        <v>0</v>
      </c>
      <c r="E78" s="360">
        <v>0</v>
      </c>
      <c r="F78">
        <v>0</v>
      </c>
      <c r="G78">
        <v>0</v>
      </c>
      <c r="H78">
        <v>0</v>
      </c>
      <c r="J78">
        <v>0</v>
      </c>
      <c r="K78">
        <v>0</v>
      </c>
      <c r="L78">
        <v>0</v>
      </c>
      <c r="M78">
        <v>0</v>
      </c>
      <c r="N78">
        <v>0</v>
      </c>
      <c r="O78" s="20"/>
      <c r="P78" s="20"/>
      <c r="Q78" s="438"/>
      <c r="R78" s="197">
        <v>5.6499999999999995E-2</v>
      </c>
      <c r="S78" s="197">
        <v>1.25</v>
      </c>
      <c r="T78" s="197">
        <v>0.50078889239507718</v>
      </c>
      <c r="U78" s="197">
        <v>0.75268470790377973</v>
      </c>
      <c r="V78" s="20">
        <f t="shared" si="86"/>
        <v>0</v>
      </c>
      <c r="W78" s="20">
        <f t="shared" si="86"/>
        <v>0</v>
      </c>
      <c r="X78" s="20">
        <f t="shared" si="86"/>
        <v>0</v>
      </c>
      <c r="Y78" s="20">
        <f t="shared" si="86"/>
        <v>0</v>
      </c>
      <c r="Z78" s="20">
        <f t="shared" si="87"/>
        <v>0</v>
      </c>
      <c r="AA78" s="20">
        <f t="shared" si="87"/>
        <v>0</v>
      </c>
      <c r="AB78" s="20">
        <f t="shared" si="87"/>
        <v>0</v>
      </c>
      <c r="AC78" s="20">
        <f t="shared" si="87"/>
        <v>0</v>
      </c>
      <c r="AD78" s="20">
        <f t="shared" si="88"/>
        <v>0</v>
      </c>
      <c r="AE78" s="20">
        <f t="shared" si="89"/>
        <v>0</v>
      </c>
      <c r="AF78" s="20">
        <f t="shared" si="89"/>
        <v>0</v>
      </c>
      <c r="AG78" s="20">
        <f t="shared" si="89"/>
        <v>0</v>
      </c>
      <c r="AH78" s="20">
        <f t="shared" si="89"/>
        <v>0</v>
      </c>
      <c r="AI78" s="20">
        <f t="shared" si="90"/>
        <v>0</v>
      </c>
      <c r="AJ78" s="20">
        <f t="shared" si="91"/>
        <v>0</v>
      </c>
      <c r="AK78" s="20">
        <f t="shared" si="92"/>
        <v>0</v>
      </c>
      <c r="AL78" s="20">
        <f t="shared" si="93"/>
        <v>0</v>
      </c>
      <c r="AM78" s="20">
        <f t="shared" si="94"/>
        <v>0</v>
      </c>
      <c r="AO78">
        <f t="shared" si="95"/>
        <v>0</v>
      </c>
      <c r="AP78">
        <f t="shared" si="95"/>
        <v>0</v>
      </c>
      <c r="AQ78">
        <f t="shared" si="95"/>
        <v>0</v>
      </c>
      <c r="AR78">
        <f t="shared" si="95"/>
        <v>0</v>
      </c>
      <c r="AS78">
        <f t="shared" si="96"/>
        <v>0</v>
      </c>
      <c r="AU78">
        <f t="shared" si="97"/>
        <v>0</v>
      </c>
      <c r="AV78">
        <f t="shared" si="97"/>
        <v>0</v>
      </c>
      <c r="AW78">
        <f t="shared" si="97"/>
        <v>0</v>
      </c>
      <c r="AX78">
        <f t="shared" si="97"/>
        <v>0</v>
      </c>
      <c r="AY78">
        <f t="shared" si="98"/>
        <v>0</v>
      </c>
    </row>
    <row r="79" spans="1:53" ht="15" x14ac:dyDescent="0.25">
      <c r="A79" s="1"/>
      <c r="B79" s="13"/>
      <c r="C79" s="1" t="s">
        <v>12</v>
      </c>
      <c r="D79">
        <v>0</v>
      </c>
      <c r="E79" s="360">
        <v>0</v>
      </c>
      <c r="F79">
        <v>0</v>
      </c>
      <c r="G79">
        <v>0</v>
      </c>
      <c r="H79">
        <v>0</v>
      </c>
      <c r="J79">
        <v>0</v>
      </c>
      <c r="K79">
        <v>0</v>
      </c>
      <c r="L79">
        <v>0</v>
      </c>
      <c r="M79">
        <v>0</v>
      </c>
      <c r="N79">
        <v>0</v>
      </c>
      <c r="O79" s="20"/>
      <c r="P79" s="20"/>
      <c r="Q79" s="438"/>
      <c r="R79" s="197">
        <v>5.6499999999999995E-2</v>
      </c>
      <c r="S79" s="197">
        <v>1.25</v>
      </c>
      <c r="T79" s="197">
        <v>0.50078889239507718</v>
      </c>
      <c r="U79" s="197">
        <v>0.75268470790377973</v>
      </c>
      <c r="V79" s="20">
        <f t="shared" si="86"/>
        <v>0</v>
      </c>
      <c r="W79" s="20">
        <f t="shared" si="86"/>
        <v>0</v>
      </c>
      <c r="X79" s="20">
        <f t="shared" si="86"/>
        <v>0</v>
      </c>
      <c r="Y79" s="20">
        <f t="shared" si="86"/>
        <v>0</v>
      </c>
      <c r="Z79" s="20">
        <f t="shared" si="87"/>
        <v>0</v>
      </c>
      <c r="AA79" s="20">
        <f t="shared" si="87"/>
        <v>0</v>
      </c>
      <c r="AB79" s="20">
        <f t="shared" si="87"/>
        <v>0</v>
      </c>
      <c r="AC79" s="20">
        <f t="shared" si="87"/>
        <v>0</v>
      </c>
      <c r="AD79" s="20">
        <f t="shared" si="88"/>
        <v>0</v>
      </c>
      <c r="AE79" s="20">
        <f t="shared" si="89"/>
        <v>0</v>
      </c>
      <c r="AF79" s="20">
        <f t="shared" si="89"/>
        <v>0</v>
      </c>
      <c r="AG79" s="20">
        <f t="shared" si="89"/>
        <v>0</v>
      </c>
      <c r="AH79" s="20">
        <f t="shared" si="89"/>
        <v>0</v>
      </c>
      <c r="AI79" s="20">
        <f t="shared" si="90"/>
        <v>0</v>
      </c>
      <c r="AJ79" s="20">
        <f t="shared" si="91"/>
        <v>0</v>
      </c>
      <c r="AK79" s="20">
        <f t="shared" si="92"/>
        <v>0</v>
      </c>
      <c r="AL79" s="20">
        <f t="shared" si="93"/>
        <v>0</v>
      </c>
      <c r="AM79" s="20">
        <f t="shared" si="94"/>
        <v>0</v>
      </c>
      <c r="AO79">
        <f t="shared" si="95"/>
        <v>0</v>
      </c>
      <c r="AP79">
        <f t="shared" si="95"/>
        <v>0</v>
      </c>
      <c r="AQ79">
        <f t="shared" si="95"/>
        <v>0</v>
      </c>
      <c r="AR79">
        <f t="shared" si="95"/>
        <v>0</v>
      </c>
      <c r="AS79">
        <f t="shared" si="96"/>
        <v>0</v>
      </c>
      <c r="AU79">
        <f t="shared" si="97"/>
        <v>0</v>
      </c>
      <c r="AV79">
        <f t="shared" si="97"/>
        <v>0</v>
      </c>
      <c r="AW79">
        <f t="shared" si="97"/>
        <v>0</v>
      </c>
      <c r="AX79">
        <f t="shared" si="97"/>
        <v>0</v>
      </c>
      <c r="AY79">
        <f t="shared" si="98"/>
        <v>0</v>
      </c>
    </row>
    <row r="80" spans="1:53" ht="15" x14ac:dyDescent="0.25">
      <c r="A80" s="1"/>
      <c r="B80" s="13"/>
      <c r="C80" s="1" t="s">
        <v>13</v>
      </c>
      <c r="D80">
        <v>0</v>
      </c>
      <c r="E80" s="360">
        <v>0</v>
      </c>
      <c r="F80">
        <v>0</v>
      </c>
      <c r="G80">
        <v>0</v>
      </c>
      <c r="H80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20"/>
      <c r="P80" s="20"/>
      <c r="Q80" s="438"/>
      <c r="R80" s="197">
        <v>5.6499999999999995E-2</v>
      </c>
      <c r="S80" s="197">
        <v>1.25</v>
      </c>
      <c r="T80" s="197">
        <v>0.50078889239507718</v>
      </c>
      <c r="U80" s="197">
        <v>0.75268470790377973</v>
      </c>
      <c r="V80" s="20">
        <f t="shared" si="86"/>
        <v>0</v>
      </c>
      <c r="W80" s="20">
        <f t="shared" si="86"/>
        <v>0</v>
      </c>
      <c r="X80" s="20">
        <f t="shared" si="86"/>
        <v>0</v>
      </c>
      <c r="Y80" s="20">
        <f t="shared" si="86"/>
        <v>0</v>
      </c>
      <c r="Z80" s="20">
        <f t="shared" si="87"/>
        <v>0</v>
      </c>
      <c r="AA80" s="20">
        <f t="shared" si="87"/>
        <v>0</v>
      </c>
      <c r="AB80" s="20">
        <f t="shared" si="87"/>
        <v>0</v>
      </c>
      <c r="AC80" s="20">
        <f t="shared" si="87"/>
        <v>0</v>
      </c>
      <c r="AD80" s="20">
        <f t="shared" si="88"/>
        <v>0</v>
      </c>
      <c r="AE80" s="20">
        <f t="shared" si="89"/>
        <v>0</v>
      </c>
      <c r="AF80" s="20">
        <f t="shared" si="89"/>
        <v>0</v>
      </c>
      <c r="AG80" s="20">
        <f t="shared" si="89"/>
        <v>0</v>
      </c>
      <c r="AH80" s="20">
        <f t="shared" si="89"/>
        <v>0</v>
      </c>
      <c r="AI80" s="20">
        <f t="shared" si="90"/>
        <v>0</v>
      </c>
      <c r="AJ80" s="20">
        <f t="shared" si="91"/>
        <v>0</v>
      </c>
      <c r="AK80" s="20">
        <f t="shared" si="92"/>
        <v>0</v>
      </c>
      <c r="AL80" s="20">
        <f t="shared" si="93"/>
        <v>0</v>
      </c>
      <c r="AM80" s="20">
        <f t="shared" si="94"/>
        <v>0</v>
      </c>
      <c r="AO80">
        <f t="shared" si="95"/>
        <v>0</v>
      </c>
      <c r="AP80">
        <f t="shared" si="95"/>
        <v>0</v>
      </c>
      <c r="AQ80">
        <f t="shared" si="95"/>
        <v>0</v>
      </c>
      <c r="AR80">
        <f t="shared" si="95"/>
        <v>0</v>
      </c>
      <c r="AS80">
        <f t="shared" si="96"/>
        <v>0</v>
      </c>
      <c r="AU80">
        <f t="shared" si="97"/>
        <v>0</v>
      </c>
      <c r="AV80">
        <f t="shared" si="97"/>
        <v>0</v>
      </c>
      <c r="AW80">
        <f t="shared" si="97"/>
        <v>0</v>
      </c>
      <c r="AX80">
        <f t="shared" si="97"/>
        <v>0</v>
      </c>
      <c r="AY80">
        <f t="shared" si="98"/>
        <v>0</v>
      </c>
    </row>
    <row r="81" spans="1:53" ht="15" x14ac:dyDescent="0.25">
      <c r="A81" s="7"/>
      <c r="B81" s="8" t="s">
        <v>14</v>
      </c>
      <c r="C81" s="7"/>
      <c r="D81" s="357">
        <f t="shared" ref="D81:H81" si="99">SUM(D75:D80)</f>
        <v>0</v>
      </c>
      <c r="E81" s="363">
        <f>SUM(E75:E80)</f>
        <v>0</v>
      </c>
      <c r="F81" s="357">
        <f t="shared" si="99"/>
        <v>0</v>
      </c>
      <c r="G81" s="357">
        <f t="shared" si="99"/>
        <v>0</v>
      </c>
      <c r="H81" s="357">
        <f t="shared" si="99"/>
        <v>0</v>
      </c>
      <c r="J81">
        <v>0</v>
      </c>
      <c r="K81">
        <v>0</v>
      </c>
      <c r="L81">
        <v>0</v>
      </c>
      <c r="M81">
        <v>0</v>
      </c>
      <c r="N81">
        <v>0</v>
      </c>
      <c r="O81" s="20"/>
      <c r="P81" s="20"/>
      <c r="Q81" s="438"/>
      <c r="R81" s="197"/>
      <c r="S81" s="197"/>
      <c r="T81" s="197"/>
      <c r="U81" s="197"/>
      <c r="BA81" s="319">
        <f>(E81*10000*Q81*AU$10)</f>
        <v>0</v>
      </c>
    </row>
    <row r="82" spans="1:53" ht="15" x14ac:dyDescent="0.25">
      <c r="A82" s="10"/>
      <c r="B82" s="9" t="s">
        <v>15</v>
      </c>
      <c r="C82" s="5"/>
      <c r="E82" s="363">
        <f>SUM(E81)</f>
        <v>0</v>
      </c>
      <c r="H82" s="358">
        <f>SUM(D81:H81)</f>
        <v>0</v>
      </c>
      <c r="K82" s="14"/>
      <c r="N82">
        <v>0</v>
      </c>
      <c r="O82" s="20"/>
      <c r="P82" s="20"/>
      <c r="Q82" s="438"/>
      <c r="R82" s="197"/>
      <c r="S82" s="197"/>
      <c r="T82" s="197"/>
      <c r="U82" s="197"/>
    </row>
    <row r="83" spans="1:53" ht="15.75" x14ac:dyDescent="0.25">
      <c r="A83" s="1"/>
      <c r="B83" s="2"/>
      <c r="C83" s="1"/>
      <c r="E83" s="361"/>
      <c r="K83" s="14"/>
      <c r="O83" s="20"/>
      <c r="P83" s="20"/>
      <c r="Q83" s="439"/>
      <c r="R83" s="197"/>
      <c r="S83" s="197"/>
      <c r="T83" s="197"/>
      <c r="U83" s="197"/>
    </row>
    <row r="84" spans="1:53" ht="15" x14ac:dyDescent="0.25">
      <c r="A84" s="1">
        <v>9</v>
      </c>
      <c r="B84" s="2" t="s">
        <v>23</v>
      </c>
      <c r="C84" s="1" t="s">
        <v>8</v>
      </c>
      <c r="D84">
        <v>0</v>
      </c>
      <c r="E84" s="360">
        <v>81.6173</v>
      </c>
      <c r="F84">
        <v>0</v>
      </c>
      <c r="G84">
        <v>0</v>
      </c>
      <c r="H84">
        <v>0</v>
      </c>
      <c r="J84">
        <v>0</v>
      </c>
      <c r="K84">
        <v>0</v>
      </c>
      <c r="L84">
        <v>0</v>
      </c>
      <c r="M84">
        <v>0</v>
      </c>
      <c r="N84">
        <v>0</v>
      </c>
      <c r="O84" s="20"/>
      <c r="P84" s="20"/>
      <c r="Q84" s="438">
        <v>4.5127039031598849E-2</v>
      </c>
      <c r="R84" s="197">
        <v>0.38700000000000001</v>
      </c>
      <c r="S84" s="197">
        <v>2.48</v>
      </c>
      <c r="T84" s="197">
        <v>0.72182006204756977</v>
      </c>
      <c r="U84" s="197">
        <v>0.90789473684210531</v>
      </c>
      <c r="V84" s="20">
        <f t="shared" ref="V84:Y89" si="100">IF(K84&gt;0,((E84-K84)*$Q84*$R84*10)+(K84*$O$12*$Q84*$R84*10),(E84*$Q84*$R84*10))</f>
        <v>14.253779210256869</v>
      </c>
      <c r="W84" s="20">
        <f t="shared" si="100"/>
        <v>0</v>
      </c>
      <c r="X84" s="20">
        <f t="shared" si="100"/>
        <v>0</v>
      </c>
      <c r="Y84" s="20">
        <f t="shared" si="100"/>
        <v>0</v>
      </c>
      <c r="Z84" s="20">
        <f t="shared" ref="Z84:AC89" si="101">V84*(EXP(1.01-0.34*LN(Z$8))*(1-$T84)+(1*$T84))</f>
        <v>11.012308297547436</v>
      </c>
      <c r="AA84" s="20">
        <f t="shared" si="101"/>
        <v>0</v>
      </c>
      <c r="AB84" s="20">
        <f t="shared" si="101"/>
        <v>0</v>
      </c>
      <c r="AC84" s="20">
        <f t="shared" si="101"/>
        <v>0</v>
      </c>
      <c r="AD84" s="20">
        <f t="shared" ref="AD84:AD89" si="102">SUM(Z84:AC84)</f>
        <v>11.012308297547436</v>
      </c>
      <c r="AE84" s="20">
        <f t="shared" ref="AE84:AH89" si="103">IF(K84&gt;0,((E84-K84)*$Q84*$S84*10)+(K84*$P$12*$Q84*$S84)*10,(E84*$Q84*$S84*10))</f>
        <v>91.342047652292067</v>
      </c>
      <c r="AF84" s="20">
        <f t="shared" si="103"/>
        <v>0</v>
      </c>
      <c r="AG84" s="20">
        <f t="shared" si="103"/>
        <v>0</v>
      </c>
      <c r="AH84" s="20">
        <f t="shared" si="103"/>
        <v>0</v>
      </c>
      <c r="AI84" s="20">
        <f t="shared" ref="AI84:AI89" si="104">AE84*(EXP(1.01-0.34*LN(AI$8))*(1-$U84)+(1*$U84))</f>
        <v>84.464375237249328</v>
      </c>
      <c r="AJ84" s="20">
        <f t="shared" ref="AJ84:AJ89" si="105">AF84*(EXP(1.01-0.34*LN(AJ$8))*(1-$U84)+(1*$U84))</f>
        <v>0</v>
      </c>
      <c r="AK84" s="20">
        <f t="shared" ref="AK84:AK89" si="106">AG84*(EXP(1.01-0.34*LN(AK$8))*(1-$U84)+(1*$U84))</f>
        <v>0</v>
      </c>
      <c r="AL84" s="20">
        <f t="shared" ref="AL84:AL89" si="107">AH84*(EXP(1.01-0.34*LN(AL$8))*(1-$U84)+(1*$U84))</f>
        <v>0</v>
      </c>
      <c r="AM84" s="20">
        <f t="shared" ref="AM84:AM89" si="108">SUM(AI84:AL84)</f>
        <v>84.464375237249328</v>
      </c>
      <c r="AO84">
        <f t="shared" ref="AO84:AR89" si="109">Z84*AO$10</f>
        <v>15.506431313776543</v>
      </c>
      <c r="AP84">
        <f t="shared" si="109"/>
        <v>0</v>
      </c>
      <c r="AQ84">
        <f t="shared" si="109"/>
        <v>0</v>
      </c>
      <c r="AR84">
        <f t="shared" si="109"/>
        <v>0</v>
      </c>
      <c r="AS84">
        <f t="shared" ref="AS84:AS89" si="110">SUM(AO84:AR84)</f>
        <v>15.506431313776543</v>
      </c>
      <c r="AU84">
        <f t="shared" ref="AU84:AX89" si="111">AI84*AU$10</f>
        <v>118.93428677157077</v>
      </c>
      <c r="AV84">
        <f t="shared" si="111"/>
        <v>0</v>
      </c>
      <c r="AW84">
        <f t="shared" si="111"/>
        <v>0</v>
      </c>
      <c r="AX84">
        <f t="shared" si="111"/>
        <v>0</v>
      </c>
      <c r="AY84">
        <f t="shared" ref="AY84:AY89" si="112">SUM(AU84:AX84)</f>
        <v>118.93428677157077</v>
      </c>
    </row>
    <row r="85" spans="1:53" ht="15" x14ac:dyDescent="0.25">
      <c r="A85" s="1"/>
      <c r="B85" s="2"/>
      <c r="C85" s="1" t="s">
        <v>9</v>
      </c>
      <c r="D85">
        <v>0</v>
      </c>
      <c r="E85" s="360">
        <v>7.3124000000000002</v>
      </c>
      <c r="F85">
        <v>0</v>
      </c>
      <c r="G85">
        <v>0</v>
      </c>
      <c r="H85">
        <v>0</v>
      </c>
      <c r="J85">
        <v>0</v>
      </c>
      <c r="K85">
        <v>0</v>
      </c>
      <c r="L85">
        <v>0</v>
      </c>
      <c r="M85">
        <v>0</v>
      </c>
      <c r="N85">
        <v>0</v>
      </c>
      <c r="O85" s="20"/>
      <c r="P85" s="20"/>
      <c r="Q85" s="438">
        <v>8.1254078063197704E-2</v>
      </c>
      <c r="R85" s="197">
        <v>0.38700000000000001</v>
      </c>
      <c r="S85" s="197">
        <v>2.48</v>
      </c>
      <c r="T85" s="197">
        <v>0.72182006204756977</v>
      </c>
      <c r="U85" s="197">
        <v>0.90789473684210531</v>
      </c>
      <c r="V85" s="20">
        <f t="shared" si="100"/>
        <v>2.2994081800614952</v>
      </c>
      <c r="W85" s="20">
        <f t="shared" si="100"/>
        <v>0</v>
      </c>
      <c r="X85" s="20">
        <f t="shared" si="100"/>
        <v>0</v>
      </c>
      <c r="Y85" s="20">
        <f t="shared" si="100"/>
        <v>0</v>
      </c>
      <c r="Z85" s="20">
        <f t="shared" si="101"/>
        <v>1.7764967035913086</v>
      </c>
      <c r="AA85" s="20">
        <f t="shared" si="101"/>
        <v>0</v>
      </c>
      <c r="AB85" s="20">
        <f t="shared" si="101"/>
        <v>0</v>
      </c>
      <c r="AC85" s="20">
        <f t="shared" si="101"/>
        <v>0</v>
      </c>
      <c r="AD85" s="20">
        <f t="shared" si="102"/>
        <v>1.7764967035913086</v>
      </c>
      <c r="AE85" s="20">
        <f t="shared" si="103"/>
        <v>14.735225546647309</v>
      </c>
      <c r="AF85" s="20">
        <f t="shared" si="103"/>
        <v>0</v>
      </c>
      <c r="AG85" s="20">
        <f t="shared" si="103"/>
        <v>0</v>
      </c>
      <c r="AH85" s="20">
        <f t="shared" si="103"/>
        <v>0</v>
      </c>
      <c r="AI85" s="20">
        <f t="shared" si="104"/>
        <v>13.625724972964186</v>
      </c>
      <c r="AJ85" s="20">
        <f t="shared" si="105"/>
        <v>0</v>
      </c>
      <c r="AK85" s="20">
        <f t="shared" si="106"/>
        <v>0</v>
      </c>
      <c r="AL85" s="20">
        <f t="shared" si="107"/>
        <v>0</v>
      </c>
      <c r="AM85" s="20">
        <f t="shared" si="108"/>
        <v>13.625724972964186</v>
      </c>
      <c r="AO85">
        <f t="shared" si="109"/>
        <v>2.5014850083269216</v>
      </c>
      <c r="AP85">
        <f t="shared" si="109"/>
        <v>0</v>
      </c>
      <c r="AQ85">
        <f t="shared" si="109"/>
        <v>0</v>
      </c>
      <c r="AR85">
        <f t="shared" si="109"/>
        <v>0</v>
      </c>
      <c r="AS85">
        <f t="shared" si="110"/>
        <v>2.5014850083269216</v>
      </c>
      <c r="AU85">
        <f t="shared" si="111"/>
        <v>19.186383334430868</v>
      </c>
      <c r="AV85">
        <f t="shared" si="111"/>
        <v>0</v>
      </c>
      <c r="AW85">
        <f t="shared" si="111"/>
        <v>0</v>
      </c>
      <c r="AX85">
        <f t="shared" si="111"/>
        <v>0</v>
      </c>
      <c r="AY85">
        <f t="shared" si="112"/>
        <v>19.186383334430868</v>
      </c>
    </row>
    <row r="86" spans="1:53" ht="15" x14ac:dyDescent="0.25">
      <c r="A86" s="1"/>
      <c r="B86" s="2"/>
      <c r="C86" s="1" t="s">
        <v>10</v>
      </c>
      <c r="D86">
        <v>0</v>
      </c>
      <c r="E86" s="360">
        <v>0.68179999999999996</v>
      </c>
      <c r="F86">
        <v>0</v>
      </c>
      <c r="G86">
        <v>0</v>
      </c>
      <c r="H86">
        <v>0</v>
      </c>
      <c r="J86">
        <v>0</v>
      </c>
      <c r="K86">
        <v>0</v>
      </c>
      <c r="L86">
        <v>0</v>
      </c>
      <c r="M86">
        <v>0</v>
      </c>
      <c r="N86">
        <v>0</v>
      </c>
      <c r="O86" s="20"/>
      <c r="P86" s="20"/>
      <c r="Q86" s="438">
        <v>0.11738111709479654</v>
      </c>
      <c r="R86" s="197">
        <v>0.38700000000000001</v>
      </c>
      <c r="S86" s="197">
        <v>2.48</v>
      </c>
      <c r="T86" s="197">
        <v>0.72182006204756977</v>
      </c>
      <c r="U86" s="197">
        <v>0.90789473684210531</v>
      </c>
      <c r="V86" s="20">
        <f t="shared" si="100"/>
        <v>0.3097178246083489</v>
      </c>
      <c r="W86" s="20">
        <f t="shared" si="100"/>
        <v>0</v>
      </c>
      <c r="X86" s="20">
        <f t="shared" si="100"/>
        <v>0</v>
      </c>
      <c r="Y86" s="20">
        <f t="shared" si="100"/>
        <v>0</v>
      </c>
      <c r="Z86" s="20">
        <f t="shared" si="101"/>
        <v>0.23928448164670268</v>
      </c>
      <c r="AA86" s="20">
        <f t="shared" si="101"/>
        <v>0</v>
      </c>
      <c r="AB86" s="20">
        <f t="shared" si="101"/>
        <v>0</v>
      </c>
      <c r="AC86" s="20">
        <f t="shared" si="101"/>
        <v>0</v>
      </c>
      <c r="AD86" s="20">
        <f t="shared" si="102"/>
        <v>0.23928448164670268</v>
      </c>
      <c r="AE86" s="20">
        <f t="shared" si="103"/>
        <v>1.9847550517537604</v>
      </c>
      <c r="AF86" s="20">
        <f t="shared" si="103"/>
        <v>0</v>
      </c>
      <c r="AG86" s="20">
        <f t="shared" si="103"/>
        <v>0</v>
      </c>
      <c r="AH86" s="20">
        <f t="shared" si="103"/>
        <v>0</v>
      </c>
      <c r="AI86" s="20">
        <f t="shared" si="104"/>
        <v>1.8353113352955273</v>
      </c>
      <c r="AJ86" s="20">
        <f t="shared" si="105"/>
        <v>0</v>
      </c>
      <c r="AK86" s="20">
        <f t="shared" si="106"/>
        <v>0</v>
      </c>
      <c r="AL86" s="20">
        <f t="shared" si="107"/>
        <v>0</v>
      </c>
      <c r="AM86" s="20">
        <f t="shared" si="108"/>
        <v>1.8353113352955273</v>
      </c>
      <c r="AO86">
        <f t="shared" si="109"/>
        <v>0.33693647860672205</v>
      </c>
      <c r="AP86">
        <f t="shared" si="109"/>
        <v>0</v>
      </c>
      <c r="AQ86">
        <f t="shared" si="109"/>
        <v>0</v>
      </c>
      <c r="AR86">
        <f t="shared" si="109"/>
        <v>0</v>
      </c>
      <c r="AS86">
        <f t="shared" si="110"/>
        <v>0.33693647860672205</v>
      </c>
      <c r="AU86">
        <f t="shared" si="111"/>
        <v>2.5843018912296318</v>
      </c>
      <c r="AV86">
        <f t="shared" si="111"/>
        <v>0</v>
      </c>
      <c r="AW86">
        <f t="shared" si="111"/>
        <v>0</v>
      </c>
      <c r="AX86">
        <f t="shared" si="111"/>
        <v>0</v>
      </c>
      <c r="AY86">
        <f t="shared" si="112"/>
        <v>2.5843018912296318</v>
      </c>
    </row>
    <row r="87" spans="1:53" ht="15" x14ac:dyDescent="0.25">
      <c r="A87" s="1"/>
      <c r="B87" s="2"/>
      <c r="C87" s="1" t="s">
        <v>11</v>
      </c>
      <c r="D87">
        <v>0</v>
      </c>
      <c r="E87" s="360">
        <v>34.516599999999997</v>
      </c>
      <c r="F87">
        <v>0</v>
      </c>
      <c r="G87">
        <v>0</v>
      </c>
      <c r="H87">
        <v>0</v>
      </c>
      <c r="J87">
        <v>0</v>
      </c>
      <c r="K87">
        <v>0</v>
      </c>
      <c r="L87">
        <v>0</v>
      </c>
      <c r="M87">
        <v>0</v>
      </c>
      <c r="N87">
        <v>0</v>
      </c>
      <c r="O87" s="20"/>
      <c r="P87" s="20"/>
      <c r="Q87" s="438">
        <v>0.15350815612639543</v>
      </c>
      <c r="R87" s="197">
        <v>0.38700000000000001</v>
      </c>
      <c r="S87" s="197">
        <v>2.48</v>
      </c>
      <c r="T87" s="197">
        <v>0.72182006204756977</v>
      </c>
      <c r="U87" s="197">
        <v>0.90789473684210531</v>
      </c>
      <c r="V87" s="20">
        <f t="shared" si="100"/>
        <v>20.505503136181552</v>
      </c>
      <c r="W87" s="20">
        <f t="shared" si="100"/>
        <v>0</v>
      </c>
      <c r="X87" s="20">
        <f t="shared" si="100"/>
        <v>0</v>
      </c>
      <c r="Y87" s="20">
        <f t="shared" si="100"/>
        <v>0</v>
      </c>
      <c r="Z87" s="20">
        <f t="shared" si="101"/>
        <v>15.842319359729137</v>
      </c>
      <c r="AA87" s="20">
        <f t="shared" si="101"/>
        <v>0</v>
      </c>
      <c r="AB87" s="20">
        <f t="shared" si="101"/>
        <v>0</v>
      </c>
      <c r="AC87" s="20">
        <f t="shared" si="101"/>
        <v>0</v>
      </c>
      <c r="AD87" s="20">
        <f t="shared" si="102"/>
        <v>15.842319359729137</v>
      </c>
      <c r="AE87" s="20">
        <f t="shared" si="103"/>
        <v>131.40477461945801</v>
      </c>
      <c r="AF87" s="20">
        <f t="shared" si="103"/>
        <v>0</v>
      </c>
      <c r="AG87" s="20">
        <f t="shared" si="103"/>
        <v>0</v>
      </c>
      <c r="AH87" s="20">
        <f t="shared" si="103"/>
        <v>0</v>
      </c>
      <c r="AI87" s="20">
        <f t="shared" si="104"/>
        <v>121.51054718714276</v>
      </c>
      <c r="AJ87" s="20">
        <f t="shared" si="105"/>
        <v>0</v>
      </c>
      <c r="AK87" s="20">
        <f t="shared" si="106"/>
        <v>0</v>
      </c>
      <c r="AL87" s="20">
        <f t="shared" si="107"/>
        <v>0</v>
      </c>
      <c r="AM87" s="20">
        <f t="shared" si="108"/>
        <v>121.51054718714276</v>
      </c>
      <c r="AO87">
        <f t="shared" si="109"/>
        <v>22.307569890434596</v>
      </c>
      <c r="AP87">
        <f t="shared" si="109"/>
        <v>0</v>
      </c>
      <c r="AQ87">
        <f t="shared" si="109"/>
        <v>0</v>
      </c>
      <c r="AR87">
        <f t="shared" si="109"/>
        <v>0</v>
      </c>
      <c r="AS87">
        <f t="shared" si="110"/>
        <v>22.307569890434596</v>
      </c>
      <c r="AU87">
        <f t="shared" si="111"/>
        <v>171.09900149421571</v>
      </c>
      <c r="AV87">
        <f t="shared" si="111"/>
        <v>0</v>
      </c>
      <c r="AW87">
        <f t="shared" si="111"/>
        <v>0</v>
      </c>
      <c r="AX87">
        <f t="shared" si="111"/>
        <v>0</v>
      </c>
      <c r="AY87">
        <f t="shared" si="112"/>
        <v>171.09900149421571</v>
      </c>
    </row>
    <row r="88" spans="1:53" ht="15" x14ac:dyDescent="0.25">
      <c r="A88" s="1"/>
      <c r="B88" s="2"/>
      <c r="C88" s="1" t="s">
        <v>12</v>
      </c>
      <c r="D88">
        <v>0</v>
      </c>
      <c r="E88" s="360">
        <v>0</v>
      </c>
      <c r="F88">
        <v>0</v>
      </c>
      <c r="G88">
        <v>0</v>
      </c>
      <c r="H88">
        <v>0</v>
      </c>
      <c r="J88">
        <v>0</v>
      </c>
      <c r="K88">
        <v>0</v>
      </c>
      <c r="L88">
        <v>0</v>
      </c>
      <c r="M88">
        <v>0</v>
      </c>
      <c r="N88">
        <v>0</v>
      </c>
      <c r="O88" s="20"/>
      <c r="P88" s="20"/>
      <c r="Q88" s="438"/>
      <c r="R88" s="197">
        <v>0.38700000000000001</v>
      </c>
      <c r="S88" s="197">
        <v>2.48</v>
      </c>
      <c r="T88" s="197">
        <v>0.72182006204756977</v>
      </c>
      <c r="U88" s="197">
        <v>0.90789473684210531</v>
      </c>
      <c r="V88" s="20">
        <f t="shared" si="100"/>
        <v>0</v>
      </c>
      <c r="W88" s="20">
        <f t="shared" si="100"/>
        <v>0</v>
      </c>
      <c r="X88" s="20">
        <f t="shared" si="100"/>
        <v>0</v>
      </c>
      <c r="Y88" s="20">
        <f t="shared" si="100"/>
        <v>0</v>
      </c>
      <c r="Z88" s="20">
        <f t="shared" si="101"/>
        <v>0</v>
      </c>
      <c r="AA88" s="20">
        <f t="shared" si="101"/>
        <v>0</v>
      </c>
      <c r="AB88" s="20">
        <f t="shared" si="101"/>
        <v>0</v>
      </c>
      <c r="AC88" s="20">
        <f t="shared" si="101"/>
        <v>0</v>
      </c>
      <c r="AD88" s="20">
        <f t="shared" si="102"/>
        <v>0</v>
      </c>
      <c r="AE88" s="20">
        <f t="shared" si="103"/>
        <v>0</v>
      </c>
      <c r="AF88" s="20">
        <f t="shared" si="103"/>
        <v>0</v>
      </c>
      <c r="AG88" s="20">
        <f t="shared" si="103"/>
        <v>0</v>
      </c>
      <c r="AH88" s="20">
        <f t="shared" si="103"/>
        <v>0</v>
      </c>
      <c r="AI88" s="20">
        <f t="shared" si="104"/>
        <v>0</v>
      </c>
      <c r="AJ88" s="20">
        <f t="shared" si="105"/>
        <v>0</v>
      </c>
      <c r="AK88" s="20">
        <f t="shared" si="106"/>
        <v>0</v>
      </c>
      <c r="AL88" s="20">
        <f t="shared" si="107"/>
        <v>0</v>
      </c>
      <c r="AM88" s="20">
        <f t="shared" si="108"/>
        <v>0</v>
      </c>
      <c r="AO88">
        <f t="shared" si="109"/>
        <v>0</v>
      </c>
      <c r="AP88">
        <f t="shared" si="109"/>
        <v>0</v>
      </c>
      <c r="AQ88">
        <f t="shared" si="109"/>
        <v>0</v>
      </c>
      <c r="AR88">
        <f t="shared" si="109"/>
        <v>0</v>
      </c>
      <c r="AS88">
        <f t="shared" si="110"/>
        <v>0</v>
      </c>
      <c r="AU88">
        <f t="shared" si="111"/>
        <v>0</v>
      </c>
      <c r="AV88">
        <f t="shared" si="111"/>
        <v>0</v>
      </c>
      <c r="AW88">
        <f t="shared" si="111"/>
        <v>0</v>
      </c>
      <c r="AX88">
        <f t="shared" si="111"/>
        <v>0</v>
      </c>
      <c r="AY88">
        <f t="shared" si="112"/>
        <v>0</v>
      </c>
    </row>
    <row r="89" spans="1:53" ht="15" x14ac:dyDescent="0.25">
      <c r="A89" s="1"/>
      <c r="B89" s="2"/>
      <c r="C89" s="1" t="s">
        <v>13</v>
      </c>
      <c r="D89">
        <v>0</v>
      </c>
      <c r="E89" s="360">
        <v>0.19370000000000001</v>
      </c>
      <c r="F89">
        <v>0</v>
      </c>
      <c r="G89">
        <v>0</v>
      </c>
      <c r="H89">
        <v>0</v>
      </c>
      <c r="J89">
        <v>0</v>
      </c>
      <c r="K89">
        <v>0</v>
      </c>
      <c r="L89">
        <v>0</v>
      </c>
      <c r="M89">
        <v>0</v>
      </c>
      <c r="N89">
        <v>0</v>
      </c>
      <c r="O89" s="20"/>
      <c r="P89" s="20"/>
      <c r="Q89" s="438">
        <v>0.1535081561263954</v>
      </c>
      <c r="R89" s="197">
        <v>0.38700000000000001</v>
      </c>
      <c r="S89" s="197">
        <v>2.48</v>
      </c>
      <c r="T89" s="197">
        <v>0.72182006204756977</v>
      </c>
      <c r="U89" s="197">
        <v>0.90789473684210531</v>
      </c>
      <c r="V89" s="20">
        <f t="shared" si="100"/>
        <v>0.11507263048731242</v>
      </c>
      <c r="W89" s="20">
        <f t="shared" si="100"/>
        <v>0</v>
      </c>
      <c r="X89" s="20">
        <f t="shared" si="100"/>
        <v>0</v>
      </c>
      <c r="Y89" s="20">
        <f t="shared" si="100"/>
        <v>0</v>
      </c>
      <c r="Z89" s="20">
        <f t="shared" si="101"/>
        <v>8.8903810339938896E-2</v>
      </c>
      <c r="AA89" s="20">
        <f t="shared" si="101"/>
        <v>0</v>
      </c>
      <c r="AB89" s="20">
        <f t="shared" si="101"/>
        <v>0</v>
      </c>
      <c r="AC89" s="20">
        <f t="shared" si="101"/>
        <v>0</v>
      </c>
      <c r="AD89" s="20">
        <f t="shared" si="102"/>
        <v>8.8903810339938896E-2</v>
      </c>
      <c r="AE89" s="20">
        <f t="shared" si="103"/>
        <v>0.73741634007373325</v>
      </c>
      <c r="AF89" s="20">
        <f t="shared" si="103"/>
        <v>0</v>
      </c>
      <c r="AG89" s="20">
        <f t="shared" si="103"/>
        <v>0</v>
      </c>
      <c r="AH89" s="20">
        <f t="shared" si="103"/>
        <v>0</v>
      </c>
      <c r="AI89" s="20">
        <f t="shared" si="104"/>
        <v>0.68189198791739503</v>
      </c>
      <c r="AJ89" s="20">
        <f t="shared" si="105"/>
        <v>0</v>
      </c>
      <c r="AK89" s="20">
        <f t="shared" si="106"/>
        <v>0</v>
      </c>
      <c r="AL89" s="20">
        <f t="shared" si="107"/>
        <v>0</v>
      </c>
      <c r="AM89" s="20">
        <f t="shared" si="108"/>
        <v>0.68189198791739503</v>
      </c>
      <c r="AO89">
        <f t="shared" si="109"/>
        <v>0.12518545533966796</v>
      </c>
      <c r="AP89">
        <f t="shared" si="109"/>
        <v>0</v>
      </c>
      <c r="AQ89">
        <f t="shared" si="109"/>
        <v>0</v>
      </c>
      <c r="AR89">
        <f t="shared" si="109"/>
        <v>0</v>
      </c>
      <c r="AS89">
        <f t="shared" si="110"/>
        <v>0.12518545533966796</v>
      </c>
      <c r="AU89">
        <f t="shared" si="111"/>
        <v>0.96017210818648391</v>
      </c>
      <c r="AV89">
        <f t="shared" si="111"/>
        <v>0</v>
      </c>
      <c r="AW89">
        <f t="shared" si="111"/>
        <v>0</v>
      </c>
      <c r="AX89">
        <f t="shared" si="111"/>
        <v>0</v>
      </c>
      <c r="AY89">
        <f t="shared" si="112"/>
        <v>0.96017210818648391</v>
      </c>
    </row>
    <row r="90" spans="1:53" ht="15" x14ac:dyDescent="0.25">
      <c r="A90" s="7"/>
      <c r="B90" s="8" t="s">
        <v>14</v>
      </c>
      <c r="C90" s="7"/>
      <c r="D90" s="357">
        <f t="shared" ref="D90:H90" si="113">SUM(D84:D89)</f>
        <v>0</v>
      </c>
      <c r="E90" s="363">
        <f>SUM(E84:E89)</f>
        <v>124.3218</v>
      </c>
      <c r="F90" s="357">
        <f t="shared" si="113"/>
        <v>0</v>
      </c>
      <c r="G90" s="357">
        <f t="shared" si="113"/>
        <v>0</v>
      </c>
      <c r="H90" s="357">
        <f t="shared" si="113"/>
        <v>0</v>
      </c>
      <c r="J90">
        <v>0</v>
      </c>
      <c r="K90">
        <v>0</v>
      </c>
      <c r="L90">
        <v>0</v>
      </c>
      <c r="M90">
        <v>0</v>
      </c>
      <c r="N90">
        <v>0</v>
      </c>
      <c r="O90" s="20"/>
      <c r="P90" s="20"/>
      <c r="Q90" s="438">
        <v>7.7907929264314835E-2</v>
      </c>
      <c r="R90" s="197"/>
      <c r="S90" s="197"/>
      <c r="T90" s="197"/>
      <c r="U90" s="197"/>
      <c r="BA90" s="319">
        <f>(E90*10000*Q90*AU$10)</f>
        <v>136383.69397980554</v>
      </c>
    </row>
    <row r="91" spans="1:53" ht="15" x14ac:dyDescent="0.25">
      <c r="A91" s="10"/>
      <c r="B91" s="9" t="s">
        <v>15</v>
      </c>
      <c r="C91" s="5"/>
      <c r="E91" s="363">
        <f>SUM(E90)</f>
        <v>124.3218</v>
      </c>
      <c r="H91" s="358">
        <f>SUM(D90:H90)</f>
        <v>124.3218</v>
      </c>
      <c r="K91" s="14"/>
      <c r="N91">
        <v>0</v>
      </c>
      <c r="O91" s="20"/>
      <c r="P91" s="20"/>
      <c r="Q91" s="438"/>
      <c r="R91" s="197"/>
      <c r="S91" s="197"/>
      <c r="T91" s="197"/>
      <c r="U91" s="197"/>
    </row>
    <row r="92" spans="1:53" ht="15.75" x14ac:dyDescent="0.25">
      <c r="A92" s="1"/>
      <c r="B92" s="2"/>
      <c r="C92" s="1"/>
      <c r="E92" s="361"/>
      <c r="K92" s="14"/>
      <c r="O92" s="20"/>
      <c r="P92" s="20"/>
      <c r="Q92" s="439"/>
      <c r="R92" s="197"/>
      <c r="S92" s="197"/>
      <c r="T92" s="197"/>
      <c r="U92" s="197"/>
    </row>
    <row r="93" spans="1:53" ht="15" x14ac:dyDescent="0.25">
      <c r="A93" s="1">
        <v>10</v>
      </c>
      <c r="B93" s="2" t="s">
        <v>24</v>
      </c>
      <c r="C93" s="1" t="s">
        <v>8</v>
      </c>
      <c r="D93">
        <v>0</v>
      </c>
      <c r="E93" s="360">
        <v>148.16669999999999</v>
      </c>
      <c r="F93">
        <v>0</v>
      </c>
      <c r="G93">
        <v>0</v>
      </c>
      <c r="H93">
        <v>0</v>
      </c>
      <c r="J93">
        <v>0</v>
      </c>
      <c r="K93">
        <v>0</v>
      </c>
      <c r="L93">
        <v>0</v>
      </c>
      <c r="M93">
        <v>0</v>
      </c>
      <c r="N93">
        <v>0</v>
      </c>
      <c r="O93" s="20"/>
      <c r="P93" s="20"/>
      <c r="Q93" s="438">
        <v>4.5127039031598856E-2</v>
      </c>
      <c r="R93" s="197">
        <v>0.66599999999999993</v>
      </c>
      <c r="S93" s="197">
        <v>4.5549999999999997</v>
      </c>
      <c r="T93" s="197">
        <v>0.60039794540960334</v>
      </c>
      <c r="U93" s="197">
        <v>0.90789473684210531</v>
      </c>
      <c r="V93" s="20">
        <f t="shared" ref="V93:Y98" si="114">IF(K93&gt;0,((E93-K93)*$Q93*$R93*10)+(K93*$O$12*$Q93*$R93*10),(E93*$Q93*$R93*10))</f>
        <v>44.530920864194094</v>
      </c>
      <c r="W93" s="20">
        <f t="shared" si="114"/>
        <v>0</v>
      </c>
      <c r="X93" s="20">
        <f t="shared" si="114"/>
        <v>0</v>
      </c>
      <c r="Y93" s="20">
        <f t="shared" si="114"/>
        <v>0</v>
      </c>
      <c r="Z93" s="20">
        <f t="shared" ref="Z93:AC98" si="115">V93*(EXP(1.01-0.34*LN(Z$8))*(1-$T93)+(1*$T93))</f>
        <v>29.983845654406579</v>
      </c>
      <c r="AA93" s="20">
        <f t="shared" si="115"/>
        <v>0</v>
      </c>
      <c r="AB93" s="20">
        <f t="shared" si="115"/>
        <v>0</v>
      </c>
      <c r="AC93" s="20">
        <f t="shared" si="115"/>
        <v>0</v>
      </c>
      <c r="AD93" s="20">
        <f t="shared" ref="AD93:AD98" si="116">SUM(Z93:AC93)</f>
        <v>29.983845654406579</v>
      </c>
      <c r="AE93" s="20">
        <f t="shared" ref="AE93:AH98" si="117">IF(K93&gt;0,((E93-K93)*$Q93*$S93*10)+(K93*$P$12*$Q93*$S93)*10,(E93*$Q93*$S93*10))</f>
        <v>304.56207888348962</v>
      </c>
      <c r="AF93" s="20">
        <f t="shared" si="117"/>
        <v>0</v>
      </c>
      <c r="AG93" s="20">
        <f t="shared" si="117"/>
        <v>0</v>
      </c>
      <c r="AH93" s="20">
        <f t="shared" si="117"/>
        <v>0</v>
      </c>
      <c r="AI93" s="20">
        <f t="shared" ref="AI93:AI98" si="118">AE93*(EXP(1.01-0.34*LN(AI$8))*(1-$U93)+(1*$U93))</f>
        <v>281.62983395967569</v>
      </c>
      <c r="AJ93" s="20">
        <f t="shared" ref="AJ93:AJ98" si="119">AF93*(EXP(1.01-0.34*LN(AJ$8))*(1-$U93)+(1*$U93))</f>
        <v>0</v>
      </c>
      <c r="AK93" s="20">
        <f t="shared" ref="AK93:AK98" si="120">AG93*(EXP(1.01-0.34*LN(AK$8))*(1-$U93)+(1*$U93))</f>
        <v>0</v>
      </c>
      <c r="AL93" s="20">
        <f t="shared" ref="AL93:AL98" si="121">AH93*(EXP(1.01-0.34*LN(AL$8))*(1-$U93)+(1*$U93))</f>
        <v>0</v>
      </c>
      <c r="AM93" s="20">
        <f t="shared" ref="AM93:AM98" si="122">SUM(AI93:AL93)</f>
        <v>281.62983395967569</v>
      </c>
      <c r="AO93">
        <f t="shared" ref="AO93:AR98" si="123">Z93*AO$10</f>
        <v>42.220253065969899</v>
      </c>
      <c r="AP93">
        <f t="shared" si="123"/>
        <v>0</v>
      </c>
      <c r="AQ93">
        <f t="shared" si="123"/>
        <v>0</v>
      </c>
      <c r="AR93">
        <f t="shared" si="123"/>
        <v>0</v>
      </c>
      <c r="AS93">
        <f t="shared" ref="AS93:AS98" si="124">SUM(AO93:AR93)</f>
        <v>42.220253065969899</v>
      </c>
      <c r="AU93">
        <f t="shared" ref="AU93:AX98" si="125">AI93*AU$10</f>
        <v>396.56296919861933</v>
      </c>
      <c r="AV93">
        <f t="shared" si="125"/>
        <v>0</v>
      </c>
      <c r="AW93">
        <f t="shared" si="125"/>
        <v>0</v>
      </c>
      <c r="AX93">
        <f t="shared" si="125"/>
        <v>0</v>
      </c>
      <c r="AY93">
        <f t="shared" ref="AY93:AY98" si="126">SUM(AU93:AX93)</f>
        <v>396.56296919861933</v>
      </c>
    </row>
    <row r="94" spans="1:53" ht="15" x14ac:dyDescent="0.25">
      <c r="A94" s="1"/>
      <c r="B94" s="2"/>
      <c r="C94" s="1" t="s">
        <v>9</v>
      </c>
      <c r="D94">
        <v>0</v>
      </c>
      <c r="E94" s="360">
        <v>16.532399999999999</v>
      </c>
      <c r="F94">
        <v>0</v>
      </c>
      <c r="G94">
        <v>0</v>
      </c>
      <c r="H94">
        <v>0</v>
      </c>
      <c r="J94">
        <v>0</v>
      </c>
      <c r="K94">
        <v>0</v>
      </c>
      <c r="L94">
        <v>0</v>
      </c>
      <c r="M94">
        <v>0</v>
      </c>
      <c r="N94">
        <v>0</v>
      </c>
      <c r="O94" s="20"/>
      <c r="P94" s="20"/>
      <c r="Q94" s="438">
        <v>8.1254078063197704E-2</v>
      </c>
      <c r="R94" s="197">
        <v>0.66599999999999993</v>
      </c>
      <c r="S94" s="197">
        <v>4.5549999999999997</v>
      </c>
      <c r="T94" s="197">
        <v>0.60039794540960334</v>
      </c>
      <c r="U94" s="197">
        <v>0.90789473684210531</v>
      </c>
      <c r="V94" s="20">
        <f t="shared" si="114"/>
        <v>8.9465439683455834</v>
      </c>
      <c r="W94" s="20">
        <f t="shared" si="114"/>
        <v>0</v>
      </c>
      <c r="X94" s="20">
        <f t="shared" si="114"/>
        <v>0</v>
      </c>
      <c r="Y94" s="20">
        <f t="shared" si="114"/>
        <v>0</v>
      </c>
      <c r="Z94" s="20">
        <f t="shared" si="115"/>
        <v>6.023944447619292</v>
      </c>
      <c r="AA94" s="20">
        <f t="shared" si="115"/>
        <v>0</v>
      </c>
      <c r="AB94" s="20">
        <f t="shared" si="115"/>
        <v>0</v>
      </c>
      <c r="AC94" s="20">
        <f t="shared" si="115"/>
        <v>0</v>
      </c>
      <c r="AD94" s="20">
        <f t="shared" si="116"/>
        <v>6.023944447619292</v>
      </c>
      <c r="AE94" s="20">
        <f t="shared" si="117"/>
        <v>61.188450113835032</v>
      </c>
      <c r="AF94" s="20">
        <f t="shared" si="117"/>
        <v>0</v>
      </c>
      <c r="AG94" s="20">
        <f t="shared" si="117"/>
        <v>0</v>
      </c>
      <c r="AH94" s="20">
        <f t="shared" si="117"/>
        <v>0</v>
      </c>
      <c r="AI94" s="20">
        <f t="shared" si="118"/>
        <v>56.581216903242762</v>
      </c>
      <c r="AJ94" s="20">
        <f t="shared" si="119"/>
        <v>0</v>
      </c>
      <c r="AK94" s="20">
        <f t="shared" si="120"/>
        <v>0</v>
      </c>
      <c r="AL94" s="20">
        <f t="shared" si="121"/>
        <v>0</v>
      </c>
      <c r="AM94" s="20">
        <f t="shared" si="122"/>
        <v>56.581216903242762</v>
      </c>
      <c r="AO94">
        <f t="shared" si="123"/>
        <v>8.4823161766927253</v>
      </c>
      <c r="AP94">
        <f t="shared" si="123"/>
        <v>0</v>
      </c>
      <c r="AQ94">
        <f t="shared" si="123"/>
        <v>0</v>
      </c>
      <c r="AR94">
        <f t="shared" si="123"/>
        <v>0</v>
      </c>
      <c r="AS94">
        <f t="shared" si="124"/>
        <v>8.4823161766927253</v>
      </c>
      <c r="AU94">
        <f t="shared" si="125"/>
        <v>79.672011521456128</v>
      </c>
      <c r="AV94">
        <f t="shared" si="125"/>
        <v>0</v>
      </c>
      <c r="AW94">
        <f t="shared" si="125"/>
        <v>0</v>
      </c>
      <c r="AX94">
        <f t="shared" si="125"/>
        <v>0</v>
      </c>
      <c r="AY94">
        <f t="shared" si="126"/>
        <v>79.672011521456128</v>
      </c>
    </row>
    <row r="95" spans="1:53" ht="15" x14ac:dyDescent="0.25">
      <c r="A95" s="1"/>
      <c r="B95" s="2"/>
      <c r="C95" s="1" t="s">
        <v>10</v>
      </c>
      <c r="D95">
        <v>0</v>
      </c>
      <c r="E95" s="360"/>
      <c r="F95">
        <v>0</v>
      </c>
      <c r="G95">
        <v>0</v>
      </c>
      <c r="H95">
        <v>0</v>
      </c>
      <c r="J95">
        <v>0</v>
      </c>
      <c r="K95">
        <v>0</v>
      </c>
      <c r="L95">
        <v>0</v>
      </c>
      <c r="M95">
        <v>0</v>
      </c>
      <c r="N95">
        <v>0</v>
      </c>
      <c r="O95" s="20"/>
      <c r="P95" s="20"/>
      <c r="Q95" s="438"/>
      <c r="R95" s="197">
        <v>0.66599999999999993</v>
      </c>
      <c r="S95" s="197">
        <v>4.5549999999999997</v>
      </c>
      <c r="T95" s="197">
        <v>0.60039794540960334</v>
      </c>
      <c r="U95" s="197">
        <v>0.90789473684210531</v>
      </c>
      <c r="V95" s="20">
        <f t="shared" si="114"/>
        <v>0</v>
      </c>
      <c r="W95" s="20">
        <f t="shared" si="114"/>
        <v>0</v>
      </c>
      <c r="X95" s="20">
        <f t="shared" si="114"/>
        <v>0</v>
      </c>
      <c r="Y95" s="20">
        <f t="shared" si="114"/>
        <v>0</v>
      </c>
      <c r="Z95" s="20">
        <f t="shared" si="115"/>
        <v>0</v>
      </c>
      <c r="AA95" s="20">
        <f t="shared" si="115"/>
        <v>0</v>
      </c>
      <c r="AB95" s="20">
        <f t="shared" si="115"/>
        <v>0</v>
      </c>
      <c r="AC95" s="20">
        <f t="shared" si="115"/>
        <v>0</v>
      </c>
      <c r="AD95" s="20">
        <f t="shared" si="116"/>
        <v>0</v>
      </c>
      <c r="AE95" s="20">
        <f t="shared" si="117"/>
        <v>0</v>
      </c>
      <c r="AF95" s="20">
        <f t="shared" si="117"/>
        <v>0</v>
      </c>
      <c r="AG95" s="20">
        <f t="shared" si="117"/>
        <v>0</v>
      </c>
      <c r="AH95" s="20">
        <f t="shared" si="117"/>
        <v>0</v>
      </c>
      <c r="AI95" s="20">
        <f t="shared" si="118"/>
        <v>0</v>
      </c>
      <c r="AJ95" s="20">
        <f t="shared" si="119"/>
        <v>0</v>
      </c>
      <c r="AK95" s="20">
        <f t="shared" si="120"/>
        <v>0</v>
      </c>
      <c r="AL95" s="20">
        <f t="shared" si="121"/>
        <v>0</v>
      </c>
      <c r="AM95" s="20">
        <f t="shared" si="122"/>
        <v>0</v>
      </c>
      <c r="AO95">
        <f t="shared" si="123"/>
        <v>0</v>
      </c>
      <c r="AP95">
        <f t="shared" si="123"/>
        <v>0</v>
      </c>
      <c r="AQ95">
        <f t="shared" si="123"/>
        <v>0</v>
      </c>
      <c r="AR95">
        <f t="shared" si="123"/>
        <v>0</v>
      </c>
      <c r="AS95">
        <f t="shared" si="124"/>
        <v>0</v>
      </c>
      <c r="AU95">
        <f t="shared" si="125"/>
        <v>0</v>
      </c>
      <c r="AV95">
        <f t="shared" si="125"/>
        <v>0</v>
      </c>
      <c r="AW95">
        <f t="shared" si="125"/>
        <v>0</v>
      </c>
      <c r="AX95">
        <f t="shared" si="125"/>
        <v>0</v>
      </c>
      <c r="AY95">
        <f t="shared" si="126"/>
        <v>0</v>
      </c>
    </row>
    <row r="96" spans="1:53" ht="15" x14ac:dyDescent="0.25">
      <c r="A96" s="1"/>
      <c r="B96" s="2"/>
      <c r="C96" s="1" t="s">
        <v>11</v>
      </c>
      <c r="D96">
        <v>0</v>
      </c>
      <c r="E96" s="360">
        <v>104.04470000000001</v>
      </c>
      <c r="F96">
        <v>0</v>
      </c>
      <c r="G96">
        <v>0</v>
      </c>
      <c r="H96">
        <v>0</v>
      </c>
      <c r="J96">
        <v>0</v>
      </c>
      <c r="K96">
        <v>0</v>
      </c>
      <c r="L96">
        <v>0</v>
      </c>
      <c r="M96">
        <v>0</v>
      </c>
      <c r="N96">
        <v>0</v>
      </c>
      <c r="O96" s="20"/>
      <c r="P96" s="20"/>
      <c r="Q96" s="438">
        <v>0.15350815612639543</v>
      </c>
      <c r="R96" s="197">
        <v>0.66599999999999993</v>
      </c>
      <c r="S96" s="197">
        <v>4.5549999999999997</v>
      </c>
      <c r="T96" s="197">
        <v>0.60039794540960334</v>
      </c>
      <c r="U96" s="197">
        <v>0.90789473684210531</v>
      </c>
      <c r="V96" s="20">
        <f t="shared" si="114"/>
        <v>106.37158894448166</v>
      </c>
      <c r="W96" s="20">
        <f t="shared" si="114"/>
        <v>0</v>
      </c>
      <c r="X96" s="20">
        <f t="shared" si="114"/>
        <v>0</v>
      </c>
      <c r="Y96" s="20">
        <f t="shared" si="114"/>
        <v>0</v>
      </c>
      <c r="Z96" s="20">
        <f t="shared" si="115"/>
        <v>71.622801483313552</v>
      </c>
      <c r="AA96" s="20">
        <f t="shared" si="115"/>
        <v>0</v>
      </c>
      <c r="AB96" s="20">
        <f t="shared" si="115"/>
        <v>0</v>
      </c>
      <c r="AC96" s="20">
        <f t="shared" si="115"/>
        <v>0</v>
      </c>
      <c r="AD96" s="20">
        <f t="shared" si="116"/>
        <v>71.622801483313552</v>
      </c>
      <c r="AE96" s="20">
        <f t="shared" si="117"/>
        <v>727.51139285602699</v>
      </c>
      <c r="AF96" s="20">
        <f t="shared" si="117"/>
        <v>0</v>
      </c>
      <c r="AG96" s="20">
        <f t="shared" si="117"/>
        <v>0</v>
      </c>
      <c r="AH96" s="20">
        <f t="shared" si="117"/>
        <v>0</v>
      </c>
      <c r="AI96" s="20">
        <f t="shared" si="118"/>
        <v>672.73284160959383</v>
      </c>
      <c r="AJ96" s="20">
        <f t="shared" si="119"/>
        <v>0</v>
      </c>
      <c r="AK96" s="20">
        <f t="shared" si="120"/>
        <v>0</v>
      </c>
      <c r="AL96" s="20">
        <f t="shared" si="121"/>
        <v>0</v>
      </c>
      <c r="AM96" s="20">
        <f t="shared" si="122"/>
        <v>672.73284160959383</v>
      </c>
      <c r="AO96">
        <f t="shared" si="123"/>
        <v>100.8520667686538</v>
      </c>
      <c r="AP96">
        <f t="shared" si="123"/>
        <v>0</v>
      </c>
      <c r="AQ96">
        <f t="shared" si="123"/>
        <v>0</v>
      </c>
      <c r="AR96">
        <f t="shared" si="123"/>
        <v>0</v>
      </c>
      <c r="AS96">
        <f t="shared" si="124"/>
        <v>100.8520667686538</v>
      </c>
      <c r="AU96">
        <f t="shared" si="125"/>
        <v>947.27511427046898</v>
      </c>
      <c r="AV96">
        <f t="shared" si="125"/>
        <v>0</v>
      </c>
      <c r="AW96">
        <f t="shared" si="125"/>
        <v>0</v>
      </c>
      <c r="AX96">
        <f t="shared" si="125"/>
        <v>0</v>
      </c>
      <c r="AY96">
        <f t="shared" si="126"/>
        <v>947.27511427046898</v>
      </c>
    </row>
    <row r="97" spans="1:53" ht="15" x14ac:dyDescent="0.25">
      <c r="A97" s="1"/>
      <c r="B97" s="2"/>
      <c r="C97" s="1" t="s">
        <v>12</v>
      </c>
      <c r="D97">
        <v>0</v>
      </c>
      <c r="E97" s="360">
        <v>0</v>
      </c>
      <c r="F97">
        <v>0</v>
      </c>
      <c r="G97">
        <v>0</v>
      </c>
      <c r="H9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20"/>
      <c r="P97" s="20"/>
      <c r="Q97" s="438"/>
      <c r="R97" s="197">
        <v>0.66599999999999993</v>
      </c>
      <c r="S97" s="197">
        <v>4.5549999999999997</v>
      </c>
      <c r="T97" s="197">
        <v>0.60039794540960334</v>
      </c>
      <c r="U97" s="197">
        <v>0.90789473684210531</v>
      </c>
      <c r="V97" s="20">
        <f t="shared" si="114"/>
        <v>0</v>
      </c>
      <c r="W97" s="20">
        <f t="shared" si="114"/>
        <v>0</v>
      </c>
      <c r="X97" s="20">
        <f t="shared" si="114"/>
        <v>0</v>
      </c>
      <c r="Y97" s="20">
        <f t="shared" si="114"/>
        <v>0</v>
      </c>
      <c r="Z97" s="20">
        <f t="shared" si="115"/>
        <v>0</v>
      </c>
      <c r="AA97" s="20">
        <f t="shared" si="115"/>
        <v>0</v>
      </c>
      <c r="AB97" s="20">
        <f t="shared" si="115"/>
        <v>0</v>
      </c>
      <c r="AC97" s="20">
        <f t="shared" si="115"/>
        <v>0</v>
      </c>
      <c r="AD97" s="20">
        <f t="shared" si="116"/>
        <v>0</v>
      </c>
      <c r="AE97" s="20">
        <f t="shared" si="117"/>
        <v>0</v>
      </c>
      <c r="AF97" s="20">
        <f t="shared" si="117"/>
        <v>0</v>
      </c>
      <c r="AG97" s="20">
        <f t="shared" si="117"/>
        <v>0</v>
      </c>
      <c r="AH97" s="20">
        <f t="shared" si="117"/>
        <v>0</v>
      </c>
      <c r="AI97" s="20">
        <f t="shared" si="118"/>
        <v>0</v>
      </c>
      <c r="AJ97" s="20">
        <f t="shared" si="119"/>
        <v>0</v>
      </c>
      <c r="AK97" s="20">
        <f t="shared" si="120"/>
        <v>0</v>
      </c>
      <c r="AL97" s="20">
        <f t="shared" si="121"/>
        <v>0</v>
      </c>
      <c r="AM97" s="20">
        <f t="shared" si="122"/>
        <v>0</v>
      </c>
      <c r="AO97">
        <f t="shared" si="123"/>
        <v>0</v>
      </c>
      <c r="AP97">
        <f t="shared" si="123"/>
        <v>0</v>
      </c>
      <c r="AQ97">
        <f t="shared" si="123"/>
        <v>0</v>
      </c>
      <c r="AR97">
        <f t="shared" si="123"/>
        <v>0</v>
      </c>
      <c r="AS97">
        <f t="shared" si="124"/>
        <v>0</v>
      </c>
      <c r="AU97">
        <f t="shared" si="125"/>
        <v>0</v>
      </c>
      <c r="AV97">
        <f t="shared" si="125"/>
        <v>0</v>
      </c>
      <c r="AW97">
        <f t="shared" si="125"/>
        <v>0</v>
      </c>
      <c r="AX97">
        <f t="shared" si="125"/>
        <v>0</v>
      </c>
      <c r="AY97">
        <f t="shared" si="126"/>
        <v>0</v>
      </c>
    </row>
    <row r="98" spans="1:53" ht="15" x14ac:dyDescent="0.25">
      <c r="A98" s="1"/>
      <c r="B98" s="2"/>
      <c r="C98" s="1" t="s">
        <v>13</v>
      </c>
      <c r="D98">
        <v>0</v>
      </c>
      <c r="E98" s="360">
        <v>1.4752000000000001</v>
      </c>
      <c r="F98">
        <v>0</v>
      </c>
      <c r="G98">
        <v>0</v>
      </c>
      <c r="H98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20"/>
      <c r="P98" s="20"/>
      <c r="Q98" s="438">
        <v>0.1535081561263954</v>
      </c>
      <c r="R98" s="197">
        <v>0.66599999999999993</v>
      </c>
      <c r="S98" s="197">
        <v>4.5549999999999997</v>
      </c>
      <c r="T98" s="197">
        <v>0.60039794540960334</v>
      </c>
      <c r="U98" s="197">
        <v>0.90789473684210531</v>
      </c>
      <c r="V98" s="20">
        <f t="shared" si="114"/>
        <v>1.5081918445716056</v>
      </c>
      <c r="W98" s="20">
        <f t="shared" si="114"/>
        <v>0</v>
      </c>
      <c r="X98" s="20">
        <f t="shared" si="114"/>
        <v>0</v>
      </c>
      <c r="Y98" s="20">
        <f t="shared" si="114"/>
        <v>0</v>
      </c>
      <c r="Z98" s="20">
        <f t="shared" si="115"/>
        <v>1.0155054197684663</v>
      </c>
      <c r="AA98" s="20">
        <f t="shared" si="115"/>
        <v>0</v>
      </c>
      <c r="AB98" s="20">
        <f t="shared" si="115"/>
        <v>0</v>
      </c>
      <c r="AC98" s="20">
        <f t="shared" si="115"/>
        <v>0</v>
      </c>
      <c r="AD98" s="20">
        <f t="shared" si="116"/>
        <v>1.0155054197684663</v>
      </c>
      <c r="AE98" s="20">
        <f t="shared" si="117"/>
        <v>10.315035813849345</v>
      </c>
      <c r="AF98" s="20">
        <f t="shared" si="117"/>
        <v>0</v>
      </c>
      <c r="AG98" s="20">
        <f t="shared" si="117"/>
        <v>0</v>
      </c>
      <c r="AH98" s="20">
        <f t="shared" si="117"/>
        <v>0</v>
      </c>
      <c r="AI98" s="20">
        <f t="shared" si="118"/>
        <v>9.5383569556399586</v>
      </c>
      <c r="AJ98" s="20">
        <f t="shared" si="119"/>
        <v>0</v>
      </c>
      <c r="AK98" s="20">
        <f t="shared" si="120"/>
        <v>0</v>
      </c>
      <c r="AL98" s="20">
        <f t="shared" si="121"/>
        <v>0</v>
      </c>
      <c r="AM98" s="20">
        <f t="shared" si="122"/>
        <v>9.5383569556399586</v>
      </c>
      <c r="AO98">
        <f t="shared" si="123"/>
        <v>1.4299331815759773</v>
      </c>
      <c r="AP98">
        <f t="shared" si="123"/>
        <v>0</v>
      </c>
      <c r="AQ98">
        <f t="shared" si="123"/>
        <v>0</v>
      </c>
      <c r="AR98">
        <f t="shared" si="123"/>
        <v>0</v>
      </c>
      <c r="AS98">
        <f t="shared" si="124"/>
        <v>1.4299331815759773</v>
      </c>
      <c r="AU98">
        <f t="shared" si="125"/>
        <v>13.430960429236626</v>
      </c>
      <c r="AV98">
        <f t="shared" si="125"/>
        <v>0</v>
      </c>
      <c r="AW98">
        <f t="shared" si="125"/>
        <v>0</v>
      </c>
      <c r="AX98">
        <f t="shared" si="125"/>
        <v>0</v>
      </c>
      <c r="AY98">
        <f t="shared" si="126"/>
        <v>13.430960429236626</v>
      </c>
    </row>
    <row r="99" spans="1:53" ht="15" x14ac:dyDescent="0.25">
      <c r="A99" s="7"/>
      <c r="B99" s="8" t="s">
        <v>14</v>
      </c>
      <c r="C99" s="7"/>
      <c r="D99" s="357">
        <f t="shared" ref="D99:H99" si="127">SUM(D93:D98)</f>
        <v>0</v>
      </c>
      <c r="E99" s="363">
        <f>SUM(E93:E98)</f>
        <v>270.21899999999994</v>
      </c>
      <c r="F99" s="357">
        <f t="shared" si="127"/>
        <v>0</v>
      </c>
      <c r="G99" s="357">
        <f t="shared" si="127"/>
        <v>0</v>
      </c>
      <c r="H99" s="357">
        <f t="shared" si="127"/>
        <v>0</v>
      </c>
      <c r="J99">
        <v>0</v>
      </c>
      <c r="K99">
        <v>0</v>
      </c>
      <c r="L99">
        <v>0</v>
      </c>
      <c r="M99">
        <v>0</v>
      </c>
      <c r="N99">
        <v>0</v>
      </c>
      <c r="O99" s="20"/>
      <c r="P99" s="20"/>
      <c r="Q99" s="438">
        <v>8.9659922721558608E-2</v>
      </c>
      <c r="R99" s="197"/>
      <c r="S99" s="197"/>
      <c r="T99" s="197"/>
      <c r="U99" s="197"/>
      <c r="BA99" s="319">
        <f>(E99*10000*Q99*AU$10)</f>
        <v>341151.8581978454</v>
      </c>
    </row>
    <row r="100" spans="1:53" ht="15" x14ac:dyDescent="0.25">
      <c r="A100" s="10"/>
      <c r="B100" s="9" t="s">
        <v>15</v>
      </c>
      <c r="C100" s="5"/>
      <c r="E100" s="363">
        <f>SUM(E99)</f>
        <v>270.21899999999994</v>
      </c>
      <c r="H100" s="358">
        <f>SUM(D99:H99)</f>
        <v>270.21899999999994</v>
      </c>
      <c r="K100" s="14"/>
      <c r="N100">
        <v>0</v>
      </c>
      <c r="O100" s="20"/>
      <c r="P100" s="20"/>
      <c r="Q100" s="438"/>
      <c r="R100" s="197"/>
      <c r="S100" s="197"/>
      <c r="T100" s="197"/>
      <c r="U100" s="197"/>
    </row>
    <row r="101" spans="1:53" ht="15.75" x14ac:dyDescent="0.25">
      <c r="A101" s="1"/>
      <c r="B101" s="2"/>
      <c r="C101" s="1"/>
      <c r="E101" s="361"/>
      <c r="K101" s="14"/>
      <c r="O101" s="20"/>
      <c r="P101" s="20"/>
      <c r="Q101" s="439"/>
      <c r="R101" s="197"/>
      <c r="S101" s="197"/>
      <c r="T101" s="197"/>
      <c r="U101" s="197"/>
    </row>
    <row r="102" spans="1:53" ht="15" x14ac:dyDescent="0.25">
      <c r="A102" s="1">
        <v>11</v>
      </c>
      <c r="B102" s="2" t="s">
        <v>25</v>
      </c>
      <c r="C102" s="1" t="s">
        <v>8</v>
      </c>
      <c r="D102">
        <v>0</v>
      </c>
      <c r="E102" s="360">
        <v>9.1846999999999994</v>
      </c>
      <c r="F102">
        <v>0</v>
      </c>
      <c r="G102">
        <v>0</v>
      </c>
      <c r="H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 s="20"/>
      <c r="P102" s="20"/>
      <c r="Q102" s="438">
        <v>4.5127039031598856E-2</v>
      </c>
      <c r="R102" s="197">
        <v>0.14000000000000001</v>
      </c>
      <c r="S102" s="197">
        <v>2.0499999999999998</v>
      </c>
      <c r="T102" s="197">
        <v>0.62857142857142845</v>
      </c>
      <c r="U102" s="197">
        <v>0.90789473684210531</v>
      </c>
      <c r="V102" s="20">
        <f t="shared" ref="V102:Y107" si="128">IF(K102&gt;0,((E102-K102)*$Q102*$R102*10)+(K102*$O$12*$Q102*$R102*10),(E102*$Q102*$R102*10))</f>
        <v>0.58026964155093641</v>
      </c>
      <c r="W102" s="20">
        <f t="shared" si="128"/>
        <v>0</v>
      </c>
      <c r="X102" s="20">
        <f t="shared" si="128"/>
        <v>0</v>
      </c>
      <c r="Y102" s="20">
        <f t="shared" si="128"/>
        <v>0</v>
      </c>
      <c r="Z102" s="20">
        <f t="shared" ref="Z102:AC107" si="129">V102*(EXP(1.01-0.34*LN(Z$8))*(1-$T102)+(1*$T102))</f>
        <v>0.40407550434045791</v>
      </c>
      <c r="AA102" s="20">
        <f t="shared" si="129"/>
        <v>0</v>
      </c>
      <c r="AB102" s="20">
        <f t="shared" si="129"/>
        <v>0</v>
      </c>
      <c r="AC102" s="20">
        <f t="shared" si="129"/>
        <v>0</v>
      </c>
      <c r="AD102" s="20">
        <f t="shared" ref="AD102:AD107" si="130">SUM(Z102:AC102)</f>
        <v>0.40407550434045791</v>
      </c>
      <c r="AE102" s="20">
        <f t="shared" ref="AE102:AH107" si="131">IF(K102&gt;0,((E102-K102)*$Q102*$S102*10)+(K102*$P$12*$Q102*$S102)*10,(E102*$Q102*$S102*10))</f>
        <v>8.4968054655672827</v>
      </c>
      <c r="AF102" s="20">
        <f t="shared" si="131"/>
        <v>0</v>
      </c>
      <c r="AG102" s="20">
        <f t="shared" si="131"/>
        <v>0</v>
      </c>
      <c r="AH102" s="20">
        <f t="shared" si="131"/>
        <v>0</v>
      </c>
      <c r="AI102" s="20">
        <f t="shared" ref="AI102:AI107" si="132">AE102*(EXP(1.01-0.34*LN(AI$8))*(1-$U102)+(1*$U102))</f>
        <v>7.8570317132974532</v>
      </c>
      <c r="AJ102" s="20">
        <f t="shared" ref="AJ102:AJ107" si="133">AF102*(EXP(1.01-0.34*LN(AJ$8))*(1-$U102)+(1*$U102))</f>
        <v>0</v>
      </c>
      <c r="AK102" s="20">
        <f t="shared" ref="AK102:AK107" si="134">AG102*(EXP(1.01-0.34*LN(AK$8))*(1-$U102)+(1*$U102))</f>
        <v>0</v>
      </c>
      <c r="AL102" s="20">
        <f t="shared" ref="AL102:AL107" si="135">AH102*(EXP(1.01-0.34*LN(AL$8))*(1-$U102)+(1*$U102))</f>
        <v>0</v>
      </c>
      <c r="AM102" s="20">
        <f t="shared" ref="AM102:AM107" si="136">SUM(AI102:AL102)</f>
        <v>7.8570317132974532</v>
      </c>
      <c r="AO102">
        <f t="shared" ref="AO102:AR107" si="137">Z102*AO$10</f>
        <v>0.56897871766179875</v>
      </c>
      <c r="AP102">
        <f t="shared" si="137"/>
        <v>0</v>
      </c>
      <c r="AQ102">
        <f t="shared" si="137"/>
        <v>0</v>
      </c>
      <c r="AR102">
        <f t="shared" si="137"/>
        <v>0</v>
      </c>
      <c r="AS102">
        <f t="shared" ref="AS102:AS107" si="138">SUM(AO102:AR102)</f>
        <v>0.56897871766179875</v>
      </c>
      <c r="AU102">
        <f t="shared" ref="AU102:AX107" si="139">AI102*AU$10</f>
        <v>11.063486355494144</v>
      </c>
      <c r="AV102">
        <f t="shared" si="139"/>
        <v>0</v>
      </c>
      <c r="AW102">
        <f t="shared" si="139"/>
        <v>0</v>
      </c>
      <c r="AX102">
        <f t="shared" si="139"/>
        <v>0</v>
      </c>
      <c r="AY102">
        <f t="shared" ref="AY102:AY107" si="140">SUM(AU102:AX102)</f>
        <v>11.063486355494144</v>
      </c>
    </row>
    <row r="103" spans="1:53" ht="15" x14ac:dyDescent="0.25">
      <c r="A103" s="1"/>
      <c r="B103" s="2"/>
      <c r="C103" s="1" t="s">
        <v>9</v>
      </c>
      <c r="D103">
        <v>0</v>
      </c>
      <c r="E103" s="360">
        <v>0</v>
      </c>
      <c r="F103">
        <v>0</v>
      </c>
      <c r="G103">
        <v>0</v>
      </c>
      <c r="H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 s="20"/>
      <c r="P103" s="20"/>
      <c r="Q103" s="438"/>
      <c r="R103" s="197">
        <v>0.14000000000000001</v>
      </c>
      <c r="S103" s="197">
        <v>2.0499999999999998</v>
      </c>
      <c r="T103" s="197">
        <v>0.62857142857142845</v>
      </c>
      <c r="U103" s="197">
        <v>0.90789473684210531</v>
      </c>
      <c r="V103" s="20">
        <f t="shared" si="128"/>
        <v>0</v>
      </c>
      <c r="W103" s="20">
        <f t="shared" si="128"/>
        <v>0</v>
      </c>
      <c r="X103" s="20">
        <f t="shared" si="128"/>
        <v>0</v>
      </c>
      <c r="Y103" s="20">
        <f t="shared" si="128"/>
        <v>0</v>
      </c>
      <c r="Z103" s="20">
        <f t="shared" si="129"/>
        <v>0</v>
      </c>
      <c r="AA103" s="20">
        <f t="shared" si="129"/>
        <v>0</v>
      </c>
      <c r="AB103" s="20">
        <f t="shared" si="129"/>
        <v>0</v>
      </c>
      <c r="AC103" s="20">
        <f t="shared" si="129"/>
        <v>0</v>
      </c>
      <c r="AD103" s="20">
        <f t="shared" si="130"/>
        <v>0</v>
      </c>
      <c r="AE103" s="20">
        <f t="shared" si="131"/>
        <v>0</v>
      </c>
      <c r="AF103" s="20">
        <f t="shared" si="131"/>
        <v>0</v>
      </c>
      <c r="AG103" s="20">
        <f t="shared" si="131"/>
        <v>0</v>
      </c>
      <c r="AH103" s="20">
        <f t="shared" si="131"/>
        <v>0</v>
      </c>
      <c r="AI103" s="20">
        <f t="shared" si="132"/>
        <v>0</v>
      </c>
      <c r="AJ103" s="20">
        <f t="shared" si="133"/>
        <v>0</v>
      </c>
      <c r="AK103" s="20">
        <f t="shared" si="134"/>
        <v>0</v>
      </c>
      <c r="AL103" s="20">
        <f t="shared" si="135"/>
        <v>0</v>
      </c>
      <c r="AM103" s="20">
        <f t="shared" si="136"/>
        <v>0</v>
      </c>
      <c r="AO103">
        <f t="shared" si="137"/>
        <v>0</v>
      </c>
      <c r="AP103">
        <f t="shared" si="137"/>
        <v>0</v>
      </c>
      <c r="AQ103">
        <f t="shared" si="137"/>
        <v>0</v>
      </c>
      <c r="AR103">
        <f t="shared" si="137"/>
        <v>0</v>
      </c>
      <c r="AS103">
        <f t="shared" si="138"/>
        <v>0</v>
      </c>
      <c r="AU103">
        <f t="shared" si="139"/>
        <v>0</v>
      </c>
      <c r="AV103">
        <f t="shared" si="139"/>
        <v>0</v>
      </c>
      <c r="AW103">
        <f t="shared" si="139"/>
        <v>0</v>
      </c>
      <c r="AX103">
        <f t="shared" si="139"/>
        <v>0</v>
      </c>
      <c r="AY103">
        <f t="shared" si="140"/>
        <v>0</v>
      </c>
    </row>
    <row r="104" spans="1:53" ht="15" x14ac:dyDescent="0.25">
      <c r="A104" s="1"/>
      <c r="B104" s="2"/>
      <c r="C104" s="1" t="s">
        <v>10</v>
      </c>
      <c r="D104">
        <v>0</v>
      </c>
      <c r="E104" s="360">
        <v>0</v>
      </c>
      <c r="F104">
        <v>0</v>
      </c>
      <c r="G104">
        <v>0</v>
      </c>
      <c r="H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 s="20"/>
      <c r="P104" s="20"/>
      <c r="Q104" s="438"/>
      <c r="R104" s="197">
        <v>0.14000000000000001</v>
      </c>
      <c r="S104" s="197">
        <v>2.0499999999999998</v>
      </c>
      <c r="T104" s="197">
        <v>0.62857142857142845</v>
      </c>
      <c r="U104" s="197">
        <v>0.90789473684210531</v>
      </c>
      <c r="V104" s="20">
        <f t="shared" si="128"/>
        <v>0</v>
      </c>
      <c r="W104" s="20">
        <f t="shared" si="128"/>
        <v>0</v>
      </c>
      <c r="X104" s="20">
        <f t="shared" si="128"/>
        <v>0</v>
      </c>
      <c r="Y104" s="20">
        <f t="shared" si="128"/>
        <v>0</v>
      </c>
      <c r="Z104" s="20">
        <f t="shared" si="129"/>
        <v>0</v>
      </c>
      <c r="AA104" s="20">
        <f t="shared" si="129"/>
        <v>0</v>
      </c>
      <c r="AB104" s="20">
        <f t="shared" si="129"/>
        <v>0</v>
      </c>
      <c r="AC104" s="20">
        <f t="shared" si="129"/>
        <v>0</v>
      </c>
      <c r="AD104" s="20">
        <f t="shared" si="130"/>
        <v>0</v>
      </c>
      <c r="AE104" s="20">
        <f t="shared" si="131"/>
        <v>0</v>
      </c>
      <c r="AF104" s="20">
        <f t="shared" si="131"/>
        <v>0</v>
      </c>
      <c r="AG104" s="20">
        <f t="shared" si="131"/>
        <v>0</v>
      </c>
      <c r="AH104" s="20">
        <f t="shared" si="131"/>
        <v>0</v>
      </c>
      <c r="AI104" s="20">
        <f t="shared" si="132"/>
        <v>0</v>
      </c>
      <c r="AJ104" s="20">
        <f t="shared" si="133"/>
        <v>0</v>
      </c>
      <c r="AK104" s="20">
        <f t="shared" si="134"/>
        <v>0</v>
      </c>
      <c r="AL104" s="20">
        <f t="shared" si="135"/>
        <v>0</v>
      </c>
      <c r="AM104" s="20">
        <f t="shared" si="136"/>
        <v>0</v>
      </c>
      <c r="AO104">
        <f t="shared" si="137"/>
        <v>0</v>
      </c>
      <c r="AP104">
        <f t="shared" si="137"/>
        <v>0</v>
      </c>
      <c r="AQ104">
        <f t="shared" si="137"/>
        <v>0</v>
      </c>
      <c r="AR104">
        <f t="shared" si="137"/>
        <v>0</v>
      </c>
      <c r="AS104">
        <f t="shared" si="138"/>
        <v>0</v>
      </c>
      <c r="AU104">
        <f t="shared" si="139"/>
        <v>0</v>
      </c>
      <c r="AV104">
        <f t="shared" si="139"/>
        <v>0</v>
      </c>
      <c r="AW104">
        <f t="shared" si="139"/>
        <v>0</v>
      </c>
      <c r="AX104">
        <f t="shared" si="139"/>
        <v>0</v>
      </c>
      <c r="AY104">
        <f t="shared" si="140"/>
        <v>0</v>
      </c>
    </row>
    <row r="105" spans="1:53" ht="15" x14ac:dyDescent="0.25">
      <c r="A105" s="1"/>
      <c r="B105" s="2"/>
      <c r="C105" s="1" t="s">
        <v>11</v>
      </c>
      <c r="D105">
        <v>0</v>
      </c>
      <c r="E105" s="360">
        <v>6.8169999999999994E-2</v>
      </c>
      <c r="F105">
        <v>0</v>
      </c>
      <c r="G105">
        <v>0</v>
      </c>
      <c r="H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 s="20"/>
      <c r="P105" s="20"/>
      <c r="Q105" s="438">
        <v>0.1535081561263954</v>
      </c>
      <c r="R105" s="197">
        <v>0.14000000000000001</v>
      </c>
      <c r="S105" s="197">
        <v>2.0499999999999998</v>
      </c>
      <c r="T105" s="197">
        <v>0.62857142857142845</v>
      </c>
      <c r="U105" s="197">
        <v>0.90789473684210531</v>
      </c>
      <c r="V105" s="20">
        <f t="shared" si="128"/>
        <v>1.4650511404390925E-2</v>
      </c>
      <c r="W105" s="20">
        <f t="shared" si="128"/>
        <v>0</v>
      </c>
      <c r="X105" s="20">
        <f t="shared" si="128"/>
        <v>0</v>
      </c>
      <c r="Y105" s="20">
        <f t="shared" si="128"/>
        <v>0</v>
      </c>
      <c r="Z105" s="20">
        <f t="shared" si="129"/>
        <v>1.0202003276876996E-2</v>
      </c>
      <c r="AA105" s="20">
        <f t="shared" si="129"/>
        <v>0</v>
      </c>
      <c r="AB105" s="20">
        <f t="shared" si="129"/>
        <v>0</v>
      </c>
      <c r="AC105" s="20">
        <f t="shared" si="129"/>
        <v>0</v>
      </c>
      <c r="AD105" s="20">
        <f t="shared" si="130"/>
        <v>1.0202003276876996E-2</v>
      </c>
      <c r="AE105" s="20">
        <f t="shared" si="131"/>
        <v>0.21452534556429564</v>
      </c>
      <c r="AF105" s="20">
        <f t="shared" si="131"/>
        <v>0</v>
      </c>
      <c r="AG105" s="20">
        <f t="shared" si="131"/>
        <v>0</v>
      </c>
      <c r="AH105" s="20">
        <f t="shared" si="131"/>
        <v>0</v>
      </c>
      <c r="AI105" s="20">
        <f t="shared" si="132"/>
        <v>0.19837248837051405</v>
      </c>
      <c r="AJ105" s="20">
        <f t="shared" si="133"/>
        <v>0</v>
      </c>
      <c r="AK105" s="20">
        <f t="shared" si="134"/>
        <v>0</v>
      </c>
      <c r="AL105" s="20">
        <f t="shared" si="135"/>
        <v>0</v>
      </c>
      <c r="AM105" s="20">
        <f t="shared" si="136"/>
        <v>0.19837248837051405</v>
      </c>
      <c r="AO105">
        <f t="shared" si="137"/>
        <v>1.4365440814170499E-2</v>
      </c>
      <c r="AP105">
        <f t="shared" si="137"/>
        <v>0</v>
      </c>
      <c r="AQ105">
        <f t="shared" si="137"/>
        <v>0</v>
      </c>
      <c r="AR105">
        <f t="shared" si="137"/>
        <v>0</v>
      </c>
      <c r="AS105">
        <f t="shared" si="138"/>
        <v>1.4365440814170499E-2</v>
      </c>
      <c r="AU105">
        <f t="shared" si="139"/>
        <v>0.27932830087452082</v>
      </c>
      <c r="AV105">
        <f t="shared" si="139"/>
        <v>0</v>
      </c>
      <c r="AW105">
        <f t="shared" si="139"/>
        <v>0</v>
      </c>
      <c r="AX105">
        <f t="shared" si="139"/>
        <v>0</v>
      </c>
      <c r="AY105">
        <f t="shared" si="140"/>
        <v>0.27932830087452082</v>
      </c>
    </row>
    <row r="106" spans="1:53" ht="15" x14ac:dyDescent="0.25">
      <c r="A106" s="1"/>
      <c r="B106" s="2"/>
      <c r="C106" s="1" t="s">
        <v>12</v>
      </c>
      <c r="D106">
        <v>0</v>
      </c>
      <c r="E106" s="360">
        <v>0</v>
      </c>
      <c r="F106">
        <v>0</v>
      </c>
      <c r="G106">
        <v>0</v>
      </c>
      <c r="H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 s="20"/>
      <c r="P106" s="20"/>
      <c r="Q106" s="438"/>
      <c r="R106" s="197">
        <v>0.14000000000000001</v>
      </c>
      <c r="S106" s="197">
        <v>2.0499999999999998</v>
      </c>
      <c r="T106" s="197">
        <v>0.62857142857142845</v>
      </c>
      <c r="U106" s="197">
        <v>0.90789473684210531</v>
      </c>
      <c r="V106" s="20">
        <f t="shared" si="128"/>
        <v>0</v>
      </c>
      <c r="W106" s="20">
        <f t="shared" si="128"/>
        <v>0</v>
      </c>
      <c r="X106" s="20">
        <f t="shared" si="128"/>
        <v>0</v>
      </c>
      <c r="Y106" s="20">
        <f t="shared" si="128"/>
        <v>0</v>
      </c>
      <c r="Z106" s="20">
        <f t="shared" si="129"/>
        <v>0</v>
      </c>
      <c r="AA106" s="20">
        <f t="shared" si="129"/>
        <v>0</v>
      </c>
      <c r="AB106" s="20">
        <f t="shared" si="129"/>
        <v>0</v>
      </c>
      <c r="AC106" s="20">
        <f t="shared" si="129"/>
        <v>0</v>
      </c>
      <c r="AD106" s="20">
        <f t="shared" si="130"/>
        <v>0</v>
      </c>
      <c r="AE106" s="20">
        <f t="shared" si="131"/>
        <v>0</v>
      </c>
      <c r="AF106" s="20">
        <f t="shared" si="131"/>
        <v>0</v>
      </c>
      <c r="AG106" s="20">
        <f t="shared" si="131"/>
        <v>0</v>
      </c>
      <c r="AH106" s="20">
        <f t="shared" si="131"/>
        <v>0</v>
      </c>
      <c r="AI106" s="20">
        <f t="shared" si="132"/>
        <v>0</v>
      </c>
      <c r="AJ106" s="20">
        <f t="shared" si="133"/>
        <v>0</v>
      </c>
      <c r="AK106" s="20">
        <f t="shared" si="134"/>
        <v>0</v>
      </c>
      <c r="AL106" s="20">
        <f t="shared" si="135"/>
        <v>0</v>
      </c>
      <c r="AM106" s="20">
        <f t="shared" si="136"/>
        <v>0</v>
      </c>
      <c r="AO106">
        <f t="shared" si="137"/>
        <v>0</v>
      </c>
      <c r="AP106">
        <f t="shared" si="137"/>
        <v>0</v>
      </c>
      <c r="AQ106">
        <f t="shared" si="137"/>
        <v>0</v>
      </c>
      <c r="AR106">
        <f t="shared" si="137"/>
        <v>0</v>
      </c>
      <c r="AS106">
        <f t="shared" si="138"/>
        <v>0</v>
      </c>
      <c r="AU106">
        <f t="shared" si="139"/>
        <v>0</v>
      </c>
      <c r="AV106">
        <f t="shared" si="139"/>
        <v>0</v>
      </c>
      <c r="AW106">
        <f t="shared" si="139"/>
        <v>0</v>
      </c>
      <c r="AX106">
        <f t="shared" si="139"/>
        <v>0</v>
      </c>
      <c r="AY106">
        <f t="shared" si="140"/>
        <v>0</v>
      </c>
    </row>
    <row r="107" spans="1:53" ht="15" x14ac:dyDescent="0.25">
      <c r="A107" s="1"/>
      <c r="B107" s="2"/>
      <c r="C107" s="1" t="s">
        <v>13</v>
      </c>
      <c r="D107">
        <v>0</v>
      </c>
      <c r="E107" s="360">
        <v>2.5700000000000001E-2</v>
      </c>
      <c r="F107">
        <v>0</v>
      </c>
      <c r="G107">
        <v>0</v>
      </c>
      <c r="H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0"/>
      <c r="P107" s="20"/>
      <c r="Q107" s="438">
        <v>0.1535081561263954</v>
      </c>
      <c r="R107" s="197">
        <v>0.14000000000000001</v>
      </c>
      <c r="S107" s="197">
        <v>2.0499999999999998</v>
      </c>
      <c r="T107" s="197">
        <v>0.62857142857142845</v>
      </c>
      <c r="U107" s="197">
        <v>0.90789473684210531</v>
      </c>
      <c r="V107" s="20">
        <f t="shared" si="128"/>
        <v>5.5232234574277075E-3</v>
      </c>
      <c r="W107" s="20">
        <f t="shared" si="128"/>
        <v>0</v>
      </c>
      <c r="X107" s="20">
        <f t="shared" si="128"/>
        <v>0</v>
      </c>
      <c r="Y107" s="20">
        <f t="shared" si="128"/>
        <v>0</v>
      </c>
      <c r="Z107" s="20">
        <f t="shared" si="129"/>
        <v>3.8461417664036796E-3</v>
      </c>
      <c r="AA107" s="20">
        <f t="shared" si="129"/>
        <v>0</v>
      </c>
      <c r="AB107" s="20">
        <f t="shared" si="129"/>
        <v>0</v>
      </c>
      <c r="AC107" s="20">
        <f t="shared" si="129"/>
        <v>0</v>
      </c>
      <c r="AD107" s="20">
        <f t="shared" si="130"/>
        <v>3.8461417664036796E-3</v>
      </c>
      <c r="AE107" s="20">
        <f t="shared" si="131"/>
        <v>8.0875772055191419E-2</v>
      </c>
      <c r="AF107" s="20">
        <f t="shared" si="131"/>
        <v>0</v>
      </c>
      <c r="AG107" s="20">
        <f t="shared" si="131"/>
        <v>0</v>
      </c>
      <c r="AH107" s="20">
        <f t="shared" si="131"/>
        <v>0</v>
      </c>
      <c r="AI107" s="20">
        <f t="shared" si="132"/>
        <v>7.4786166218603664E-2</v>
      </c>
      <c r="AJ107" s="20">
        <f t="shared" si="133"/>
        <v>0</v>
      </c>
      <c r="AK107" s="20">
        <f t="shared" si="134"/>
        <v>0</v>
      </c>
      <c r="AL107" s="20">
        <f t="shared" si="135"/>
        <v>0</v>
      </c>
      <c r="AM107" s="20">
        <f t="shared" si="136"/>
        <v>7.4786166218603664E-2</v>
      </c>
      <c r="AO107">
        <f t="shared" si="137"/>
        <v>5.415752221273021E-3</v>
      </c>
      <c r="AP107">
        <f t="shared" si="137"/>
        <v>0</v>
      </c>
      <c r="AQ107">
        <f t="shared" si="137"/>
        <v>0</v>
      </c>
      <c r="AR107">
        <f t="shared" si="137"/>
        <v>0</v>
      </c>
      <c r="AS107">
        <f t="shared" si="138"/>
        <v>5.415752221273021E-3</v>
      </c>
      <c r="AU107">
        <f t="shared" si="139"/>
        <v>0.10530640065241581</v>
      </c>
      <c r="AV107">
        <f t="shared" si="139"/>
        <v>0</v>
      </c>
      <c r="AW107">
        <f t="shared" si="139"/>
        <v>0</v>
      </c>
      <c r="AX107">
        <f t="shared" si="139"/>
        <v>0</v>
      </c>
      <c r="AY107">
        <f t="shared" si="140"/>
        <v>0.10530640065241581</v>
      </c>
    </row>
    <row r="108" spans="1:53" ht="15" x14ac:dyDescent="0.25">
      <c r="A108" s="7"/>
      <c r="B108" s="8" t="s">
        <v>14</v>
      </c>
      <c r="C108" s="7"/>
      <c r="D108" s="357">
        <f t="shared" ref="D108:H108" si="141">SUM(D102:D107)</f>
        <v>0</v>
      </c>
      <c r="E108" s="363">
        <f>SUM(E102:E107)</f>
        <v>9.2785700000000002</v>
      </c>
      <c r="F108" s="357">
        <f t="shared" si="141"/>
        <v>0</v>
      </c>
      <c r="G108" s="357">
        <f t="shared" si="141"/>
        <v>0</v>
      </c>
      <c r="H108" s="357">
        <f t="shared" si="141"/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 s="20"/>
      <c r="P108" s="20"/>
      <c r="Q108" s="438">
        <v>4.6223515693594029E-2</v>
      </c>
      <c r="R108" s="197"/>
      <c r="S108" s="197"/>
      <c r="T108" s="197"/>
      <c r="U108" s="197"/>
      <c r="BA108" s="319">
        <f>(E108*10000*Q108*AU$10)</f>
        <v>6039.1737023342876</v>
      </c>
    </row>
    <row r="109" spans="1:53" ht="15" x14ac:dyDescent="0.25">
      <c r="A109" s="10"/>
      <c r="B109" s="9" t="s">
        <v>15</v>
      </c>
      <c r="C109" s="5"/>
      <c r="E109" s="363">
        <f>SUM(E108)</f>
        <v>9.2785700000000002</v>
      </c>
      <c r="H109" s="358">
        <f>SUM(D108:H108)</f>
        <v>9.2785700000000002</v>
      </c>
      <c r="K109" s="14"/>
      <c r="N109">
        <v>0</v>
      </c>
      <c r="O109" s="20"/>
      <c r="P109" s="20"/>
      <c r="Q109" s="438"/>
      <c r="R109" s="197"/>
      <c r="S109" s="197"/>
      <c r="T109" s="197"/>
      <c r="U109" s="197"/>
    </row>
    <row r="110" spans="1:53" ht="15.75" x14ac:dyDescent="0.25">
      <c r="A110" s="1"/>
      <c r="B110" s="2"/>
      <c r="C110" s="1"/>
      <c r="E110" s="361"/>
      <c r="K110" s="14"/>
      <c r="O110" s="20"/>
      <c r="P110" s="20"/>
      <c r="Q110" s="439"/>
      <c r="R110" s="197"/>
      <c r="S110" s="197"/>
      <c r="T110" s="197"/>
      <c r="U110" s="197"/>
    </row>
    <row r="111" spans="1:53" ht="15" x14ac:dyDescent="0.25">
      <c r="A111" s="1">
        <v>12</v>
      </c>
      <c r="B111" s="2" t="s">
        <v>26</v>
      </c>
      <c r="C111" s="1" t="s">
        <v>8</v>
      </c>
      <c r="D111">
        <v>0</v>
      </c>
      <c r="E111" s="360"/>
      <c r="F111">
        <v>0</v>
      </c>
      <c r="G111">
        <v>0</v>
      </c>
      <c r="H111">
        <v>0</v>
      </c>
      <c r="J111">
        <v>0</v>
      </c>
      <c r="K111" s="14">
        <v>0</v>
      </c>
      <c r="L111">
        <v>0</v>
      </c>
      <c r="M111">
        <v>0</v>
      </c>
      <c r="N111">
        <v>0</v>
      </c>
      <c r="O111" s="20"/>
      <c r="P111" s="20"/>
      <c r="Q111" s="438"/>
      <c r="R111" s="197">
        <v>6.531704360902256</v>
      </c>
      <c r="S111" s="197">
        <v>78.227142857142866</v>
      </c>
      <c r="T111" s="197">
        <v>0.5825685654008439</v>
      </c>
      <c r="U111" s="197">
        <v>0.90789473684210531</v>
      </c>
      <c r="V111" s="20">
        <f t="shared" ref="V111:Y116" si="142">IF(K111&gt;0,((E111-K111)*$Q111*$R111*10)+(K111*$O$12*$Q111*$R111*10),(E111*$Q111*$R111*10))</f>
        <v>0</v>
      </c>
      <c r="W111" s="20">
        <f t="shared" si="142"/>
        <v>0</v>
      </c>
      <c r="X111" s="20">
        <f t="shared" si="142"/>
        <v>0</v>
      </c>
      <c r="Y111" s="20">
        <f t="shared" si="142"/>
        <v>0</v>
      </c>
      <c r="Z111" s="20">
        <f t="shared" ref="Z111:AC116" si="143">V111*(EXP(1.01-0.34*LN(Z$8))*(1-$T111)+(1*$T111))</f>
        <v>0</v>
      </c>
      <c r="AA111" s="20">
        <f t="shared" si="143"/>
        <v>0</v>
      </c>
      <c r="AB111" s="20">
        <f t="shared" si="143"/>
        <v>0</v>
      </c>
      <c r="AC111" s="20">
        <f t="shared" si="143"/>
        <v>0</v>
      </c>
      <c r="AD111" s="20">
        <f t="shared" ref="AD111:AD116" si="144">SUM(Z111:AC111)</f>
        <v>0</v>
      </c>
      <c r="AE111" s="20">
        <f t="shared" ref="AE111:AH116" si="145">IF(K111&gt;0,((E111-K111)*$Q111*$S111*10)+(K111*$P$12*$Q111*$S111)*10,(E111*$Q111*$S111*10))</f>
        <v>0</v>
      </c>
      <c r="AF111" s="20">
        <f t="shared" si="145"/>
        <v>0</v>
      </c>
      <c r="AG111" s="20">
        <f t="shared" si="145"/>
        <v>0</v>
      </c>
      <c r="AH111" s="20">
        <f t="shared" si="145"/>
        <v>0</v>
      </c>
      <c r="AI111" s="20">
        <f t="shared" ref="AI111:AI116" si="146">AE111*(EXP(1.01-0.34*LN(AI$8))*(1-$U111)+(1*$U111))</f>
        <v>0</v>
      </c>
      <c r="AJ111" s="20">
        <f t="shared" ref="AJ111:AJ116" si="147">AF111*(EXP(1.01-0.34*LN(AJ$8))*(1-$U111)+(1*$U111))</f>
        <v>0</v>
      </c>
      <c r="AK111" s="20">
        <f t="shared" ref="AK111:AK116" si="148">AG111*(EXP(1.01-0.34*LN(AK$8))*(1-$U111)+(1*$U111))</f>
        <v>0</v>
      </c>
      <c r="AL111" s="20">
        <f t="shared" ref="AL111:AL116" si="149">AH111*(EXP(1.01-0.34*LN(AL$8))*(1-$U111)+(1*$U111))</f>
        <v>0</v>
      </c>
      <c r="AM111" s="20">
        <f t="shared" ref="AM111:AM116" si="150">SUM(AI111:AL111)</f>
        <v>0</v>
      </c>
      <c r="AO111">
        <f t="shared" ref="AO111:AR116" si="151">Z111*AO$10</f>
        <v>0</v>
      </c>
      <c r="AP111">
        <f t="shared" si="151"/>
        <v>0</v>
      </c>
      <c r="AQ111">
        <f t="shared" si="151"/>
        <v>0</v>
      </c>
      <c r="AR111">
        <f t="shared" si="151"/>
        <v>0</v>
      </c>
      <c r="AS111">
        <f t="shared" ref="AS111:AS116" si="152">SUM(AO111:AR111)</f>
        <v>0</v>
      </c>
      <c r="AU111">
        <f t="shared" ref="AU111:AX116" si="153">AI111*AU$10</f>
        <v>0</v>
      </c>
      <c r="AV111">
        <f t="shared" si="153"/>
        <v>0</v>
      </c>
      <c r="AW111">
        <f t="shared" si="153"/>
        <v>0</v>
      </c>
      <c r="AX111">
        <f t="shared" si="153"/>
        <v>0</v>
      </c>
      <c r="AY111">
        <f t="shared" ref="AY111:AY116" si="154">SUM(AU111:AX111)</f>
        <v>0</v>
      </c>
    </row>
    <row r="112" spans="1:53" ht="15" x14ac:dyDescent="0.25">
      <c r="A112" s="1"/>
      <c r="B112" s="2"/>
      <c r="C112" s="1" t="s">
        <v>9</v>
      </c>
      <c r="D112">
        <v>0</v>
      </c>
      <c r="E112" s="360"/>
      <c r="F112">
        <v>0</v>
      </c>
      <c r="G112">
        <v>0</v>
      </c>
      <c r="H112">
        <v>0</v>
      </c>
      <c r="J112">
        <v>0</v>
      </c>
      <c r="K112" s="14">
        <v>0</v>
      </c>
      <c r="L112">
        <v>0</v>
      </c>
      <c r="M112">
        <v>0</v>
      </c>
      <c r="N112">
        <v>0</v>
      </c>
      <c r="O112" s="20"/>
      <c r="P112" s="20"/>
      <c r="Q112" s="438"/>
      <c r="R112" s="197">
        <v>6.531704360902256</v>
      </c>
      <c r="S112" s="197">
        <v>78.227142857142866</v>
      </c>
      <c r="T112" s="197">
        <v>0.5825685654008439</v>
      </c>
      <c r="U112" s="197">
        <v>0.90789473684210531</v>
      </c>
      <c r="V112" s="20">
        <f t="shared" si="142"/>
        <v>0</v>
      </c>
      <c r="W112" s="20">
        <f t="shared" si="142"/>
        <v>0</v>
      </c>
      <c r="X112" s="20">
        <f t="shared" si="142"/>
        <v>0</v>
      </c>
      <c r="Y112" s="20">
        <f t="shared" si="142"/>
        <v>0</v>
      </c>
      <c r="Z112" s="20">
        <f t="shared" si="143"/>
        <v>0</v>
      </c>
      <c r="AA112" s="20">
        <f t="shared" si="143"/>
        <v>0</v>
      </c>
      <c r="AB112" s="20">
        <f t="shared" si="143"/>
        <v>0</v>
      </c>
      <c r="AC112" s="20">
        <f t="shared" si="143"/>
        <v>0</v>
      </c>
      <c r="AD112" s="20">
        <f t="shared" si="144"/>
        <v>0</v>
      </c>
      <c r="AE112" s="20">
        <f t="shared" si="145"/>
        <v>0</v>
      </c>
      <c r="AF112" s="20">
        <f t="shared" si="145"/>
        <v>0</v>
      </c>
      <c r="AG112" s="20">
        <f t="shared" si="145"/>
        <v>0</v>
      </c>
      <c r="AH112" s="20">
        <f t="shared" si="145"/>
        <v>0</v>
      </c>
      <c r="AI112" s="20">
        <f t="shared" si="146"/>
        <v>0</v>
      </c>
      <c r="AJ112" s="20">
        <f t="shared" si="147"/>
        <v>0</v>
      </c>
      <c r="AK112" s="20">
        <f t="shared" si="148"/>
        <v>0</v>
      </c>
      <c r="AL112" s="20">
        <f t="shared" si="149"/>
        <v>0</v>
      </c>
      <c r="AM112" s="20">
        <f t="shared" si="150"/>
        <v>0</v>
      </c>
      <c r="AO112">
        <f t="shared" si="151"/>
        <v>0</v>
      </c>
      <c r="AP112">
        <f t="shared" si="151"/>
        <v>0</v>
      </c>
      <c r="AQ112">
        <f t="shared" si="151"/>
        <v>0</v>
      </c>
      <c r="AR112">
        <f t="shared" si="151"/>
        <v>0</v>
      </c>
      <c r="AS112">
        <f t="shared" si="152"/>
        <v>0</v>
      </c>
      <c r="AU112">
        <f t="shared" si="153"/>
        <v>0</v>
      </c>
      <c r="AV112">
        <f t="shared" si="153"/>
        <v>0</v>
      </c>
      <c r="AW112">
        <f t="shared" si="153"/>
        <v>0</v>
      </c>
      <c r="AX112">
        <f t="shared" si="153"/>
        <v>0</v>
      </c>
      <c r="AY112">
        <f t="shared" si="154"/>
        <v>0</v>
      </c>
    </row>
    <row r="113" spans="1:53" ht="15" x14ac:dyDescent="0.25">
      <c r="A113" s="1"/>
      <c r="B113" s="2"/>
      <c r="C113" s="1" t="s">
        <v>10</v>
      </c>
      <c r="D113">
        <v>0</v>
      </c>
      <c r="E113" s="360"/>
      <c r="F113">
        <v>0</v>
      </c>
      <c r="G113">
        <v>0</v>
      </c>
      <c r="H113">
        <v>0</v>
      </c>
      <c r="J113">
        <v>0</v>
      </c>
      <c r="K113" s="14">
        <v>0</v>
      </c>
      <c r="L113">
        <v>0</v>
      </c>
      <c r="M113">
        <v>0</v>
      </c>
      <c r="N113">
        <v>0</v>
      </c>
      <c r="O113" s="20"/>
      <c r="P113" s="20"/>
      <c r="Q113" s="438"/>
      <c r="R113" s="197">
        <v>6.531704360902256</v>
      </c>
      <c r="S113" s="197">
        <v>78.227142857142866</v>
      </c>
      <c r="T113" s="197">
        <v>0.5825685654008439</v>
      </c>
      <c r="U113" s="197">
        <v>0.90789473684210531</v>
      </c>
      <c r="V113" s="20">
        <f t="shared" si="142"/>
        <v>0</v>
      </c>
      <c r="W113" s="20">
        <f t="shared" si="142"/>
        <v>0</v>
      </c>
      <c r="X113" s="20">
        <f t="shared" si="142"/>
        <v>0</v>
      </c>
      <c r="Y113" s="20">
        <f t="shared" si="142"/>
        <v>0</v>
      </c>
      <c r="Z113" s="20">
        <f t="shared" si="143"/>
        <v>0</v>
      </c>
      <c r="AA113" s="20">
        <f t="shared" si="143"/>
        <v>0</v>
      </c>
      <c r="AB113" s="20">
        <f t="shared" si="143"/>
        <v>0</v>
      </c>
      <c r="AC113" s="20">
        <f t="shared" si="143"/>
        <v>0</v>
      </c>
      <c r="AD113" s="20">
        <f t="shared" si="144"/>
        <v>0</v>
      </c>
      <c r="AE113" s="20">
        <f t="shared" si="145"/>
        <v>0</v>
      </c>
      <c r="AF113" s="20">
        <f t="shared" si="145"/>
        <v>0</v>
      </c>
      <c r="AG113" s="20">
        <f t="shared" si="145"/>
        <v>0</v>
      </c>
      <c r="AH113" s="20">
        <f t="shared" si="145"/>
        <v>0</v>
      </c>
      <c r="AI113" s="20">
        <f t="shared" si="146"/>
        <v>0</v>
      </c>
      <c r="AJ113" s="20">
        <f t="shared" si="147"/>
        <v>0</v>
      </c>
      <c r="AK113" s="20">
        <f t="shared" si="148"/>
        <v>0</v>
      </c>
      <c r="AL113" s="20">
        <f t="shared" si="149"/>
        <v>0</v>
      </c>
      <c r="AM113" s="20">
        <f t="shared" si="150"/>
        <v>0</v>
      </c>
      <c r="AO113">
        <f t="shared" si="151"/>
        <v>0</v>
      </c>
      <c r="AP113">
        <f t="shared" si="151"/>
        <v>0</v>
      </c>
      <c r="AQ113">
        <f t="shared" si="151"/>
        <v>0</v>
      </c>
      <c r="AR113">
        <f t="shared" si="151"/>
        <v>0</v>
      </c>
      <c r="AS113">
        <f t="shared" si="152"/>
        <v>0</v>
      </c>
      <c r="AU113">
        <f t="shared" si="153"/>
        <v>0</v>
      </c>
      <c r="AV113">
        <f t="shared" si="153"/>
        <v>0</v>
      </c>
      <c r="AW113">
        <f t="shared" si="153"/>
        <v>0</v>
      </c>
      <c r="AX113">
        <f t="shared" si="153"/>
        <v>0</v>
      </c>
      <c r="AY113">
        <f t="shared" si="154"/>
        <v>0</v>
      </c>
    </row>
    <row r="114" spans="1:53" ht="15" x14ac:dyDescent="0.25">
      <c r="A114" s="1"/>
      <c r="B114" s="2"/>
      <c r="C114" s="1" t="s">
        <v>11</v>
      </c>
      <c r="D114">
        <v>0</v>
      </c>
      <c r="E114" s="360"/>
      <c r="F114">
        <v>0</v>
      </c>
      <c r="G114">
        <v>0</v>
      </c>
      <c r="H114">
        <v>0</v>
      </c>
      <c r="J114">
        <v>0</v>
      </c>
      <c r="K114" s="14">
        <v>0</v>
      </c>
      <c r="L114">
        <v>0</v>
      </c>
      <c r="M114">
        <v>0</v>
      </c>
      <c r="N114">
        <v>0</v>
      </c>
      <c r="O114" s="20"/>
      <c r="P114" s="20"/>
      <c r="Q114" s="438"/>
      <c r="R114" s="197">
        <v>6.531704360902256</v>
      </c>
      <c r="S114" s="197">
        <v>78.227142857142866</v>
      </c>
      <c r="T114" s="197">
        <v>0.5825685654008439</v>
      </c>
      <c r="U114" s="197">
        <v>0.90789473684210531</v>
      </c>
      <c r="V114" s="20">
        <f t="shared" si="142"/>
        <v>0</v>
      </c>
      <c r="W114" s="20">
        <f t="shared" si="142"/>
        <v>0</v>
      </c>
      <c r="X114" s="20">
        <f t="shared" si="142"/>
        <v>0</v>
      </c>
      <c r="Y114" s="20">
        <f t="shared" si="142"/>
        <v>0</v>
      </c>
      <c r="Z114" s="20">
        <f t="shared" si="143"/>
        <v>0</v>
      </c>
      <c r="AA114" s="20">
        <f t="shared" si="143"/>
        <v>0</v>
      </c>
      <c r="AB114" s="20">
        <f t="shared" si="143"/>
        <v>0</v>
      </c>
      <c r="AC114" s="20">
        <f t="shared" si="143"/>
        <v>0</v>
      </c>
      <c r="AD114" s="20">
        <f t="shared" si="144"/>
        <v>0</v>
      </c>
      <c r="AE114" s="20">
        <f t="shared" si="145"/>
        <v>0</v>
      </c>
      <c r="AF114" s="20">
        <f t="shared" si="145"/>
        <v>0</v>
      </c>
      <c r="AG114" s="20">
        <f t="shared" si="145"/>
        <v>0</v>
      </c>
      <c r="AH114" s="20">
        <f t="shared" si="145"/>
        <v>0</v>
      </c>
      <c r="AI114" s="20">
        <f t="shared" si="146"/>
        <v>0</v>
      </c>
      <c r="AJ114" s="20">
        <f t="shared" si="147"/>
        <v>0</v>
      </c>
      <c r="AK114" s="20">
        <f t="shared" si="148"/>
        <v>0</v>
      </c>
      <c r="AL114" s="20">
        <f t="shared" si="149"/>
        <v>0</v>
      </c>
      <c r="AM114" s="20">
        <f t="shared" si="150"/>
        <v>0</v>
      </c>
      <c r="AO114">
        <f t="shared" si="151"/>
        <v>0</v>
      </c>
      <c r="AP114">
        <f t="shared" si="151"/>
        <v>0</v>
      </c>
      <c r="AQ114">
        <f t="shared" si="151"/>
        <v>0</v>
      </c>
      <c r="AR114">
        <f t="shared" si="151"/>
        <v>0</v>
      </c>
      <c r="AS114">
        <f t="shared" si="152"/>
        <v>0</v>
      </c>
      <c r="AU114">
        <f t="shared" si="153"/>
        <v>0</v>
      </c>
      <c r="AV114">
        <f t="shared" si="153"/>
        <v>0</v>
      </c>
      <c r="AW114">
        <f t="shared" si="153"/>
        <v>0</v>
      </c>
      <c r="AX114">
        <f t="shared" si="153"/>
        <v>0</v>
      </c>
      <c r="AY114">
        <f t="shared" si="154"/>
        <v>0</v>
      </c>
    </row>
    <row r="115" spans="1:53" ht="15" x14ac:dyDescent="0.25">
      <c r="A115" s="1"/>
      <c r="B115" s="2"/>
      <c r="C115" s="1" t="s">
        <v>12</v>
      </c>
      <c r="D115">
        <v>0</v>
      </c>
      <c r="E115" s="360"/>
      <c r="F115">
        <v>0</v>
      </c>
      <c r="G115">
        <v>0</v>
      </c>
      <c r="H115">
        <v>0</v>
      </c>
      <c r="J115">
        <v>0</v>
      </c>
      <c r="K115" s="14">
        <v>0</v>
      </c>
      <c r="L115">
        <v>0</v>
      </c>
      <c r="M115">
        <v>0</v>
      </c>
      <c r="N115">
        <v>0</v>
      </c>
      <c r="O115" s="20"/>
      <c r="P115" s="20"/>
      <c r="Q115" s="438"/>
      <c r="R115" s="197">
        <v>6.531704360902256</v>
      </c>
      <c r="S115" s="197">
        <v>78.227142857142866</v>
      </c>
      <c r="T115" s="197">
        <v>0.5825685654008439</v>
      </c>
      <c r="U115" s="197">
        <v>0.90789473684210531</v>
      </c>
      <c r="V115" s="20">
        <f t="shared" si="142"/>
        <v>0</v>
      </c>
      <c r="W115" s="20">
        <f t="shared" si="142"/>
        <v>0</v>
      </c>
      <c r="X115" s="20">
        <f t="shared" si="142"/>
        <v>0</v>
      </c>
      <c r="Y115" s="20">
        <f t="shared" si="142"/>
        <v>0</v>
      </c>
      <c r="Z115" s="20">
        <f t="shared" si="143"/>
        <v>0</v>
      </c>
      <c r="AA115" s="20">
        <f t="shared" si="143"/>
        <v>0</v>
      </c>
      <c r="AB115" s="20">
        <f t="shared" si="143"/>
        <v>0</v>
      </c>
      <c r="AC115" s="20">
        <f t="shared" si="143"/>
        <v>0</v>
      </c>
      <c r="AD115" s="20">
        <f t="shared" si="144"/>
        <v>0</v>
      </c>
      <c r="AE115" s="20">
        <f t="shared" si="145"/>
        <v>0</v>
      </c>
      <c r="AF115" s="20">
        <f t="shared" si="145"/>
        <v>0</v>
      </c>
      <c r="AG115" s="20">
        <f t="shared" si="145"/>
        <v>0</v>
      </c>
      <c r="AH115" s="20">
        <f t="shared" si="145"/>
        <v>0</v>
      </c>
      <c r="AI115" s="20">
        <f t="shared" si="146"/>
        <v>0</v>
      </c>
      <c r="AJ115" s="20">
        <f t="shared" si="147"/>
        <v>0</v>
      </c>
      <c r="AK115" s="20">
        <f t="shared" si="148"/>
        <v>0</v>
      </c>
      <c r="AL115" s="20">
        <f t="shared" si="149"/>
        <v>0</v>
      </c>
      <c r="AM115" s="20">
        <f t="shared" si="150"/>
        <v>0</v>
      </c>
      <c r="AO115">
        <f t="shared" si="151"/>
        <v>0</v>
      </c>
      <c r="AP115">
        <f t="shared" si="151"/>
        <v>0</v>
      </c>
      <c r="AQ115">
        <f t="shared" si="151"/>
        <v>0</v>
      </c>
      <c r="AR115">
        <f t="shared" si="151"/>
        <v>0</v>
      </c>
      <c r="AS115">
        <f t="shared" si="152"/>
        <v>0</v>
      </c>
      <c r="AU115">
        <f t="shared" si="153"/>
        <v>0</v>
      </c>
      <c r="AV115">
        <f t="shared" si="153"/>
        <v>0</v>
      </c>
      <c r="AW115">
        <f t="shared" si="153"/>
        <v>0</v>
      </c>
      <c r="AX115">
        <f t="shared" si="153"/>
        <v>0</v>
      </c>
      <c r="AY115">
        <f t="shared" si="154"/>
        <v>0</v>
      </c>
    </row>
    <row r="116" spans="1:53" ht="15" x14ac:dyDescent="0.25">
      <c r="A116" s="1"/>
      <c r="B116" s="2"/>
      <c r="C116" s="1" t="s">
        <v>13</v>
      </c>
      <c r="D116">
        <v>0</v>
      </c>
      <c r="E116" s="360"/>
      <c r="F116">
        <v>0</v>
      </c>
      <c r="G116">
        <v>0</v>
      </c>
      <c r="H116">
        <v>0</v>
      </c>
      <c r="J116">
        <v>0</v>
      </c>
      <c r="K116" s="14">
        <v>0</v>
      </c>
      <c r="L116">
        <v>0</v>
      </c>
      <c r="M116">
        <v>0</v>
      </c>
      <c r="N116">
        <v>0</v>
      </c>
      <c r="O116" s="20"/>
      <c r="P116" s="20"/>
      <c r="Q116" s="438"/>
      <c r="R116" s="197">
        <v>6.531704360902256</v>
      </c>
      <c r="S116" s="197">
        <v>78.227142857142866</v>
      </c>
      <c r="T116" s="197">
        <v>0.5825685654008439</v>
      </c>
      <c r="U116" s="197">
        <v>0.90789473684210531</v>
      </c>
      <c r="V116" s="20">
        <f t="shared" si="142"/>
        <v>0</v>
      </c>
      <c r="W116" s="20">
        <f t="shared" si="142"/>
        <v>0</v>
      </c>
      <c r="X116" s="20">
        <f t="shared" si="142"/>
        <v>0</v>
      </c>
      <c r="Y116" s="20">
        <f t="shared" si="142"/>
        <v>0</v>
      </c>
      <c r="Z116" s="20">
        <f t="shared" si="143"/>
        <v>0</v>
      </c>
      <c r="AA116" s="20">
        <f t="shared" si="143"/>
        <v>0</v>
      </c>
      <c r="AB116" s="20">
        <f t="shared" si="143"/>
        <v>0</v>
      </c>
      <c r="AC116" s="20">
        <f t="shared" si="143"/>
        <v>0</v>
      </c>
      <c r="AD116" s="20">
        <f t="shared" si="144"/>
        <v>0</v>
      </c>
      <c r="AE116" s="20">
        <f t="shared" si="145"/>
        <v>0</v>
      </c>
      <c r="AF116" s="20">
        <f t="shared" si="145"/>
        <v>0</v>
      </c>
      <c r="AG116" s="20">
        <f t="shared" si="145"/>
        <v>0</v>
      </c>
      <c r="AH116" s="20">
        <f t="shared" si="145"/>
        <v>0</v>
      </c>
      <c r="AI116" s="20">
        <f t="shared" si="146"/>
        <v>0</v>
      </c>
      <c r="AJ116" s="20">
        <f t="shared" si="147"/>
        <v>0</v>
      </c>
      <c r="AK116" s="20">
        <f t="shared" si="148"/>
        <v>0</v>
      </c>
      <c r="AL116" s="20">
        <f t="shared" si="149"/>
        <v>0</v>
      </c>
      <c r="AM116" s="20">
        <f t="shared" si="150"/>
        <v>0</v>
      </c>
      <c r="AO116">
        <f t="shared" si="151"/>
        <v>0</v>
      </c>
      <c r="AP116">
        <f t="shared" si="151"/>
        <v>0</v>
      </c>
      <c r="AQ116">
        <f t="shared" si="151"/>
        <v>0</v>
      </c>
      <c r="AR116">
        <f t="shared" si="151"/>
        <v>0</v>
      </c>
      <c r="AS116">
        <f t="shared" si="152"/>
        <v>0</v>
      </c>
      <c r="AU116">
        <f t="shared" si="153"/>
        <v>0</v>
      </c>
      <c r="AV116">
        <f t="shared" si="153"/>
        <v>0</v>
      </c>
      <c r="AW116">
        <f t="shared" si="153"/>
        <v>0</v>
      </c>
      <c r="AX116">
        <f t="shared" si="153"/>
        <v>0</v>
      </c>
      <c r="AY116">
        <f t="shared" si="154"/>
        <v>0</v>
      </c>
    </row>
    <row r="117" spans="1:53" ht="15" x14ac:dyDescent="0.25">
      <c r="A117" s="7"/>
      <c r="B117" s="8" t="s">
        <v>14</v>
      </c>
      <c r="C117" s="7"/>
      <c r="D117" s="357">
        <f t="shared" ref="D117:H117" si="155">SUM(D111:D116)</f>
        <v>0</v>
      </c>
      <c r="E117" s="363">
        <f>SUM(E111:E116)</f>
        <v>0</v>
      </c>
      <c r="F117" s="357">
        <f t="shared" si="155"/>
        <v>0</v>
      </c>
      <c r="G117" s="357">
        <f t="shared" si="155"/>
        <v>0</v>
      </c>
      <c r="H117" s="357">
        <f t="shared" si="155"/>
        <v>0</v>
      </c>
      <c r="J117">
        <v>0</v>
      </c>
      <c r="K117" s="14">
        <v>0</v>
      </c>
      <c r="L117">
        <v>0</v>
      </c>
      <c r="M117">
        <v>0</v>
      </c>
      <c r="N117">
        <v>0</v>
      </c>
      <c r="O117" s="20"/>
      <c r="P117" s="20"/>
      <c r="Q117" s="438"/>
      <c r="R117" s="197"/>
      <c r="S117" s="197"/>
      <c r="T117" s="197"/>
      <c r="U117" s="197"/>
      <c r="BA117" s="319">
        <f>(E117*10000*Q117*AU$10)</f>
        <v>0</v>
      </c>
    </row>
    <row r="118" spans="1:53" ht="15" x14ac:dyDescent="0.25">
      <c r="A118" s="10"/>
      <c r="B118" s="9" t="s">
        <v>15</v>
      </c>
      <c r="C118" s="5"/>
      <c r="E118" s="363">
        <f>SUM(E117)</f>
        <v>0</v>
      </c>
      <c r="H118" s="358">
        <f>SUM(D117:H117)</f>
        <v>0</v>
      </c>
      <c r="K118" s="14"/>
      <c r="N118">
        <v>0</v>
      </c>
      <c r="O118" s="20"/>
      <c r="P118" s="20"/>
      <c r="Q118" s="438"/>
      <c r="R118" s="197"/>
      <c r="S118" s="197"/>
      <c r="T118" s="197"/>
      <c r="U118" s="197"/>
    </row>
    <row r="119" spans="1:53" ht="15.75" x14ac:dyDescent="0.25">
      <c r="A119" s="1"/>
      <c r="B119" s="2"/>
      <c r="C119" s="1"/>
      <c r="E119" s="361"/>
      <c r="K119" s="14"/>
      <c r="O119" s="20"/>
      <c r="P119" s="20"/>
      <c r="Q119" s="439"/>
      <c r="R119" s="197"/>
      <c r="S119" s="197"/>
      <c r="T119" s="197"/>
      <c r="U119" s="197"/>
    </row>
    <row r="120" spans="1:53" ht="15" x14ac:dyDescent="0.25">
      <c r="A120" s="1">
        <v>13</v>
      </c>
      <c r="B120" s="2" t="s">
        <v>27</v>
      </c>
      <c r="C120" s="1" t="s">
        <v>8</v>
      </c>
      <c r="D120">
        <v>0</v>
      </c>
      <c r="E120" s="360">
        <v>6.2455999999999996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 s="20"/>
      <c r="P120" s="20"/>
      <c r="Q120" s="438">
        <v>4.5127039031598849E-2</v>
      </c>
      <c r="R120" s="197">
        <v>0.49226666666666663</v>
      </c>
      <c r="S120" s="197">
        <v>2.8337500000000002</v>
      </c>
      <c r="T120" s="197">
        <v>0.68718466195761863</v>
      </c>
      <c r="U120" s="197">
        <v>0.90789473684210531</v>
      </c>
      <c r="V120" s="20">
        <f t="shared" ref="V120:Y125" si="156">IF(K120&gt;0,((E120-K120)*$Q120*$R120*10)+(K120*$O$12*$Q120*$R120*10),(E120*$Q120*$R120*10))</f>
        <v>1.3874311279073104</v>
      </c>
      <c r="W120" s="20">
        <f t="shared" si="156"/>
        <v>0</v>
      </c>
      <c r="X120" s="20">
        <f t="shared" si="156"/>
        <v>0</v>
      </c>
      <c r="Y120" s="20">
        <f t="shared" si="156"/>
        <v>0</v>
      </c>
      <c r="Z120" s="20">
        <f t="shared" ref="Z120:AC125" si="157">V120*(EXP(1.01-0.34*LN(Z$8))*(1-$T120)+(1*$T120))</f>
        <v>1.0326293651475653</v>
      </c>
      <c r="AA120" s="20">
        <f t="shared" si="157"/>
        <v>0</v>
      </c>
      <c r="AB120" s="20">
        <f t="shared" si="157"/>
        <v>0</v>
      </c>
      <c r="AC120" s="20">
        <f t="shared" si="157"/>
        <v>0</v>
      </c>
      <c r="AD120" s="20">
        <f t="shared" ref="AD120:AD125" si="158">SUM(Z120:AC120)</f>
        <v>1.0326293651475653</v>
      </c>
      <c r="AE120" s="20">
        <f t="shared" ref="AE120:AH125" si="159">IF(K120&gt;0,((E120-K120)*$Q120*$S120*10)+(K120*$P$12*$Q120*$S120)*10,(E120*$Q120*$S120*10))</f>
        <v>7.9867950136254233</v>
      </c>
      <c r="AF120" s="20">
        <f t="shared" si="159"/>
        <v>0</v>
      </c>
      <c r="AG120" s="20">
        <f t="shared" si="159"/>
        <v>0</v>
      </c>
      <c r="AH120" s="20">
        <f t="shared" si="159"/>
        <v>0</v>
      </c>
      <c r="AI120" s="20">
        <f t="shared" ref="AI120:AI125" si="160">AE120*(EXP(1.01-0.34*LN(AI$8))*(1-$U120)+(1*$U120))</f>
        <v>7.3854229055803495</v>
      </c>
      <c r="AJ120" s="20">
        <f t="shared" ref="AJ120:AJ125" si="161">AF120*(EXP(1.01-0.34*LN(AJ$8))*(1-$U120)+(1*$U120))</f>
        <v>0</v>
      </c>
      <c r="AK120" s="20">
        <f t="shared" ref="AK120:AK125" si="162">AG120*(EXP(1.01-0.34*LN(AK$8))*(1-$U120)+(1*$U120))</f>
        <v>0</v>
      </c>
      <c r="AL120" s="20">
        <f t="shared" ref="AL120:AL125" si="163">AH120*(EXP(1.01-0.34*LN(AL$8))*(1-$U120)+(1*$U120))</f>
        <v>0</v>
      </c>
      <c r="AM120" s="20">
        <f t="shared" ref="AM120:AM125" si="164">SUM(AI120:AL120)</f>
        <v>7.3854229055803495</v>
      </c>
      <c r="AO120">
        <f t="shared" ref="AO120:AR125" si="165">Z120*AO$10</f>
        <v>1.4540454090642867</v>
      </c>
      <c r="AP120">
        <f t="shared" si="165"/>
        <v>0</v>
      </c>
      <c r="AQ120">
        <f t="shared" si="165"/>
        <v>0</v>
      </c>
      <c r="AR120">
        <f t="shared" si="165"/>
        <v>0</v>
      </c>
      <c r="AS120">
        <f t="shared" ref="AS120:AS125" si="166">SUM(AO120:AR120)</f>
        <v>1.4540454090642867</v>
      </c>
      <c r="AU120">
        <f t="shared" ref="AU120:AX125" si="167">AI120*AU$10</f>
        <v>10.399413993347689</v>
      </c>
      <c r="AV120">
        <f t="shared" si="167"/>
        <v>0</v>
      </c>
      <c r="AW120">
        <f t="shared" si="167"/>
        <v>0</v>
      </c>
      <c r="AX120">
        <f t="shared" si="167"/>
        <v>0</v>
      </c>
      <c r="AY120">
        <f t="shared" ref="AY120:AY125" si="168">SUM(AU120:AX120)</f>
        <v>10.399413993347689</v>
      </c>
    </row>
    <row r="121" spans="1:53" ht="15" x14ac:dyDescent="0.25">
      <c r="A121" s="1"/>
      <c r="B121" s="2"/>
      <c r="C121" s="1" t="s">
        <v>9</v>
      </c>
      <c r="D121">
        <v>0</v>
      </c>
      <c r="E121" s="360">
        <v>0.30580000000000002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20"/>
      <c r="P121" s="20"/>
      <c r="Q121" s="438">
        <v>8.1254078063197704E-2</v>
      </c>
      <c r="R121" s="197">
        <v>0.49226666666666663</v>
      </c>
      <c r="S121" s="197">
        <v>2.8337500000000002</v>
      </c>
      <c r="T121" s="197">
        <v>0.68718466195761863</v>
      </c>
      <c r="U121" s="197">
        <v>0.90789473684210531</v>
      </c>
      <c r="V121" s="20">
        <f t="shared" si="156"/>
        <v>0.12231594558508251</v>
      </c>
      <c r="W121" s="20">
        <f t="shared" si="156"/>
        <v>0</v>
      </c>
      <c r="X121" s="20">
        <f t="shared" si="156"/>
        <v>0</v>
      </c>
      <c r="Y121" s="20">
        <f t="shared" si="156"/>
        <v>0</v>
      </c>
      <c r="Z121" s="20">
        <f t="shared" si="157"/>
        <v>9.1036617743656414E-2</v>
      </c>
      <c r="AA121" s="20">
        <f t="shared" si="157"/>
        <v>0</v>
      </c>
      <c r="AB121" s="20">
        <f t="shared" si="157"/>
        <v>0</v>
      </c>
      <c r="AC121" s="20">
        <f t="shared" si="157"/>
        <v>0</v>
      </c>
      <c r="AD121" s="20">
        <f t="shared" si="158"/>
        <v>9.1036617743656414E-2</v>
      </c>
      <c r="AE121" s="20">
        <f t="shared" si="159"/>
        <v>0.70411594827003166</v>
      </c>
      <c r="AF121" s="20">
        <f t="shared" si="159"/>
        <v>0</v>
      </c>
      <c r="AG121" s="20">
        <f t="shared" si="159"/>
        <v>0</v>
      </c>
      <c r="AH121" s="20">
        <f t="shared" si="159"/>
        <v>0</v>
      </c>
      <c r="AI121" s="20">
        <f t="shared" si="160"/>
        <v>0.6510989757050758</v>
      </c>
      <c r="AJ121" s="20">
        <f t="shared" si="161"/>
        <v>0</v>
      </c>
      <c r="AK121" s="20">
        <f t="shared" si="162"/>
        <v>0</v>
      </c>
      <c r="AL121" s="20">
        <f t="shared" si="163"/>
        <v>0</v>
      </c>
      <c r="AM121" s="20">
        <f t="shared" si="164"/>
        <v>0.6510989757050758</v>
      </c>
      <c r="AO121">
        <f t="shared" si="165"/>
        <v>0.12818866144484259</v>
      </c>
      <c r="AP121">
        <f t="shared" si="165"/>
        <v>0</v>
      </c>
      <c r="AQ121">
        <f t="shared" si="165"/>
        <v>0</v>
      </c>
      <c r="AR121">
        <f t="shared" si="165"/>
        <v>0</v>
      </c>
      <c r="AS121">
        <f t="shared" si="166"/>
        <v>0.12818866144484259</v>
      </c>
      <c r="AU121">
        <f t="shared" si="167"/>
        <v>0.91681246769031721</v>
      </c>
      <c r="AV121">
        <f t="shared" si="167"/>
        <v>0</v>
      </c>
      <c r="AW121">
        <f t="shared" si="167"/>
        <v>0</v>
      </c>
      <c r="AX121">
        <f t="shared" si="167"/>
        <v>0</v>
      </c>
      <c r="AY121">
        <f t="shared" si="168"/>
        <v>0.91681246769031721</v>
      </c>
    </row>
    <row r="122" spans="1:53" ht="15" x14ac:dyDescent="0.25">
      <c r="A122" s="1"/>
      <c r="B122" s="2"/>
      <c r="C122" s="1" t="s">
        <v>10</v>
      </c>
      <c r="D122">
        <v>0</v>
      </c>
      <c r="E122" s="360"/>
      <c r="F122">
        <v>0</v>
      </c>
      <c r="G122">
        <v>0</v>
      </c>
      <c r="H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s="20"/>
      <c r="P122" s="20"/>
      <c r="Q122" s="438"/>
      <c r="R122" s="197">
        <v>0.49226666666666663</v>
      </c>
      <c r="S122" s="197">
        <v>2.8337500000000002</v>
      </c>
      <c r="T122" s="197">
        <v>0.68718466195761863</v>
      </c>
      <c r="U122" s="197">
        <v>0.90789473684210531</v>
      </c>
      <c r="V122" s="20">
        <f t="shared" si="156"/>
        <v>0</v>
      </c>
      <c r="W122" s="20">
        <f t="shared" si="156"/>
        <v>0</v>
      </c>
      <c r="X122" s="20">
        <f t="shared" si="156"/>
        <v>0</v>
      </c>
      <c r="Y122" s="20">
        <f t="shared" si="156"/>
        <v>0</v>
      </c>
      <c r="Z122" s="20">
        <f t="shared" si="157"/>
        <v>0</v>
      </c>
      <c r="AA122" s="20">
        <f t="shared" si="157"/>
        <v>0</v>
      </c>
      <c r="AB122" s="20">
        <f t="shared" si="157"/>
        <v>0</v>
      </c>
      <c r="AC122" s="20">
        <f t="shared" si="157"/>
        <v>0</v>
      </c>
      <c r="AD122" s="20">
        <f t="shared" si="158"/>
        <v>0</v>
      </c>
      <c r="AE122" s="20">
        <f t="shared" si="159"/>
        <v>0</v>
      </c>
      <c r="AF122" s="20">
        <f t="shared" si="159"/>
        <v>0</v>
      </c>
      <c r="AG122" s="20">
        <f t="shared" si="159"/>
        <v>0</v>
      </c>
      <c r="AH122" s="20">
        <f t="shared" si="159"/>
        <v>0</v>
      </c>
      <c r="AI122" s="20">
        <f t="shared" si="160"/>
        <v>0</v>
      </c>
      <c r="AJ122" s="20">
        <f t="shared" si="161"/>
        <v>0</v>
      </c>
      <c r="AK122" s="20">
        <f t="shared" si="162"/>
        <v>0</v>
      </c>
      <c r="AL122" s="20">
        <f t="shared" si="163"/>
        <v>0</v>
      </c>
      <c r="AM122" s="20">
        <f t="shared" si="164"/>
        <v>0</v>
      </c>
      <c r="AO122">
        <f t="shared" si="165"/>
        <v>0</v>
      </c>
      <c r="AP122">
        <f t="shared" si="165"/>
        <v>0</v>
      </c>
      <c r="AQ122">
        <f t="shared" si="165"/>
        <v>0</v>
      </c>
      <c r="AR122">
        <f t="shared" si="165"/>
        <v>0</v>
      </c>
      <c r="AS122">
        <f t="shared" si="166"/>
        <v>0</v>
      </c>
      <c r="AU122">
        <f t="shared" si="167"/>
        <v>0</v>
      </c>
      <c r="AV122">
        <f t="shared" si="167"/>
        <v>0</v>
      </c>
      <c r="AW122">
        <f t="shared" si="167"/>
        <v>0</v>
      </c>
      <c r="AX122">
        <f t="shared" si="167"/>
        <v>0</v>
      </c>
      <c r="AY122">
        <f t="shared" si="168"/>
        <v>0</v>
      </c>
    </row>
    <row r="123" spans="1:53" ht="15" x14ac:dyDescent="0.25">
      <c r="A123" s="1"/>
      <c r="B123" s="2"/>
      <c r="C123" s="1" t="s">
        <v>11</v>
      </c>
      <c r="D123">
        <v>0</v>
      </c>
      <c r="E123" s="360">
        <v>1.7323999999999999</v>
      </c>
      <c r="F123">
        <v>0</v>
      </c>
      <c r="G123">
        <v>0</v>
      </c>
      <c r="H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 s="20"/>
      <c r="P123" s="20"/>
      <c r="Q123" s="438">
        <v>0.1535081561263954</v>
      </c>
      <c r="R123" s="197">
        <v>0.49226666666666663</v>
      </c>
      <c r="S123" s="197">
        <v>2.8337500000000002</v>
      </c>
      <c r="T123" s="197">
        <v>0.68718466195761863</v>
      </c>
      <c r="U123" s="197">
        <v>0.90789473684210531</v>
      </c>
      <c r="V123" s="20">
        <f t="shared" si="156"/>
        <v>1.3091218127387629</v>
      </c>
      <c r="W123" s="20">
        <f t="shared" si="156"/>
        <v>0</v>
      </c>
      <c r="X123" s="20">
        <f t="shared" si="156"/>
        <v>0</v>
      </c>
      <c r="Y123" s="20">
        <f t="shared" si="156"/>
        <v>0</v>
      </c>
      <c r="Z123" s="20">
        <f t="shared" si="157"/>
        <v>0.97434575251909028</v>
      </c>
      <c r="AA123" s="20">
        <f t="shared" si="157"/>
        <v>0</v>
      </c>
      <c r="AB123" s="20">
        <f t="shared" si="157"/>
        <v>0</v>
      </c>
      <c r="AC123" s="20">
        <f t="shared" si="157"/>
        <v>0</v>
      </c>
      <c r="AD123" s="20">
        <f t="shared" si="158"/>
        <v>0.97434575251909028</v>
      </c>
      <c r="AE123" s="20">
        <f t="shared" si="159"/>
        <v>7.5360047471190486</v>
      </c>
      <c r="AF123" s="20">
        <f t="shared" si="159"/>
        <v>0</v>
      </c>
      <c r="AG123" s="20">
        <f t="shared" si="159"/>
        <v>0</v>
      </c>
      <c r="AH123" s="20">
        <f t="shared" si="159"/>
        <v>0</v>
      </c>
      <c r="AI123" s="20">
        <f t="shared" si="160"/>
        <v>6.9685752521487636</v>
      </c>
      <c r="AJ123" s="20">
        <f t="shared" si="161"/>
        <v>0</v>
      </c>
      <c r="AK123" s="20">
        <f t="shared" si="162"/>
        <v>0</v>
      </c>
      <c r="AL123" s="20">
        <f t="shared" si="163"/>
        <v>0</v>
      </c>
      <c r="AM123" s="20">
        <f t="shared" si="164"/>
        <v>6.9685752521487636</v>
      </c>
      <c r="AO123">
        <f t="shared" si="165"/>
        <v>1.371976254122131</v>
      </c>
      <c r="AP123">
        <f t="shared" si="165"/>
        <v>0</v>
      </c>
      <c r="AQ123">
        <f t="shared" si="165"/>
        <v>0</v>
      </c>
      <c r="AR123">
        <f t="shared" si="165"/>
        <v>0</v>
      </c>
      <c r="AS123">
        <f t="shared" si="166"/>
        <v>1.371976254122131</v>
      </c>
      <c r="AU123">
        <f t="shared" si="167"/>
        <v>9.812450812550674</v>
      </c>
      <c r="AV123">
        <f t="shared" si="167"/>
        <v>0</v>
      </c>
      <c r="AW123">
        <f t="shared" si="167"/>
        <v>0</v>
      </c>
      <c r="AX123">
        <f t="shared" si="167"/>
        <v>0</v>
      </c>
      <c r="AY123">
        <f t="shared" si="168"/>
        <v>9.812450812550674</v>
      </c>
    </row>
    <row r="124" spans="1:53" ht="15" x14ac:dyDescent="0.25">
      <c r="A124" s="1"/>
      <c r="B124" s="2"/>
      <c r="C124" s="1" t="s">
        <v>12</v>
      </c>
      <c r="D124">
        <v>0</v>
      </c>
      <c r="E124" s="360"/>
      <c r="F124">
        <v>0</v>
      </c>
      <c r="G124">
        <v>0</v>
      </c>
      <c r="H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 s="20"/>
      <c r="P124" s="20"/>
      <c r="Q124" s="438"/>
      <c r="R124" s="197">
        <v>0.49226666666666663</v>
      </c>
      <c r="S124" s="197">
        <v>2.8337500000000002</v>
      </c>
      <c r="T124" s="197">
        <v>0.68718466195761863</v>
      </c>
      <c r="U124" s="197">
        <v>0.90789473684210531</v>
      </c>
      <c r="V124" s="20">
        <f t="shared" si="156"/>
        <v>0</v>
      </c>
      <c r="W124" s="20">
        <f t="shared" si="156"/>
        <v>0</v>
      </c>
      <c r="X124" s="20">
        <f t="shared" si="156"/>
        <v>0</v>
      </c>
      <c r="Y124" s="20">
        <f t="shared" si="156"/>
        <v>0</v>
      </c>
      <c r="Z124" s="20">
        <f t="shared" si="157"/>
        <v>0</v>
      </c>
      <c r="AA124" s="20">
        <f t="shared" si="157"/>
        <v>0</v>
      </c>
      <c r="AB124" s="20">
        <f t="shared" si="157"/>
        <v>0</v>
      </c>
      <c r="AC124" s="20">
        <f t="shared" si="157"/>
        <v>0</v>
      </c>
      <c r="AD124" s="20">
        <f t="shared" si="158"/>
        <v>0</v>
      </c>
      <c r="AE124" s="20">
        <f t="shared" si="159"/>
        <v>0</v>
      </c>
      <c r="AF124" s="20">
        <f t="shared" si="159"/>
        <v>0</v>
      </c>
      <c r="AG124" s="20">
        <f t="shared" si="159"/>
        <v>0</v>
      </c>
      <c r="AH124" s="20">
        <f t="shared" si="159"/>
        <v>0</v>
      </c>
      <c r="AI124" s="20">
        <f t="shared" si="160"/>
        <v>0</v>
      </c>
      <c r="AJ124" s="20">
        <f t="shared" si="161"/>
        <v>0</v>
      </c>
      <c r="AK124" s="20">
        <f t="shared" si="162"/>
        <v>0</v>
      </c>
      <c r="AL124" s="20">
        <f t="shared" si="163"/>
        <v>0</v>
      </c>
      <c r="AM124" s="20">
        <f t="shared" si="164"/>
        <v>0</v>
      </c>
      <c r="AO124">
        <f t="shared" si="165"/>
        <v>0</v>
      </c>
      <c r="AP124">
        <f t="shared" si="165"/>
        <v>0</v>
      </c>
      <c r="AQ124">
        <f t="shared" si="165"/>
        <v>0</v>
      </c>
      <c r="AR124">
        <f t="shared" si="165"/>
        <v>0</v>
      </c>
      <c r="AS124">
        <f t="shared" si="166"/>
        <v>0</v>
      </c>
      <c r="AU124">
        <f t="shared" si="167"/>
        <v>0</v>
      </c>
      <c r="AV124">
        <f t="shared" si="167"/>
        <v>0</v>
      </c>
      <c r="AW124">
        <f t="shared" si="167"/>
        <v>0</v>
      </c>
      <c r="AX124">
        <f t="shared" si="167"/>
        <v>0</v>
      </c>
      <c r="AY124">
        <f t="shared" si="168"/>
        <v>0</v>
      </c>
    </row>
    <row r="125" spans="1:53" ht="15" x14ac:dyDescent="0.25">
      <c r="A125" s="1"/>
      <c r="B125" s="2"/>
      <c r="C125" s="1" t="s">
        <v>13</v>
      </c>
      <c r="D125">
        <v>0</v>
      </c>
      <c r="E125" s="360"/>
      <c r="F125">
        <v>0</v>
      </c>
      <c r="G125">
        <v>0</v>
      </c>
      <c r="H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20"/>
      <c r="P125" s="20"/>
      <c r="Q125" s="438"/>
      <c r="R125" s="197">
        <v>0.49226666666666663</v>
      </c>
      <c r="S125" s="197">
        <v>2.8337500000000002</v>
      </c>
      <c r="T125" s="197">
        <v>0.68718466195761863</v>
      </c>
      <c r="U125" s="197">
        <v>0.90789473684210531</v>
      </c>
      <c r="V125" s="20">
        <f t="shared" si="156"/>
        <v>0</v>
      </c>
      <c r="W125" s="20">
        <f t="shared" si="156"/>
        <v>0</v>
      </c>
      <c r="X125" s="20">
        <f t="shared" si="156"/>
        <v>0</v>
      </c>
      <c r="Y125" s="20">
        <f t="shared" si="156"/>
        <v>0</v>
      </c>
      <c r="Z125" s="20">
        <f t="shared" si="157"/>
        <v>0</v>
      </c>
      <c r="AA125" s="20">
        <f t="shared" si="157"/>
        <v>0</v>
      </c>
      <c r="AB125" s="20">
        <f t="shared" si="157"/>
        <v>0</v>
      </c>
      <c r="AC125" s="20">
        <f t="shared" si="157"/>
        <v>0</v>
      </c>
      <c r="AD125" s="20">
        <f t="shared" si="158"/>
        <v>0</v>
      </c>
      <c r="AE125" s="20">
        <f t="shared" si="159"/>
        <v>0</v>
      </c>
      <c r="AF125" s="20">
        <f t="shared" si="159"/>
        <v>0</v>
      </c>
      <c r="AG125" s="20">
        <f t="shared" si="159"/>
        <v>0</v>
      </c>
      <c r="AH125" s="20">
        <f t="shared" si="159"/>
        <v>0</v>
      </c>
      <c r="AI125" s="20">
        <f t="shared" si="160"/>
        <v>0</v>
      </c>
      <c r="AJ125" s="20">
        <f t="shared" si="161"/>
        <v>0</v>
      </c>
      <c r="AK125" s="20">
        <f t="shared" si="162"/>
        <v>0</v>
      </c>
      <c r="AL125" s="20">
        <f t="shared" si="163"/>
        <v>0</v>
      </c>
      <c r="AM125" s="20">
        <f t="shared" si="164"/>
        <v>0</v>
      </c>
      <c r="AO125">
        <f t="shared" si="165"/>
        <v>0</v>
      </c>
      <c r="AP125">
        <f t="shared" si="165"/>
        <v>0</v>
      </c>
      <c r="AQ125">
        <f t="shared" si="165"/>
        <v>0</v>
      </c>
      <c r="AR125">
        <f t="shared" si="165"/>
        <v>0</v>
      </c>
      <c r="AS125">
        <f t="shared" si="166"/>
        <v>0</v>
      </c>
      <c r="AU125">
        <f t="shared" si="167"/>
        <v>0</v>
      </c>
      <c r="AV125">
        <f t="shared" si="167"/>
        <v>0</v>
      </c>
      <c r="AW125">
        <f t="shared" si="167"/>
        <v>0</v>
      </c>
      <c r="AX125">
        <f t="shared" si="167"/>
        <v>0</v>
      </c>
      <c r="AY125">
        <f t="shared" si="168"/>
        <v>0</v>
      </c>
    </row>
    <row r="126" spans="1:53" ht="15" x14ac:dyDescent="0.25">
      <c r="A126" s="7"/>
      <c r="B126" s="8" t="s">
        <v>14</v>
      </c>
      <c r="C126" s="7"/>
      <c r="D126" s="357">
        <f t="shared" ref="D126:H126" si="169">SUM(D120:D125)</f>
        <v>0</v>
      </c>
      <c r="E126" s="363">
        <f>SUM(E120:E125)</f>
        <v>8.2837999999999994</v>
      </c>
      <c r="F126" s="357">
        <f t="shared" si="169"/>
        <v>0</v>
      </c>
      <c r="G126" s="357">
        <f t="shared" si="169"/>
        <v>0</v>
      </c>
      <c r="H126" s="357">
        <f t="shared" si="169"/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 s="20"/>
      <c r="P126" s="20"/>
      <c r="Q126" s="438">
        <v>6.9126543581550376E-2</v>
      </c>
      <c r="R126" s="197"/>
      <c r="S126" s="197"/>
      <c r="T126" s="197"/>
      <c r="U126" s="197"/>
      <c r="BA126" s="319">
        <f>(E126*10000*Q126*AU$10)</f>
        <v>8063.2095314912458</v>
      </c>
    </row>
    <row r="127" spans="1:53" ht="15" x14ac:dyDescent="0.25">
      <c r="A127" s="10"/>
      <c r="B127" s="9" t="s">
        <v>15</v>
      </c>
      <c r="C127" s="5"/>
      <c r="E127" s="363">
        <f>SUM(E126)</f>
        <v>8.2837999999999994</v>
      </c>
      <c r="H127" s="358">
        <f>SUM(D126:H126)</f>
        <v>8.2837999999999994</v>
      </c>
      <c r="K127" s="14"/>
      <c r="N127">
        <v>0</v>
      </c>
      <c r="O127" s="20"/>
      <c r="P127" s="20"/>
      <c r="Q127" s="438"/>
      <c r="R127" s="197"/>
      <c r="S127" s="197"/>
      <c r="T127" s="197"/>
      <c r="U127" s="197"/>
    </row>
    <row r="128" spans="1:53" ht="15.75" x14ac:dyDescent="0.25">
      <c r="A128" s="1"/>
      <c r="B128" s="2"/>
      <c r="C128" s="1"/>
      <c r="E128" s="361"/>
      <c r="K128" s="14"/>
      <c r="O128" s="20"/>
      <c r="P128" s="20"/>
      <c r="Q128" s="439"/>
      <c r="R128" s="197"/>
      <c r="S128" s="197"/>
      <c r="T128" s="197"/>
      <c r="U128" s="197"/>
    </row>
    <row r="129" spans="1:53" ht="15" x14ac:dyDescent="0.25">
      <c r="A129" s="1">
        <v>14</v>
      </c>
      <c r="B129" s="2" t="s">
        <v>28</v>
      </c>
      <c r="C129" s="1" t="s">
        <v>8</v>
      </c>
      <c r="D129">
        <v>0</v>
      </c>
      <c r="E129" s="360">
        <v>281.78219999999999</v>
      </c>
      <c r="F129">
        <v>0</v>
      </c>
      <c r="G129">
        <v>0</v>
      </c>
      <c r="H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 s="20"/>
      <c r="P129" s="20"/>
      <c r="Q129" s="438">
        <v>4.5127039031598856E-2</v>
      </c>
      <c r="R129" s="197">
        <v>5.6499999999999995E-2</v>
      </c>
      <c r="S129" s="197">
        <v>1.25</v>
      </c>
      <c r="T129" s="197">
        <v>0.50078889239507718</v>
      </c>
      <c r="U129" s="197">
        <v>0.75268470790377973</v>
      </c>
      <c r="V129" s="20">
        <f t="shared" ref="V129:Y134" si="170">E129*$Q129*$R129*10</f>
        <v>7.1845379308625335</v>
      </c>
      <c r="W129" s="20">
        <f t="shared" si="170"/>
        <v>0</v>
      </c>
      <c r="X129" s="20">
        <f t="shared" si="170"/>
        <v>0</v>
      </c>
      <c r="Y129" s="20">
        <f t="shared" si="170"/>
        <v>0</v>
      </c>
      <c r="Z129" s="20">
        <f t="shared" ref="Z129:AC134" si="171">V129*(EXP(1.01-0.34*LN(Z$8))*(1-$T129)+(1*$T129))</f>
        <v>4.252501396227526</v>
      </c>
      <c r="AA129" s="20">
        <f t="shared" si="171"/>
        <v>0</v>
      </c>
      <c r="AB129" s="20">
        <f t="shared" si="171"/>
        <v>0</v>
      </c>
      <c r="AC129" s="20">
        <f t="shared" si="171"/>
        <v>0</v>
      </c>
      <c r="AD129" s="20">
        <f t="shared" ref="AD129:AD134" si="172">SUM(Z129:AC129)</f>
        <v>4.252501396227526</v>
      </c>
      <c r="AE129" s="20">
        <f t="shared" ref="AE129:AE134" si="173">E129*$Q129*$S129*10</f>
        <v>158.94995422262244</v>
      </c>
      <c r="AF129" s="20">
        <f t="shared" ref="AF129:AH134" si="174">F129*$Q129*$S129*10</f>
        <v>0</v>
      </c>
      <c r="AG129" s="20">
        <f t="shared" si="174"/>
        <v>0</v>
      </c>
      <c r="AH129" s="20">
        <f t="shared" si="174"/>
        <v>0</v>
      </c>
      <c r="AI129" s="20">
        <f t="shared" ref="AI129:AI134" si="175">AE129*(EXP(1.01-0.34*LN(AI$8))*(1-$U129)+(1*$U129))</f>
        <v>126.81352099751047</v>
      </c>
      <c r="AJ129" s="20">
        <f t="shared" ref="AJ129:AJ134" si="176">AF129*(EXP(1.01-0.34*LN(AJ$8))*(1-$U129)+(1*$U129))</f>
        <v>0</v>
      </c>
      <c r="AK129" s="20">
        <f t="shared" ref="AK129:AK134" si="177">AG129*(EXP(1.01-0.34*LN(AK$8))*(1-$U129)+(1*$U129))</f>
        <v>0</v>
      </c>
      <c r="AL129" s="20">
        <f t="shared" ref="AL129:AL134" si="178">AH129*(EXP(1.01-0.34*LN(AL$8))*(1-$U129)+(1*$U129))</f>
        <v>0</v>
      </c>
      <c r="AM129" s="20">
        <f t="shared" ref="AM129:AM134" si="179">SUM(AI129:AL129)</f>
        <v>126.81352099751047</v>
      </c>
      <c r="AO129">
        <f t="shared" ref="AO129:AR134" si="180">Z129*AO$10</f>
        <v>5.9879472160279787</v>
      </c>
      <c r="AP129">
        <f t="shared" si="180"/>
        <v>0</v>
      </c>
      <c r="AQ129">
        <f t="shared" si="180"/>
        <v>0</v>
      </c>
      <c r="AR129">
        <f t="shared" si="180"/>
        <v>0</v>
      </c>
      <c r="AS129">
        <f t="shared" ref="AS129:AS134" si="181">SUM(AO129:AR129)</f>
        <v>5.9879472160279787</v>
      </c>
      <c r="AU129">
        <f t="shared" ref="AU129:AX134" si="182">AI129*AU$10</f>
        <v>178.56611891659446</v>
      </c>
      <c r="AV129">
        <f t="shared" si="182"/>
        <v>0</v>
      </c>
      <c r="AW129">
        <f t="shared" si="182"/>
        <v>0</v>
      </c>
      <c r="AX129">
        <f t="shared" si="182"/>
        <v>0</v>
      </c>
      <c r="AY129">
        <f t="shared" ref="AY129:AY134" si="183">SUM(AU129:AX129)</f>
        <v>178.56611891659446</v>
      </c>
    </row>
    <row r="130" spans="1:53" ht="15" x14ac:dyDescent="0.25">
      <c r="A130" s="1"/>
      <c r="B130" s="2"/>
      <c r="C130" s="1" t="s">
        <v>9</v>
      </c>
      <c r="D130">
        <v>0</v>
      </c>
      <c r="E130" s="360">
        <v>3.4670999999999998</v>
      </c>
      <c r="F130">
        <v>0</v>
      </c>
      <c r="G130">
        <v>0</v>
      </c>
      <c r="H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 s="20"/>
      <c r="P130" s="20"/>
      <c r="Q130" s="438">
        <v>8.1254078063197704E-2</v>
      </c>
      <c r="R130" s="197">
        <v>5.6499999999999995E-2</v>
      </c>
      <c r="S130" s="197">
        <v>1.25</v>
      </c>
      <c r="T130" s="197">
        <v>0.50078889239507718</v>
      </c>
      <c r="U130" s="197">
        <v>0.75268470790377973</v>
      </c>
      <c r="V130" s="20">
        <f t="shared" si="170"/>
        <v>0.15916954793989568</v>
      </c>
      <c r="W130" s="20">
        <f t="shared" si="170"/>
        <v>0</v>
      </c>
      <c r="X130" s="20">
        <f t="shared" si="170"/>
        <v>0</v>
      </c>
      <c r="Y130" s="20">
        <f t="shared" si="170"/>
        <v>0</v>
      </c>
      <c r="Z130" s="20">
        <f t="shared" si="171"/>
        <v>9.4211866005146083E-2</v>
      </c>
      <c r="AA130" s="20">
        <f t="shared" si="171"/>
        <v>0</v>
      </c>
      <c r="AB130" s="20">
        <f t="shared" si="171"/>
        <v>0</v>
      </c>
      <c r="AC130" s="20">
        <f t="shared" si="171"/>
        <v>0</v>
      </c>
      <c r="AD130" s="20">
        <f t="shared" si="172"/>
        <v>9.4211866005146083E-2</v>
      </c>
      <c r="AE130" s="20">
        <f t="shared" si="173"/>
        <v>3.5214501756614092</v>
      </c>
      <c r="AF130" s="20">
        <f t="shared" si="174"/>
        <v>0</v>
      </c>
      <c r="AG130" s="20">
        <f t="shared" si="174"/>
        <v>0</v>
      </c>
      <c r="AH130" s="20">
        <f t="shared" si="174"/>
        <v>0</v>
      </c>
      <c r="AI130" s="20">
        <f t="shared" si="175"/>
        <v>2.8094848971612199</v>
      </c>
      <c r="AJ130" s="20">
        <f t="shared" si="176"/>
        <v>0</v>
      </c>
      <c r="AK130" s="20">
        <f t="shared" si="177"/>
        <v>0</v>
      </c>
      <c r="AL130" s="20">
        <f t="shared" si="178"/>
        <v>0</v>
      </c>
      <c r="AM130" s="20">
        <f t="shared" si="179"/>
        <v>2.8094848971612199</v>
      </c>
      <c r="AO130">
        <f t="shared" si="180"/>
        <v>0.13265972852184618</v>
      </c>
      <c r="AP130">
        <f t="shared" si="180"/>
        <v>0</v>
      </c>
      <c r="AQ130">
        <f t="shared" si="180"/>
        <v>0</v>
      </c>
      <c r="AR130">
        <f t="shared" si="180"/>
        <v>0</v>
      </c>
      <c r="AS130">
        <f t="shared" si="181"/>
        <v>0.13265972852184618</v>
      </c>
      <c r="AU130">
        <f t="shared" si="182"/>
        <v>3.9560356836927135</v>
      </c>
      <c r="AV130">
        <f t="shared" si="182"/>
        <v>0</v>
      </c>
      <c r="AW130">
        <f t="shared" si="182"/>
        <v>0</v>
      </c>
      <c r="AX130">
        <f t="shared" si="182"/>
        <v>0</v>
      </c>
      <c r="AY130">
        <f t="shared" si="183"/>
        <v>3.9560356836927135</v>
      </c>
    </row>
    <row r="131" spans="1:53" ht="15" x14ac:dyDescent="0.25">
      <c r="A131" s="1"/>
      <c r="B131" s="2"/>
      <c r="C131" s="1" t="s">
        <v>10</v>
      </c>
      <c r="D131">
        <v>0</v>
      </c>
      <c r="E131" s="360">
        <v>1.0326</v>
      </c>
      <c r="F131">
        <v>0</v>
      </c>
      <c r="G131">
        <v>0</v>
      </c>
      <c r="H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 s="20"/>
      <c r="P131" s="20"/>
      <c r="Q131" s="438">
        <v>0.11738111709479654</v>
      </c>
      <c r="R131" s="197">
        <v>5.6499999999999995E-2</v>
      </c>
      <c r="S131" s="197">
        <v>1.25</v>
      </c>
      <c r="T131" s="197">
        <v>0.50078889239507718</v>
      </c>
      <c r="U131" s="197">
        <v>0.75268470790377973</v>
      </c>
      <c r="V131" s="20">
        <f t="shared" si="170"/>
        <v>6.8482373954329101E-2</v>
      </c>
      <c r="W131" s="20">
        <f t="shared" si="170"/>
        <v>0</v>
      </c>
      <c r="X131" s="20">
        <f t="shared" si="170"/>
        <v>0</v>
      </c>
      <c r="Y131" s="20">
        <f t="shared" si="170"/>
        <v>0</v>
      </c>
      <c r="Z131" s="20">
        <f t="shared" si="171"/>
        <v>4.0534463546606642E-2</v>
      </c>
      <c r="AA131" s="20">
        <f t="shared" si="171"/>
        <v>0</v>
      </c>
      <c r="AB131" s="20">
        <f t="shared" si="171"/>
        <v>0</v>
      </c>
      <c r="AC131" s="20">
        <f t="shared" si="171"/>
        <v>0</v>
      </c>
      <c r="AD131" s="20">
        <f t="shared" si="172"/>
        <v>4.0534463546606642E-2</v>
      </c>
      <c r="AE131" s="20">
        <f t="shared" si="173"/>
        <v>1.5150967689010864</v>
      </c>
      <c r="AF131" s="20">
        <f t="shared" si="174"/>
        <v>0</v>
      </c>
      <c r="AG131" s="20">
        <f t="shared" si="174"/>
        <v>0</v>
      </c>
      <c r="AH131" s="20">
        <f t="shared" si="174"/>
        <v>0</v>
      </c>
      <c r="AI131" s="20">
        <f t="shared" si="175"/>
        <v>1.2087751572875429</v>
      </c>
      <c r="AJ131" s="20">
        <f t="shared" si="176"/>
        <v>0</v>
      </c>
      <c r="AK131" s="20">
        <f t="shared" si="177"/>
        <v>0</v>
      </c>
      <c r="AL131" s="20">
        <f t="shared" si="178"/>
        <v>0</v>
      </c>
      <c r="AM131" s="20">
        <f t="shared" si="179"/>
        <v>1.2087751572875429</v>
      </c>
      <c r="AO131">
        <f t="shared" si="180"/>
        <v>5.7076578119976809E-2</v>
      </c>
      <c r="AP131">
        <f t="shared" si="180"/>
        <v>0</v>
      </c>
      <c r="AQ131">
        <f t="shared" si="180"/>
        <v>0</v>
      </c>
      <c r="AR131">
        <f t="shared" si="180"/>
        <v>0</v>
      </c>
      <c r="AS131">
        <f t="shared" si="181"/>
        <v>5.7076578119976809E-2</v>
      </c>
      <c r="AU131">
        <f t="shared" si="182"/>
        <v>1.7020762989765892</v>
      </c>
      <c r="AV131">
        <f t="shared" si="182"/>
        <v>0</v>
      </c>
      <c r="AW131">
        <f t="shared" si="182"/>
        <v>0</v>
      </c>
      <c r="AX131">
        <f t="shared" si="182"/>
        <v>0</v>
      </c>
      <c r="AY131">
        <f t="shared" si="183"/>
        <v>1.7020762989765892</v>
      </c>
    </row>
    <row r="132" spans="1:53" ht="15" x14ac:dyDescent="0.25">
      <c r="A132" s="1"/>
      <c r="B132" s="2"/>
      <c r="C132" s="1" t="s">
        <v>11</v>
      </c>
      <c r="D132">
        <v>0</v>
      </c>
      <c r="E132" s="360">
        <v>113.0378</v>
      </c>
      <c r="F132">
        <v>0</v>
      </c>
      <c r="G132">
        <v>0</v>
      </c>
      <c r="H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 s="20"/>
      <c r="P132" s="20"/>
      <c r="Q132" s="438">
        <v>0.15350815612639537</v>
      </c>
      <c r="R132" s="197">
        <v>5.6499999999999995E-2</v>
      </c>
      <c r="S132" s="197">
        <v>1.25</v>
      </c>
      <c r="T132" s="197">
        <v>0.50078889239507718</v>
      </c>
      <c r="U132" s="197">
        <v>0.75268470790377973</v>
      </c>
      <c r="V132" s="20">
        <f t="shared" si="170"/>
        <v>9.8040067015801053</v>
      </c>
      <c r="W132" s="20">
        <f t="shared" si="170"/>
        <v>0</v>
      </c>
      <c r="X132" s="20">
        <f t="shared" si="170"/>
        <v>0</v>
      </c>
      <c r="Y132" s="20">
        <f t="shared" si="170"/>
        <v>0</v>
      </c>
      <c r="Z132" s="20">
        <f t="shared" si="171"/>
        <v>5.8029552614649749</v>
      </c>
      <c r="AA132" s="20">
        <f t="shared" si="171"/>
        <v>0</v>
      </c>
      <c r="AB132" s="20">
        <f t="shared" si="171"/>
        <v>0</v>
      </c>
      <c r="AC132" s="20">
        <f t="shared" si="171"/>
        <v>0</v>
      </c>
      <c r="AD132" s="20">
        <f t="shared" si="172"/>
        <v>5.8029552614649749</v>
      </c>
      <c r="AE132" s="20">
        <f t="shared" si="173"/>
        <v>216.90280313230321</v>
      </c>
      <c r="AF132" s="20">
        <f t="shared" si="174"/>
        <v>0</v>
      </c>
      <c r="AG132" s="20">
        <f t="shared" si="174"/>
        <v>0</v>
      </c>
      <c r="AH132" s="20">
        <f t="shared" si="174"/>
        <v>0</v>
      </c>
      <c r="AI132" s="20">
        <f t="shared" si="175"/>
        <v>173.04948789675342</v>
      </c>
      <c r="AJ132" s="20">
        <f t="shared" si="176"/>
        <v>0</v>
      </c>
      <c r="AK132" s="20">
        <f t="shared" si="177"/>
        <v>0</v>
      </c>
      <c r="AL132" s="20">
        <f t="shared" si="178"/>
        <v>0</v>
      </c>
      <c r="AM132" s="20">
        <f t="shared" si="179"/>
        <v>173.04948789675342</v>
      </c>
      <c r="AO132">
        <f t="shared" si="180"/>
        <v>8.171141303668831</v>
      </c>
      <c r="AP132">
        <f t="shared" si="180"/>
        <v>0</v>
      </c>
      <c r="AQ132">
        <f t="shared" si="180"/>
        <v>0</v>
      </c>
      <c r="AR132">
        <f t="shared" si="180"/>
        <v>0</v>
      </c>
      <c r="AS132">
        <f t="shared" si="181"/>
        <v>8.171141303668831</v>
      </c>
      <c r="AU132">
        <f t="shared" si="182"/>
        <v>243.67098390741847</v>
      </c>
      <c r="AV132">
        <f t="shared" si="182"/>
        <v>0</v>
      </c>
      <c r="AW132">
        <f t="shared" si="182"/>
        <v>0</v>
      </c>
      <c r="AX132">
        <f t="shared" si="182"/>
        <v>0</v>
      </c>
      <c r="AY132">
        <f t="shared" si="183"/>
        <v>243.67098390741847</v>
      </c>
    </row>
    <row r="133" spans="1:53" ht="15" x14ac:dyDescent="0.25">
      <c r="A133" s="1"/>
      <c r="B133" s="2"/>
      <c r="C133" s="1" t="s">
        <v>12</v>
      </c>
      <c r="D133">
        <v>0</v>
      </c>
      <c r="E133" s="360">
        <v>0</v>
      </c>
      <c r="F133">
        <v>0</v>
      </c>
      <c r="G133">
        <v>0</v>
      </c>
      <c r="H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 s="20"/>
      <c r="P133" s="20"/>
      <c r="Q133" s="438"/>
      <c r="R133" s="197">
        <v>5.6499999999999995E-2</v>
      </c>
      <c r="S133" s="197">
        <v>1.25</v>
      </c>
      <c r="T133" s="197">
        <v>0.50078889239507718</v>
      </c>
      <c r="U133" s="197">
        <v>0.75268470790377973</v>
      </c>
      <c r="V133" s="20">
        <f t="shared" si="170"/>
        <v>0</v>
      </c>
      <c r="W133" s="20">
        <f t="shared" si="170"/>
        <v>0</v>
      </c>
      <c r="X133" s="20">
        <f t="shared" si="170"/>
        <v>0</v>
      </c>
      <c r="Y133" s="20">
        <f t="shared" si="170"/>
        <v>0</v>
      </c>
      <c r="Z133" s="20">
        <f t="shared" si="171"/>
        <v>0</v>
      </c>
      <c r="AA133" s="20">
        <f t="shared" si="171"/>
        <v>0</v>
      </c>
      <c r="AB133" s="20">
        <f t="shared" si="171"/>
        <v>0</v>
      </c>
      <c r="AC133" s="20">
        <f t="shared" si="171"/>
        <v>0</v>
      </c>
      <c r="AD133" s="20">
        <f t="shared" si="172"/>
        <v>0</v>
      </c>
      <c r="AE133" s="20">
        <f t="shared" si="173"/>
        <v>0</v>
      </c>
      <c r="AF133" s="20">
        <f t="shared" si="174"/>
        <v>0</v>
      </c>
      <c r="AG133" s="20">
        <f t="shared" si="174"/>
        <v>0</v>
      </c>
      <c r="AH133" s="20">
        <f t="shared" si="174"/>
        <v>0</v>
      </c>
      <c r="AI133" s="20">
        <f t="shared" si="175"/>
        <v>0</v>
      </c>
      <c r="AJ133" s="20">
        <f t="shared" si="176"/>
        <v>0</v>
      </c>
      <c r="AK133" s="20">
        <f t="shared" si="177"/>
        <v>0</v>
      </c>
      <c r="AL133" s="20">
        <f t="shared" si="178"/>
        <v>0</v>
      </c>
      <c r="AM133" s="20">
        <f t="shared" si="179"/>
        <v>0</v>
      </c>
      <c r="AO133">
        <f t="shared" si="180"/>
        <v>0</v>
      </c>
      <c r="AP133">
        <f t="shared" si="180"/>
        <v>0</v>
      </c>
      <c r="AQ133">
        <f t="shared" si="180"/>
        <v>0</v>
      </c>
      <c r="AR133">
        <f t="shared" si="180"/>
        <v>0</v>
      </c>
      <c r="AS133">
        <f t="shared" si="181"/>
        <v>0</v>
      </c>
      <c r="AU133">
        <f t="shared" si="182"/>
        <v>0</v>
      </c>
      <c r="AV133">
        <f t="shared" si="182"/>
        <v>0</v>
      </c>
      <c r="AW133">
        <f t="shared" si="182"/>
        <v>0</v>
      </c>
      <c r="AX133">
        <f t="shared" si="182"/>
        <v>0</v>
      </c>
      <c r="AY133">
        <f t="shared" si="183"/>
        <v>0</v>
      </c>
    </row>
    <row r="134" spans="1:53" ht="15" x14ac:dyDescent="0.25">
      <c r="A134" s="1"/>
      <c r="B134" s="2"/>
      <c r="C134" s="1" t="s">
        <v>13</v>
      </c>
      <c r="D134">
        <v>0</v>
      </c>
      <c r="E134" s="360">
        <v>0.78949999999999998</v>
      </c>
      <c r="F134">
        <v>0</v>
      </c>
      <c r="G134">
        <v>0</v>
      </c>
      <c r="H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20"/>
      <c r="P134" s="20"/>
      <c r="Q134" s="438">
        <v>0.15350815612639543</v>
      </c>
      <c r="R134" s="197">
        <v>5.6499999999999995E-2</v>
      </c>
      <c r="S134" s="197">
        <v>1.25</v>
      </c>
      <c r="T134" s="197">
        <v>0.50078889239507718</v>
      </c>
      <c r="U134" s="197">
        <v>0.75268470790377973</v>
      </c>
      <c r="V134" s="20">
        <f t="shared" si="170"/>
        <v>6.8474999432910882E-2</v>
      </c>
      <c r="W134" s="20">
        <f t="shared" si="170"/>
        <v>0</v>
      </c>
      <c r="X134" s="20">
        <f t="shared" si="170"/>
        <v>0</v>
      </c>
      <c r="Y134" s="20">
        <f t="shared" si="170"/>
        <v>0</v>
      </c>
      <c r="Z134" s="20">
        <f t="shared" si="171"/>
        <v>4.0530098594687772E-2</v>
      </c>
      <c r="AA134" s="20">
        <f t="shared" si="171"/>
        <v>0</v>
      </c>
      <c r="AB134" s="20">
        <f t="shared" si="171"/>
        <v>0</v>
      </c>
      <c r="AC134" s="20">
        <f t="shared" si="171"/>
        <v>0</v>
      </c>
      <c r="AD134" s="20">
        <f t="shared" si="172"/>
        <v>4.0530098594687772E-2</v>
      </c>
      <c r="AE134" s="20">
        <f t="shared" si="173"/>
        <v>1.5149336157723647</v>
      </c>
      <c r="AF134" s="20">
        <f t="shared" si="174"/>
        <v>0</v>
      </c>
      <c r="AG134" s="20">
        <f t="shared" si="174"/>
        <v>0</v>
      </c>
      <c r="AH134" s="20">
        <f t="shared" si="174"/>
        <v>0</v>
      </c>
      <c r="AI134" s="20">
        <f t="shared" si="175"/>
        <v>1.2086449903880547</v>
      </c>
      <c r="AJ134" s="20">
        <f t="shared" si="176"/>
        <v>0</v>
      </c>
      <c r="AK134" s="20">
        <f t="shared" si="177"/>
        <v>0</v>
      </c>
      <c r="AL134" s="20">
        <f t="shared" si="178"/>
        <v>0</v>
      </c>
      <c r="AM134" s="20">
        <f t="shared" si="179"/>
        <v>1.2086449903880547</v>
      </c>
      <c r="AO134">
        <f t="shared" si="180"/>
        <v>5.7070431831179845E-2</v>
      </c>
      <c r="AP134">
        <f t="shared" si="180"/>
        <v>0</v>
      </c>
      <c r="AQ134">
        <f t="shared" si="180"/>
        <v>0</v>
      </c>
      <c r="AR134">
        <f t="shared" si="180"/>
        <v>0</v>
      </c>
      <c r="AS134">
        <f t="shared" si="181"/>
        <v>5.7070431831179845E-2</v>
      </c>
      <c r="AU134">
        <f t="shared" si="182"/>
        <v>1.7018930109654198</v>
      </c>
      <c r="AV134">
        <f t="shared" si="182"/>
        <v>0</v>
      </c>
      <c r="AW134">
        <f t="shared" si="182"/>
        <v>0</v>
      </c>
      <c r="AX134">
        <f t="shared" si="182"/>
        <v>0</v>
      </c>
      <c r="AY134">
        <f t="shared" si="183"/>
        <v>1.7018930109654198</v>
      </c>
    </row>
    <row r="135" spans="1:53" ht="15" x14ac:dyDescent="0.25">
      <c r="A135" s="7"/>
      <c r="B135" s="8" t="s">
        <v>14</v>
      </c>
      <c r="C135" s="7"/>
      <c r="D135" s="357">
        <f t="shared" ref="D135:H135" si="184">SUM(D129:D134)</f>
        <v>0</v>
      </c>
      <c r="E135" s="363">
        <f>SUM(E129:E134)</f>
        <v>400.10919999999999</v>
      </c>
      <c r="F135" s="357">
        <f t="shared" si="184"/>
        <v>0</v>
      </c>
      <c r="G135" s="357">
        <f t="shared" si="184"/>
        <v>0</v>
      </c>
      <c r="H135" s="357">
        <f t="shared" si="184"/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 s="20"/>
      <c r="P135" s="20"/>
      <c r="Q135" s="438">
        <v>7.6459974010147341E-2</v>
      </c>
      <c r="R135" s="197"/>
      <c r="S135" s="197"/>
      <c r="T135" s="197"/>
      <c r="U135" s="197"/>
      <c r="BA135" s="319">
        <f>(E135*10000*Q135*AU$10)</f>
        <v>430770.72592678264</v>
      </c>
    </row>
    <row r="136" spans="1:53" ht="15" x14ac:dyDescent="0.25">
      <c r="A136" s="10"/>
      <c r="B136" s="9" t="s">
        <v>15</v>
      </c>
      <c r="C136" s="5"/>
      <c r="E136" s="363">
        <f>SUM(E135)</f>
        <v>400.10919999999999</v>
      </c>
      <c r="H136" s="358">
        <f>SUM(D135:H135)</f>
        <v>400.10919999999999</v>
      </c>
      <c r="K136" s="14"/>
      <c r="N136">
        <v>0</v>
      </c>
      <c r="O136" s="20"/>
      <c r="P136" s="20"/>
      <c r="Q136" s="438"/>
      <c r="R136" s="197"/>
      <c r="S136" s="197"/>
      <c r="T136" s="197"/>
      <c r="U136" s="197"/>
    </row>
    <row r="137" spans="1:53" ht="15.75" x14ac:dyDescent="0.25">
      <c r="A137" s="1"/>
      <c r="B137" s="2"/>
      <c r="C137" s="1"/>
      <c r="E137" s="361"/>
      <c r="K137" s="14"/>
      <c r="O137" s="20"/>
      <c r="P137" s="20"/>
      <c r="Q137" s="439"/>
      <c r="R137" s="197"/>
      <c r="S137" s="197"/>
      <c r="T137" s="197"/>
      <c r="U137" s="197"/>
    </row>
    <row r="138" spans="1:53" ht="15" x14ac:dyDescent="0.25">
      <c r="A138" s="1">
        <v>15</v>
      </c>
      <c r="B138" s="2" t="s">
        <v>29</v>
      </c>
      <c r="C138" s="1" t="s">
        <v>8</v>
      </c>
      <c r="D138">
        <v>0</v>
      </c>
      <c r="E138" s="360">
        <v>0.63266</v>
      </c>
      <c r="F138">
        <v>0</v>
      </c>
      <c r="G138">
        <v>0</v>
      </c>
      <c r="H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 s="20"/>
      <c r="P138" s="20"/>
      <c r="Q138" s="438">
        <v>0.77047379379266634</v>
      </c>
      <c r="R138" s="197">
        <v>2.5000000000000001E-2</v>
      </c>
      <c r="S138" s="197">
        <v>0.71599999999999997</v>
      </c>
      <c r="T138" s="197">
        <v>0.11808671869809276</v>
      </c>
      <c r="U138" s="197">
        <v>0.41263016220713056</v>
      </c>
      <c r="V138" s="20">
        <f t="shared" ref="V138:Y143" si="185">E138*$Q138*$R138*10</f>
        <v>0.12186198759521708</v>
      </c>
      <c r="W138" s="20">
        <f t="shared" si="185"/>
        <v>0</v>
      </c>
      <c r="X138" s="20">
        <f t="shared" si="185"/>
        <v>0</v>
      </c>
      <c r="Y138" s="20">
        <f t="shared" si="185"/>
        <v>0</v>
      </c>
      <c r="Z138" s="20">
        <f t="shared" ref="Z138:AC143" si="186">V138*(EXP(1.01-0.34*LN(Z$8))*(1-$T138)+(1*$T138))</f>
        <v>3.4004164998993135E-2</v>
      </c>
      <c r="AA138" s="20">
        <f t="shared" si="186"/>
        <v>0</v>
      </c>
      <c r="AB138" s="20">
        <f t="shared" si="186"/>
        <v>0</v>
      </c>
      <c r="AC138" s="20">
        <f t="shared" si="186"/>
        <v>0</v>
      </c>
      <c r="AD138" s="20">
        <f t="shared" ref="AD138:AD143" si="187">SUM(Z138:AC138)</f>
        <v>3.4004164998993135E-2</v>
      </c>
      <c r="AE138" s="20">
        <f t="shared" ref="AE138:AE143" si="188">E138*$Q138*$S138*10</f>
        <v>3.490127324727017</v>
      </c>
      <c r="AF138" s="20">
        <f t="shared" ref="AF138:AH143" si="189">F138*$Q138*$S138*10</f>
        <v>0</v>
      </c>
      <c r="AG138" s="20">
        <f t="shared" si="189"/>
        <v>0</v>
      </c>
      <c r="AH138" s="20">
        <f t="shared" si="189"/>
        <v>0</v>
      </c>
      <c r="AI138" s="20">
        <f t="shared" ref="AI138:AI143" si="190">AE138*(EXP(1.01-0.34*LN(AI$8))*(1-$U138)+(1*$U138))</f>
        <v>1.8142616427590827</v>
      </c>
      <c r="AJ138" s="20">
        <f t="shared" ref="AJ138:AJ143" si="191">AF138*(EXP(1.01-0.34*LN(AJ$8))*(1-$U138)+(1*$U138))</f>
        <v>0</v>
      </c>
      <c r="AK138" s="20">
        <f t="shared" ref="AK138:AK143" si="192">AG138*(EXP(1.01-0.34*LN(AK$8))*(1-$U138)+(1*$U138))</f>
        <v>0</v>
      </c>
      <c r="AL138" s="20">
        <f t="shared" ref="AL138:AL143" si="193">AH138*(EXP(1.01-0.34*LN(AL$8))*(1-$U138)+(1*$U138))</f>
        <v>0</v>
      </c>
      <c r="AM138" s="20">
        <f t="shared" ref="AM138:AM143" si="194">SUM(AI138:AL138)</f>
        <v>1.8142616427590827</v>
      </c>
      <c r="AO138">
        <f t="shared" ref="AO138:AR143" si="195">Z138*AO$10</f>
        <v>4.7881264735082231E-2</v>
      </c>
      <c r="AP138">
        <f t="shared" si="195"/>
        <v>0</v>
      </c>
      <c r="AQ138">
        <f t="shared" si="195"/>
        <v>0</v>
      </c>
      <c r="AR138">
        <f t="shared" si="195"/>
        <v>0</v>
      </c>
      <c r="AS138">
        <f t="shared" ref="AS138:AS143" si="196">SUM(AO138:AR138)</f>
        <v>4.7881264735082231E-2</v>
      </c>
      <c r="AU138">
        <f t="shared" ref="AU138:AX143" si="197">AI138*AU$10</f>
        <v>2.5546618191690644</v>
      </c>
      <c r="AV138">
        <f t="shared" si="197"/>
        <v>0</v>
      </c>
      <c r="AW138">
        <f t="shared" si="197"/>
        <v>0</v>
      </c>
      <c r="AX138">
        <f t="shared" si="197"/>
        <v>0</v>
      </c>
      <c r="AY138">
        <f t="shared" ref="AY138:AY143" si="198">SUM(AU138:AX138)</f>
        <v>2.5546618191690644</v>
      </c>
    </row>
    <row r="139" spans="1:53" ht="15" x14ac:dyDescent="0.25">
      <c r="A139" s="1"/>
      <c r="B139" s="2"/>
      <c r="C139" s="1" t="s">
        <v>9</v>
      </c>
      <c r="D139">
        <v>0</v>
      </c>
      <c r="E139" s="360">
        <v>1.5754999999999999</v>
      </c>
      <c r="F139">
        <v>0</v>
      </c>
      <c r="G139">
        <v>0</v>
      </c>
      <c r="H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 s="20"/>
      <c r="P139" s="20"/>
      <c r="Q139" s="438">
        <v>0.775947587585333</v>
      </c>
      <c r="R139" s="197">
        <v>2.5000000000000001E-2</v>
      </c>
      <c r="S139" s="197">
        <v>0.71599999999999997</v>
      </c>
      <c r="T139" s="197">
        <v>0.11808671869809276</v>
      </c>
      <c r="U139" s="197">
        <v>0.41263016220713056</v>
      </c>
      <c r="V139" s="20">
        <f t="shared" si="185"/>
        <v>0.30562635606017302</v>
      </c>
      <c r="W139" s="20">
        <f t="shared" si="185"/>
        <v>0</v>
      </c>
      <c r="X139" s="20">
        <f t="shared" si="185"/>
        <v>0</v>
      </c>
      <c r="Y139" s="20">
        <f t="shared" si="185"/>
        <v>0</v>
      </c>
      <c r="Z139" s="20">
        <f t="shared" si="186"/>
        <v>8.5281466719807908E-2</v>
      </c>
      <c r="AA139" s="20">
        <f t="shared" si="186"/>
        <v>0</v>
      </c>
      <c r="AB139" s="20">
        <f t="shared" si="186"/>
        <v>0</v>
      </c>
      <c r="AC139" s="20">
        <f t="shared" si="186"/>
        <v>0</v>
      </c>
      <c r="AD139" s="20">
        <f t="shared" si="187"/>
        <v>8.5281466719807908E-2</v>
      </c>
      <c r="AE139" s="20">
        <f t="shared" si="188"/>
        <v>8.7531388375633554</v>
      </c>
      <c r="AF139" s="20">
        <f t="shared" si="189"/>
        <v>0</v>
      </c>
      <c r="AG139" s="20">
        <f t="shared" si="189"/>
        <v>0</v>
      </c>
      <c r="AH139" s="20">
        <f t="shared" si="189"/>
        <v>0</v>
      </c>
      <c r="AI139" s="20">
        <f t="shared" si="190"/>
        <v>4.5501159611642894</v>
      </c>
      <c r="AJ139" s="20">
        <f t="shared" si="191"/>
        <v>0</v>
      </c>
      <c r="AK139" s="20">
        <f t="shared" si="192"/>
        <v>0</v>
      </c>
      <c r="AL139" s="20">
        <f t="shared" si="193"/>
        <v>0</v>
      </c>
      <c r="AM139" s="20">
        <f t="shared" si="194"/>
        <v>4.5501159611642894</v>
      </c>
      <c r="AO139">
        <f t="shared" si="195"/>
        <v>0.12008483328816151</v>
      </c>
      <c r="AP139">
        <f t="shared" si="195"/>
        <v>0</v>
      </c>
      <c r="AQ139">
        <f t="shared" si="195"/>
        <v>0</v>
      </c>
      <c r="AR139">
        <f t="shared" si="195"/>
        <v>0</v>
      </c>
      <c r="AS139">
        <f t="shared" si="196"/>
        <v>0.12008483328816151</v>
      </c>
      <c r="AU139">
        <f t="shared" si="197"/>
        <v>6.4070182849154351</v>
      </c>
      <c r="AV139">
        <f t="shared" si="197"/>
        <v>0</v>
      </c>
      <c r="AW139">
        <f t="shared" si="197"/>
        <v>0</v>
      </c>
      <c r="AX139">
        <f t="shared" si="197"/>
        <v>0</v>
      </c>
      <c r="AY139">
        <f t="shared" si="198"/>
        <v>6.4070182849154351</v>
      </c>
    </row>
    <row r="140" spans="1:53" ht="15" x14ac:dyDescent="0.25">
      <c r="A140" s="1"/>
      <c r="B140" s="2"/>
      <c r="C140" s="1" t="s">
        <v>10</v>
      </c>
      <c r="D140">
        <v>0</v>
      </c>
      <c r="E140" s="360">
        <v>0</v>
      </c>
      <c r="F140">
        <v>0</v>
      </c>
      <c r="G140">
        <v>0</v>
      </c>
      <c r="H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 s="20"/>
      <c r="P140" s="20"/>
      <c r="Q140" s="438"/>
      <c r="R140" s="197">
        <v>2.5000000000000001E-2</v>
      </c>
      <c r="S140" s="197">
        <v>0.71599999999999997</v>
      </c>
      <c r="T140" s="197">
        <v>0.11808671869809276</v>
      </c>
      <c r="U140" s="197">
        <v>0.41263016220713056</v>
      </c>
      <c r="V140" s="20">
        <f t="shared" si="185"/>
        <v>0</v>
      </c>
      <c r="W140" s="20">
        <f t="shared" si="185"/>
        <v>0</v>
      </c>
      <c r="X140" s="20">
        <f t="shared" si="185"/>
        <v>0</v>
      </c>
      <c r="Y140" s="20">
        <f t="shared" si="185"/>
        <v>0</v>
      </c>
      <c r="Z140" s="20">
        <f t="shared" si="186"/>
        <v>0</v>
      </c>
      <c r="AA140" s="20">
        <f t="shared" si="186"/>
        <v>0</v>
      </c>
      <c r="AB140" s="20">
        <f t="shared" si="186"/>
        <v>0</v>
      </c>
      <c r="AC140" s="20">
        <f t="shared" si="186"/>
        <v>0</v>
      </c>
      <c r="AD140" s="20">
        <f t="shared" si="187"/>
        <v>0</v>
      </c>
      <c r="AE140" s="20">
        <f t="shared" si="188"/>
        <v>0</v>
      </c>
      <c r="AF140" s="20">
        <f t="shared" si="189"/>
        <v>0</v>
      </c>
      <c r="AG140" s="20">
        <f t="shared" si="189"/>
        <v>0</v>
      </c>
      <c r="AH140" s="20">
        <f t="shared" si="189"/>
        <v>0</v>
      </c>
      <c r="AI140" s="20">
        <f t="shared" si="190"/>
        <v>0</v>
      </c>
      <c r="AJ140" s="20">
        <f t="shared" si="191"/>
        <v>0</v>
      </c>
      <c r="AK140" s="20">
        <f t="shared" si="192"/>
        <v>0</v>
      </c>
      <c r="AL140" s="20">
        <f t="shared" si="193"/>
        <v>0</v>
      </c>
      <c r="AM140" s="20">
        <f t="shared" si="194"/>
        <v>0</v>
      </c>
      <c r="AO140">
        <f t="shared" si="195"/>
        <v>0</v>
      </c>
      <c r="AP140">
        <f t="shared" si="195"/>
        <v>0</v>
      </c>
      <c r="AQ140">
        <f t="shared" si="195"/>
        <v>0</v>
      </c>
      <c r="AR140">
        <f t="shared" si="195"/>
        <v>0</v>
      </c>
      <c r="AS140">
        <f t="shared" si="196"/>
        <v>0</v>
      </c>
      <c r="AU140">
        <f t="shared" si="197"/>
        <v>0</v>
      </c>
      <c r="AV140">
        <f t="shared" si="197"/>
        <v>0</v>
      </c>
      <c r="AW140">
        <f t="shared" si="197"/>
        <v>0</v>
      </c>
      <c r="AX140">
        <f t="shared" si="197"/>
        <v>0</v>
      </c>
      <c r="AY140">
        <f t="shared" si="198"/>
        <v>0</v>
      </c>
    </row>
    <row r="141" spans="1:53" ht="15" x14ac:dyDescent="0.25">
      <c r="A141" s="1"/>
      <c r="B141" s="2"/>
      <c r="C141" s="1" t="s">
        <v>11</v>
      </c>
      <c r="D141">
        <v>0</v>
      </c>
      <c r="E141" s="360">
        <v>10.5235</v>
      </c>
      <c r="F141">
        <v>0</v>
      </c>
      <c r="G141">
        <v>0</v>
      </c>
      <c r="H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 s="20"/>
      <c r="P141" s="20"/>
      <c r="Q141" s="438">
        <v>0.78689517517066587</v>
      </c>
      <c r="R141" s="197">
        <v>2.5000000000000001E-2</v>
      </c>
      <c r="S141" s="197">
        <v>0.71599999999999997</v>
      </c>
      <c r="T141" s="197">
        <v>0.11808671869809276</v>
      </c>
      <c r="U141" s="197">
        <v>0.41263016220713056</v>
      </c>
      <c r="V141" s="20">
        <f t="shared" si="185"/>
        <v>2.0702228439771257</v>
      </c>
      <c r="W141" s="20">
        <f t="shared" si="185"/>
        <v>0</v>
      </c>
      <c r="X141" s="20">
        <f t="shared" si="185"/>
        <v>0</v>
      </c>
      <c r="Y141" s="20">
        <f t="shared" si="185"/>
        <v>0</v>
      </c>
      <c r="Z141" s="20">
        <f t="shared" si="186"/>
        <v>0.57767151644624881</v>
      </c>
      <c r="AA141" s="20">
        <f t="shared" si="186"/>
        <v>0</v>
      </c>
      <c r="AB141" s="20">
        <f t="shared" si="186"/>
        <v>0</v>
      </c>
      <c r="AC141" s="20">
        <f t="shared" si="186"/>
        <v>0</v>
      </c>
      <c r="AD141" s="20">
        <f t="shared" si="187"/>
        <v>0.57767151644624881</v>
      </c>
      <c r="AE141" s="20">
        <f t="shared" si="188"/>
        <v>59.291182251504878</v>
      </c>
      <c r="AF141" s="20">
        <f t="shared" si="189"/>
        <v>0</v>
      </c>
      <c r="AG141" s="20">
        <f t="shared" si="189"/>
        <v>0</v>
      </c>
      <c r="AH141" s="20">
        <f t="shared" si="189"/>
        <v>0</v>
      </c>
      <c r="AI141" s="20">
        <f t="shared" si="190"/>
        <v>30.821144246122039</v>
      </c>
      <c r="AJ141" s="20">
        <f t="shared" si="191"/>
        <v>0</v>
      </c>
      <c r="AK141" s="20">
        <f t="shared" si="192"/>
        <v>0</v>
      </c>
      <c r="AL141" s="20">
        <f t="shared" si="193"/>
        <v>0</v>
      </c>
      <c r="AM141" s="20">
        <f t="shared" si="194"/>
        <v>30.821144246122039</v>
      </c>
      <c r="AO141">
        <f t="shared" si="195"/>
        <v>0.81341926230796291</v>
      </c>
      <c r="AP141">
        <f t="shared" si="195"/>
        <v>0</v>
      </c>
      <c r="AQ141">
        <f t="shared" si="195"/>
        <v>0</v>
      </c>
      <c r="AR141">
        <f t="shared" si="195"/>
        <v>0</v>
      </c>
      <c r="AS141">
        <f t="shared" si="196"/>
        <v>0.81341926230796291</v>
      </c>
      <c r="AU141">
        <f t="shared" si="197"/>
        <v>43.399253212964439</v>
      </c>
      <c r="AV141">
        <f t="shared" si="197"/>
        <v>0</v>
      </c>
      <c r="AW141">
        <f t="shared" si="197"/>
        <v>0</v>
      </c>
      <c r="AX141">
        <f t="shared" si="197"/>
        <v>0</v>
      </c>
      <c r="AY141">
        <f t="shared" si="198"/>
        <v>43.399253212964439</v>
      </c>
    </row>
    <row r="142" spans="1:53" ht="15" x14ac:dyDescent="0.25">
      <c r="A142" s="1"/>
      <c r="B142" s="2"/>
      <c r="C142" s="1" t="s">
        <v>12</v>
      </c>
      <c r="D142">
        <v>0</v>
      </c>
      <c r="E142" s="360">
        <v>0</v>
      </c>
      <c r="F142">
        <v>0</v>
      </c>
      <c r="G142">
        <v>0</v>
      </c>
      <c r="H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 s="20"/>
      <c r="P142" s="20"/>
      <c r="Q142" s="438"/>
      <c r="R142" s="197">
        <v>2.5000000000000001E-2</v>
      </c>
      <c r="S142" s="197">
        <v>0.71599999999999997</v>
      </c>
      <c r="T142" s="197">
        <v>0.11808671869809276</v>
      </c>
      <c r="U142" s="197">
        <v>0.41263016220713056</v>
      </c>
      <c r="V142" s="20">
        <f t="shared" si="185"/>
        <v>0</v>
      </c>
      <c r="W142" s="20">
        <f t="shared" si="185"/>
        <v>0</v>
      </c>
      <c r="X142" s="20">
        <f t="shared" si="185"/>
        <v>0</v>
      </c>
      <c r="Y142" s="20">
        <f t="shared" si="185"/>
        <v>0</v>
      </c>
      <c r="Z142" s="20">
        <f t="shared" si="186"/>
        <v>0</v>
      </c>
      <c r="AA142" s="20">
        <f t="shared" si="186"/>
        <v>0</v>
      </c>
      <c r="AB142" s="20">
        <f t="shared" si="186"/>
        <v>0</v>
      </c>
      <c r="AC142" s="20">
        <f t="shared" si="186"/>
        <v>0</v>
      </c>
      <c r="AD142" s="20">
        <f t="shared" si="187"/>
        <v>0</v>
      </c>
      <c r="AE142" s="20">
        <f t="shared" si="188"/>
        <v>0</v>
      </c>
      <c r="AF142" s="20">
        <f t="shared" si="189"/>
        <v>0</v>
      </c>
      <c r="AG142" s="20">
        <f t="shared" si="189"/>
        <v>0</v>
      </c>
      <c r="AH142" s="20">
        <f t="shared" si="189"/>
        <v>0</v>
      </c>
      <c r="AI142" s="20">
        <f t="shared" si="190"/>
        <v>0</v>
      </c>
      <c r="AJ142" s="20">
        <f t="shared" si="191"/>
        <v>0</v>
      </c>
      <c r="AK142" s="20">
        <f t="shared" si="192"/>
        <v>0</v>
      </c>
      <c r="AL142" s="20">
        <f t="shared" si="193"/>
        <v>0</v>
      </c>
      <c r="AM142" s="20">
        <f t="shared" si="194"/>
        <v>0</v>
      </c>
      <c r="AO142">
        <f t="shared" si="195"/>
        <v>0</v>
      </c>
      <c r="AP142">
        <f t="shared" si="195"/>
        <v>0</v>
      </c>
      <c r="AQ142">
        <f t="shared" si="195"/>
        <v>0</v>
      </c>
      <c r="AR142">
        <f t="shared" si="195"/>
        <v>0</v>
      </c>
      <c r="AS142">
        <f t="shared" si="196"/>
        <v>0</v>
      </c>
      <c r="AU142">
        <f t="shared" si="197"/>
        <v>0</v>
      </c>
      <c r="AV142">
        <f t="shared" si="197"/>
        <v>0</v>
      </c>
      <c r="AW142">
        <f t="shared" si="197"/>
        <v>0</v>
      </c>
      <c r="AX142">
        <f t="shared" si="197"/>
        <v>0</v>
      </c>
      <c r="AY142">
        <f t="shared" si="198"/>
        <v>0</v>
      </c>
    </row>
    <row r="143" spans="1:53" ht="15" x14ac:dyDescent="0.25">
      <c r="A143" s="1"/>
      <c r="B143" s="2"/>
      <c r="C143" s="1" t="s">
        <v>13</v>
      </c>
      <c r="D143">
        <v>0</v>
      </c>
      <c r="E143" s="360">
        <v>12.9397</v>
      </c>
      <c r="F143">
        <v>0</v>
      </c>
      <c r="G143">
        <v>0</v>
      </c>
      <c r="H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20"/>
      <c r="P143" s="20"/>
      <c r="Q143" s="438">
        <v>0.78689517517066587</v>
      </c>
      <c r="R143" s="197">
        <v>2.5000000000000001E-2</v>
      </c>
      <c r="S143" s="197">
        <v>0.71599999999999997</v>
      </c>
      <c r="T143" s="197">
        <v>0.11808671869809276</v>
      </c>
      <c r="U143" s="197">
        <v>0.41263016220713056</v>
      </c>
      <c r="V143" s="20">
        <f t="shared" si="185"/>
        <v>2.5455468745389664</v>
      </c>
      <c r="W143" s="20">
        <f t="shared" si="185"/>
        <v>0</v>
      </c>
      <c r="X143" s="20">
        <f t="shared" si="185"/>
        <v>0</v>
      </c>
      <c r="Y143" s="20">
        <f t="shared" si="185"/>
        <v>0</v>
      </c>
      <c r="Z143" s="20">
        <f t="shared" si="186"/>
        <v>0.71030513815361096</v>
      </c>
      <c r="AA143" s="20">
        <f t="shared" si="186"/>
        <v>0</v>
      </c>
      <c r="AB143" s="20">
        <f t="shared" si="186"/>
        <v>0</v>
      </c>
      <c r="AC143" s="20">
        <f t="shared" si="186"/>
        <v>0</v>
      </c>
      <c r="AD143" s="20">
        <f t="shared" si="187"/>
        <v>0.71030513815361096</v>
      </c>
      <c r="AE143" s="20">
        <f t="shared" si="188"/>
        <v>72.904462486795993</v>
      </c>
      <c r="AF143" s="20">
        <f t="shared" si="189"/>
        <v>0</v>
      </c>
      <c r="AG143" s="20">
        <f t="shared" si="189"/>
        <v>0</v>
      </c>
      <c r="AH143" s="20">
        <f t="shared" si="189"/>
        <v>0</v>
      </c>
      <c r="AI143" s="20">
        <f t="shared" si="190"/>
        <v>37.897691851717141</v>
      </c>
      <c r="AJ143" s="20">
        <f t="shared" si="191"/>
        <v>0</v>
      </c>
      <c r="AK143" s="20">
        <f t="shared" si="192"/>
        <v>0</v>
      </c>
      <c r="AL143" s="20">
        <f t="shared" si="193"/>
        <v>0</v>
      </c>
      <c r="AM143" s="20">
        <f t="shared" si="194"/>
        <v>37.897691851717141</v>
      </c>
      <c r="AO143">
        <f t="shared" si="195"/>
        <v>1.0001806650340996</v>
      </c>
      <c r="AP143">
        <f t="shared" si="195"/>
        <v>0</v>
      </c>
      <c r="AQ143">
        <f t="shared" si="195"/>
        <v>0</v>
      </c>
      <c r="AR143">
        <f t="shared" si="195"/>
        <v>0</v>
      </c>
      <c r="AS143">
        <f t="shared" si="196"/>
        <v>1.0001806650340996</v>
      </c>
      <c r="AU143">
        <f t="shared" si="197"/>
        <v>53.363739896402905</v>
      </c>
      <c r="AV143">
        <f t="shared" si="197"/>
        <v>0</v>
      </c>
      <c r="AW143">
        <f t="shared" si="197"/>
        <v>0</v>
      </c>
      <c r="AX143">
        <f t="shared" si="197"/>
        <v>0</v>
      </c>
      <c r="AY143">
        <f t="shared" si="198"/>
        <v>53.363739896402905</v>
      </c>
    </row>
    <row r="144" spans="1:53" ht="15" x14ac:dyDescent="0.25">
      <c r="A144" s="7"/>
      <c r="B144" s="8" t="s">
        <v>14</v>
      </c>
      <c r="C144" s="7"/>
      <c r="D144" s="357">
        <f t="shared" ref="D144:H144" si="199">SUM(D138:D143)</f>
        <v>0</v>
      </c>
      <c r="E144" s="363">
        <f>SUM(E138:E143)</f>
        <v>25.67136</v>
      </c>
      <c r="F144" s="357">
        <f t="shared" si="199"/>
        <v>0</v>
      </c>
      <c r="G144" s="357">
        <f t="shared" si="199"/>
        <v>0</v>
      </c>
      <c r="H144" s="357">
        <f t="shared" si="199"/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 s="20"/>
      <c r="P144" s="20"/>
      <c r="Q144" s="438">
        <v>0.7858186028588251</v>
      </c>
      <c r="R144" s="197"/>
      <c r="S144" s="197"/>
      <c r="T144" s="197"/>
      <c r="U144" s="197"/>
      <c r="BA144" s="319">
        <f>(E144*10000*Q144*AU$10)</f>
        <v>284056.46709374653</v>
      </c>
    </row>
    <row r="145" spans="1:53" ht="15" x14ac:dyDescent="0.25">
      <c r="A145" s="10"/>
      <c r="B145" s="9" t="s">
        <v>15</v>
      </c>
      <c r="C145" s="5"/>
      <c r="E145" s="363">
        <f>SUM(E144)</f>
        <v>25.67136</v>
      </c>
      <c r="H145" s="358">
        <f>SUM(D144:H144)</f>
        <v>25.67136</v>
      </c>
      <c r="K145" s="14"/>
      <c r="N145">
        <v>0</v>
      </c>
      <c r="O145" s="20"/>
      <c r="P145" s="20"/>
      <c r="Q145" s="438"/>
      <c r="R145" s="197"/>
      <c r="S145" s="197"/>
      <c r="T145" s="197"/>
      <c r="U145" s="197"/>
    </row>
    <row r="146" spans="1:53" ht="15.75" x14ac:dyDescent="0.25">
      <c r="A146" s="1"/>
      <c r="B146" s="2"/>
      <c r="C146" s="1"/>
      <c r="E146" s="361"/>
      <c r="K146" s="14"/>
      <c r="O146" s="20"/>
      <c r="P146" s="20"/>
      <c r="Q146" s="439"/>
      <c r="R146" s="197"/>
      <c r="S146" s="197"/>
      <c r="T146" s="197"/>
      <c r="U146" s="197"/>
    </row>
    <row r="147" spans="1:53" ht="15" x14ac:dyDescent="0.25">
      <c r="A147" s="1">
        <v>16</v>
      </c>
      <c r="B147" s="2" t="s">
        <v>30</v>
      </c>
      <c r="C147" s="1" t="s">
        <v>8</v>
      </c>
      <c r="D147">
        <v>0</v>
      </c>
      <c r="E147" s="360">
        <v>69.565200000000004</v>
      </c>
      <c r="F147">
        <v>0</v>
      </c>
      <c r="G147">
        <v>0</v>
      </c>
      <c r="H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 s="20"/>
      <c r="P147" s="20"/>
      <c r="Q147" s="438">
        <v>0.68412298965444418</v>
      </c>
      <c r="R147" s="197">
        <v>5.6499999999999995E-2</v>
      </c>
      <c r="S147" s="197">
        <v>1.25</v>
      </c>
      <c r="T147" s="197">
        <v>0.50650413159351704</v>
      </c>
      <c r="U147" s="197">
        <v>0.77519673403474398</v>
      </c>
      <c r="V147" s="20">
        <f t="shared" ref="V147:Y152" si="200">E147*$Q147*$R147*10</f>
        <v>26.889001218948778</v>
      </c>
      <c r="W147" s="20">
        <f t="shared" si="200"/>
        <v>0</v>
      </c>
      <c r="X147" s="20">
        <f t="shared" si="200"/>
        <v>0</v>
      </c>
      <c r="Y147" s="20">
        <f t="shared" si="200"/>
        <v>0</v>
      </c>
      <c r="Z147" s="20">
        <f t="shared" ref="Z147:AC152" si="201">V147*(EXP(1.01-0.34*LN(Z$8))*(1-$T147)+(1*$T147))</f>
        <v>16.04113083268258</v>
      </c>
      <c r="AA147" s="20">
        <f t="shared" si="201"/>
        <v>0</v>
      </c>
      <c r="AB147" s="20">
        <f t="shared" si="201"/>
        <v>0</v>
      </c>
      <c r="AC147" s="20">
        <f t="shared" si="201"/>
        <v>0</v>
      </c>
      <c r="AD147" s="20">
        <f t="shared" ref="AD147:AD152" si="202">SUM(Z147:AC147)</f>
        <v>16.04113083268258</v>
      </c>
      <c r="AE147" s="20">
        <f t="shared" ref="AE147:AE152" si="203">E147*$Q147*$S147*10</f>
        <v>594.88940749886683</v>
      </c>
      <c r="AF147" s="20">
        <f t="shared" ref="AF147:AH152" si="204">F147*$Q147*$S147*10</f>
        <v>0</v>
      </c>
      <c r="AG147" s="20">
        <f t="shared" si="204"/>
        <v>0</v>
      </c>
      <c r="AH147" s="20">
        <f t="shared" si="204"/>
        <v>0</v>
      </c>
      <c r="AI147" s="20">
        <f t="shared" ref="AI147:AI152" si="205">AE147*(EXP(1.01-0.34*LN(AI$8))*(1-$U147)+(1*$U147))</f>
        <v>485.56298219582794</v>
      </c>
      <c r="AJ147" s="20">
        <f t="shared" ref="AJ147:AJ152" si="206">AF147*(EXP(1.01-0.34*LN(AJ$8))*(1-$U147)+(1*$U147))</f>
        <v>0</v>
      </c>
      <c r="AK147" s="20">
        <f t="shared" ref="AK147:AK152" si="207">AG147*(EXP(1.01-0.34*LN(AK$8))*(1-$U147)+(1*$U147))</f>
        <v>0</v>
      </c>
      <c r="AL147" s="20">
        <f t="shared" ref="AL147:AL152" si="208">AH147*(EXP(1.01-0.34*LN(AL$8))*(1-$U147)+(1*$U147))</f>
        <v>0</v>
      </c>
      <c r="AM147" s="20">
        <f t="shared" ref="AM147:AM152" si="209">SUM(AI147:AL147)</f>
        <v>485.56298219582794</v>
      </c>
      <c r="AO147">
        <f t="shared" ref="AO147:AR152" si="210">Z147*AO$10</f>
        <v>22.587516325500339</v>
      </c>
      <c r="AP147">
        <f t="shared" si="210"/>
        <v>0</v>
      </c>
      <c r="AQ147">
        <f t="shared" si="210"/>
        <v>0</v>
      </c>
      <c r="AR147">
        <f t="shared" si="210"/>
        <v>0</v>
      </c>
      <c r="AS147">
        <f t="shared" ref="AS147:AS152" si="211">SUM(AO147:AR147)</f>
        <v>22.587516325500339</v>
      </c>
      <c r="AU147">
        <f t="shared" ref="AU147:AX152" si="212">AI147*AU$10</f>
        <v>683.72123522994525</v>
      </c>
      <c r="AV147">
        <f t="shared" si="212"/>
        <v>0</v>
      </c>
      <c r="AW147">
        <f t="shared" si="212"/>
        <v>0</v>
      </c>
      <c r="AX147">
        <f t="shared" si="212"/>
        <v>0</v>
      </c>
      <c r="AY147">
        <f t="shared" ref="AY147:AY152" si="213">SUM(AU147:AX147)</f>
        <v>683.72123522994525</v>
      </c>
    </row>
    <row r="148" spans="1:53" ht="15" x14ac:dyDescent="0.25">
      <c r="A148" s="1"/>
      <c r="B148" s="2"/>
      <c r="C148" s="1" t="s">
        <v>9</v>
      </c>
      <c r="D148">
        <v>0</v>
      </c>
      <c r="E148" s="360">
        <v>8.3310999999999993</v>
      </c>
      <c r="F148">
        <v>0</v>
      </c>
      <c r="G148">
        <v>0</v>
      </c>
      <c r="H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 s="20"/>
      <c r="P148" s="20"/>
      <c r="Q148" s="438">
        <v>0.69324597930888832</v>
      </c>
      <c r="R148" s="197">
        <v>5.6499999999999995E-2</v>
      </c>
      <c r="S148" s="197">
        <v>1.25</v>
      </c>
      <c r="T148" s="197">
        <v>0.50650413159351704</v>
      </c>
      <c r="U148" s="197">
        <v>0.77519673403474398</v>
      </c>
      <c r="V148" s="20">
        <f t="shared" si="200"/>
        <v>3.2631583916944571</v>
      </c>
      <c r="W148" s="20">
        <f t="shared" si="200"/>
        <v>0</v>
      </c>
      <c r="X148" s="20">
        <f t="shared" si="200"/>
        <v>0</v>
      </c>
      <c r="Y148" s="20">
        <f t="shared" si="200"/>
        <v>0</v>
      </c>
      <c r="Z148" s="20">
        <f t="shared" si="201"/>
        <v>1.9466974716803283</v>
      </c>
      <c r="AA148" s="20">
        <f t="shared" si="201"/>
        <v>0</v>
      </c>
      <c r="AB148" s="20">
        <f t="shared" si="201"/>
        <v>0</v>
      </c>
      <c r="AC148" s="20">
        <f t="shared" si="201"/>
        <v>0</v>
      </c>
      <c r="AD148" s="20">
        <f t="shared" si="202"/>
        <v>1.9466974716803283</v>
      </c>
      <c r="AE148" s="20">
        <f t="shared" si="203"/>
        <v>72.193769727753491</v>
      </c>
      <c r="AF148" s="20">
        <f t="shared" si="204"/>
        <v>0</v>
      </c>
      <c r="AG148" s="20">
        <f t="shared" si="204"/>
        <v>0</v>
      </c>
      <c r="AH148" s="20">
        <f t="shared" si="204"/>
        <v>0</v>
      </c>
      <c r="AI148" s="20">
        <f t="shared" si="205"/>
        <v>58.926283916113675</v>
      </c>
      <c r="AJ148" s="20">
        <f t="shared" si="206"/>
        <v>0</v>
      </c>
      <c r="AK148" s="20">
        <f t="shared" si="207"/>
        <v>0</v>
      </c>
      <c r="AL148" s="20">
        <f t="shared" si="208"/>
        <v>0</v>
      </c>
      <c r="AM148" s="20">
        <f t="shared" si="209"/>
        <v>58.926283916113675</v>
      </c>
      <c r="AO148">
        <f t="shared" si="210"/>
        <v>2.7411447098730699</v>
      </c>
      <c r="AP148">
        <f t="shared" si="210"/>
        <v>0</v>
      </c>
      <c r="AQ148">
        <f t="shared" si="210"/>
        <v>0</v>
      </c>
      <c r="AR148">
        <f t="shared" si="210"/>
        <v>0</v>
      </c>
      <c r="AS148">
        <f t="shared" si="211"/>
        <v>2.7411447098730699</v>
      </c>
      <c r="AU148">
        <f t="shared" si="212"/>
        <v>82.974100382279659</v>
      </c>
      <c r="AV148">
        <f t="shared" si="212"/>
        <v>0</v>
      </c>
      <c r="AW148">
        <f t="shared" si="212"/>
        <v>0</v>
      </c>
      <c r="AX148">
        <f t="shared" si="212"/>
        <v>0</v>
      </c>
      <c r="AY148">
        <f t="shared" si="213"/>
        <v>82.974100382279659</v>
      </c>
    </row>
    <row r="149" spans="1:53" ht="15" x14ac:dyDescent="0.25">
      <c r="A149" s="1"/>
      <c r="B149" s="2"/>
      <c r="C149" s="1" t="s">
        <v>10</v>
      </c>
      <c r="D149">
        <v>0</v>
      </c>
      <c r="E149" s="360">
        <v>0</v>
      </c>
      <c r="F149">
        <v>0</v>
      </c>
      <c r="G149">
        <v>0</v>
      </c>
      <c r="H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 s="20"/>
      <c r="P149" s="20"/>
      <c r="Q149" s="438"/>
      <c r="R149" s="197">
        <v>5.6499999999999995E-2</v>
      </c>
      <c r="S149" s="197">
        <v>1.25</v>
      </c>
      <c r="T149" s="197">
        <v>0.50650413159351704</v>
      </c>
      <c r="U149" s="197">
        <v>0.77519673403474398</v>
      </c>
      <c r="V149" s="20">
        <f t="shared" si="200"/>
        <v>0</v>
      </c>
      <c r="W149" s="20">
        <f t="shared" si="200"/>
        <v>0</v>
      </c>
      <c r="X149" s="20">
        <f t="shared" si="200"/>
        <v>0</v>
      </c>
      <c r="Y149" s="20">
        <f t="shared" si="200"/>
        <v>0</v>
      </c>
      <c r="Z149" s="20">
        <f t="shared" si="201"/>
        <v>0</v>
      </c>
      <c r="AA149" s="20">
        <f t="shared" si="201"/>
        <v>0</v>
      </c>
      <c r="AB149" s="20">
        <f t="shared" si="201"/>
        <v>0</v>
      </c>
      <c r="AC149" s="20">
        <f t="shared" si="201"/>
        <v>0</v>
      </c>
      <c r="AD149" s="20">
        <f t="shared" si="202"/>
        <v>0</v>
      </c>
      <c r="AE149" s="20">
        <f t="shared" si="203"/>
        <v>0</v>
      </c>
      <c r="AF149" s="20">
        <f t="shared" si="204"/>
        <v>0</v>
      </c>
      <c r="AG149" s="20">
        <f t="shared" si="204"/>
        <v>0</v>
      </c>
      <c r="AH149" s="20">
        <f t="shared" si="204"/>
        <v>0</v>
      </c>
      <c r="AI149" s="20">
        <f t="shared" si="205"/>
        <v>0</v>
      </c>
      <c r="AJ149" s="20">
        <f t="shared" si="206"/>
        <v>0</v>
      </c>
      <c r="AK149" s="20">
        <f t="shared" si="207"/>
        <v>0</v>
      </c>
      <c r="AL149" s="20">
        <f t="shared" si="208"/>
        <v>0</v>
      </c>
      <c r="AM149" s="20">
        <f t="shared" si="209"/>
        <v>0</v>
      </c>
      <c r="AO149">
        <f t="shared" si="210"/>
        <v>0</v>
      </c>
      <c r="AP149">
        <f t="shared" si="210"/>
        <v>0</v>
      </c>
      <c r="AQ149">
        <f t="shared" si="210"/>
        <v>0</v>
      </c>
      <c r="AR149">
        <f t="shared" si="210"/>
        <v>0</v>
      </c>
      <c r="AS149">
        <f t="shared" si="211"/>
        <v>0</v>
      </c>
      <c r="AU149">
        <f t="shared" si="212"/>
        <v>0</v>
      </c>
      <c r="AV149">
        <f t="shared" si="212"/>
        <v>0</v>
      </c>
      <c r="AW149">
        <f t="shared" si="212"/>
        <v>0</v>
      </c>
      <c r="AX149">
        <f t="shared" si="212"/>
        <v>0</v>
      </c>
      <c r="AY149">
        <f t="shared" si="213"/>
        <v>0</v>
      </c>
    </row>
    <row r="150" spans="1:53" ht="15" x14ac:dyDescent="0.25">
      <c r="A150" s="1"/>
      <c r="B150" s="2"/>
      <c r="C150" s="1" t="s">
        <v>11</v>
      </c>
      <c r="D150">
        <v>0</v>
      </c>
      <c r="E150" s="360">
        <v>1293.5411999999999</v>
      </c>
      <c r="F150">
        <v>0</v>
      </c>
      <c r="G150">
        <v>0</v>
      </c>
      <c r="H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s="20"/>
      <c r="P150" s="20"/>
      <c r="Q150" s="438">
        <v>0.7114919586177767</v>
      </c>
      <c r="R150" s="197">
        <v>5.6499999999999995E-2</v>
      </c>
      <c r="S150" s="197">
        <v>1.25</v>
      </c>
      <c r="T150" s="197">
        <v>0.50650413159351704</v>
      </c>
      <c r="U150" s="197">
        <v>0.77519673403474398</v>
      </c>
      <c r="V150" s="20">
        <f t="shared" si="200"/>
        <v>519.99445149654582</v>
      </c>
      <c r="W150" s="20">
        <f t="shared" si="200"/>
        <v>0</v>
      </c>
      <c r="X150" s="20">
        <f t="shared" si="200"/>
        <v>0</v>
      </c>
      <c r="Y150" s="20">
        <f t="shared" si="200"/>
        <v>0</v>
      </c>
      <c r="Z150" s="20">
        <f t="shared" si="201"/>
        <v>310.2123043100226</v>
      </c>
      <c r="AA150" s="20">
        <f t="shared" si="201"/>
        <v>0</v>
      </c>
      <c r="AB150" s="20">
        <f t="shared" si="201"/>
        <v>0</v>
      </c>
      <c r="AC150" s="20">
        <f t="shared" si="201"/>
        <v>0</v>
      </c>
      <c r="AD150" s="20">
        <f t="shared" si="202"/>
        <v>310.2123043100226</v>
      </c>
      <c r="AE150" s="20">
        <f t="shared" si="203"/>
        <v>11504.302024259865</v>
      </c>
      <c r="AF150" s="20">
        <f t="shared" si="204"/>
        <v>0</v>
      </c>
      <c r="AG150" s="20">
        <f t="shared" si="204"/>
        <v>0</v>
      </c>
      <c r="AH150" s="20">
        <f t="shared" si="204"/>
        <v>0</v>
      </c>
      <c r="AI150" s="20">
        <f t="shared" si="205"/>
        <v>9390.0868439849637</v>
      </c>
      <c r="AJ150" s="20">
        <f t="shared" si="206"/>
        <v>0</v>
      </c>
      <c r="AK150" s="20">
        <f t="shared" si="207"/>
        <v>0</v>
      </c>
      <c r="AL150" s="20">
        <f t="shared" si="208"/>
        <v>0</v>
      </c>
      <c r="AM150" s="20">
        <f t="shared" si="209"/>
        <v>9390.0868439849637</v>
      </c>
      <c r="AO150">
        <f t="shared" si="210"/>
        <v>436.80994569894278</v>
      </c>
      <c r="AP150">
        <f t="shared" si="210"/>
        <v>0</v>
      </c>
      <c r="AQ150">
        <f t="shared" si="210"/>
        <v>0</v>
      </c>
      <c r="AR150">
        <f t="shared" si="210"/>
        <v>0</v>
      </c>
      <c r="AS150">
        <f t="shared" si="211"/>
        <v>436.80994569894278</v>
      </c>
      <c r="AU150">
        <f t="shared" si="212"/>
        <v>13222.181285015227</v>
      </c>
      <c r="AV150">
        <f t="shared" si="212"/>
        <v>0</v>
      </c>
      <c r="AW150">
        <f t="shared" si="212"/>
        <v>0</v>
      </c>
      <c r="AX150">
        <f t="shared" si="212"/>
        <v>0</v>
      </c>
      <c r="AY150">
        <f t="shared" si="213"/>
        <v>13222.181285015227</v>
      </c>
    </row>
    <row r="151" spans="1:53" ht="15" x14ac:dyDescent="0.25">
      <c r="A151" s="1"/>
      <c r="B151" s="2"/>
      <c r="C151" s="1" t="s">
        <v>12</v>
      </c>
      <c r="D151">
        <v>0</v>
      </c>
      <c r="E151" s="360">
        <v>0</v>
      </c>
      <c r="F151">
        <v>0</v>
      </c>
      <c r="G151">
        <v>0</v>
      </c>
      <c r="H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 s="20"/>
      <c r="P151" s="20"/>
      <c r="Q151" s="438"/>
      <c r="R151" s="197">
        <v>5.6499999999999995E-2</v>
      </c>
      <c r="S151" s="197">
        <v>1.25</v>
      </c>
      <c r="T151" s="197">
        <v>0.50650413159351704</v>
      </c>
      <c r="U151" s="197">
        <v>0.77519673403474398</v>
      </c>
      <c r="V151" s="20">
        <f t="shared" si="200"/>
        <v>0</v>
      </c>
      <c r="W151" s="20">
        <f t="shared" si="200"/>
        <v>0</v>
      </c>
      <c r="X151" s="20">
        <f t="shared" si="200"/>
        <v>0</v>
      </c>
      <c r="Y151" s="20">
        <f t="shared" si="200"/>
        <v>0</v>
      </c>
      <c r="Z151" s="20">
        <f t="shared" si="201"/>
        <v>0</v>
      </c>
      <c r="AA151" s="20">
        <f t="shared" si="201"/>
        <v>0</v>
      </c>
      <c r="AB151" s="20">
        <f t="shared" si="201"/>
        <v>0</v>
      </c>
      <c r="AC151" s="20">
        <f t="shared" si="201"/>
        <v>0</v>
      </c>
      <c r="AD151" s="20">
        <f t="shared" si="202"/>
        <v>0</v>
      </c>
      <c r="AE151" s="20">
        <f t="shared" si="203"/>
        <v>0</v>
      </c>
      <c r="AF151" s="20">
        <f t="shared" si="204"/>
        <v>0</v>
      </c>
      <c r="AG151" s="20">
        <f t="shared" si="204"/>
        <v>0</v>
      </c>
      <c r="AH151" s="20">
        <f t="shared" si="204"/>
        <v>0</v>
      </c>
      <c r="AI151" s="20">
        <f t="shared" si="205"/>
        <v>0</v>
      </c>
      <c r="AJ151" s="20">
        <f t="shared" si="206"/>
        <v>0</v>
      </c>
      <c r="AK151" s="20">
        <f t="shared" si="207"/>
        <v>0</v>
      </c>
      <c r="AL151" s="20">
        <f t="shared" si="208"/>
        <v>0</v>
      </c>
      <c r="AM151" s="20">
        <f t="shared" si="209"/>
        <v>0</v>
      </c>
      <c r="AO151">
        <f t="shared" si="210"/>
        <v>0</v>
      </c>
      <c r="AP151">
        <f t="shared" si="210"/>
        <v>0</v>
      </c>
      <c r="AQ151">
        <f t="shared" si="210"/>
        <v>0</v>
      </c>
      <c r="AR151">
        <f t="shared" si="210"/>
        <v>0</v>
      </c>
      <c r="AS151">
        <f t="shared" si="211"/>
        <v>0</v>
      </c>
      <c r="AU151">
        <f t="shared" si="212"/>
        <v>0</v>
      </c>
      <c r="AV151">
        <f t="shared" si="212"/>
        <v>0</v>
      </c>
      <c r="AW151">
        <f t="shared" si="212"/>
        <v>0</v>
      </c>
      <c r="AX151">
        <f t="shared" si="212"/>
        <v>0</v>
      </c>
      <c r="AY151">
        <f t="shared" si="213"/>
        <v>0</v>
      </c>
    </row>
    <row r="152" spans="1:53" ht="15" x14ac:dyDescent="0.25">
      <c r="A152" s="1"/>
      <c r="B152" s="2"/>
      <c r="C152" s="1" t="s">
        <v>13</v>
      </c>
      <c r="D152">
        <v>0</v>
      </c>
      <c r="E152" s="360">
        <v>25.831499999999998</v>
      </c>
      <c r="F152">
        <v>0</v>
      </c>
      <c r="G152">
        <v>0</v>
      </c>
      <c r="H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20"/>
      <c r="P152" s="20"/>
      <c r="Q152" s="438">
        <v>0.71149195861777659</v>
      </c>
      <c r="R152" s="197">
        <v>5.6499999999999995E-2</v>
      </c>
      <c r="S152" s="197">
        <v>1.25</v>
      </c>
      <c r="T152" s="197">
        <v>0.50650413159351704</v>
      </c>
      <c r="U152" s="197">
        <v>0.77519673403474398</v>
      </c>
      <c r="V152" s="20">
        <f t="shared" si="200"/>
        <v>10.384081058904826</v>
      </c>
      <c r="W152" s="20">
        <f t="shared" si="200"/>
        <v>0</v>
      </c>
      <c r="X152" s="20">
        <f t="shared" si="200"/>
        <v>0</v>
      </c>
      <c r="Y152" s="20">
        <f t="shared" si="200"/>
        <v>0</v>
      </c>
      <c r="Z152" s="20">
        <f t="shared" si="201"/>
        <v>6.194815548808454</v>
      </c>
      <c r="AA152" s="20">
        <f t="shared" si="201"/>
        <v>0</v>
      </c>
      <c r="AB152" s="20">
        <f t="shared" si="201"/>
        <v>0</v>
      </c>
      <c r="AC152" s="20">
        <f t="shared" si="201"/>
        <v>0</v>
      </c>
      <c r="AD152" s="20">
        <f t="shared" si="202"/>
        <v>6.194815548808454</v>
      </c>
      <c r="AE152" s="20">
        <f t="shared" si="203"/>
        <v>229.73630661293868</v>
      </c>
      <c r="AF152" s="20">
        <f t="shared" si="204"/>
        <v>0</v>
      </c>
      <c r="AG152" s="20">
        <f t="shared" si="204"/>
        <v>0</v>
      </c>
      <c r="AH152" s="20">
        <f t="shared" si="204"/>
        <v>0</v>
      </c>
      <c r="AI152" s="20">
        <f t="shared" si="205"/>
        <v>187.51627571692154</v>
      </c>
      <c r="AJ152" s="20">
        <f t="shared" si="206"/>
        <v>0</v>
      </c>
      <c r="AK152" s="20">
        <f t="shared" si="207"/>
        <v>0</v>
      </c>
      <c r="AL152" s="20">
        <f t="shared" si="208"/>
        <v>0</v>
      </c>
      <c r="AM152" s="20">
        <f t="shared" si="209"/>
        <v>187.51627571692154</v>
      </c>
      <c r="AO152">
        <f t="shared" si="210"/>
        <v>8.7229197742771838</v>
      </c>
      <c r="AP152">
        <f t="shared" si="210"/>
        <v>0</v>
      </c>
      <c r="AQ152">
        <f t="shared" si="210"/>
        <v>0</v>
      </c>
      <c r="AR152">
        <f t="shared" si="210"/>
        <v>0</v>
      </c>
      <c r="AS152">
        <f t="shared" si="211"/>
        <v>8.7229197742771838</v>
      </c>
      <c r="AU152">
        <f t="shared" si="212"/>
        <v>264.04166783699719</v>
      </c>
      <c r="AV152">
        <f t="shared" si="212"/>
        <v>0</v>
      </c>
      <c r="AW152">
        <f t="shared" si="212"/>
        <v>0</v>
      </c>
      <c r="AX152">
        <f t="shared" si="212"/>
        <v>0</v>
      </c>
      <c r="AY152">
        <f t="shared" si="213"/>
        <v>264.04166783699719</v>
      </c>
    </row>
    <row r="153" spans="1:53" ht="15" x14ac:dyDescent="0.25">
      <c r="A153" s="7"/>
      <c r="B153" s="8" t="s">
        <v>14</v>
      </c>
      <c r="C153" s="7"/>
      <c r="D153" s="357">
        <f t="shared" ref="D153:H153" si="214">SUM(D147:D152)</f>
        <v>0</v>
      </c>
      <c r="E153" s="363">
        <f>SUM(E147:E152)</f>
        <v>1397.269</v>
      </c>
      <c r="F153" s="357">
        <f t="shared" si="214"/>
        <v>0</v>
      </c>
      <c r="G153" s="357">
        <f t="shared" si="214"/>
        <v>0</v>
      </c>
      <c r="H153" s="357">
        <f t="shared" si="214"/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 s="20"/>
      <c r="P153" s="20"/>
      <c r="Q153" s="438">
        <v>0.7100205620019866</v>
      </c>
      <c r="R153" s="197"/>
      <c r="S153" s="197"/>
      <c r="T153" s="197"/>
      <c r="U153" s="197"/>
      <c r="BA153" s="319">
        <f>(E153*10000*Q153*AU$10)</f>
        <v>13969615.356443837</v>
      </c>
    </row>
    <row r="154" spans="1:53" ht="15" x14ac:dyDescent="0.25">
      <c r="A154" s="10"/>
      <c r="B154" s="9" t="s">
        <v>15</v>
      </c>
      <c r="C154" s="5"/>
      <c r="E154" s="363">
        <f>SUM(E153)</f>
        <v>1397.269</v>
      </c>
      <c r="H154" s="358">
        <f>SUM(D153:H153)</f>
        <v>1397.269</v>
      </c>
      <c r="K154" s="14"/>
      <c r="N154">
        <v>0</v>
      </c>
      <c r="O154" s="20"/>
      <c r="P154" s="20"/>
      <c r="Q154" s="438"/>
      <c r="R154" s="197"/>
      <c r="S154" s="197"/>
      <c r="T154" s="197"/>
      <c r="U154" s="197"/>
    </row>
    <row r="155" spans="1:53" ht="15.75" x14ac:dyDescent="0.25">
      <c r="A155" s="1"/>
      <c r="B155" s="2"/>
      <c r="C155" s="1"/>
      <c r="E155" s="361"/>
      <c r="K155" s="14"/>
      <c r="O155" s="20"/>
      <c r="P155" s="20"/>
      <c r="Q155" s="439"/>
      <c r="R155" s="197"/>
      <c r="S155" s="197"/>
      <c r="T155" s="197"/>
      <c r="U155" s="197"/>
    </row>
    <row r="156" spans="1:53" ht="15" x14ac:dyDescent="0.25">
      <c r="A156" s="1">
        <v>17</v>
      </c>
      <c r="B156" s="2" t="s">
        <v>31</v>
      </c>
      <c r="C156" s="1" t="s">
        <v>8</v>
      </c>
      <c r="D156">
        <v>0</v>
      </c>
      <c r="E156" s="360"/>
      <c r="F156">
        <v>0</v>
      </c>
      <c r="G156">
        <v>0</v>
      </c>
      <c r="H156">
        <v>0</v>
      </c>
      <c r="J156">
        <v>0</v>
      </c>
      <c r="K156" s="14">
        <v>0</v>
      </c>
      <c r="L156">
        <v>0</v>
      </c>
      <c r="M156">
        <v>0</v>
      </c>
      <c r="N156">
        <v>0</v>
      </c>
      <c r="O156" s="20"/>
      <c r="P156" s="20"/>
      <c r="Q156" s="438"/>
      <c r="R156" s="197"/>
      <c r="S156" s="197"/>
      <c r="T156" s="197"/>
      <c r="U156" s="197"/>
      <c r="V156" s="20">
        <f t="shared" ref="V156:Y161" si="215">IF(K156&gt;0,((E156-K156)*$Q156*$R156*10)+(K156*$O$12*$Q156*$R156*10),(E156*$Q156*$R156*10))</f>
        <v>0</v>
      </c>
      <c r="W156" s="20">
        <f t="shared" si="215"/>
        <v>0</v>
      </c>
      <c r="X156" s="20">
        <f t="shared" si="215"/>
        <v>0</v>
      </c>
      <c r="Y156" s="20">
        <f t="shared" si="215"/>
        <v>0</v>
      </c>
      <c r="Z156" s="20">
        <f t="shared" ref="Z156:AC161" si="216">V156*(EXP(1.01-0.34*LN(Z$8))*(1-$T156)+(1*$T156))</f>
        <v>0</v>
      </c>
      <c r="AA156" s="20">
        <f t="shared" si="216"/>
        <v>0</v>
      </c>
      <c r="AB156" s="20">
        <f t="shared" si="216"/>
        <v>0</v>
      </c>
      <c r="AC156" s="20">
        <f t="shared" si="216"/>
        <v>0</v>
      </c>
      <c r="AD156" s="20">
        <f t="shared" ref="AD156:AD161" si="217">SUM(Z156:AC156)</f>
        <v>0</v>
      </c>
      <c r="AE156" s="20">
        <f t="shared" ref="AE156:AH161" si="218">IF(K156&gt;0,((E156-K156)*$Q156*$S156*10)+(K156*$P$12*$Q156*$S156)*10,(E156*$Q156*$S156*10))</f>
        <v>0</v>
      </c>
      <c r="AF156" s="20">
        <f t="shared" si="218"/>
        <v>0</v>
      </c>
      <c r="AG156" s="20">
        <f t="shared" si="218"/>
        <v>0</v>
      </c>
      <c r="AH156" s="20">
        <f t="shared" si="218"/>
        <v>0</v>
      </c>
      <c r="AI156" s="20">
        <f t="shared" ref="AI156:AI161" si="219">AE156*(EXP(1.01-0.34*LN(AI$8))*(1-$U156)+(1*$U156))</f>
        <v>0</v>
      </c>
      <c r="AJ156" s="20">
        <f t="shared" ref="AJ156:AJ161" si="220">AF156*(EXP(1.01-0.34*LN(AJ$8))*(1-$U156)+(1*$U156))</f>
        <v>0</v>
      </c>
      <c r="AK156" s="20">
        <f t="shared" ref="AK156:AK161" si="221">AG156*(EXP(1.01-0.34*LN(AK$8))*(1-$U156)+(1*$U156))</f>
        <v>0</v>
      </c>
      <c r="AL156" s="20">
        <f t="shared" ref="AL156:AL161" si="222">AH156*(EXP(1.01-0.34*LN(AL$8))*(1-$U156)+(1*$U156))</f>
        <v>0</v>
      </c>
      <c r="AM156" s="20">
        <f t="shared" ref="AM156:AM161" si="223">SUM(AI156:AL156)</f>
        <v>0</v>
      </c>
      <c r="AO156">
        <f t="shared" ref="AO156:AR161" si="224">Z156*AO$10</f>
        <v>0</v>
      </c>
      <c r="AP156">
        <f t="shared" si="224"/>
        <v>0</v>
      </c>
      <c r="AQ156">
        <f t="shared" si="224"/>
        <v>0</v>
      </c>
      <c r="AR156">
        <f t="shared" si="224"/>
        <v>0</v>
      </c>
      <c r="AS156">
        <f t="shared" ref="AS156:AS161" si="225">SUM(AO156:AR156)</f>
        <v>0</v>
      </c>
      <c r="AU156">
        <f t="shared" ref="AU156:AX161" si="226">AI156*AU$10</f>
        <v>0</v>
      </c>
      <c r="AV156">
        <f t="shared" si="226"/>
        <v>0</v>
      </c>
      <c r="AW156">
        <f t="shared" si="226"/>
        <v>0</v>
      </c>
      <c r="AX156">
        <f t="shared" si="226"/>
        <v>0</v>
      </c>
      <c r="AY156">
        <f t="shared" ref="AY156:AY161" si="227">SUM(AU156:AX156)</f>
        <v>0</v>
      </c>
    </row>
    <row r="157" spans="1:53" ht="15" x14ac:dyDescent="0.25">
      <c r="A157" s="1"/>
      <c r="B157" s="2"/>
      <c r="C157" s="1" t="s">
        <v>9</v>
      </c>
      <c r="D157">
        <v>0</v>
      </c>
      <c r="E157" s="360"/>
      <c r="F157">
        <v>0</v>
      </c>
      <c r="G157">
        <v>0</v>
      </c>
      <c r="H157">
        <v>0</v>
      </c>
      <c r="J157">
        <v>0</v>
      </c>
      <c r="K157" s="14">
        <v>0</v>
      </c>
      <c r="L157">
        <v>0</v>
      </c>
      <c r="M157">
        <v>0</v>
      </c>
      <c r="N157">
        <v>0</v>
      </c>
      <c r="O157" s="20"/>
      <c r="P157" s="20"/>
      <c r="Q157" s="438"/>
      <c r="R157" s="197"/>
      <c r="S157" s="197"/>
      <c r="T157" s="197"/>
      <c r="U157" s="197"/>
      <c r="V157" s="20">
        <f t="shared" si="215"/>
        <v>0</v>
      </c>
      <c r="W157" s="20">
        <f t="shared" si="215"/>
        <v>0</v>
      </c>
      <c r="X157" s="20">
        <f t="shared" si="215"/>
        <v>0</v>
      </c>
      <c r="Y157" s="20">
        <f t="shared" si="215"/>
        <v>0</v>
      </c>
      <c r="Z157" s="20">
        <f t="shared" si="216"/>
        <v>0</v>
      </c>
      <c r="AA157" s="20">
        <f t="shared" si="216"/>
        <v>0</v>
      </c>
      <c r="AB157" s="20">
        <f t="shared" si="216"/>
        <v>0</v>
      </c>
      <c r="AC157" s="20">
        <f t="shared" si="216"/>
        <v>0</v>
      </c>
      <c r="AD157" s="20">
        <f t="shared" si="217"/>
        <v>0</v>
      </c>
      <c r="AE157" s="20">
        <f t="shared" si="218"/>
        <v>0</v>
      </c>
      <c r="AF157" s="20">
        <f t="shared" si="218"/>
        <v>0</v>
      </c>
      <c r="AG157" s="20">
        <f t="shared" si="218"/>
        <v>0</v>
      </c>
      <c r="AH157" s="20">
        <f t="shared" si="218"/>
        <v>0</v>
      </c>
      <c r="AI157" s="20">
        <f t="shared" si="219"/>
        <v>0</v>
      </c>
      <c r="AJ157" s="20">
        <f t="shared" si="220"/>
        <v>0</v>
      </c>
      <c r="AK157" s="20">
        <f t="shared" si="221"/>
        <v>0</v>
      </c>
      <c r="AL157" s="20">
        <f t="shared" si="222"/>
        <v>0</v>
      </c>
      <c r="AM157" s="20">
        <f t="shared" si="223"/>
        <v>0</v>
      </c>
      <c r="AO157">
        <f t="shared" si="224"/>
        <v>0</v>
      </c>
      <c r="AP157">
        <f t="shared" si="224"/>
        <v>0</v>
      </c>
      <c r="AQ157">
        <f t="shared" si="224"/>
        <v>0</v>
      </c>
      <c r="AR157">
        <f t="shared" si="224"/>
        <v>0</v>
      </c>
      <c r="AS157">
        <f t="shared" si="225"/>
        <v>0</v>
      </c>
      <c r="AU157">
        <f t="shared" si="226"/>
        <v>0</v>
      </c>
      <c r="AV157">
        <f t="shared" si="226"/>
        <v>0</v>
      </c>
      <c r="AW157">
        <f t="shared" si="226"/>
        <v>0</v>
      </c>
      <c r="AX157">
        <f t="shared" si="226"/>
        <v>0</v>
      </c>
      <c r="AY157">
        <f t="shared" si="227"/>
        <v>0</v>
      </c>
    </row>
    <row r="158" spans="1:53" ht="15" x14ac:dyDescent="0.25">
      <c r="A158" s="1"/>
      <c r="B158" s="2"/>
      <c r="C158" s="1" t="s">
        <v>10</v>
      </c>
      <c r="D158">
        <v>0</v>
      </c>
      <c r="E158" s="360"/>
      <c r="F158">
        <v>0</v>
      </c>
      <c r="G158">
        <v>0</v>
      </c>
      <c r="H158">
        <v>0</v>
      </c>
      <c r="J158">
        <v>0</v>
      </c>
      <c r="K158" s="14">
        <v>0</v>
      </c>
      <c r="L158">
        <v>0</v>
      </c>
      <c r="M158">
        <v>0</v>
      </c>
      <c r="N158">
        <v>0</v>
      </c>
      <c r="O158" s="20"/>
      <c r="P158" s="20"/>
      <c r="Q158" s="438"/>
      <c r="R158" s="197"/>
      <c r="S158" s="197"/>
      <c r="T158" s="197"/>
      <c r="U158" s="197"/>
      <c r="V158" s="20">
        <f t="shared" si="215"/>
        <v>0</v>
      </c>
      <c r="W158" s="20">
        <f t="shared" si="215"/>
        <v>0</v>
      </c>
      <c r="X158" s="20">
        <f t="shared" si="215"/>
        <v>0</v>
      </c>
      <c r="Y158" s="20">
        <f t="shared" si="215"/>
        <v>0</v>
      </c>
      <c r="Z158" s="20">
        <f t="shared" si="216"/>
        <v>0</v>
      </c>
      <c r="AA158" s="20">
        <f t="shared" si="216"/>
        <v>0</v>
      </c>
      <c r="AB158" s="20">
        <f t="shared" si="216"/>
        <v>0</v>
      </c>
      <c r="AC158" s="20">
        <f t="shared" si="216"/>
        <v>0</v>
      </c>
      <c r="AD158" s="20">
        <f t="shared" si="217"/>
        <v>0</v>
      </c>
      <c r="AE158" s="20">
        <f t="shared" si="218"/>
        <v>0</v>
      </c>
      <c r="AF158" s="20">
        <f t="shared" si="218"/>
        <v>0</v>
      </c>
      <c r="AG158" s="20">
        <f t="shared" si="218"/>
        <v>0</v>
      </c>
      <c r="AH158" s="20">
        <f t="shared" si="218"/>
        <v>0</v>
      </c>
      <c r="AI158" s="20">
        <f t="shared" si="219"/>
        <v>0</v>
      </c>
      <c r="AJ158" s="20">
        <f t="shared" si="220"/>
        <v>0</v>
      </c>
      <c r="AK158" s="20">
        <f t="shared" si="221"/>
        <v>0</v>
      </c>
      <c r="AL158" s="20">
        <f t="shared" si="222"/>
        <v>0</v>
      </c>
      <c r="AM158" s="20">
        <f t="shared" si="223"/>
        <v>0</v>
      </c>
      <c r="AO158">
        <f t="shared" si="224"/>
        <v>0</v>
      </c>
      <c r="AP158">
        <f t="shared" si="224"/>
        <v>0</v>
      </c>
      <c r="AQ158">
        <f t="shared" si="224"/>
        <v>0</v>
      </c>
      <c r="AR158">
        <f t="shared" si="224"/>
        <v>0</v>
      </c>
      <c r="AS158">
        <f t="shared" si="225"/>
        <v>0</v>
      </c>
      <c r="AU158">
        <f t="shared" si="226"/>
        <v>0</v>
      </c>
      <c r="AV158">
        <f t="shared" si="226"/>
        <v>0</v>
      </c>
      <c r="AW158">
        <f t="shared" si="226"/>
        <v>0</v>
      </c>
      <c r="AX158">
        <f t="shared" si="226"/>
        <v>0</v>
      </c>
      <c r="AY158">
        <f t="shared" si="227"/>
        <v>0</v>
      </c>
    </row>
    <row r="159" spans="1:53" ht="15" x14ac:dyDescent="0.25">
      <c r="A159" s="1"/>
      <c r="B159" s="2"/>
      <c r="C159" s="1" t="s">
        <v>11</v>
      </c>
      <c r="D159">
        <v>0</v>
      </c>
      <c r="E159" s="360"/>
      <c r="F159">
        <v>0</v>
      </c>
      <c r="G159">
        <v>0</v>
      </c>
      <c r="H159">
        <v>0</v>
      </c>
      <c r="J159">
        <v>0</v>
      </c>
      <c r="K159" s="14">
        <v>0</v>
      </c>
      <c r="L159">
        <v>0</v>
      </c>
      <c r="M159">
        <v>0</v>
      </c>
      <c r="N159">
        <v>0</v>
      </c>
      <c r="O159" s="20"/>
      <c r="P159" s="20"/>
      <c r="Q159" s="438"/>
      <c r="R159" s="197"/>
      <c r="S159" s="197"/>
      <c r="T159" s="197"/>
      <c r="U159" s="197"/>
      <c r="V159" s="20">
        <f t="shared" si="215"/>
        <v>0</v>
      </c>
      <c r="W159" s="20">
        <f t="shared" si="215"/>
        <v>0</v>
      </c>
      <c r="X159" s="20">
        <f t="shared" si="215"/>
        <v>0</v>
      </c>
      <c r="Y159" s="20">
        <f t="shared" si="215"/>
        <v>0</v>
      </c>
      <c r="Z159" s="20">
        <f t="shared" si="216"/>
        <v>0</v>
      </c>
      <c r="AA159" s="20">
        <f t="shared" si="216"/>
        <v>0</v>
      </c>
      <c r="AB159" s="20">
        <f t="shared" si="216"/>
        <v>0</v>
      </c>
      <c r="AC159" s="20">
        <f t="shared" si="216"/>
        <v>0</v>
      </c>
      <c r="AD159" s="20">
        <f t="shared" si="217"/>
        <v>0</v>
      </c>
      <c r="AE159" s="20">
        <f t="shared" si="218"/>
        <v>0</v>
      </c>
      <c r="AF159" s="20">
        <f t="shared" si="218"/>
        <v>0</v>
      </c>
      <c r="AG159" s="20">
        <f t="shared" si="218"/>
        <v>0</v>
      </c>
      <c r="AH159" s="20">
        <f t="shared" si="218"/>
        <v>0</v>
      </c>
      <c r="AI159" s="20">
        <f t="shared" si="219"/>
        <v>0</v>
      </c>
      <c r="AJ159" s="20">
        <f t="shared" si="220"/>
        <v>0</v>
      </c>
      <c r="AK159" s="20">
        <f t="shared" si="221"/>
        <v>0</v>
      </c>
      <c r="AL159" s="20">
        <f t="shared" si="222"/>
        <v>0</v>
      </c>
      <c r="AM159" s="20">
        <f t="shared" si="223"/>
        <v>0</v>
      </c>
      <c r="AO159">
        <f t="shared" si="224"/>
        <v>0</v>
      </c>
      <c r="AP159">
        <f t="shared" si="224"/>
        <v>0</v>
      </c>
      <c r="AQ159">
        <f t="shared" si="224"/>
        <v>0</v>
      </c>
      <c r="AR159">
        <f t="shared" si="224"/>
        <v>0</v>
      </c>
      <c r="AS159">
        <f t="shared" si="225"/>
        <v>0</v>
      </c>
      <c r="AU159">
        <f t="shared" si="226"/>
        <v>0</v>
      </c>
      <c r="AV159">
        <f t="shared" si="226"/>
        <v>0</v>
      </c>
      <c r="AW159">
        <f t="shared" si="226"/>
        <v>0</v>
      </c>
      <c r="AX159">
        <f t="shared" si="226"/>
        <v>0</v>
      </c>
      <c r="AY159">
        <f t="shared" si="227"/>
        <v>0</v>
      </c>
    </row>
    <row r="160" spans="1:53" ht="15" x14ac:dyDescent="0.25">
      <c r="A160" s="1"/>
      <c r="B160" s="2"/>
      <c r="C160" s="1" t="s">
        <v>12</v>
      </c>
      <c r="D160">
        <v>0</v>
      </c>
      <c r="E160" s="360"/>
      <c r="F160">
        <v>0</v>
      </c>
      <c r="G160">
        <v>0</v>
      </c>
      <c r="H160">
        <v>0</v>
      </c>
      <c r="J160">
        <v>0</v>
      </c>
      <c r="K160" s="14">
        <v>0</v>
      </c>
      <c r="L160">
        <v>0</v>
      </c>
      <c r="M160">
        <v>0</v>
      </c>
      <c r="N160">
        <v>0</v>
      </c>
      <c r="O160" s="20"/>
      <c r="P160" s="20"/>
      <c r="Q160" s="438"/>
      <c r="R160" s="197"/>
      <c r="S160" s="197"/>
      <c r="T160" s="197"/>
      <c r="U160" s="197"/>
      <c r="V160" s="20">
        <f t="shared" si="215"/>
        <v>0</v>
      </c>
      <c r="W160" s="20">
        <f t="shared" si="215"/>
        <v>0</v>
      </c>
      <c r="X160" s="20">
        <f t="shared" si="215"/>
        <v>0</v>
      </c>
      <c r="Y160" s="20">
        <f t="shared" si="215"/>
        <v>0</v>
      </c>
      <c r="Z160" s="20">
        <f t="shared" si="216"/>
        <v>0</v>
      </c>
      <c r="AA160" s="20">
        <f t="shared" si="216"/>
        <v>0</v>
      </c>
      <c r="AB160" s="20">
        <f t="shared" si="216"/>
        <v>0</v>
      </c>
      <c r="AC160" s="20">
        <f t="shared" si="216"/>
        <v>0</v>
      </c>
      <c r="AD160" s="20">
        <f t="shared" si="217"/>
        <v>0</v>
      </c>
      <c r="AE160" s="20">
        <f t="shared" si="218"/>
        <v>0</v>
      </c>
      <c r="AF160" s="20">
        <f t="shared" si="218"/>
        <v>0</v>
      </c>
      <c r="AG160" s="20">
        <f t="shared" si="218"/>
        <v>0</v>
      </c>
      <c r="AH160" s="20">
        <f t="shared" si="218"/>
        <v>0</v>
      </c>
      <c r="AI160" s="20">
        <f t="shared" si="219"/>
        <v>0</v>
      </c>
      <c r="AJ160" s="20">
        <f t="shared" si="220"/>
        <v>0</v>
      </c>
      <c r="AK160" s="20">
        <f t="shared" si="221"/>
        <v>0</v>
      </c>
      <c r="AL160" s="20">
        <f t="shared" si="222"/>
        <v>0</v>
      </c>
      <c r="AM160" s="20">
        <f t="shared" si="223"/>
        <v>0</v>
      </c>
      <c r="AO160">
        <f t="shared" si="224"/>
        <v>0</v>
      </c>
      <c r="AP160">
        <f t="shared" si="224"/>
        <v>0</v>
      </c>
      <c r="AQ160">
        <f t="shared" si="224"/>
        <v>0</v>
      </c>
      <c r="AR160">
        <f t="shared" si="224"/>
        <v>0</v>
      </c>
      <c r="AS160">
        <f t="shared" si="225"/>
        <v>0</v>
      </c>
      <c r="AU160">
        <f t="shared" si="226"/>
        <v>0</v>
      </c>
      <c r="AV160">
        <f t="shared" si="226"/>
        <v>0</v>
      </c>
      <c r="AW160">
        <f t="shared" si="226"/>
        <v>0</v>
      </c>
      <c r="AX160">
        <f t="shared" si="226"/>
        <v>0</v>
      </c>
      <c r="AY160">
        <f t="shared" si="227"/>
        <v>0</v>
      </c>
    </row>
    <row r="161" spans="1:53" ht="15" x14ac:dyDescent="0.25">
      <c r="A161" s="1"/>
      <c r="B161" s="2"/>
      <c r="C161" s="1" t="s">
        <v>13</v>
      </c>
      <c r="D161">
        <v>0</v>
      </c>
      <c r="E161" s="360"/>
      <c r="F161">
        <v>0</v>
      </c>
      <c r="G161">
        <v>0</v>
      </c>
      <c r="H161">
        <v>0</v>
      </c>
      <c r="J161">
        <v>0</v>
      </c>
      <c r="K161" s="14">
        <v>0</v>
      </c>
      <c r="L161">
        <v>0</v>
      </c>
      <c r="M161">
        <v>0</v>
      </c>
      <c r="N161">
        <v>0</v>
      </c>
      <c r="O161" s="20"/>
      <c r="P161" s="20"/>
      <c r="Q161" s="438"/>
      <c r="R161" s="197"/>
      <c r="S161" s="197"/>
      <c r="T161" s="197"/>
      <c r="U161" s="197"/>
      <c r="V161" s="20">
        <f t="shared" si="215"/>
        <v>0</v>
      </c>
      <c r="W161" s="20">
        <f t="shared" si="215"/>
        <v>0</v>
      </c>
      <c r="X161" s="20">
        <f t="shared" si="215"/>
        <v>0</v>
      </c>
      <c r="Y161" s="20">
        <f t="shared" si="215"/>
        <v>0</v>
      </c>
      <c r="Z161" s="20">
        <f t="shared" si="216"/>
        <v>0</v>
      </c>
      <c r="AA161" s="20">
        <f t="shared" si="216"/>
        <v>0</v>
      </c>
      <c r="AB161" s="20">
        <f t="shared" si="216"/>
        <v>0</v>
      </c>
      <c r="AC161" s="20">
        <f t="shared" si="216"/>
        <v>0</v>
      </c>
      <c r="AD161" s="20">
        <f t="shared" si="217"/>
        <v>0</v>
      </c>
      <c r="AE161" s="20">
        <f t="shared" si="218"/>
        <v>0</v>
      </c>
      <c r="AF161" s="20">
        <f t="shared" si="218"/>
        <v>0</v>
      </c>
      <c r="AG161" s="20">
        <f t="shared" si="218"/>
        <v>0</v>
      </c>
      <c r="AH161" s="20">
        <f t="shared" si="218"/>
        <v>0</v>
      </c>
      <c r="AI161" s="20">
        <f t="shared" si="219"/>
        <v>0</v>
      </c>
      <c r="AJ161" s="20">
        <f t="shared" si="220"/>
        <v>0</v>
      </c>
      <c r="AK161" s="20">
        <f t="shared" si="221"/>
        <v>0</v>
      </c>
      <c r="AL161" s="20">
        <f t="shared" si="222"/>
        <v>0</v>
      </c>
      <c r="AM161" s="20">
        <f t="shared" si="223"/>
        <v>0</v>
      </c>
      <c r="AO161">
        <f t="shared" si="224"/>
        <v>0</v>
      </c>
      <c r="AP161">
        <f t="shared" si="224"/>
        <v>0</v>
      </c>
      <c r="AQ161">
        <f t="shared" si="224"/>
        <v>0</v>
      </c>
      <c r="AR161">
        <f t="shared" si="224"/>
        <v>0</v>
      </c>
      <c r="AS161">
        <f t="shared" si="225"/>
        <v>0</v>
      </c>
      <c r="AU161">
        <f t="shared" si="226"/>
        <v>0</v>
      </c>
      <c r="AV161">
        <f t="shared" si="226"/>
        <v>0</v>
      </c>
      <c r="AW161">
        <f t="shared" si="226"/>
        <v>0</v>
      </c>
      <c r="AX161">
        <f t="shared" si="226"/>
        <v>0</v>
      </c>
      <c r="AY161">
        <f t="shared" si="227"/>
        <v>0</v>
      </c>
    </row>
    <row r="162" spans="1:53" ht="15" x14ac:dyDescent="0.25">
      <c r="A162" s="7"/>
      <c r="B162" s="8" t="s">
        <v>14</v>
      </c>
      <c r="C162" s="7"/>
      <c r="D162" s="357">
        <f t="shared" ref="D162:H162" si="228">SUM(D156:D161)</f>
        <v>0</v>
      </c>
      <c r="E162" s="363">
        <f>SUM(E156:E161)</f>
        <v>0</v>
      </c>
      <c r="F162" s="357">
        <f t="shared" si="228"/>
        <v>0</v>
      </c>
      <c r="G162" s="357">
        <f t="shared" si="228"/>
        <v>0</v>
      </c>
      <c r="H162" s="357">
        <f t="shared" si="228"/>
        <v>0</v>
      </c>
      <c r="J162">
        <v>0</v>
      </c>
      <c r="K162" s="14">
        <v>0</v>
      </c>
      <c r="L162">
        <v>0</v>
      </c>
      <c r="M162">
        <v>0</v>
      </c>
      <c r="N162">
        <v>0</v>
      </c>
      <c r="O162" s="20"/>
      <c r="P162" s="20"/>
      <c r="Q162" s="438"/>
      <c r="R162" s="197"/>
      <c r="S162" s="197"/>
      <c r="T162" s="197"/>
      <c r="U162" s="197"/>
      <c r="BA162" s="319">
        <f>(E162*10000*Q162*AU$10)</f>
        <v>0</v>
      </c>
    </row>
    <row r="163" spans="1:53" ht="15" x14ac:dyDescent="0.25">
      <c r="A163" s="10"/>
      <c r="B163" s="9" t="s">
        <v>15</v>
      </c>
      <c r="C163" s="5"/>
      <c r="E163" s="363">
        <f>SUM(E162)</f>
        <v>0</v>
      </c>
      <c r="H163" s="358">
        <f>SUM(D162:H162)</f>
        <v>0</v>
      </c>
      <c r="K163" s="14"/>
      <c r="N163">
        <v>0</v>
      </c>
      <c r="O163" s="20"/>
      <c r="P163" s="20"/>
      <c r="Q163" s="438"/>
      <c r="R163" s="197"/>
      <c r="S163" s="197"/>
      <c r="T163" s="197"/>
      <c r="U163" s="197"/>
    </row>
    <row r="164" spans="1:53" ht="15.75" x14ac:dyDescent="0.25">
      <c r="A164" s="1"/>
      <c r="B164" s="2"/>
      <c r="C164" s="1"/>
      <c r="E164" s="361"/>
      <c r="K164" s="14"/>
      <c r="O164" s="20"/>
      <c r="P164" s="20"/>
      <c r="Q164" s="439"/>
      <c r="R164" s="197"/>
      <c r="S164" s="197"/>
      <c r="T164" s="197"/>
      <c r="U164" s="197"/>
    </row>
    <row r="165" spans="1:53" ht="15" x14ac:dyDescent="0.25">
      <c r="A165" s="1">
        <v>18</v>
      </c>
      <c r="B165" s="2" t="s">
        <v>709</v>
      </c>
      <c r="C165" s="1" t="s">
        <v>8</v>
      </c>
      <c r="D165">
        <v>0</v>
      </c>
      <c r="E165" s="360"/>
      <c r="F165">
        <v>0</v>
      </c>
      <c r="G165">
        <v>0</v>
      </c>
      <c r="H165">
        <v>0</v>
      </c>
      <c r="J165">
        <v>0</v>
      </c>
      <c r="K165" s="14">
        <v>0</v>
      </c>
      <c r="L165">
        <v>0</v>
      </c>
      <c r="M165">
        <v>0</v>
      </c>
      <c r="N165">
        <v>0</v>
      </c>
      <c r="O165" s="20"/>
      <c r="P165" s="20"/>
      <c r="Q165" s="438"/>
      <c r="R165" s="197">
        <v>0.66599999999999993</v>
      </c>
      <c r="S165" s="197">
        <v>4.5549999999999997</v>
      </c>
      <c r="T165" s="197">
        <v>0.60039794540960334</v>
      </c>
      <c r="U165" s="197">
        <v>0.90789473684210531</v>
      </c>
      <c r="V165" s="20">
        <f t="shared" ref="V165:Y170" si="229">IF(K165&gt;0,((E165-K165)*$Q165*$R165*10)+(K165*$O$12*$Q165*$R165*10),(E165*$Q165*$R165*10))</f>
        <v>0</v>
      </c>
      <c r="W165" s="20">
        <f t="shared" si="229"/>
        <v>0</v>
      </c>
      <c r="X165" s="20">
        <f t="shared" si="229"/>
        <v>0</v>
      </c>
      <c r="Y165" s="20">
        <f t="shared" si="229"/>
        <v>0</v>
      </c>
      <c r="Z165" s="20">
        <f t="shared" ref="Z165:AC170" si="230">V165*(EXP(1.01-0.34*LN(Z$8))*(1-$T165)+(1*$T165))</f>
        <v>0</v>
      </c>
      <c r="AA165" s="20">
        <f t="shared" si="230"/>
        <v>0</v>
      </c>
      <c r="AB165" s="20">
        <f t="shared" si="230"/>
        <v>0</v>
      </c>
      <c r="AC165" s="20">
        <f t="shared" si="230"/>
        <v>0</v>
      </c>
      <c r="AD165" s="20">
        <f t="shared" ref="AD165:AD170" si="231">SUM(Z165:AC165)</f>
        <v>0</v>
      </c>
      <c r="AE165" s="20">
        <f t="shared" ref="AE165:AH170" si="232">IF(K165&gt;0,((E165-K165)*$Q165*$S165*10)+(K165*$P$12*$Q165*$S165)*10,(E165*$Q165*$S165*10))</f>
        <v>0</v>
      </c>
      <c r="AF165" s="20">
        <f t="shared" si="232"/>
        <v>0</v>
      </c>
      <c r="AG165" s="20">
        <f t="shared" si="232"/>
        <v>0</v>
      </c>
      <c r="AH165" s="20">
        <f t="shared" si="232"/>
        <v>0</v>
      </c>
      <c r="AI165" s="20">
        <f t="shared" ref="AI165:AI170" si="233">AE165*(EXP(1.01-0.34*LN(AI$8))*(1-$U165)+(1*$U165))</f>
        <v>0</v>
      </c>
      <c r="AJ165" s="20">
        <f t="shared" ref="AJ165:AJ170" si="234">AF165*(EXP(1.01-0.34*LN(AJ$8))*(1-$U165)+(1*$U165))</f>
        <v>0</v>
      </c>
      <c r="AK165" s="20">
        <f t="shared" ref="AK165:AK170" si="235">AG165*(EXP(1.01-0.34*LN(AK$8))*(1-$U165)+(1*$U165))</f>
        <v>0</v>
      </c>
      <c r="AL165" s="20">
        <f t="shared" ref="AL165:AL170" si="236">AH165*(EXP(1.01-0.34*LN(AL$8))*(1-$U165)+(1*$U165))</f>
        <v>0</v>
      </c>
      <c r="AM165" s="20">
        <f t="shared" ref="AM165:AM170" si="237">SUM(AI165:AL165)</f>
        <v>0</v>
      </c>
      <c r="AO165">
        <f t="shared" ref="AO165:AR170" si="238">Z165*AO$10</f>
        <v>0</v>
      </c>
      <c r="AP165">
        <f t="shared" si="238"/>
        <v>0</v>
      </c>
      <c r="AQ165">
        <f t="shared" si="238"/>
        <v>0</v>
      </c>
      <c r="AR165">
        <f t="shared" si="238"/>
        <v>0</v>
      </c>
      <c r="AS165">
        <f t="shared" ref="AS165:AS170" si="239">SUM(AO165:AR165)</f>
        <v>0</v>
      </c>
      <c r="AU165">
        <f t="shared" ref="AU165:AX170" si="240">AI165*AU$10</f>
        <v>0</v>
      </c>
      <c r="AV165">
        <f t="shared" si="240"/>
        <v>0</v>
      </c>
      <c r="AW165">
        <f t="shared" si="240"/>
        <v>0</v>
      </c>
      <c r="AX165">
        <f t="shared" si="240"/>
        <v>0</v>
      </c>
      <c r="AY165">
        <f t="shared" ref="AY165:AY170" si="241">SUM(AU165:AX165)</f>
        <v>0</v>
      </c>
    </row>
    <row r="166" spans="1:53" ht="15" x14ac:dyDescent="0.25">
      <c r="A166" s="1"/>
      <c r="B166" s="2"/>
      <c r="C166" s="1" t="s">
        <v>9</v>
      </c>
      <c r="D166">
        <v>0</v>
      </c>
      <c r="E166" s="360"/>
      <c r="F166">
        <v>0</v>
      </c>
      <c r="G166">
        <v>0</v>
      </c>
      <c r="H166">
        <v>0</v>
      </c>
      <c r="J166">
        <v>0</v>
      </c>
      <c r="K166" s="14">
        <v>0</v>
      </c>
      <c r="L166">
        <v>0</v>
      </c>
      <c r="M166">
        <v>0</v>
      </c>
      <c r="N166">
        <v>0</v>
      </c>
      <c r="O166" s="20"/>
      <c r="P166" s="20"/>
      <c r="Q166" s="438"/>
      <c r="R166" s="197">
        <v>0.66599999999999993</v>
      </c>
      <c r="S166" s="197">
        <v>4.5549999999999997</v>
      </c>
      <c r="T166" s="197">
        <v>0.60039794540960334</v>
      </c>
      <c r="U166" s="197">
        <v>0.90789473684210531</v>
      </c>
      <c r="V166" s="20">
        <f t="shared" si="229"/>
        <v>0</v>
      </c>
      <c r="W166" s="20">
        <f t="shared" si="229"/>
        <v>0</v>
      </c>
      <c r="X166" s="20">
        <f t="shared" si="229"/>
        <v>0</v>
      </c>
      <c r="Y166" s="20">
        <f t="shared" si="229"/>
        <v>0</v>
      </c>
      <c r="Z166" s="20">
        <f t="shared" si="230"/>
        <v>0</v>
      </c>
      <c r="AA166" s="20">
        <f t="shared" si="230"/>
        <v>0</v>
      </c>
      <c r="AB166" s="20">
        <f t="shared" si="230"/>
        <v>0</v>
      </c>
      <c r="AC166" s="20">
        <f t="shared" si="230"/>
        <v>0</v>
      </c>
      <c r="AD166" s="20">
        <f t="shared" si="231"/>
        <v>0</v>
      </c>
      <c r="AE166" s="20">
        <f t="shared" si="232"/>
        <v>0</v>
      </c>
      <c r="AF166" s="20">
        <f t="shared" si="232"/>
        <v>0</v>
      </c>
      <c r="AG166" s="20">
        <f t="shared" si="232"/>
        <v>0</v>
      </c>
      <c r="AH166" s="20">
        <f t="shared" si="232"/>
        <v>0</v>
      </c>
      <c r="AI166" s="20">
        <f t="shared" si="233"/>
        <v>0</v>
      </c>
      <c r="AJ166" s="20">
        <f t="shared" si="234"/>
        <v>0</v>
      </c>
      <c r="AK166" s="20">
        <f t="shared" si="235"/>
        <v>0</v>
      </c>
      <c r="AL166" s="20">
        <f t="shared" si="236"/>
        <v>0</v>
      </c>
      <c r="AM166" s="20">
        <f t="shared" si="237"/>
        <v>0</v>
      </c>
      <c r="AO166">
        <f t="shared" si="238"/>
        <v>0</v>
      </c>
      <c r="AP166">
        <f t="shared" si="238"/>
        <v>0</v>
      </c>
      <c r="AQ166">
        <f t="shared" si="238"/>
        <v>0</v>
      </c>
      <c r="AR166">
        <f t="shared" si="238"/>
        <v>0</v>
      </c>
      <c r="AS166">
        <f t="shared" si="239"/>
        <v>0</v>
      </c>
      <c r="AU166">
        <f t="shared" si="240"/>
        <v>0</v>
      </c>
      <c r="AV166">
        <f t="shared" si="240"/>
        <v>0</v>
      </c>
      <c r="AW166">
        <f t="shared" si="240"/>
        <v>0</v>
      </c>
      <c r="AX166">
        <f t="shared" si="240"/>
        <v>0</v>
      </c>
      <c r="AY166">
        <f t="shared" si="241"/>
        <v>0</v>
      </c>
    </row>
    <row r="167" spans="1:53" ht="15" x14ac:dyDescent="0.25">
      <c r="A167" s="1"/>
      <c r="B167" s="2"/>
      <c r="C167" s="1" t="s">
        <v>10</v>
      </c>
      <c r="D167">
        <v>0</v>
      </c>
      <c r="E167" s="360"/>
      <c r="F167">
        <v>0</v>
      </c>
      <c r="G167">
        <v>0</v>
      </c>
      <c r="H167">
        <v>0</v>
      </c>
      <c r="J167">
        <v>0</v>
      </c>
      <c r="K167" s="14">
        <v>0</v>
      </c>
      <c r="L167">
        <v>0</v>
      </c>
      <c r="M167">
        <v>0</v>
      </c>
      <c r="N167">
        <v>0</v>
      </c>
      <c r="O167" s="20"/>
      <c r="P167" s="20"/>
      <c r="Q167" s="438"/>
      <c r="R167" s="197">
        <v>0.66599999999999993</v>
      </c>
      <c r="S167" s="197">
        <v>4.5549999999999997</v>
      </c>
      <c r="T167" s="197">
        <v>0.60039794540960334</v>
      </c>
      <c r="U167" s="197">
        <v>0.90789473684210531</v>
      </c>
      <c r="V167" s="20">
        <f t="shared" si="229"/>
        <v>0</v>
      </c>
      <c r="W167" s="20">
        <f t="shared" si="229"/>
        <v>0</v>
      </c>
      <c r="X167" s="20">
        <f t="shared" si="229"/>
        <v>0</v>
      </c>
      <c r="Y167" s="20">
        <f t="shared" si="229"/>
        <v>0</v>
      </c>
      <c r="Z167" s="20">
        <f t="shared" si="230"/>
        <v>0</v>
      </c>
      <c r="AA167" s="20">
        <f t="shared" si="230"/>
        <v>0</v>
      </c>
      <c r="AB167" s="20">
        <f t="shared" si="230"/>
        <v>0</v>
      </c>
      <c r="AC167" s="20">
        <f t="shared" si="230"/>
        <v>0</v>
      </c>
      <c r="AD167" s="20">
        <f t="shared" si="231"/>
        <v>0</v>
      </c>
      <c r="AE167" s="20">
        <f t="shared" si="232"/>
        <v>0</v>
      </c>
      <c r="AF167" s="20">
        <f t="shared" si="232"/>
        <v>0</v>
      </c>
      <c r="AG167" s="20">
        <f t="shared" si="232"/>
        <v>0</v>
      </c>
      <c r="AH167" s="20">
        <f t="shared" si="232"/>
        <v>0</v>
      </c>
      <c r="AI167" s="20">
        <f t="shared" si="233"/>
        <v>0</v>
      </c>
      <c r="AJ167" s="20">
        <f t="shared" si="234"/>
        <v>0</v>
      </c>
      <c r="AK167" s="20">
        <f t="shared" si="235"/>
        <v>0</v>
      </c>
      <c r="AL167" s="20">
        <f t="shared" si="236"/>
        <v>0</v>
      </c>
      <c r="AM167" s="20">
        <f t="shared" si="237"/>
        <v>0</v>
      </c>
      <c r="AO167">
        <f t="shared" si="238"/>
        <v>0</v>
      </c>
      <c r="AP167">
        <f t="shared" si="238"/>
        <v>0</v>
      </c>
      <c r="AQ167">
        <f t="shared" si="238"/>
        <v>0</v>
      </c>
      <c r="AR167">
        <f t="shared" si="238"/>
        <v>0</v>
      </c>
      <c r="AS167">
        <f t="shared" si="239"/>
        <v>0</v>
      </c>
      <c r="AU167">
        <f t="shared" si="240"/>
        <v>0</v>
      </c>
      <c r="AV167">
        <f t="shared" si="240"/>
        <v>0</v>
      </c>
      <c r="AW167">
        <f t="shared" si="240"/>
        <v>0</v>
      </c>
      <c r="AX167">
        <f t="shared" si="240"/>
        <v>0</v>
      </c>
      <c r="AY167">
        <f t="shared" si="241"/>
        <v>0</v>
      </c>
    </row>
    <row r="168" spans="1:53" ht="15" x14ac:dyDescent="0.25">
      <c r="A168" s="1"/>
      <c r="B168" s="2"/>
      <c r="C168" s="1" t="s">
        <v>11</v>
      </c>
      <c r="D168">
        <v>0</v>
      </c>
      <c r="E168" s="360">
        <v>137.87690000000001</v>
      </c>
      <c r="F168">
        <v>0</v>
      </c>
      <c r="G168">
        <v>0</v>
      </c>
      <c r="H168">
        <v>0</v>
      </c>
      <c r="J168">
        <v>0</v>
      </c>
      <c r="K168" s="14">
        <v>-6.3416431589757849E-4</v>
      </c>
      <c r="L168">
        <v>0</v>
      </c>
      <c r="M168">
        <v>0</v>
      </c>
      <c r="N168">
        <v>0</v>
      </c>
      <c r="O168" s="20"/>
      <c r="P168" s="20"/>
      <c r="Q168" s="438">
        <v>0.16104847778168432</v>
      </c>
      <c r="R168" s="197">
        <v>0.66599999999999993</v>
      </c>
      <c r="S168" s="197">
        <v>4.5549999999999997</v>
      </c>
      <c r="T168" s="197">
        <v>0.60039794540960334</v>
      </c>
      <c r="U168" s="197">
        <v>0.90789473684210531</v>
      </c>
      <c r="V168" s="20">
        <f t="shared" si="229"/>
        <v>147.884400009275</v>
      </c>
      <c r="W168" s="20">
        <f t="shared" si="229"/>
        <v>0</v>
      </c>
      <c r="X168" s="20">
        <f t="shared" si="229"/>
        <v>0</v>
      </c>
      <c r="Y168" s="20">
        <f t="shared" si="229"/>
        <v>0</v>
      </c>
      <c r="Z168" s="20">
        <f t="shared" si="230"/>
        <v>99.574474062537945</v>
      </c>
      <c r="AA168" s="20">
        <f t="shared" si="230"/>
        <v>0</v>
      </c>
      <c r="AB168" s="20">
        <f t="shared" si="230"/>
        <v>0</v>
      </c>
      <c r="AC168" s="20">
        <f t="shared" si="230"/>
        <v>0</v>
      </c>
      <c r="AD168" s="20">
        <f t="shared" si="231"/>
        <v>99.574474062537945</v>
      </c>
      <c r="AE168" s="20">
        <f t="shared" si="232"/>
        <v>1011.4315946580297</v>
      </c>
      <c r="AF168" s="20">
        <f t="shared" si="232"/>
        <v>0</v>
      </c>
      <c r="AG168" s="20">
        <f t="shared" si="232"/>
        <v>0</v>
      </c>
      <c r="AH168" s="20">
        <f t="shared" si="232"/>
        <v>0</v>
      </c>
      <c r="AI168" s="20">
        <f t="shared" si="233"/>
        <v>935.27504510527103</v>
      </c>
      <c r="AJ168" s="20">
        <f t="shared" si="234"/>
        <v>0</v>
      </c>
      <c r="AK168" s="20">
        <f t="shared" si="235"/>
        <v>0</v>
      </c>
      <c r="AL168" s="20">
        <f t="shared" si="236"/>
        <v>0</v>
      </c>
      <c r="AM168" s="20">
        <f t="shared" si="237"/>
        <v>935.27504510527103</v>
      </c>
      <c r="AO168">
        <f t="shared" si="238"/>
        <v>140.21081692745966</v>
      </c>
      <c r="AP168">
        <f t="shared" si="238"/>
        <v>0</v>
      </c>
      <c r="AQ168">
        <f t="shared" si="238"/>
        <v>0</v>
      </c>
      <c r="AR168">
        <f t="shared" si="238"/>
        <v>0</v>
      </c>
      <c r="AS168">
        <f t="shared" si="239"/>
        <v>140.21081692745966</v>
      </c>
      <c r="AU168">
        <f t="shared" si="240"/>
        <v>1316.960791012732</v>
      </c>
      <c r="AV168">
        <f t="shared" si="240"/>
        <v>0</v>
      </c>
      <c r="AW168">
        <f t="shared" si="240"/>
        <v>0</v>
      </c>
      <c r="AX168">
        <f t="shared" si="240"/>
        <v>0</v>
      </c>
      <c r="AY168">
        <f t="shared" si="241"/>
        <v>1316.960791012732</v>
      </c>
    </row>
    <row r="169" spans="1:53" ht="15" x14ac:dyDescent="0.25">
      <c r="A169" s="1"/>
      <c r="B169" s="2"/>
      <c r="C169" s="1" t="s">
        <v>12</v>
      </c>
      <c r="D169">
        <v>0</v>
      </c>
      <c r="E169" s="360"/>
      <c r="F169">
        <v>0</v>
      </c>
      <c r="G169">
        <v>0</v>
      </c>
      <c r="H169">
        <v>0</v>
      </c>
      <c r="J169">
        <v>0</v>
      </c>
      <c r="K169" s="14">
        <v>0</v>
      </c>
      <c r="L169">
        <v>0</v>
      </c>
      <c r="M169">
        <v>0</v>
      </c>
      <c r="N169">
        <v>0</v>
      </c>
      <c r="O169" s="20"/>
      <c r="P169" s="20"/>
      <c r="Q169" s="438"/>
      <c r="R169" s="197">
        <v>0.66599999999999993</v>
      </c>
      <c r="S169" s="197">
        <v>4.5549999999999997</v>
      </c>
      <c r="T169" s="197">
        <v>0.60039794540960334</v>
      </c>
      <c r="U169" s="197">
        <v>0.90789473684210531</v>
      </c>
      <c r="V169" s="20">
        <f t="shared" si="229"/>
        <v>0</v>
      </c>
      <c r="W169" s="20">
        <f t="shared" si="229"/>
        <v>0</v>
      </c>
      <c r="X169" s="20">
        <f t="shared" si="229"/>
        <v>0</v>
      </c>
      <c r="Y169" s="20">
        <f t="shared" si="229"/>
        <v>0</v>
      </c>
      <c r="Z169" s="20">
        <f t="shared" si="230"/>
        <v>0</v>
      </c>
      <c r="AA169" s="20">
        <f t="shared" si="230"/>
        <v>0</v>
      </c>
      <c r="AB169" s="20">
        <f t="shared" si="230"/>
        <v>0</v>
      </c>
      <c r="AC169" s="20">
        <f t="shared" si="230"/>
        <v>0</v>
      </c>
      <c r="AD169" s="20">
        <f t="shared" si="231"/>
        <v>0</v>
      </c>
      <c r="AE169" s="20">
        <f t="shared" si="232"/>
        <v>0</v>
      </c>
      <c r="AF169" s="20">
        <f t="shared" si="232"/>
        <v>0</v>
      </c>
      <c r="AG169" s="20">
        <f t="shared" si="232"/>
        <v>0</v>
      </c>
      <c r="AH169" s="20">
        <f t="shared" si="232"/>
        <v>0</v>
      </c>
      <c r="AI169" s="20">
        <f t="shared" si="233"/>
        <v>0</v>
      </c>
      <c r="AJ169" s="20">
        <f t="shared" si="234"/>
        <v>0</v>
      </c>
      <c r="AK169" s="20">
        <f t="shared" si="235"/>
        <v>0</v>
      </c>
      <c r="AL169" s="20">
        <f t="shared" si="236"/>
        <v>0</v>
      </c>
      <c r="AM169" s="20">
        <f t="shared" si="237"/>
        <v>0</v>
      </c>
      <c r="AO169">
        <f t="shared" si="238"/>
        <v>0</v>
      </c>
      <c r="AP169">
        <f t="shared" si="238"/>
        <v>0</v>
      </c>
      <c r="AQ169">
        <f t="shared" si="238"/>
        <v>0</v>
      </c>
      <c r="AR169">
        <f t="shared" si="238"/>
        <v>0</v>
      </c>
      <c r="AS169">
        <f t="shared" si="239"/>
        <v>0</v>
      </c>
      <c r="AU169">
        <f t="shared" si="240"/>
        <v>0</v>
      </c>
      <c r="AV169">
        <f t="shared" si="240"/>
        <v>0</v>
      </c>
      <c r="AW169">
        <f t="shared" si="240"/>
        <v>0</v>
      </c>
      <c r="AX169">
        <f t="shared" si="240"/>
        <v>0</v>
      </c>
      <c r="AY169">
        <f t="shared" si="241"/>
        <v>0</v>
      </c>
    </row>
    <row r="170" spans="1:53" ht="15" x14ac:dyDescent="0.25">
      <c r="A170" s="1"/>
      <c r="B170" s="2"/>
      <c r="C170" s="1" t="s">
        <v>13</v>
      </c>
      <c r="D170">
        <v>0</v>
      </c>
      <c r="E170" s="360"/>
      <c r="F170">
        <v>0</v>
      </c>
      <c r="G170">
        <v>0</v>
      </c>
      <c r="H170">
        <v>0</v>
      </c>
      <c r="J170">
        <v>0</v>
      </c>
      <c r="K170" s="14">
        <v>0</v>
      </c>
      <c r="L170">
        <v>0</v>
      </c>
      <c r="M170">
        <v>0</v>
      </c>
      <c r="N170">
        <v>0</v>
      </c>
      <c r="O170" s="20"/>
      <c r="P170" s="20"/>
      <c r="Q170" s="438"/>
      <c r="R170" s="197">
        <v>0.66599999999999993</v>
      </c>
      <c r="S170" s="197">
        <v>4.5549999999999997</v>
      </c>
      <c r="T170" s="197">
        <v>0.60039794540960334</v>
      </c>
      <c r="U170" s="197">
        <v>0.90789473684210531</v>
      </c>
      <c r="V170" s="20">
        <f t="shared" si="229"/>
        <v>0</v>
      </c>
      <c r="W170" s="20">
        <f t="shared" si="229"/>
        <v>0</v>
      </c>
      <c r="X170" s="20">
        <f t="shared" si="229"/>
        <v>0</v>
      </c>
      <c r="Y170" s="20">
        <f t="shared" si="229"/>
        <v>0</v>
      </c>
      <c r="Z170" s="20">
        <f t="shared" si="230"/>
        <v>0</v>
      </c>
      <c r="AA170" s="20">
        <f t="shared" si="230"/>
        <v>0</v>
      </c>
      <c r="AB170" s="20">
        <f t="shared" si="230"/>
        <v>0</v>
      </c>
      <c r="AC170" s="20">
        <f t="shared" si="230"/>
        <v>0</v>
      </c>
      <c r="AD170" s="20">
        <f t="shared" si="231"/>
        <v>0</v>
      </c>
      <c r="AE170" s="20">
        <f t="shared" si="232"/>
        <v>0</v>
      </c>
      <c r="AF170" s="20">
        <f t="shared" si="232"/>
        <v>0</v>
      </c>
      <c r="AG170" s="20">
        <f t="shared" si="232"/>
        <v>0</v>
      </c>
      <c r="AH170" s="20">
        <f t="shared" si="232"/>
        <v>0</v>
      </c>
      <c r="AI170" s="20">
        <f t="shared" si="233"/>
        <v>0</v>
      </c>
      <c r="AJ170" s="20">
        <f t="shared" si="234"/>
        <v>0</v>
      </c>
      <c r="AK170" s="20">
        <f t="shared" si="235"/>
        <v>0</v>
      </c>
      <c r="AL170" s="20">
        <f t="shared" si="236"/>
        <v>0</v>
      </c>
      <c r="AM170" s="20">
        <f t="shared" si="237"/>
        <v>0</v>
      </c>
      <c r="AO170">
        <f t="shared" si="238"/>
        <v>0</v>
      </c>
      <c r="AP170">
        <f t="shared" si="238"/>
        <v>0</v>
      </c>
      <c r="AQ170">
        <f t="shared" si="238"/>
        <v>0</v>
      </c>
      <c r="AR170">
        <f t="shared" si="238"/>
        <v>0</v>
      </c>
      <c r="AS170">
        <f t="shared" si="239"/>
        <v>0</v>
      </c>
      <c r="AU170">
        <f t="shared" si="240"/>
        <v>0</v>
      </c>
      <c r="AV170">
        <f t="shared" si="240"/>
        <v>0</v>
      </c>
      <c r="AW170">
        <f t="shared" si="240"/>
        <v>0</v>
      </c>
      <c r="AX170">
        <f t="shared" si="240"/>
        <v>0</v>
      </c>
      <c r="AY170">
        <f t="shared" si="241"/>
        <v>0</v>
      </c>
    </row>
    <row r="171" spans="1:53" ht="15" x14ac:dyDescent="0.25">
      <c r="A171" s="7"/>
      <c r="B171" s="8" t="s">
        <v>14</v>
      </c>
      <c r="C171" s="7"/>
      <c r="D171" s="357">
        <f t="shared" ref="D171:H171" si="242">SUM(D165:D170)</f>
        <v>0</v>
      </c>
      <c r="E171" s="363">
        <f>SUM(E165:E170)</f>
        <v>137.87690000000001</v>
      </c>
      <c r="F171" s="357">
        <f t="shared" si="242"/>
        <v>0</v>
      </c>
      <c r="G171" s="357">
        <f t="shared" si="242"/>
        <v>0</v>
      </c>
      <c r="H171" s="357">
        <f t="shared" si="242"/>
        <v>0</v>
      </c>
      <c r="J171">
        <v>0</v>
      </c>
      <c r="K171" s="14">
        <v>-6.3416431589757849E-4</v>
      </c>
      <c r="L171">
        <v>0</v>
      </c>
      <c r="M171">
        <v>0</v>
      </c>
      <c r="N171">
        <v>0</v>
      </c>
      <c r="O171" s="20"/>
      <c r="P171" s="20"/>
      <c r="Q171" s="438">
        <v>0.16104847778168432</v>
      </c>
      <c r="R171" s="20"/>
      <c r="S171" s="20"/>
      <c r="T171" s="20"/>
      <c r="U171" s="20"/>
      <c r="BA171" s="319">
        <f>(E171*10000*Q171*AU$10)</f>
        <v>312666.70218177198</v>
      </c>
    </row>
    <row r="172" spans="1:53" ht="15" x14ac:dyDescent="0.25">
      <c r="A172" s="1"/>
      <c r="B172" s="9" t="s">
        <v>15</v>
      </c>
      <c r="C172" s="5"/>
      <c r="E172" s="363">
        <f>SUM(E171)</f>
        <v>137.87690000000001</v>
      </c>
      <c r="H172" s="358">
        <f>SUM(D171:H171)</f>
        <v>137.87690000000001</v>
      </c>
      <c r="K172" s="14"/>
      <c r="N172">
        <v>0</v>
      </c>
      <c r="O172" s="20"/>
      <c r="P172" s="20"/>
      <c r="Q172" s="438"/>
      <c r="R172" s="20"/>
      <c r="S172" s="20"/>
      <c r="T172" s="20"/>
      <c r="U172" s="20"/>
    </row>
    <row r="173" spans="1:53" ht="15.75" x14ac:dyDescent="0.25">
      <c r="A173" s="1"/>
      <c r="B173" s="2"/>
      <c r="C173" s="1"/>
      <c r="E173" s="361"/>
      <c r="K173" s="14"/>
      <c r="O173" s="20"/>
      <c r="P173" s="20"/>
      <c r="Q173" s="439"/>
      <c r="R173" s="20"/>
      <c r="S173" s="20"/>
      <c r="T173" s="20"/>
      <c r="U173" s="20"/>
    </row>
    <row r="174" spans="1:53" ht="15" x14ac:dyDescent="0.25">
      <c r="A174" s="1">
        <v>19</v>
      </c>
      <c r="B174" s="154" t="s">
        <v>865</v>
      </c>
      <c r="C174" s="1" t="s">
        <v>8</v>
      </c>
      <c r="D174">
        <v>0</v>
      </c>
      <c r="E174" s="360">
        <v>0</v>
      </c>
      <c r="F174">
        <v>0</v>
      </c>
      <c r="G174">
        <v>0</v>
      </c>
      <c r="H174">
        <v>0</v>
      </c>
      <c r="J174">
        <v>0</v>
      </c>
      <c r="K174" s="14">
        <v>0</v>
      </c>
      <c r="L174">
        <v>0</v>
      </c>
      <c r="M174">
        <v>0</v>
      </c>
      <c r="N174">
        <v>0</v>
      </c>
      <c r="O174" s="20"/>
      <c r="P174" s="20"/>
      <c r="Q174" s="438"/>
      <c r="R174" s="20"/>
      <c r="S174" s="20"/>
      <c r="T174" s="20"/>
      <c r="U174" s="20"/>
    </row>
    <row r="175" spans="1:53" ht="15" x14ac:dyDescent="0.25">
      <c r="A175" s="1"/>
      <c r="B175" s="2"/>
      <c r="C175" s="1" t="s">
        <v>9</v>
      </c>
      <c r="D175">
        <v>0</v>
      </c>
      <c r="E175" s="360">
        <v>0</v>
      </c>
      <c r="F175">
        <v>0</v>
      </c>
      <c r="G175">
        <v>0</v>
      </c>
      <c r="H175">
        <v>0</v>
      </c>
      <c r="J175">
        <v>0</v>
      </c>
      <c r="K175" s="14">
        <v>0</v>
      </c>
      <c r="L175">
        <v>0</v>
      </c>
      <c r="M175">
        <v>0</v>
      </c>
      <c r="N175">
        <v>0</v>
      </c>
      <c r="O175" s="20"/>
      <c r="P175" s="20"/>
      <c r="Q175" s="438"/>
      <c r="R175" s="20"/>
      <c r="S175" s="20"/>
      <c r="T175" s="20"/>
      <c r="U175" s="20"/>
    </row>
    <row r="176" spans="1:53" ht="15" x14ac:dyDescent="0.25">
      <c r="A176" s="1"/>
      <c r="B176" s="2"/>
      <c r="C176" s="1" t="s">
        <v>10</v>
      </c>
      <c r="D176">
        <v>0</v>
      </c>
      <c r="E176" s="360">
        <v>0</v>
      </c>
      <c r="F176">
        <v>0</v>
      </c>
      <c r="G176">
        <v>0</v>
      </c>
      <c r="H176">
        <v>0</v>
      </c>
      <c r="J176">
        <v>0</v>
      </c>
      <c r="K176" s="14">
        <v>0</v>
      </c>
      <c r="L176">
        <v>0</v>
      </c>
      <c r="M176">
        <v>0</v>
      </c>
      <c r="N176">
        <v>0</v>
      </c>
      <c r="O176" s="20"/>
      <c r="P176" s="20"/>
      <c r="Q176" s="438"/>
      <c r="R176" s="20"/>
      <c r="S176" s="20"/>
      <c r="T176" s="20"/>
      <c r="U176" s="20"/>
    </row>
    <row r="177" spans="1:53" ht="15" x14ac:dyDescent="0.25">
      <c r="A177" s="1"/>
      <c r="B177" s="2"/>
      <c r="C177" s="1" t="s">
        <v>11</v>
      </c>
      <c r="D177">
        <v>0</v>
      </c>
      <c r="E177" s="360">
        <v>1.3947290000000001</v>
      </c>
      <c r="F177">
        <v>0</v>
      </c>
      <c r="G177">
        <v>0</v>
      </c>
      <c r="H177">
        <v>0</v>
      </c>
      <c r="J177">
        <v>0</v>
      </c>
      <c r="K177" s="14">
        <v>1.3220211001474524E-6</v>
      </c>
      <c r="L177">
        <v>0</v>
      </c>
      <c r="M177">
        <v>0</v>
      </c>
      <c r="N177">
        <v>0</v>
      </c>
      <c r="O177" s="20"/>
      <c r="P177" s="20"/>
      <c r="Q177" s="438">
        <v>0.90000000000000013</v>
      </c>
      <c r="R177" s="20"/>
      <c r="S177" s="20"/>
      <c r="T177" s="20"/>
      <c r="U177" s="20"/>
    </row>
    <row r="178" spans="1:53" ht="15" x14ac:dyDescent="0.25">
      <c r="A178" s="1"/>
      <c r="B178" s="2"/>
      <c r="C178" s="1" t="s">
        <v>12</v>
      </c>
      <c r="D178">
        <v>0</v>
      </c>
      <c r="E178" s="360">
        <v>0</v>
      </c>
      <c r="F178">
        <v>0</v>
      </c>
      <c r="G178">
        <v>0</v>
      </c>
      <c r="H178">
        <v>0</v>
      </c>
      <c r="J178">
        <v>0</v>
      </c>
      <c r="K178" s="14">
        <v>0</v>
      </c>
      <c r="L178">
        <v>0</v>
      </c>
      <c r="M178">
        <v>0</v>
      </c>
      <c r="N178">
        <v>0</v>
      </c>
      <c r="O178" s="20"/>
      <c r="P178" s="20"/>
      <c r="Q178" s="438"/>
      <c r="R178" s="20"/>
      <c r="S178" s="20"/>
      <c r="T178" s="20"/>
      <c r="U178" s="20"/>
    </row>
    <row r="179" spans="1:53" ht="15" x14ac:dyDescent="0.25">
      <c r="A179" s="1"/>
      <c r="B179" s="2"/>
      <c r="C179" s="1" t="s">
        <v>13</v>
      </c>
      <c r="D179">
        <v>0</v>
      </c>
      <c r="E179" s="360">
        <v>99.678190000000001</v>
      </c>
      <c r="F179">
        <v>0</v>
      </c>
      <c r="G179">
        <v>0</v>
      </c>
      <c r="H179">
        <v>0</v>
      </c>
      <c r="J179">
        <v>0</v>
      </c>
      <c r="K179" s="14">
        <v>8.7469220872549158E-5</v>
      </c>
      <c r="L179">
        <v>0</v>
      </c>
      <c r="M179">
        <v>0</v>
      </c>
      <c r="N179">
        <v>0</v>
      </c>
      <c r="O179" s="20"/>
      <c r="P179" s="20"/>
      <c r="Q179" s="438">
        <v>0.90000000000000013</v>
      </c>
      <c r="R179" s="20"/>
      <c r="S179" s="20"/>
      <c r="T179" s="20"/>
      <c r="U179" s="20"/>
    </row>
    <row r="180" spans="1:53" ht="15" x14ac:dyDescent="0.25">
      <c r="A180" s="7"/>
      <c r="B180" s="8" t="s">
        <v>14</v>
      </c>
      <c r="C180" s="7"/>
      <c r="D180" s="357">
        <f t="shared" ref="D180:H180" si="243">SUM(D174:D179)</f>
        <v>0</v>
      </c>
      <c r="E180" s="363">
        <f>SUM(E174:E179)</f>
        <v>101.072919</v>
      </c>
      <c r="F180" s="357">
        <f t="shared" si="243"/>
        <v>0</v>
      </c>
      <c r="G180" s="357">
        <f t="shared" si="243"/>
        <v>0</v>
      </c>
      <c r="H180" s="357">
        <f t="shared" si="243"/>
        <v>0</v>
      </c>
      <c r="J180">
        <v>0</v>
      </c>
      <c r="K180">
        <v>0</v>
      </c>
      <c r="L180">
        <v>0</v>
      </c>
      <c r="M180">
        <v>0</v>
      </c>
      <c r="N180">
        <v>0</v>
      </c>
      <c r="Q180" s="438">
        <v>0.9</v>
      </c>
      <c r="BA180" s="319">
        <f>(E180*10000*Q180*AU$10)</f>
        <v>1280886.9951950999</v>
      </c>
    </row>
    <row r="181" spans="1:53" ht="15" x14ac:dyDescent="0.25">
      <c r="A181" s="5"/>
      <c r="B181" s="9" t="s">
        <v>15</v>
      </c>
      <c r="C181" s="5"/>
      <c r="E181" s="363">
        <f>SUM(E180)</f>
        <v>101.072919</v>
      </c>
      <c r="H181" s="358">
        <f>SUM(D180:H180)</f>
        <v>101.072919</v>
      </c>
      <c r="N181">
        <v>0</v>
      </c>
    </row>
    <row r="182" spans="1:53" s="79" customFormat="1" ht="15" x14ac:dyDescent="0.25">
      <c r="A182" s="199"/>
      <c r="B182" s="198" t="s">
        <v>661</v>
      </c>
      <c r="C182" s="199"/>
    </row>
    <row r="183" spans="1:53" x14ac:dyDescent="0.2">
      <c r="E183" s="14">
        <f>SUM(E180,E171,E162,E153,E144,E135,E126,E117,E108,E99,E90,E81,E72,E63,E54,E45,E36,E27,E18,)</f>
        <v>2788.5485690000005</v>
      </c>
    </row>
  </sheetData>
  <phoneticPr fontId="0" type="noConversion"/>
  <pageMargins left="0.75" right="0.75" top="1" bottom="1" header="0.5" footer="0.5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BB187"/>
  <sheetViews>
    <sheetView defaultGridColor="0" colorId="11" zoomScale="75" workbookViewId="0">
      <pane xSplit="3" topLeftCell="D1" activePane="topRight" state="frozen"/>
      <selection pane="topRight" activeCell="BA180" sqref="BA12:BA180"/>
    </sheetView>
  </sheetViews>
  <sheetFormatPr defaultRowHeight="12.75" x14ac:dyDescent="0.2"/>
  <cols>
    <col min="2" max="2" width="26.42578125" bestFit="1" customWidth="1"/>
    <col min="4" max="8" width="13.7109375" customWidth="1"/>
    <col min="10" max="14" width="13.5703125" customWidth="1"/>
    <col min="15" max="15" width="12" bestFit="1" customWidth="1"/>
    <col min="17" max="17" width="15.7109375" style="108" bestFit="1" customWidth="1"/>
    <col min="18" max="19" width="12" bestFit="1" customWidth="1"/>
    <col min="20" max="21" width="12" customWidth="1"/>
    <col min="22" max="25" width="11.5703125" customWidth="1"/>
    <col min="26" max="29" width="10.7109375" customWidth="1"/>
    <col min="30" max="30" width="11.42578125" customWidth="1"/>
    <col min="31" max="34" width="13.42578125" customWidth="1"/>
    <col min="35" max="39" width="10.85546875" customWidth="1"/>
    <col min="45" max="45" width="28.140625" customWidth="1"/>
    <col min="51" max="51" width="33.5703125" customWidth="1"/>
    <col min="53" max="53" width="12" customWidth="1"/>
  </cols>
  <sheetData>
    <row r="1" spans="1:53" ht="15" x14ac:dyDescent="0.25">
      <c r="A1" s="15" t="s">
        <v>32</v>
      </c>
      <c r="B1" s="16"/>
    </row>
    <row r="2" spans="1:53" ht="15" x14ac:dyDescent="0.25">
      <c r="A2" s="15"/>
      <c r="B2" s="16">
        <v>2001</v>
      </c>
      <c r="V2" s="99"/>
      <c r="W2" s="99"/>
      <c r="X2" s="99"/>
      <c r="Y2" s="99"/>
      <c r="Z2" s="26"/>
      <c r="AA2" s="26"/>
      <c r="AB2" s="26"/>
      <c r="AC2" s="26"/>
      <c r="AD2" s="26"/>
      <c r="AE2" s="28"/>
      <c r="AF2" s="28"/>
      <c r="AG2" s="28"/>
      <c r="AH2" s="28"/>
      <c r="AI2" s="124"/>
      <c r="AJ2" s="124"/>
      <c r="AK2" s="124"/>
      <c r="AL2" s="124"/>
      <c r="AM2" s="124"/>
    </row>
    <row r="3" spans="1:53" ht="78.75" x14ac:dyDescent="0.25">
      <c r="B3" s="16"/>
      <c r="D3" s="179" t="s">
        <v>759</v>
      </c>
      <c r="E3" s="179"/>
      <c r="F3" s="179"/>
      <c r="G3" s="179"/>
      <c r="H3" s="179"/>
      <c r="J3" s="181" t="s">
        <v>758</v>
      </c>
      <c r="K3" s="181"/>
      <c r="L3" s="181"/>
      <c r="M3" s="181"/>
      <c r="N3" s="181"/>
      <c r="V3" s="99" t="s">
        <v>534</v>
      </c>
      <c r="W3" s="99"/>
      <c r="X3" s="99"/>
      <c r="Y3" s="99"/>
      <c r="Z3" s="26" t="s">
        <v>535</v>
      </c>
      <c r="AA3" s="26"/>
      <c r="AB3" s="26"/>
      <c r="AC3" s="26"/>
      <c r="AD3" s="125"/>
      <c r="AE3" s="28" t="s">
        <v>536</v>
      </c>
      <c r="AF3" s="28"/>
      <c r="AG3" s="28"/>
      <c r="AH3" s="28"/>
      <c r="AI3" s="124" t="s">
        <v>537</v>
      </c>
      <c r="AJ3" s="131"/>
      <c r="AK3" s="131"/>
      <c r="AL3" s="131"/>
      <c r="AM3" s="131"/>
    </row>
    <row r="4" spans="1:53" ht="15.75" x14ac:dyDescent="0.25">
      <c r="D4" s="180"/>
      <c r="E4" s="180"/>
      <c r="F4" s="180"/>
      <c r="G4" s="180"/>
      <c r="H4" s="180"/>
      <c r="J4" s="182"/>
      <c r="K4" s="182"/>
      <c r="L4" s="182"/>
      <c r="M4" s="182"/>
      <c r="N4" s="182"/>
      <c r="V4" s="101" t="s">
        <v>40</v>
      </c>
      <c r="W4" s="101"/>
      <c r="X4" s="101"/>
      <c r="Y4" s="101"/>
      <c r="Z4" s="27" t="s">
        <v>40</v>
      </c>
      <c r="AA4" s="27"/>
      <c r="AB4" s="27"/>
      <c r="AC4" s="27"/>
      <c r="AD4" s="126"/>
      <c r="AE4" s="30" t="s">
        <v>40</v>
      </c>
      <c r="AF4" s="30"/>
      <c r="AG4" s="30"/>
      <c r="AH4" s="30"/>
      <c r="AI4" s="132" t="s">
        <v>40</v>
      </c>
      <c r="AJ4" s="133"/>
      <c r="AK4" s="133"/>
      <c r="AL4" s="133"/>
      <c r="AM4" s="133"/>
    </row>
    <row r="5" spans="1:53" ht="94.5" x14ac:dyDescent="0.25">
      <c r="A5" s="1"/>
      <c r="B5" s="2"/>
      <c r="C5" s="3"/>
      <c r="D5" s="103"/>
      <c r="E5" s="229"/>
      <c r="F5" s="229"/>
      <c r="G5" s="229"/>
      <c r="H5" s="229"/>
      <c r="J5" s="115"/>
      <c r="K5" s="232"/>
      <c r="L5" s="232"/>
      <c r="M5" s="232"/>
      <c r="N5" s="232"/>
      <c r="V5" s="103"/>
      <c r="W5" s="103"/>
      <c r="X5" s="103"/>
      <c r="Y5" s="103"/>
      <c r="Z5" s="93"/>
      <c r="AA5" s="236"/>
      <c r="AB5" s="236"/>
      <c r="AC5" s="236"/>
      <c r="AD5" s="127"/>
      <c r="AE5" s="90"/>
      <c r="AF5" s="90"/>
      <c r="AG5" s="90"/>
      <c r="AH5" s="90"/>
      <c r="AI5" s="134"/>
      <c r="AJ5" s="135"/>
      <c r="AK5" s="135"/>
      <c r="AL5" s="135"/>
      <c r="AM5" s="135"/>
      <c r="AO5" s="240" t="s">
        <v>727</v>
      </c>
      <c r="AP5" s="241"/>
      <c r="AQ5" s="241"/>
      <c r="AR5" s="241"/>
      <c r="AS5" s="242" t="s">
        <v>727</v>
      </c>
      <c r="AU5" s="244" t="s">
        <v>728</v>
      </c>
      <c r="AV5" s="245"/>
      <c r="AW5" s="245"/>
      <c r="AX5" s="245"/>
      <c r="AY5" s="246" t="s">
        <v>728</v>
      </c>
    </row>
    <row r="6" spans="1:53" ht="39" x14ac:dyDescent="0.25">
      <c r="A6" s="1"/>
      <c r="B6" s="2" t="s">
        <v>0</v>
      </c>
      <c r="C6" s="3"/>
      <c r="D6" s="234"/>
      <c r="E6" s="234" t="s">
        <v>862</v>
      </c>
      <c r="F6" s="234"/>
      <c r="G6" s="234"/>
      <c r="H6" s="234"/>
      <c r="J6" s="117"/>
      <c r="K6" s="117" t="s">
        <v>862</v>
      </c>
      <c r="L6" s="117"/>
      <c r="M6" s="117"/>
      <c r="N6" s="117"/>
      <c r="O6" s="17" t="s">
        <v>35</v>
      </c>
      <c r="P6" s="18"/>
      <c r="Q6" s="146">
        <v>2001</v>
      </c>
      <c r="R6" s="22" t="s">
        <v>38</v>
      </c>
      <c r="S6" s="22" t="s">
        <v>39</v>
      </c>
      <c r="T6" s="196" t="s">
        <v>659</v>
      </c>
      <c r="U6" s="196" t="s">
        <v>660</v>
      </c>
      <c r="V6" s="105" t="s">
        <v>862</v>
      </c>
      <c r="W6" s="105"/>
      <c r="X6" s="105"/>
      <c r="Y6" s="105"/>
      <c r="Z6" s="78" t="s">
        <v>862</v>
      </c>
      <c r="AA6" s="78"/>
      <c r="AB6" s="78"/>
      <c r="AC6" s="78"/>
      <c r="AD6" s="128" t="s">
        <v>42</v>
      </c>
      <c r="AE6" s="72" t="s">
        <v>862</v>
      </c>
      <c r="AF6" s="72"/>
      <c r="AG6" s="72"/>
      <c r="AH6" s="72"/>
      <c r="AI6" s="137" t="s">
        <v>862</v>
      </c>
      <c r="AJ6" s="137"/>
      <c r="AK6" s="137"/>
      <c r="AL6" s="137"/>
      <c r="AM6" s="137"/>
      <c r="AO6" s="106" t="s">
        <v>862</v>
      </c>
      <c r="AP6" s="106"/>
      <c r="AQ6" s="106"/>
      <c r="AR6" s="106"/>
      <c r="AS6" s="129"/>
      <c r="AU6" s="106" t="s">
        <v>862</v>
      </c>
      <c r="AV6" s="106"/>
      <c r="AW6" s="106"/>
      <c r="AX6" s="106"/>
      <c r="AY6" s="247"/>
    </row>
    <row r="7" spans="1:53" ht="26.25" x14ac:dyDescent="0.25">
      <c r="A7" s="1"/>
      <c r="B7" s="2" t="s">
        <v>1</v>
      </c>
      <c r="C7" s="2"/>
      <c r="D7" s="107"/>
      <c r="E7" s="107"/>
      <c r="F7" s="107"/>
      <c r="G7" s="107"/>
      <c r="H7" s="107"/>
      <c r="J7" s="119"/>
      <c r="K7" s="233"/>
      <c r="L7" s="233"/>
      <c r="M7" s="233"/>
      <c r="N7" s="233"/>
      <c r="O7" s="21" t="s">
        <v>36</v>
      </c>
      <c r="P7" s="21" t="s">
        <v>37</v>
      </c>
      <c r="Q7" s="148" t="s">
        <v>538</v>
      </c>
      <c r="R7" s="22"/>
      <c r="S7" s="22"/>
      <c r="T7" s="22"/>
      <c r="U7" s="22"/>
      <c r="V7" s="107"/>
      <c r="W7" s="107"/>
      <c r="X7" s="107"/>
      <c r="Y7" s="107"/>
      <c r="Z7" s="237"/>
      <c r="AA7" s="237"/>
      <c r="AB7" s="237"/>
      <c r="AC7" s="237"/>
      <c r="AD7" s="129"/>
      <c r="AE7" s="91"/>
      <c r="AF7" s="91"/>
      <c r="AG7" s="91"/>
      <c r="AH7" s="91"/>
      <c r="AI7" s="139"/>
      <c r="AJ7" s="139"/>
      <c r="AK7" s="139"/>
      <c r="AL7" s="139"/>
      <c r="AM7" s="139"/>
      <c r="AS7" s="129"/>
      <c r="AY7" s="247"/>
      <c r="BA7" t="s">
        <v>864</v>
      </c>
    </row>
    <row r="8" spans="1:53" ht="15.75" x14ac:dyDescent="0.25">
      <c r="A8" s="1"/>
      <c r="B8" s="2" t="s">
        <v>4</v>
      </c>
      <c r="C8" s="2"/>
      <c r="D8" s="107"/>
      <c r="E8" s="230"/>
      <c r="F8" s="230"/>
      <c r="G8" s="230"/>
      <c r="H8" s="230"/>
      <c r="J8" s="183"/>
      <c r="K8" s="183"/>
      <c r="L8" s="183"/>
      <c r="M8" s="183"/>
      <c r="N8" s="183"/>
      <c r="O8" s="20"/>
      <c r="P8" s="20"/>
      <c r="Q8" s="145"/>
      <c r="R8" s="20"/>
      <c r="S8" s="20"/>
      <c r="T8" s="20"/>
      <c r="U8" s="20"/>
      <c r="V8" s="107"/>
      <c r="W8" s="107"/>
      <c r="X8" s="107"/>
      <c r="Y8" s="107"/>
      <c r="Z8" s="237">
        <v>2903</v>
      </c>
      <c r="AA8" s="237">
        <v>2903</v>
      </c>
      <c r="AB8" s="237">
        <v>2903</v>
      </c>
      <c r="AC8" s="237">
        <v>2903</v>
      </c>
      <c r="AD8" s="129"/>
      <c r="AE8" s="91"/>
      <c r="AF8" s="91"/>
      <c r="AG8" s="91"/>
      <c r="AH8" s="91"/>
      <c r="AI8" s="237">
        <v>2903</v>
      </c>
      <c r="AJ8" s="237">
        <v>2903</v>
      </c>
      <c r="AK8" s="237">
        <v>2903</v>
      </c>
      <c r="AL8" s="237">
        <v>2903</v>
      </c>
      <c r="AM8" s="139"/>
      <c r="AS8" s="129"/>
      <c r="AY8" s="247"/>
    </row>
    <row r="9" spans="1:53" ht="15.75" x14ac:dyDescent="0.25">
      <c r="A9" s="1"/>
      <c r="B9" s="15" t="s">
        <v>558</v>
      </c>
      <c r="C9" s="2"/>
      <c r="D9" s="109"/>
      <c r="E9" s="231"/>
      <c r="F9" s="231"/>
      <c r="G9" s="231"/>
      <c r="H9" s="231"/>
      <c r="J9" s="119"/>
      <c r="K9" s="233"/>
      <c r="L9" s="233"/>
      <c r="M9" s="233"/>
      <c r="N9" s="233"/>
      <c r="O9" s="21"/>
      <c r="P9" s="21"/>
      <c r="Q9" s="145"/>
      <c r="R9" s="20"/>
      <c r="S9" s="20"/>
      <c r="T9" s="20"/>
      <c r="U9" s="20"/>
      <c r="V9" s="109"/>
      <c r="W9" s="109"/>
      <c r="X9" s="109"/>
      <c r="Y9" s="109"/>
      <c r="Z9" s="238"/>
      <c r="AA9" s="238"/>
      <c r="AB9" s="238"/>
      <c r="AC9" s="238"/>
      <c r="AD9" s="129"/>
      <c r="AE9" s="92"/>
      <c r="AF9" s="92"/>
      <c r="AG9" s="92"/>
      <c r="AH9" s="92"/>
      <c r="AI9" s="139"/>
      <c r="AJ9" s="139"/>
      <c r="AK9" s="139"/>
      <c r="AL9" s="139"/>
      <c r="AM9" s="139"/>
      <c r="AO9" s="239">
        <v>2001</v>
      </c>
      <c r="AP9" s="239">
        <v>2001</v>
      </c>
      <c r="AQ9" s="239">
        <v>2001</v>
      </c>
      <c r="AR9" s="239">
        <v>2001</v>
      </c>
      <c r="AS9" s="243">
        <v>2001</v>
      </c>
      <c r="AU9" s="239">
        <v>2001</v>
      </c>
      <c r="AV9" s="239">
        <v>2001</v>
      </c>
      <c r="AW9" s="239">
        <v>2001</v>
      </c>
      <c r="AX9" s="239">
        <v>2001</v>
      </c>
      <c r="AY9" s="248">
        <v>2001</v>
      </c>
    </row>
    <row r="10" spans="1:53" ht="15" x14ac:dyDescent="0.2">
      <c r="B10" s="15" t="s">
        <v>726</v>
      </c>
      <c r="AO10" s="239">
        <v>1.0513999999999999</v>
      </c>
      <c r="AP10" s="239">
        <v>1.0513999999999999</v>
      </c>
      <c r="AQ10" s="239">
        <v>1.0513999999999999</v>
      </c>
      <c r="AR10" s="239">
        <v>1.0513999999999999</v>
      </c>
      <c r="AU10" s="239">
        <v>1.0513999999999999</v>
      </c>
      <c r="AV10" s="239">
        <v>1.0513999999999999</v>
      </c>
      <c r="AW10" s="239">
        <v>1.0513999999999999</v>
      </c>
      <c r="AX10" s="239">
        <v>1.0513999999999999</v>
      </c>
    </row>
    <row r="11" spans="1:53" ht="27" x14ac:dyDescent="0.25">
      <c r="A11" s="1"/>
      <c r="B11" s="2" t="s">
        <v>5</v>
      </c>
      <c r="C11" s="4" t="s">
        <v>6</v>
      </c>
      <c r="D11" s="107"/>
      <c r="E11" s="230"/>
      <c r="F11" s="230"/>
      <c r="G11" s="230"/>
      <c r="H11" s="230"/>
      <c r="J11" s="183"/>
      <c r="K11" s="183"/>
      <c r="L11" s="183"/>
      <c r="M11" s="183"/>
      <c r="N11" s="183"/>
      <c r="O11" s="20"/>
      <c r="P11" s="20"/>
      <c r="Q11" s="147"/>
      <c r="R11" s="20"/>
      <c r="S11" s="20"/>
      <c r="T11" s="20"/>
      <c r="U11" s="20"/>
      <c r="V11" s="230"/>
      <c r="W11" s="230"/>
      <c r="X11" s="230"/>
      <c r="Y11" s="230"/>
      <c r="Z11" s="130"/>
      <c r="AA11" s="130"/>
      <c r="AB11" s="130"/>
      <c r="AC11" s="130"/>
      <c r="AD11" s="129"/>
      <c r="AE11" s="91"/>
      <c r="AF11" s="91"/>
      <c r="AG11" s="91"/>
      <c r="AH11" s="91"/>
      <c r="AI11" s="139"/>
      <c r="AJ11" s="139"/>
      <c r="AK11" s="139"/>
      <c r="AL11" s="139"/>
      <c r="AM11" s="139"/>
    </row>
    <row r="12" spans="1:53" ht="15" x14ac:dyDescent="0.25">
      <c r="A12" s="1">
        <v>1</v>
      </c>
      <c r="B12" s="2" t="s">
        <v>7</v>
      </c>
      <c r="C12" s="3" t="s">
        <v>8</v>
      </c>
      <c r="D12">
        <v>0</v>
      </c>
      <c r="E12" s="360">
        <v>49.05538</v>
      </c>
      <c r="F12">
        <v>0</v>
      </c>
      <c r="G12">
        <v>0</v>
      </c>
      <c r="H12">
        <v>0</v>
      </c>
      <c r="J12">
        <v>0</v>
      </c>
      <c r="K12" s="14">
        <v>39.279498939624276</v>
      </c>
      <c r="L12">
        <v>0</v>
      </c>
      <c r="M12">
        <v>0</v>
      </c>
      <c r="N12">
        <v>0</v>
      </c>
      <c r="O12" s="20">
        <v>0.36775204520040022</v>
      </c>
      <c r="P12" s="20">
        <v>0.57913019816794442</v>
      </c>
      <c r="Q12" s="438">
        <v>6.2950182249499567E-2</v>
      </c>
      <c r="R12" s="197">
        <v>0.17699999999999999</v>
      </c>
      <c r="S12" s="197">
        <v>1.77</v>
      </c>
      <c r="T12" s="197">
        <v>0.50078889239507718</v>
      </c>
      <c r="U12" s="197">
        <v>0.75268470790377973</v>
      </c>
      <c r="V12" s="20">
        <f t="shared" ref="V12:Y17" si="0">IF(K12&gt;0,((E12-K12)*$Q12*$R12*10)+(K12*$O$12*$Q12*$R12*10),(E12*$Q12*$R12*10))</f>
        <v>2.698747644954107</v>
      </c>
      <c r="W12" s="20">
        <f t="shared" si="0"/>
        <v>0</v>
      </c>
      <c r="X12" s="20">
        <f t="shared" si="0"/>
        <v>0</v>
      </c>
      <c r="Y12" s="20">
        <f t="shared" si="0"/>
        <v>0</v>
      </c>
      <c r="Z12" s="20">
        <f t="shared" ref="Z12:AC17" si="1">V12*(EXP(1.01-0.34*LN(Z$8))*(1-$T12)+(1*$T12))</f>
        <v>1.5973787373205914</v>
      </c>
      <c r="AA12" s="20">
        <f t="shared" si="1"/>
        <v>0</v>
      </c>
      <c r="AB12" s="20">
        <f t="shared" si="1"/>
        <v>0</v>
      </c>
      <c r="AC12" s="20">
        <f t="shared" si="1"/>
        <v>0</v>
      </c>
      <c r="AD12" s="20">
        <f t="shared" ref="AD12:AD17" si="2">SUM(Z12:AC12)</f>
        <v>1.5973787373205914</v>
      </c>
      <c r="AE12" s="20">
        <f t="shared" ref="AE12:AH17" si="3">IF(K12&gt;0,((E12-K12)*$Q12*$S12*10)+(K12*$P$12*$Q12*$S12)*10,(E12*$Q12*$S12*10))</f>
        <v>36.238638660921659</v>
      </c>
      <c r="AF12" s="20">
        <f t="shared" si="3"/>
        <v>0</v>
      </c>
      <c r="AG12" s="20">
        <f t="shared" si="3"/>
        <v>0</v>
      </c>
      <c r="AH12" s="20">
        <f t="shared" si="3"/>
        <v>0</v>
      </c>
      <c r="AI12" s="20">
        <f t="shared" ref="AI12:AL17" si="4">AE12*(EXP(1.01-0.34*LN(AI$8))*(1-$U12)+(1*$U12))</f>
        <v>28.911926318088394</v>
      </c>
      <c r="AJ12" s="20">
        <f t="shared" si="4"/>
        <v>0</v>
      </c>
      <c r="AK12" s="20">
        <f t="shared" si="4"/>
        <v>0</v>
      </c>
      <c r="AL12" s="20">
        <f t="shared" si="4"/>
        <v>0</v>
      </c>
      <c r="AM12" s="20">
        <f t="shared" ref="AM12:AM17" si="5">SUM(AI12:AL12)</f>
        <v>28.911926318088394</v>
      </c>
      <c r="AO12">
        <f t="shared" ref="AO12:AR17" si="6">Z12*AO$10</f>
        <v>1.6794840044188697</v>
      </c>
      <c r="AP12">
        <f t="shared" si="6"/>
        <v>0</v>
      </c>
      <c r="AQ12">
        <f t="shared" si="6"/>
        <v>0</v>
      </c>
      <c r="AR12">
        <f t="shared" si="6"/>
        <v>0</v>
      </c>
      <c r="AS12">
        <f t="shared" ref="AS12:AS17" si="7">SUM(AO12:AR12)</f>
        <v>1.6794840044188697</v>
      </c>
      <c r="AU12">
        <f t="shared" ref="AU12:AX17" si="8">AI12*AU$10</f>
        <v>30.397999330838136</v>
      </c>
      <c r="AV12">
        <f t="shared" si="8"/>
        <v>0</v>
      </c>
      <c r="AW12">
        <f t="shared" si="8"/>
        <v>0</v>
      </c>
      <c r="AX12">
        <f t="shared" si="8"/>
        <v>0</v>
      </c>
      <c r="AY12">
        <f t="shared" ref="AY12:AY16" si="9">SUM(AU12:AX12)</f>
        <v>30.397999330838136</v>
      </c>
    </row>
    <row r="13" spans="1:53" ht="15" x14ac:dyDescent="0.25">
      <c r="A13" s="1"/>
      <c r="B13" s="2"/>
      <c r="C13" s="1" t="s">
        <v>9</v>
      </c>
      <c r="D13">
        <v>0</v>
      </c>
      <c r="E13" s="360">
        <v>6.3624999999999998</v>
      </c>
      <c r="F13">
        <v>0</v>
      </c>
      <c r="G13">
        <v>0</v>
      </c>
      <c r="H13">
        <v>0</v>
      </c>
      <c r="J13">
        <v>0</v>
      </c>
      <c r="K13" s="14">
        <v>4.7318476998009995</v>
      </c>
      <c r="L13">
        <v>0</v>
      </c>
      <c r="M13">
        <v>0</v>
      </c>
      <c r="N13">
        <v>0</v>
      </c>
      <c r="O13" s="20"/>
      <c r="P13" s="20"/>
      <c r="Q13" s="438">
        <v>8.090036449899915E-2</v>
      </c>
      <c r="R13" s="197">
        <v>0.17699999999999999</v>
      </c>
      <c r="S13" s="197">
        <v>1.77</v>
      </c>
      <c r="T13" s="197">
        <v>0.50078889239507718</v>
      </c>
      <c r="U13" s="197">
        <v>0.75268470790377973</v>
      </c>
      <c r="V13" s="20">
        <f t="shared" si="0"/>
        <v>0.48267699153763621</v>
      </c>
      <c r="W13" s="20">
        <f t="shared" si="0"/>
        <v>0</v>
      </c>
      <c r="X13" s="20">
        <f t="shared" si="0"/>
        <v>0</v>
      </c>
      <c r="Y13" s="20">
        <f t="shared" si="0"/>
        <v>0</v>
      </c>
      <c r="Z13" s="20">
        <f t="shared" si="1"/>
        <v>0.28569472389079287</v>
      </c>
      <c r="AA13" s="20">
        <f t="shared" si="1"/>
        <v>0</v>
      </c>
      <c r="AB13" s="20">
        <f t="shared" si="1"/>
        <v>0</v>
      </c>
      <c r="AC13" s="20">
        <f t="shared" si="1"/>
        <v>0</v>
      </c>
      <c r="AD13" s="20">
        <f t="shared" si="2"/>
        <v>0.28569472389079287</v>
      </c>
      <c r="AE13" s="20">
        <f t="shared" si="3"/>
        <v>6.2590059666443851</v>
      </c>
      <c r="AF13" s="20">
        <f t="shared" si="3"/>
        <v>0</v>
      </c>
      <c r="AG13" s="20">
        <f t="shared" si="3"/>
        <v>0</v>
      </c>
      <c r="AH13" s="20">
        <f t="shared" si="3"/>
        <v>0</v>
      </c>
      <c r="AI13" s="20">
        <f t="shared" si="4"/>
        <v>4.9935628384197068</v>
      </c>
      <c r="AJ13" s="20">
        <f t="shared" si="4"/>
        <v>0</v>
      </c>
      <c r="AK13" s="20">
        <f t="shared" si="4"/>
        <v>0</v>
      </c>
      <c r="AL13" s="20">
        <f t="shared" si="4"/>
        <v>0</v>
      </c>
      <c r="AM13" s="20">
        <f t="shared" si="5"/>
        <v>4.9935628384197068</v>
      </c>
      <c r="AO13">
        <f t="shared" si="6"/>
        <v>0.30037943269877959</v>
      </c>
      <c r="AP13">
        <f t="shared" si="6"/>
        <v>0</v>
      </c>
      <c r="AQ13">
        <f t="shared" si="6"/>
        <v>0</v>
      </c>
      <c r="AR13">
        <f t="shared" si="6"/>
        <v>0</v>
      </c>
      <c r="AS13">
        <f t="shared" si="7"/>
        <v>0.30037943269877959</v>
      </c>
      <c r="AU13">
        <f t="shared" si="8"/>
        <v>5.2502319683144796</v>
      </c>
      <c r="AV13">
        <f t="shared" si="8"/>
        <v>0</v>
      </c>
      <c r="AW13">
        <f t="shared" si="8"/>
        <v>0</v>
      </c>
      <c r="AX13">
        <f t="shared" si="8"/>
        <v>0</v>
      </c>
      <c r="AY13">
        <f t="shared" si="9"/>
        <v>5.2502319683144796</v>
      </c>
    </row>
    <row r="14" spans="1:53" ht="15" x14ac:dyDescent="0.25">
      <c r="A14" s="1"/>
      <c r="B14" s="2"/>
      <c r="C14" s="1" t="s">
        <v>10</v>
      </c>
      <c r="D14">
        <v>0</v>
      </c>
      <c r="E14" s="360">
        <v>1.1967000000000001</v>
      </c>
      <c r="F14">
        <v>0</v>
      </c>
      <c r="G14">
        <v>0</v>
      </c>
      <c r="H14">
        <v>0</v>
      </c>
      <c r="J14">
        <v>0</v>
      </c>
      <c r="K14" s="14">
        <v>-0.89230754213099961</v>
      </c>
      <c r="L14">
        <v>0</v>
      </c>
      <c r="M14">
        <v>0</v>
      </c>
      <c r="N14">
        <v>0</v>
      </c>
      <c r="O14" s="20"/>
      <c r="P14" s="20"/>
      <c r="Q14" s="438">
        <v>9.8850546748498719E-2</v>
      </c>
      <c r="R14" s="197">
        <v>0.17699999999999999</v>
      </c>
      <c r="S14" s="197">
        <v>1.77</v>
      </c>
      <c r="T14" s="197">
        <v>0.50078889239507718</v>
      </c>
      <c r="U14" s="197">
        <v>0.75268470790377973</v>
      </c>
      <c r="V14" s="20">
        <f t="shared" si="0"/>
        <v>0.20938117525025332</v>
      </c>
      <c r="W14" s="20">
        <f t="shared" si="0"/>
        <v>0</v>
      </c>
      <c r="X14" s="20">
        <f t="shared" si="0"/>
        <v>0</v>
      </c>
      <c r="Y14" s="20">
        <f t="shared" si="0"/>
        <v>0</v>
      </c>
      <c r="Z14" s="20">
        <f t="shared" si="1"/>
        <v>0.12393194227155638</v>
      </c>
      <c r="AA14" s="20">
        <f t="shared" si="1"/>
        <v>0</v>
      </c>
      <c r="AB14" s="20">
        <f t="shared" si="1"/>
        <v>0</v>
      </c>
      <c r="AC14" s="20">
        <f t="shared" si="1"/>
        <v>0</v>
      </c>
      <c r="AD14" s="20">
        <f t="shared" si="2"/>
        <v>0.12393194227155638</v>
      </c>
      <c r="AE14" s="20">
        <f t="shared" si="3"/>
        <v>2.0938117525025333</v>
      </c>
      <c r="AF14" s="20">
        <f t="shared" si="3"/>
        <v>0</v>
      </c>
      <c r="AG14" s="20">
        <f t="shared" si="3"/>
        <v>0</v>
      </c>
      <c r="AH14" s="20">
        <f t="shared" si="3"/>
        <v>0</v>
      </c>
      <c r="AI14" s="20">
        <f t="shared" si="4"/>
        <v>1.6704857949749803</v>
      </c>
      <c r="AJ14" s="20">
        <f t="shared" si="4"/>
        <v>0</v>
      </c>
      <c r="AK14" s="20">
        <f t="shared" si="4"/>
        <v>0</v>
      </c>
      <c r="AL14" s="20">
        <f t="shared" si="4"/>
        <v>0</v>
      </c>
      <c r="AM14" s="20">
        <f t="shared" si="5"/>
        <v>1.6704857949749803</v>
      </c>
      <c r="AO14">
        <f t="shared" si="6"/>
        <v>0.13030204410431437</v>
      </c>
      <c r="AP14">
        <f t="shared" si="6"/>
        <v>0</v>
      </c>
      <c r="AQ14">
        <f t="shared" si="6"/>
        <v>0</v>
      </c>
      <c r="AR14">
        <f t="shared" si="6"/>
        <v>0</v>
      </c>
      <c r="AS14">
        <f t="shared" si="7"/>
        <v>0.13030204410431437</v>
      </c>
      <c r="AU14">
        <f t="shared" si="8"/>
        <v>1.756348764836694</v>
      </c>
      <c r="AV14">
        <f t="shared" si="8"/>
        <v>0</v>
      </c>
      <c r="AW14">
        <f t="shared" si="8"/>
        <v>0</v>
      </c>
      <c r="AX14">
        <f t="shared" si="8"/>
        <v>0</v>
      </c>
      <c r="AY14">
        <f t="shared" si="9"/>
        <v>1.756348764836694</v>
      </c>
    </row>
    <row r="15" spans="1:53" ht="15" x14ac:dyDescent="0.25">
      <c r="A15" s="1"/>
      <c r="B15" s="2"/>
      <c r="C15" s="1" t="s">
        <v>11</v>
      </c>
      <c r="D15">
        <v>0</v>
      </c>
      <c r="E15" s="360">
        <v>16.971299999999999</v>
      </c>
      <c r="F15">
        <v>0</v>
      </c>
      <c r="G15">
        <v>0</v>
      </c>
      <c r="H15">
        <v>0</v>
      </c>
      <c r="J15">
        <v>0</v>
      </c>
      <c r="K15" s="14">
        <v>5.2454741905186246</v>
      </c>
      <c r="L15">
        <v>0</v>
      </c>
      <c r="M15">
        <v>0</v>
      </c>
      <c r="N15">
        <v>0</v>
      </c>
      <c r="O15" s="20"/>
      <c r="P15" s="20"/>
      <c r="Q15" s="438">
        <v>0.1168007289979983</v>
      </c>
      <c r="R15" s="197">
        <v>0.17699999999999999</v>
      </c>
      <c r="S15" s="197">
        <v>1.77</v>
      </c>
      <c r="T15" s="197">
        <v>0.50078889239507718</v>
      </c>
      <c r="U15" s="197">
        <v>0.75268470790377973</v>
      </c>
      <c r="V15" s="20">
        <f t="shared" si="0"/>
        <v>2.8229686881892686</v>
      </c>
      <c r="W15" s="20">
        <f t="shared" si="0"/>
        <v>0</v>
      </c>
      <c r="X15" s="20">
        <f t="shared" si="0"/>
        <v>0</v>
      </c>
      <c r="Y15" s="20">
        <f t="shared" si="0"/>
        <v>0</v>
      </c>
      <c r="Z15" s="20">
        <f t="shared" si="1"/>
        <v>1.6709047128087529</v>
      </c>
      <c r="AA15" s="20">
        <f t="shared" si="1"/>
        <v>0</v>
      </c>
      <c r="AB15" s="20">
        <f t="shared" si="1"/>
        <v>0</v>
      </c>
      <c r="AC15" s="20">
        <f t="shared" si="1"/>
        <v>0</v>
      </c>
      <c r="AD15" s="20">
        <f t="shared" si="2"/>
        <v>1.6709047128087529</v>
      </c>
      <c r="AE15" s="20">
        <f t="shared" si="3"/>
        <v>30.521945810001561</v>
      </c>
      <c r="AF15" s="20">
        <f t="shared" si="3"/>
        <v>0</v>
      </c>
      <c r="AG15" s="20">
        <f t="shared" si="3"/>
        <v>0</v>
      </c>
      <c r="AH15" s="20">
        <f t="shared" si="3"/>
        <v>0</v>
      </c>
      <c r="AI15" s="20">
        <f t="shared" si="4"/>
        <v>24.351031963434373</v>
      </c>
      <c r="AJ15" s="20">
        <f t="shared" si="4"/>
        <v>0</v>
      </c>
      <c r="AK15" s="20">
        <f t="shared" si="4"/>
        <v>0</v>
      </c>
      <c r="AL15" s="20">
        <f t="shared" si="4"/>
        <v>0</v>
      </c>
      <c r="AM15" s="20">
        <f t="shared" si="5"/>
        <v>24.351031963434373</v>
      </c>
      <c r="AO15">
        <f t="shared" si="6"/>
        <v>1.7567892150471225</v>
      </c>
      <c r="AP15">
        <f t="shared" si="6"/>
        <v>0</v>
      </c>
      <c r="AQ15">
        <f t="shared" si="6"/>
        <v>0</v>
      </c>
      <c r="AR15">
        <f t="shared" si="6"/>
        <v>0</v>
      </c>
      <c r="AS15">
        <f t="shared" si="7"/>
        <v>1.7567892150471225</v>
      </c>
      <c r="AU15">
        <f t="shared" si="8"/>
        <v>25.602675006354897</v>
      </c>
      <c r="AV15">
        <f t="shared" si="8"/>
        <v>0</v>
      </c>
      <c r="AW15">
        <f t="shared" si="8"/>
        <v>0</v>
      </c>
      <c r="AX15">
        <f t="shared" si="8"/>
        <v>0</v>
      </c>
      <c r="AY15">
        <f t="shared" si="9"/>
        <v>25.602675006354897</v>
      </c>
    </row>
    <row r="16" spans="1:53" ht="15" x14ac:dyDescent="0.25">
      <c r="A16" s="5"/>
      <c r="B16" s="6"/>
      <c r="C16" s="5" t="s">
        <v>12</v>
      </c>
      <c r="D16">
        <v>0</v>
      </c>
      <c r="E16" s="360">
        <v>0</v>
      </c>
      <c r="F16">
        <v>0</v>
      </c>
      <c r="G16">
        <v>0</v>
      </c>
      <c r="H16">
        <v>0</v>
      </c>
      <c r="J16">
        <v>0</v>
      </c>
      <c r="K16" s="14">
        <v>0</v>
      </c>
      <c r="L16">
        <v>0</v>
      </c>
      <c r="M16">
        <v>0</v>
      </c>
      <c r="N16">
        <v>0</v>
      </c>
      <c r="O16" s="20"/>
      <c r="P16" s="20"/>
      <c r="Q16" s="438"/>
      <c r="R16" s="197">
        <v>0.17699999999999999</v>
      </c>
      <c r="S16" s="197">
        <v>1.77</v>
      </c>
      <c r="T16" s="197">
        <v>0.50078889239507718</v>
      </c>
      <c r="U16" s="197">
        <v>0.75268470790377973</v>
      </c>
      <c r="V16" s="20">
        <f t="shared" si="0"/>
        <v>0</v>
      </c>
      <c r="W16" s="20">
        <f t="shared" si="0"/>
        <v>0</v>
      </c>
      <c r="X16" s="20">
        <f t="shared" si="0"/>
        <v>0</v>
      </c>
      <c r="Y16" s="20">
        <f t="shared" si="0"/>
        <v>0</v>
      </c>
      <c r="Z16" s="20">
        <f t="shared" si="1"/>
        <v>0</v>
      </c>
      <c r="AA16" s="20">
        <f t="shared" si="1"/>
        <v>0</v>
      </c>
      <c r="AB16" s="20">
        <f t="shared" si="1"/>
        <v>0</v>
      </c>
      <c r="AC16" s="20">
        <f t="shared" si="1"/>
        <v>0</v>
      </c>
      <c r="AD16" s="20">
        <f t="shared" si="2"/>
        <v>0</v>
      </c>
      <c r="AE16" s="20">
        <f t="shared" si="3"/>
        <v>0</v>
      </c>
      <c r="AF16" s="20">
        <f t="shared" si="3"/>
        <v>0</v>
      </c>
      <c r="AG16" s="20">
        <f t="shared" si="3"/>
        <v>0</v>
      </c>
      <c r="AH16" s="20">
        <f t="shared" si="3"/>
        <v>0</v>
      </c>
      <c r="AI16" s="20">
        <f t="shared" si="4"/>
        <v>0</v>
      </c>
      <c r="AJ16" s="20">
        <f t="shared" si="4"/>
        <v>0</v>
      </c>
      <c r="AK16" s="20">
        <f t="shared" si="4"/>
        <v>0</v>
      </c>
      <c r="AL16" s="20">
        <f t="shared" si="4"/>
        <v>0</v>
      </c>
      <c r="AM16" s="20">
        <f t="shared" si="5"/>
        <v>0</v>
      </c>
      <c r="AO16">
        <f t="shared" si="6"/>
        <v>0</v>
      </c>
      <c r="AP16">
        <f t="shared" si="6"/>
        <v>0</v>
      </c>
      <c r="AQ16">
        <f t="shared" si="6"/>
        <v>0</v>
      </c>
      <c r="AR16">
        <f t="shared" si="6"/>
        <v>0</v>
      </c>
      <c r="AS16">
        <f t="shared" si="7"/>
        <v>0</v>
      </c>
      <c r="AU16">
        <f t="shared" si="8"/>
        <v>0</v>
      </c>
      <c r="AV16">
        <f t="shared" si="8"/>
        <v>0</v>
      </c>
      <c r="AW16">
        <f t="shared" si="8"/>
        <v>0</v>
      </c>
      <c r="AX16">
        <f t="shared" si="8"/>
        <v>0</v>
      </c>
      <c r="AY16">
        <f t="shared" si="9"/>
        <v>0</v>
      </c>
    </row>
    <row r="17" spans="1:53" ht="15" x14ac:dyDescent="0.25">
      <c r="A17" s="5"/>
      <c r="B17" s="6"/>
      <c r="C17" s="5" t="s">
        <v>13</v>
      </c>
      <c r="D17">
        <v>0</v>
      </c>
      <c r="E17" s="360">
        <v>3.8789999999999998E-2</v>
      </c>
      <c r="F17">
        <v>0</v>
      </c>
      <c r="G17">
        <v>0</v>
      </c>
      <c r="H17">
        <v>0</v>
      </c>
      <c r="J17">
        <v>0</v>
      </c>
      <c r="K17" s="14">
        <v>3.8789999999999998E-2</v>
      </c>
      <c r="L17">
        <v>0</v>
      </c>
      <c r="M17">
        <v>0</v>
      </c>
      <c r="N17">
        <v>0</v>
      </c>
      <c r="O17" s="20"/>
      <c r="P17" s="20"/>
      <c r="Q17" s="438">
        <v>0.1168007289979983</v>
      </c>
      <c r="R17" s="197">
        <v>0.17699999999999999</v>
      </c>
      <c r="S17" s="197">
        <v>1.77</v>
      </c>
      <c r="T17" s="197">
        <v>0.50078889239507718</v>
      </c>
      <c r="U17" s="197">
        <v>0.75268470790377973</v>
      </c>
      <c r="V17" s="20">
        <f t="shared" si="0"/>
        <v>2.9491284992522789E-3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1"/>
        <v>1.74557823779477E-3</v>
      </c>
      <c r="AA17" s="20">
        <f t="shared" si="1"/>
        <v>0</v>
      </c>
      <c r="AB17" s="20">
        <f t="shared" si="1"/>
        <v>0</v>
      </c>
      <c r="AC17" s="20">
        <f t="shared" si="1"/>
        <v>0</v>
      </c>
      <c r="AD17" s="20">
        <f t="shared" si="2"/>
        <v>1.74557823779477E-3</v>
      </c>
      <c r="AE17" s="20">
        <f t="shared" si="3"/>
        <v>4.6442416690408828E-2</v>
      </c>
      <c r="AF17" s="20">
        <f t="shared" si="3"/>
        <v>0</v>
      </c>
      <c r="AG17" s="20">
        <f t="shared" si="3"/>
        <v>0</v>
      </c>
      <c r="AH17" s="20">
        <f t="shared" si="3"/>
        <v>0</v>
      </c>
      <c r="AI17" s="20">
        <f t="shared" si="4"/>
        <v>3.7052708904184557E-2</v>
      </c>
      <c r="AJ17" s="20">
        <f t="shared" si="4"/>
        <v>0</v>
      </c>
      <c r="AK17" s="20">
        <f t="shared" si="4"/>
        <v>0</v>
      </c>
      <c r="AL17" s="20">
        <f t="shared" si="4"/>
        <v>0</v>
      </c>
      <c r="AM17" s="20">
        <f t="shared" si="5"/>
        <v>3.7052708904184557E-2</v>
      </c>
      <c r="AO17">
        <f t="shared" si="6"/>
        <v>1.835300959217421E-3</v>
      </c>
      <c r="AP17">
        <f t="shared" si="6"/>
        <v>0</v>
      </c>
      <c r="AQ17">
        <f t="shared" si="6"/>
        <v>0</v>
      </c>
      <c r="AR17">
        <f t="shared" si="6"/>
        <v>0</v>
      </c>
      <c r="AS17">
        <f t="shared" si="7"/>
        <v>1.835300959217421E-3</v>
      </c>
      <c r="AU17">
        <f t="shared" si="8"/>
        <v>3.8957218141859637E-2</v>
      </c>
      <c r="AV17">
        <f t="shared" si="8"/>
        <v>0</v>
      </c>
      <c r="AW17">
        <f t="shared" si="8"/>
        <v>0</v>
      </c>
      <c r="AX17">
        <f t="shared" si="8"/>
        <v>0</v>
      </c>
      <c r="AY17">
        <f>SUM(AU17:AX17)</f>
        <v>3.8957218141859637E-2</v>
      </c>
    </row>
    <row r="18" spans="1:53" ht="15" x14ac:dyDescent="0.25">
      <c r="A18" s="7"/>
      <c r="B18" s="8" t="s">
        <v>14</v>
      </c>
      <c r="C18" s="7"/>
      <c r="D18" s="357">
        <f t="shared" ref="D18:H18" si="10">SUM(D12:D17)</f>
        <v>0</v>
      </c>
      <c r="E18" s="363">
        <f>SUM(E12:E17)</f>
        <v>73.624670000000009</v>
      </c>
      <c r="F18" s="357">
        <f t="shared" si="10"/>
        <v>0</v>
      </c>
      <c r="G18" s="357">
        <f t="shared" si="10"/>
        <v>0</v>
      </c>
      <c r="H18" s="357">
        <f t="shared" si="10"/>
        <v>0</v>
      </c>
      <c r="J18">
        <v>0</v>
      </c>
      <c r="K18" s="14">
        <v>48.403303287812918</v>
      </c>
      <c r="L18">
        <v>0</v>
      </c>
      <c r="M18">
        <v>0</v>
      </c>
      <c r="N18">
        <v>0</v>
      </c>
      <c r="O18" s="20"/>
      <c r="P18" s="20"/>
      <c r="Q18" s="438">
        <v>7.7526446530202811E-2</v>
      </c>
      <c r="R18" s="197"/>
      <c r="S18" s="197"/>
      <c r="T18" s="197"/>
      <c r="U18" s="197"/>
      <c r="BA18" s="319">
        <f>(E18*10000*Q18*AU$10)</f>
        <v>60012.42996820651</v>
      </c>
    </row>
    <row r="19" spans="1:53" ht="15" x14ac:dyDescent="0.25">
      <c r="A19" s="5"/>
      <c r="B19" s="9" t="s">
        <v>15</v>
      </c>
      <c r="C19" s="5"/>
      <c r="E19" s="363">
        <f>SUM(E18)</f>
        <v>73.624670000000009</v>
      </c>
      <c r="H19" s="358">
        <f>SUM(D18:H18)</f>
        <v>73.624670000000009</v>
      </c>
      <c r="K19" s="14"/>
      <c r="N19">
        <v>0</v>
      </c>
      <c r="O19" s="20"/>
      <c r="P19" s="20"/>
      <c r="Q19" s="438"/>
      <c r="R19" s="197"/>
      <c r="S19" s="197"/>
      <c r="T19" s="197"/>
      <c r="U19" s="197"/>
    </row>
    <row r="20" spans="1:53" ht="15.75" x14ac:dyDescent="0.25">
      <c r="A20" s="1"/>
      <c r="B20" s="2"/>
      <c r="C20" s="1"/>
      <c r="E20" s="361"/>
      <c r="K20" s="14"/>
      <c r="O20" s="20"/>
      <c r="P20" s="20"/>
      <c r="Q20" s="439"/>
      <c r="R20" s="197"/>
      <c r="S20" s="197"/>
      <c r="T20" s="197"/>
      <c r="U20" s="197"/>
    </row>
    <row r="21" spans="1:53" ht="15" x14ac:dyDescent="0.25">
      <c r="A21" s="1">
        <v>2</v>
      </c>
      <c r="B21" s="2" t="s">
        <v>16</v>
      </c>
      <c r="C21" s="1" t="s">
        <v>8</v>
      </c>
      <c r="D21">
        <v>0</v>
      </c>
      <c r="E21" s="360">
        <v>16.384799999999998</v>
      </c>
      <c r="F21">
        <v>0</v>
      </c>
      <c r="G21">
        <v>0</v>
      </c>
      <c r="H21">
        <v>0</v>
      </c>
      <c r="J21">
        <v>0</v>
      </c>
      <c r="K21" s="14">
        <v>-39.910024524594213</v>
      </c>
      <c r="L21">
        <v>0</v>
      </c>
      <c r="M21">
        <v>0</v>
      </c>
      <c r="N21">
        <v>0</v>
      </c>
      <c r="O21" s="20"/>
      <c r="P21" s="20"/>
      <c r="Q21" s="438">
        <v>0.15106068938113121</v>
      </c>
      <c r="R21" s="197">
        <v>0.3</v>
      </c>
      <c r="S21" s="197">
        <v>2.29</v>
      </c>
      <c r="T21" s="197">
        <v>0.50078889239507718</v>
      </c>
      <c r="U21" s="197">
        <v>0.75268470790377973</v>
      </c>
      <c r="V21" s="20">
        <f t="shared" ref="V21:Y26" si="11">IF(K21&gt;0,((E21-K21)*$Q21*$R21*10)+(K21*$O$12*$Q21*$R21*10),(E21*$Q21*$R21*10))</f>
        <v>7.4252975501158751</v>
      </c>
      <c r="W21" s="20">
        <f t="shared" si="11"/>
        <v>0</v>
      </c>
      <c r="X21" s="20">
        <f t="shared" si="11"/>
        <v>0</v>
      </c>
      <c r="Y21" s="20">
        <f t="shared" si="11"/>
        <v>0</v>
      </c>
      <c r="Z21" s="20">
        <f t="shared" ref="Z21:AC26" si="12">V21*(EXP(1.01-0.34*LN(Z$8))*(1-$T21)+(1*$T21))</f>
        <v>4.3950061233070485</v>
      </c>
      <c r="AA21" s="20">
        <f t="shared" si="12"/>
        <v>0</v>
      </c>
      <c r="AB21" s="20">
        <f t="shared" si="12"/>
        <v>0</v>
      </c>
      <c r="AC21" s="20">
        <f t="shared" si="12"/>
        <v>0</v>
      </c>
      <c r="AD21" s="20">
        <f t="shared" ref="AD21:AD26" si="13">SUM(Z21:AC21)</f>
        <v>4.3950061233070485</v>
      </c>
      <c r="AE21" s="20">
        <f t="shared" ref="AE21:AH26" si="14">IF(K21&gt;0,((E21-K21)*$Q21*$S21*10)+(K21*$P$12*$Q21*$S21)*10,(E21*$Q21*$S21*10))</f>
        <v>56.67977129921784</v>
      </c>
      <c r="AF21" s="20">
        <f t="shared" si="14"/>
        <v>0</v>
      </c>
      <c r="AG21" s="20">
        <f t="shared" si="14"/>
        <v>0</v>
      </c>
      <c r="AH21" s="20">
        <f t="shared" si="14"/>
        <v>0</v>
      </c>
      <c r="AI21" s="20">
        <f t="shared" ref="AI21:AL26" si="15">AE21*(EXP(1.01-0.34*LN(AI$8))*(1-$U21)+(1*$U21))</f>
        <v>45.220279571269351</v>
      </c>
      <c r="AJ21" s="20">
        <f t="shared" si="15"/>
        <v>0</v>
      </c>
      <c r="AK21" s="20">
        <f t="shared" si="15"/>
        <v>0</v>
      </c>
      <c r="AL21" s="20">
        <f t="shared" si="15"/>
        <v>0</v>
      </c>
      <c r="AM21" s="20">
        <f t="shared" ref="AM21:AM26" si="16">SUM(AI21:AL21)</f>
        <v>45.220279571269351</v>
      </c>
      <c r="AO21">
        <f t="shared" ref="AO21:AR26" si="17">Z21*AO$10</f>
        <v>4.6209094380450306</v>
      </c>
      <c r="AP21">
        <f t="shared" si="17"/>
        <v>0</v>
      </c>
      <c r="AQ21">
        <f t="shared" si="17"/>
        <v>0</v>
      </c>
      <c r="AR21">
        <f t="shared" si="17"/>
        <v>0</v>
      </c>
      <c r="AS21">
        <f t="shared" ref="AS21:AS26" si="18">SUM(AO21:AR21)</f>
        <v>4.6209094380450306</v>
      </c>
      <c r="AU21">
        <f t="shared" ref="AU21:AX26" si="19">AI21*AU$10</f>
        <v>47.544601941232592</v>
      </c>
      <c r="AV21">
        <f t="shared" si="19"/>
        <v>0</v>
      </c>
      <c r="AW21">
        <f t="shared" si="19"/>
        <v>0</v>
      </c>
      <c r="AX21">
        <f t="shared" si="19"/>
        <v>0</v>
      </c>
      <c r="AY21">
        <f t="shared" ref="AY21:AY26" si="20">SUM(AU21:AX21)</f>
        <v>47.544601941232592</v>
      </c>
    </row>
    <row r="22" spans="1:53" ht="15" x14ac:dyDescent="0.25">
      <c r="A22" s="1"/>
      <c r="B22" s="2"/>
      <c r="C22" s="1" t="s">
        <v>9</v>
      </c>
      <c r="D22">
        <v>0</v>
      </c>
      <c r="E22" s="360">
        <v>2.0095999999999998</v>
      </c>
      <c r="F22">
        <v>0</v>
      </c>
      <c r="G22">
        <v>0</v>
      </c>
      <c r="H22">
        <v>0</v>
      </c>
      <c r="J22">
        <v>0</v>
      </c>
      <c r="K22" s="14">
        <v>-0.49104187160940027</v>
      </c>
      <c r="L22">
        <v>0</v>
      </c>
      <c r="M22">
        <v>0</v>
      </c>
      <c r="N22">
        <v>0</v>
      </c>
      <c r="O22" s="20"/>
      <c r="P22" s="20"/>
      <c r="Q22" s="438">
        <v>0.16712137876226241</v>
      </c>
      <c r="R22" s="197">
        <v>0.3</v>
      </c>
      <c r="S22" s="197">
        <v>2.29</v>
      </c>
      <c r="T22" s="197">
        <v>0.50078889239507718</v>
      </c>
      <c r="U22" s="197">
        <v>0.75268470790377973</v>
      </c>
      <c r="V22" s="20">
        <f t="shared" si="11"/>
        <v>1.0075413682819274</v>
      </c>
      <c r="W22" s="20">
        <f t="shared" si="11"/>
        <v>0</v>
      </c>
      <c r="X22" s="20">
        <f t="shared" si="11"/>
        <v>0</v>
      </c>
      <c r="Y22" s="20">
        <f t="shared" si="11"/>
        <v>0</v>
      </c>
      <c r="Z22" s="20">
        <f t="shared" si="12"/>
        <v>0.59636000486137153</v>
      </c>
      <c r="AA22" s="20">
        <f t="shared" si="12"/>
        <v>0</v>
      </c>
      <c r="AB22" s="20">
        <f t="shared" si="12"/>
        <v>0</v>
      </c>
      <c r="AC22" s="20">
        <f t="shared" si="12"/>
        <v>0</v>
      </c>
      <c r="AD22" s="20">
        <f t="shared" si="13"/>
        <v>0.59636000486137153</v>
      </c>
      <c r="AE22" s="20">
        <f t="shared" si="14"/>
        <v>7.6908991112187133</v>
      </c>
      <c r="AF22" s="20">
        <f t="shared" si="14"/>
        <v>0</v>
      </c>
      <c r="AG22" s="20">
        <f t="shared" si="14"/>
        <v>0</v>
      </c>
      <c r="AH22" s="20">
        <f t="shared" si="14"/>
        <v>0</v>
      </c>
      <c r="AI22" s="20">
        <f t="shared" si="15"/>
        <v>6.1359564442797341</v>
      </c>
      <c r="AJ22" s="20">
        <f t="shared" si="15"/>
        <v>0</v>
      </c>
      <c r="AK22" s="20">
        <f t="shared" si="15"/>
        <v>0</v>
      </c>
      <c r="AL22" s="20">
        <f t="shared" si="15"/>
        <v>0</v>
      </c>
      <c r="AM22" s="20">
        <f t="shared" si="16"/>
        <v>6.1359564442797341</v>
      </c>
      <c r="AO22">
        <f t="shared" si="17"/>
        <v>0.62701290911124596</v>
      </c>
      <c r="AP22">
        <f t="shared" si="17"/>
        <v>0</v>
      </c>
      <c r="AQ22">
        <f t="shared" si="17"/>
        <v>0</v>
      </c>
      <c r="AR22">
        <f t="shared" si="17"/>
        <v>0</v>
      </c>
      <c r="AS22">
        <f t="shared" si="18"/>
        <v>0.62701290911124596</v>
      </c>
      <c r="AU22">
        <f t="shared" si="19"/>
        <v>6.451344605515712</v>
      </c>
      <c r="AV22">
        <f t="shared" si="19"/>
        <v>0</v>
      </c>
      <c r="AW22">
        <f t="shared" si="19"/>
        <v>0</v>
      </c>
      <c r="AX22">
        <f t="shared" si="19"/>
        <v>0</v>
      </c>
      <c r="AY22">
        <f t="shared" si="20"/>
        <v>6.451344605515712</v>
      </c>
    </row>
    <row r="23" spans="1:53" ht="15" x14ac:dyDescent="0.25">
      <c r="A23" s="1"/>
      <c r="B23" s="2"/>
      <c r="C23" s="1" t="s">
        <v>10</v>
      </c>
      <c r="D23">
        <v>0</v>
      </c>
      <c r="E23" s="360">
        <v>0</v>
      </c>
      <c r="F23">
        <v>0</v>
      </c>
      <c r="G23">
        <v>0</v>
      </c>
      <c r="H23">
        <v>0</v>
      </c>
      <c r="J23">
        <v>0</v>
      </c>
      <c r="K23" s="14">
        <v>0</v>
      </c>
      <c r="L23">
        <v>0</v>
      </c>
      <c r="M23">
        <v>0</v>
      </c>
      <c r="N23">
        <v>0</v>
      </c>
      <c r="O23" s="20"/>
      <c r="P23" s="20"/>
      <c r="Q23" s="438"/>
      <c r="R23" s="197">
        <v>0.3</v>
      </c>
      <c r="S23" s="197">
        <v>2.29</v>
      </c>
      <c r="T23" s="197">
        <v>0.50078889239507718</v>
      </c>
      <c r="U23" s="197">
        <v>0.75268470790377973</v>
      </c>
      <c r="V23" s="20">
        <f t="shared" si="11"/>
        <v>0</v>
      </c>
      <c r="W23" s="20">
        <f t="shared" si="11"/>
        <v>0</v>
      </c>
      <c r="X23" s="20">
        <f t="shared" si="11"/>
        <v>0</v>
      </c>
      <c r="Y23" s="20">
        <f t="shared" si="11"/>
        <v>0</v>
      </c>
      <c r="Z23" s="20">
        <f t="shared" si="12"/>
        <v>0</v>
      </c>
      <c r="AA23" s="20">
        <f t="shared" si="12"/>
        <v>0</v>
      </c>
      <c r="AB23" s="20">
        <f t="shared" si="12"/>
        <v>0</v>
      </c>
      <c r="AC23" s="20">
        <f t="shared" si="12"/>
        <v>0</v>
      </c>
      <c r="AD23" s="20">
        <f t="shared" si="13"/>
        <v>0</v>
      </c>
      <c r="AE23" s="20">
        <f t="shared" si="14"/>
        <v>0</v>
      </c>
      <c r="AF23" s="20">
        <f t="shared" si="14"/>
        <v>0</v>
      </c>
      <c r="AG23" s="20">
        <f t="shared" si="14"/>
        <v>0</v>
      </c>
      <c r="AH23" s="20">
        <f t="shared" si="14"/>
        <v>0</v>
      </c>
      <c r="AI23" s="20">
        <f t="shared" si="15"/>
        <v>0</v>
      </c>
      <c r="AJ23" s="20">
        <f t="shared" si="15"/>
        <v>0</v>
      </c>
      <c r="AK23" s="20">
        <f t="shared" si="15"/>
        <v>0</v>
      </c>
      <c r="AL23" s="20">
        <f t="shared" si="15"/>
        <v>0</v>
      </c>
      <c r="AM23" s="20">
        <f t="shared" si="16"/>
        <v>0</v>
      </c>
      <c r="AO23">
        <f t="shared" si="17"/>
        <v>0</v>
      </c>
      <c r="AP23">
        <f t="shared" si="17"/>
        <v>0</v>
      </c>
      <c r="AQ23">
        <f t="shared" si="17"/>
        <v>0</v>
      </c>
      <c r="AR23">
        <f t="shared" si="17"/>
        <v>0</v>
      </c>
      <c r="AS23">
        <f t="shared" si="18"/>
        <v>0</v>
      </c>
      <c r="AU23">
        <f t="shared" si="19"/>
        <v>0</v>
      </c>
      <c r="AV23">
        <f t="shared" si="19"/>
        <v>0</v>
      </c>
      <c r="AW23">
        <f t="shared" si="19"/>
        <v>0</v>
      </c>
      <c r="AX23">
        <f t="shared" si="19"/>
        <v>0</v>
      </c>
      <c r="AY23">
        <f t="shared" si="20"/>
        <v>0</v>
      </c>
    </row>
    <row r="24" spans="1:53" ht="15" x14ac:dyDescent="0.25">
      <c r="A24" s="1"/>
      <c r="B24" s="2"/>
      <c r="C24" s="1" t="s">
        <v>11</v>
      </c>
      <c r="D24">
        <v>0</v>
      </c>
      <c r="E24" s="360">
        <v>0.63349999999999995</v>
      </c>
      <c r="F24">
        <v>0</v>
      </c>
      <c r="G24">
        <v>0</v>
      </c>
      <c r="H24">
        <v>0</v>
      </c>
      <c r="J24">
        <v>0</v>
      </c>
      <c r="K24" s="14">
        <v>-9.2556332118376989</v>
      </c>
      <c r="L24">
        <v>0</v>
      </c>
      <c r="M24">
        <v>0</v>
      </c>
      <c r="N24">
        <v>0</v>
      </c>
      <c r="O24" s="20"/>
      <c r="P24" s="20"/>
      <c r="Q24" s="438">
        <v>0.19924275752452478</v>
      </c>
      <c r="R24" s="197">
        <v>0.3</v>
      </c>
      <c r="S24" s="197">
        <v>2.29</v>
      </c>
      <c r="T24" s="197">
        <v>0.50078889239507718</v>
      </c>
      <c r="U24" s="197">
        <v>0.75268470790377973</v>
      </c>
      <c r="V24" s="20">
        <f t="shared" si="11"/>
        <v>0.37866086067535931</v>
      </c>
      <c r="W24" s="20">
        <f t="shared" si="11"/>
        <v>0</v>
      </c>
      <c r="X24" s="20">
        <f t="shared" si="11"/>
        <v>0</v>
      </c>
      <c r="Y24" s="20">
        <f t="shared" si="11"/>
        <v>0</v>
      </c>
      <c r="Z24" s="20">
        <f t="shared" si="12"/>
        <v>0.22412796121536577</v>
      </c>
      <c r="AA24" s="20">
        <f t="shared" si="12"/>
        <v>0</v>
      </c>
      <c r="AB24" s="20">
        <f t="shared" si="12"/>
        <v>0</v>
      </c>
      <c r="AC24" s="20">
        <f t="shared" si="12"/>
        <v>0</v>
      </c>
      <c r="AD24" s="20">
        <f t="shared" si="13"/>
        <v>0.22412796121536577</v>
      </c>
      <c r="AE24" s="20">
        <f t="shared" si="14"/>
        <v>2.8904445698219092</v>
      </c>
      <c r="AF24" s="20">
        <f t="shared" si="14"/>
        <v>0</v>
      </c>
      <c r="AG24" s="20">
        <f t="shared" si="14"/>
        <v>0</v>
      </c>
      <c r="AH24" s="20">
        <f t="shared" si="14"/>
        <v>0</v>
      </c>
      <c r="AI24" s="20">
        <f t="shared" si="15"/>
        <v>2.3060557326985514</v>
      </c>
      <c r="AJ24" s="20">
        <f t="shared" si="15"/>
        <v>0</v>
      </c>
      <c r="AK24" s="20">
        <f t="shared" si="15"/>
        <v>0</v>
      </c>
      <c r="AL24" s="20">
        <f t="shared" si="15"/>
        <v>0</v>
      </c>
      <c r="AM24" s="20">
        <f t="shared" si="16"/>
        <v>2.3060557326985514</v>
      </c>
      <c r="AO24">
        <f t="shared" si="17"/>
        <v>0.23564813842183555</v>
      </c>
      <c r="AP24">
        <f t="shared" si="17"/>
        <v>0</v>
      </c>
      <c r="AQ24">
        <f t="shared" si="17"/>
        <v>0</v>
      </c>
      <c r="AR24">
        <f t="shared" si="17"/>
        <v>0</v>
      </c>
      <c r="AS24">
        <f t="shared" si="18"/>
        <v>0.23564813842183555</v>
      </c>
      <c r="AU24">
        <f t="shared" si="19"/>
        <v>2.4245869973592566</v>
      </c>
      <c r="AV24">
        <f t="shared" si="19"/>
        <v>0</v>
      </c>
      <c r="AW24">
        <f t="shared" si="19"/>
        <v>0</v>
      </c>
      <c r="AX24">
        <f t="shared" si="19"/>
        <v>0</v>
      </c>
      <c r="AY24">
        <f t="shared" si="20"/>
        <v>2.4245869973592566</v>
      </c>
    </row>
    <row r="25" spans="1:53" ht="15" x14ac:dyDescent="0.25">
      <c r="A25" s="1"/>
      <c r="B25" s="2"/>
      <c r="C25" s="1" t="s">
        <v>12</v>
      </c>
      <c r="D25">
        <v>0</v>
      </c>
      <c r="E25" s="360">
        <v>0</v>
      </c>
      <c r="F25">
        <v>0</v>
      </c>
      <c r="G25">
        <v>0</v>
      </c>
      <c r="H25">
        <v>0</v>
      </c>
      <c r="J25">
        <v>0</v>
      </c>
      <c r="K25" s="14">
        <v>0</v>
      </c>
      <c r="L25">
        <v>0</v>
      </c>
      <c r="M25">
        <v>0</v>
      </c>
      <c r="N25">
        <v>0</v>
      </c>
      <c r="O25" s="20"/>
      <c r="P25" s="20"/>
      <c r="Q25" s="438"/>
      <c r="R25" s="197">
        <v>0.3</v>
      </c>
      <c r="S25" s="197">
        <v>2.29</v>
      </c>
      <c r="T25" s="197">
        <v>0.50078889239507718</v>
      </c>
      <c r="U25" s="197">
        <v>0.75268470790377973</v>
      </c>
      <c r="V25" s="20">
        <f t="shared" si="11"/>
        <v>0</v>
      </c>
      <c r="W25" s="20">
        <f t="shared" si="11"/>
        <v>0</v>
      </c>
      <c r="X25" s="20">
        <f t="shared" si="11"/>
        <v>0</v>
      </c>
      <c r="Y25" s="20">
        <f t="shared" si="11"/>
        <v>0</v>
      </c>
      <c r="Z25" s="20">
        <f t="shared" si="12"/>
        <v>0</v>
      </c>
      <c r="AA25" s="20">
        <f t="shared" si="12"/>
        <v>0</v>
      </c>
      <c r="AB25" s="20">
        <f t="shared" si="12"/>
        <v>0</v>
      </c>
      <c r="AC25" s="20">
        <f t="shared" si="12"/>
        <v>0</v>
      </c>
      <c r="AD25" s="20">
        <f t="shared" si="13"/>
        <v>0</v>
      </c>
      <c r="AE25" s="20">
        <f t="shared" si="14"/>
        <v>0</v>
      </c>
      <c r="AF25" s="20">
        <f t="shared" si="14"/>
        <v>0</v>
      </c>
      <c r="AG25" s="20">
        <f t="shared" si="14"/>
        <v>0</v>
      </c>
      <c r="AH25" s="20">
        <f t="shared" si="14"/>
        <v>0</v>
      </c>
      <c r="AI25" s="20">
        <f t="shared" si="15"/>
        <v>0</v>
      </c>
      <c r="AJ25" s="20">
        <f t="shared" si="15"/>
        <v>0</v>
      </c>
      <c r="AK25" s="20">
        <f t="shared" si="15"/>
        <v>0</v>
      </c>
      <c r="AL25" s="20">
        <f t="shared" si="15"/>
        <v>0</v>
      </c>
      <c r="AM25" s="20">
        <f t="shared" si="16"/>
        <v>0</v>
      </c>
      <c r="AO25">
        <f t="shared" si="17"/>
        <v>0</v>
      </c>
      <c r="AP25">
        <f t="shared" si="17"/>
        <v>0</v>
      </c>
      <c r="AQ25">
        <f t="shared" si="17"/>
        <v>0</v>
      </c>
      <c r="AR25">
        <f t="shared" si="17"/>
        <v>0</v>
      </c>
      <c r="AS25">
        <f t="shared" si="18"/>
        <v>0</v>
      </c>
      <c r="AU25">
        <f t="shared" si="19"/>
        <v>0</v>
      </c>
      <c r="AV25">
        <f t="shared" si="19"/>
        <v>0</v>
      </c>
      <c r="AW25">
        <f t="shared" si="19"/>
        <v>0</v>
      </c>
      <c r="AX25">
        <f t="shared" si="19"/>
        <v>0</v>
      </c>
      <c r="AY25">
        <f t="shared" si="20"/>
        <v>0</v>
      </c>
    </row>
    <row r="26" spans="1:53" ht="15" x14ac:dyDescent="0.25">
      <c r="A26" s="1"/>
      <c r="B26" s="2"/>
      <c r="C26" s="1" t="s">
        <v>13</v>
      </c>
      <c r="D26">
        <v>0</v>
      </c>
      <c r="E26" s="360">
        <v>3.5499999999999997E-2</v>
      </c>
      <c r="F26">
        <v>0</v>
      </c>
      <c r="G26">
        <v>0</v>
      </c>
      <c r="H26">
        <v>0</v>
      </c>
      <c r="J26">
        <v>0</v>
      </c>
      <c r="K26" s="14">
        <v>-1.4578033836145998</v>
      </c>
      <c r="L26">
        <v>0</v>
      </c>
      <c r="M26">
        <v>0</v>
      </c>
      <c r="N26">
        <v>0</v>
      </c>
      <c r="O26" s="20"/>
      <c r="P26" s="20"/>
      <c r="Q26" s="438">
        <v>0.19924275752452478</v>
      </c>
      <c r="R26" s="197">
        <v>0.3</v>
      </c>
      <c r="S26" s="197">
        <v>2.29</v>
      </c>
      <c r="T26" s="197">
        <v>0.50078889239507718</v>
      </c>
      <c r="U26" s="197">
        <v>0.75268470790377973</v>
      </c>
      <c r="V26" s="20">
        <f t="shared" si="11"/>
        <v>2.1219353676361886E-2</v>
      </c>
      <c r="W26" s="20">
        <f t="shared" si="11"/>
        <v>0</v>
      </c>
      <c r="X26" s="20">
        <f t="shared" si="11"/>
        <v>0</v>
      </c>
      <c r="Y26" s="20">
        <f t="shared" si="11"/>
        <v>0</v>
      </c>
      <c r="Z26" s="20">
        <f t="shared" si="12"/>
        <v>1.2559656863686637E-2</v>
      </c>
      <c r="AA26" s="20">
        <f t="shared" si="12"/>
        <v>0</v>
      </c>
      <c r="AB26" s="20">
        <f t="shared" si="12"/>
        <v>0</v>
      </c>
      <c r="AC26" s="20">
        <f t="shared" si="12"/>
        <v>0</v>
      </c>
      <c r="AD26" s="20">
        <f t="shared" si="13"/>
        <v>1.2559656863686637E-2</v>
      </c>
      <c r="AE26" s="20">
        <f t="shared" si="14"/>
        <v>0.1619743997295624</v>
      </c>
      <c r="AF26" s="20">
        <f t="shared" si="14"/>
        <v>0</v>
      </c>
      <c r="AG26" s="20">
        <f t="shared" si="14"/>
        <v>0</v>
      </c>
      <c r="AH26" s="20">
        <f t="shared" si="14"/>
        <v>0</v>
      </c>
      <c r="AI26" s="20">
        <f t="shared" si="15"/>
        <v>0.12922648541562523</v>
      </c>
      <c r="AJ26" s="20">
        <f t="shared" si="15"/>
        <v>0</v>
      </c>
      <c r="AK26" s="20">
        <f t="shared" si="15"/>
        <v>0</v>
      </c>
      <c r="AL26" s="20">
        <f t="shared" si="15"/>
        <v>0</v>
      </c>
      <c r="AM26" s="20">
        <f t="shared" si="16"/>
        <v>0.12922648541562523</v>
      </c>
      <c r="AO26">
        <f t="shared" si="17"/>
        <v>1.3205223226480128E-2</v>
      </c>
      <c r="AP26">
        <f t="shared" si="17"/>
        <v>0</v>
      </c>
      <c r="AQ26">
        <f t="shared" si="17"/>
        <v>0</v>
      </c>
      <c r="AR26">
        <f t="shared" si="17"/>
        <v>0</v>
      </c>
      <c r="AS26">
        <f t="shared" si="18"/>
        <v>1.3205223226480128E-2</v>
      </c>
      <c r="AU26">
        <f t="shared" si="19"/>
        <v>0.13586872676598835</v>
      </c>
      <c r="AV26">
        <f t="shared" si="19"/>
        <v>0</v>
      </c>
      <c r="AW26">
        <f t="shared" si="19"/>
        <v>0</v>
      </c>
      <c r="AX26">
        <f t="shared" si="19"/>
        <v>0</v>
      </c>
      <c r="AY26">
        <f t="shared" si="20"/>
        <v>0.13586872676598835</v>
      </c>
    </row>
    <row r="27" spans="1:53" ht="15" x14ac:dyDescent="0.25">
      <c r="A27" s="7"/>
      <c r="B27" s="8" t="s">
        <v>14</v>
      </c>
      <c r="C27" s="7"/>
      <c r="D27" s="357">
        <f t="shared" ref="D27:H27" si="21">SUM(D21:D26)</f>
        <v>0</v>
      </c>
      <c r="E27" s="363">
        <f>SUM(E21:E26)</f>
        <v>19.063399999999998</v>
      </c>
      <c r="F27" s="357">
        <f t="shared" si="21"/>
        <v>0</v>
      </c>
      <c r="G27" s="357">
        <f t="shared" si="21"/>
        <v>0</v>
      </c>
      <c r="H27" s="357">
        <f t="shared" si="21"/>
        <v>0</v>
      </c>
      <c r="J27">
        <v>0</v>
      </c>
      <c r="K27" s="14">
        <v>-51.114502991655911</v>
      </c>
      <c r="L27">
        <v>0</v>
      </c>
      <c r="M27">
        <v>0</v>
      </c>
      <c r="N27">
        <v>0</v>
      </c>
      <c r="O27" s="20"/>
      <c r="P27" s="20"/>
      <c r="Q27" s="438">
        <v>0.15444462744927495</v>
      </c>
      <c r="R27" s="197"/>
      <c r="S27" s="197"/>
      <c r="T27" s="197"/>
      <c r="U27" s="197"/>
      <c r="BA27" s="319">
        <f>(E27*10000*Q27*AU$10)</f>
        <v>30955.736320576161</v>
      </c>
    </row>
    <row r="28" spans="1:53" ht="15" x14ac:dyDescent="0.25">
      <c r="A28" s="5"/>
      <c r="B28" s="9" t="s">
        <v>15</v>
      </c>
      <c r="C28" s="5"/>
      <c r="E28" s="363">
        <f>SUM(E27)</f>
        <v>19.063399999999998</v>
      </c>
      <c r="H28" s="358">
        <f>SUM(D27:H27)</f>
        <v>19.063399999999998</v>
      </c>
      <c r="K28" s="14"/>
      <c r="N28">
        <v>0</v>
      </c>
      <c r="O28" s="20"/>
      <c r="P28" s="20"/>
      <c r="Q28" s="438"/>
      <c r="R28" s="197"/>
      <c r="S28" s="197"/>
      <c r="T28" s="197"/>
      <c r="U28" s="197"/>
    </row>
    <row r="29" spans="1:53" ht="15.75" x14ac:dyDescent="0.25">
      <c r="A29" s="1"/>
      <c r="B29" s="2"/>
      <c r="C29" s="1"/>
      <c r="E29" s="361"/>
      <c r="K29" s="14"/>
      <c r="O29" s="20"/>
      <c r="P29" s="20"/>
      <c r="Q29" s="439"/>
      <c r="R29" s="197"/>
      <c r="S29" s="197"/>
      <c r="T29" s="197"/>
      <c r="U29" s="197"/>
    </row>
    <row r="30" spans="1:53" ht="15" x14ac:dyDescent="0.25">
      <c r="A30" s="1">
        <v>3</v>
      </c>
      <c r="B30" s="2" t="s">
        <v>17</v>
      </c>
      <c r="C30" s="1" t="s">
        <v>8</v>
      </c>
      <c r="D30">
        <v>0</v>
      </c>
      <c r="E30" s="360">
        <v>23.123049999999999</v>
      </c>
      <c r="F30">
        <v>0</v>
      </c>
      <c r="G30">
        <v>0</v>
      </c>
      <c r="H30">
        <v>0</v>
      </c>
      <c r="J30">
        <v>0</v>
      </c>
      <c r="K30" s="14">
        <v>3.4634967865729998</v>
      </c>
      <c r="L30">
        <v>0</v>
      </c>
      <c r="M30">
        <v>0</v>
      </c>
      <c r="N30">
        <v>0</v>
      </c>
      <c r="O30" s="20"/>
      <c r="P30" s="20"/>
      <c r="Q30" s="438">
        <v>0.23917119651276286</v>
      </c>
      <c r="R30" s="197">
        <v>0.49</v>
      </c>
      <c r="S30" s="197">
        <v>2.42</v>
      </c>
      <c r="T30" s="197">
        <v>0.50078889239507718</v>
      </c>
      <c r="U30" s="197">
        <v>0.75268470790377973</v>
      </c>
      <c r="V30" s="20">
        <f t="shared" ref="V30:Y35" si="22">IF(K30&gt;0,((E30-K30)*$Q30*$R30*10)+(K30*$O$12*$Q30*$R30*10),(E30*$Q30*$R30*10))</f>
        <v>24.532502374931216</v>
      </c>
      <c r="W30" s="20">
        <f t="shared" si="22"/>
        <v>0</v>
      </c>
      <c r="X30" s="20">
        <f t="shared" si="22"/>
        <v>0</v>
      </c>
      <c r="Y30" s="20">
        <f t="shared" si="22"/>
        <v>0</v>
      </c>
      <c r="Z30" s="20">
        <f t="shared" ref="Z30:AC35" si="23">V30*(EXP(1.01-0.34*LN(Z$8))*(1-$T30)+(1*$T30))</f>
        <v>14.520697309454597</v>
      </c>
      <c r="AA30" s="20">
        <f t="shared" si="23"/>
        <v>0</v>
      </c>
      <c r="AB30" s="20">
        <f t="shared" si="23"/>
        <v>0</v>
      </c>
      <c r="AC30" s="20">
        <f t="shared" si="23"/>
        <v>0</v>
      </c>
      <c r="AD30" s="20">
        <f t="shared" ref="AD30:AD35" si="24">SUM(Z30:AC30)</f>
        <v>14.520697309454597</v>
      </c>
      <c r="AE30" s="20">
        <f t="shared" ref="AE30:AH35" si="25">IF(K30&gt;0,((E30-K30)*$Q30*$S30*10)+(K30*$P$12*$Q30*$S30)*10,(E30*$Q30*$S30*10))</f>
        <v>125.39791869067943</v>
      </c>
      <c r="AF30" s="20">
        <f t="shared" si="25"/>
        <v>0</v>
      </c>
      <c r="AG30" s="20">
        <f t="shared" si="25"/>
        <v>0</v>
      </c>
      <c r="AH30" s="20">
        <f t="shared" si="25"/>
        <v>0</v>
      </c>
      <c r="AI30" s="20">
        <f t="shared" ref="AI30:AL35" si="26">AE30*(EXP(1.01-0.34*LN(AI$8))*(1-$U30)+(1*$U30))</f>
        <v>100.04502154591576</v>
      </c>
      <c r="AJ30" s="20">
        <f t="shared" si="26"/>
        <v>0</v>
      </c>
      <c r="AK30" s="20">
        <f t="shared" si="26"/>
        <v>0</v>
      </c>
      <c r="AL30" s="20">
        <f t="shared" si="26"/>
        <v>0</v>
      </c>
      <c r="AM30" s="20">
        <f t="shared" ref="AM30:AM35" si="27">SUM(AI30:AL30)</f>
        <v>100.04502154591576</v>
      </c>
      <c r="AO30">
        <f t="shared" ref="AO30:AR35" si="28">Z30*AO$10</f>
        <v>15.267061151160561</v>
      </c>
      <c r="AP30">
        <f t="shared" si="28"/>
        <v>0</v>
      </c>
      <c r="AQ30">
        <f t="shared" si="28"/>
        <v>0</v>
      </c>
      <c r="AR30">
        <f t="shared" si="28"/>
        <v>0</v>
      </c>
      <c r="AS30">
        <f t="shared" ref="AS30:AS35" si="29">SUM(AO30:AR30)</f>
        <v>15.267061151160561</v>
      </c>
      <c r="AU30">
        <f t="shared" ref="AU30:AX35" si="30">AI30*AU$10</f>
        <v>105.18733565337581</v>
      </c>
      <c r="AV30">
        <f t="shared" si="30"/>
        <v>0</v>
      </c>
      <c r="AW30">
        <f t="shared" si="30"/>
        <v>0</v>
      </c>
      <c r="AX30">
        <f t="shared" si="30"/>
        <v>0</v>
      </c>
      <c r="AY30">
        <f t="shared" ref="AY30:AY35" si="31">SUM(AU30:AX30)</f>
        <v>105.18733565337581</v>
      </c>
    </row>
    <row r="31" spans="1:53" ht="15" x14ac:dyDescent="0.25">
      <c r="A31" s="1"/>
      <c r="B31" s="2"/>
      <c r="C31" s="1" t="s">
        <v>9</v>
      </c>
      <c r="D31">
        <v>0</v>
      </c>
      <c r="E31" s="360">
        <v>3.0118</v>
      </c>
      <c r="F31">
        <v>0</v>
      </c>
      <c r="G31">
        <v>0</v>
      </c>
      <c r="H31">
        <v>0</v>
      </c>
      <c r="J31">
        <v>0</v>
      </c>
      <c r="K31" s="14">
        <v>3.0118</v>
      </c>
      <c r="L31">
        <v>0</v>
      </c>
      <c r="M31">
        <v>0</v>
      </c>
      <c r="N31">
        <v>0</v>
      </c>
      <c r="O31" s="20"/>
      <c r="P31" s="20"/>
      <c r="Q31" s="438">
        <v>0.25334239302552564</v>
      </c>
      <c r="R31" s="197">
        <v>0.49</v>
      </c>
      <c r="S31" s="197">
        <v>2.42</v>
      </c>
      <c r="T31" s="197">
        <v>0.50078889239507718</v>
      </c>
      <c r="U31" s="197">
        <v>0.75268470790377973</v>
      </c>
      <c r="V31" s="20">
        <f t="shared" si="22"/>
        <v>1.3749445191461329</v>
      </c>
      <c r="W31" s="20">
        <f t="shared" si="22"/>
        <v>0</v>
      </c>
      <c r="X31" s="20">
        <f t="shared" si="22"/>
        <v>0</v>
      </c>
      <c r="Y31" s="20">
        <f t="shared" si="22"/>
        <v>0</v>
      </c>
      <c r="Z31" s="20">
        <f t="shared" si="23"/>
        <v>0.81382456932792113</v>
      </c>
      <c r="AA31" s="20">
        <f t="shared" si="23"/>
        <v>0</v>
      </c>
      <c r="AB31" s="20">
        <f t="shared" si="23"/>
        <v>0</v>
      </c>
      <c r="AC31" s="20">
        <f t="shared" si="23"/>
        <v>0</v>
      </c>
      <c r="AD31" s="20">
        <f t="shared" si="24"/>
        <v>0.81382456932792113</v>
      </c>
      <c r="AE31" s="20">
        <f t="shared" si="25"/>
        <v>10.693640375963691</v>
      </c>
      <c r="AF31" s="20">
        <f t="shared" si="25"/>
        <v>0</v>
      </c>
      <c r="AG31" s="20">
        <f t="shared" si="25"/>
        <v>0</v>
      </c>
      <c r="AH31" s="20">
        <f t="shared" si="25"/>
        <v>0</v>
      </c>
      <c r="AI31" s="20">
        <f t="shared" si="26"/>
        <v>8.5316047745302939</v>
      </c>
      <c r="AJ31" s="20">
        <f t="shared" si="26"/>
        <v>0</v>
      </c>
      <c r="AK31" s="20">
        <f t="shared" si="26"/>
        <v>0</v>
      </c>
      <c r="AL31" s="20">
        <f t="shared" si="26"/>
        <v>0</v>
      </c>
      <c r="AM31" s="20">
        <f t="shared" si="27"/>
        <v>8.5316047745302939</v>
      </c>
      <c r="AO31">
        <f t="shared" si="28"/>
        <v>0.85565515219137622</v>
      </c>
      <c r="AP31">
        <f t="shared" si="28"/>
        <v>0</v>
      </c>
      <c r="AQ31">
        <f t="shared" si="28"/>
        <v>0</v>
      </c>
      <c r="AR31">
        <f t="shared" si="28"/>
        <v>0</v>
      </c>
      <c r="AS31">
        <f t="shared" si="29"/>
        <v>0.85565515219137622</v>
      </c>
      <c r="AU31">
        <f t="shared" si="30"/>
        <v>8.9701292599411495</v>
      </c>
      <c r="AV31">
        <f t="shared" si="30"/>
        <v>0</v>
      </c>
      <c r="AW31">
        <f t="shared" si="30"/>
        <v>0</v>
      </c>
      <c r="AX31">
        <f t="shared" si="30"/>
        <v>0</v>
      </c>
      <c r="AY31">
        <f t="shared" si="31"/>
        <v>8.9701292599411495</v>
      </c>
    </row>
    <row r="32" spans="1:53" ht="15" x14ac:dyDescent="0.25">
      <c r="A32" s="1"/>
      <c r="B32" s="2"/>
      <c r="C32" s="1" t="s">
        <v>10</v>
      </c>
      <c r="D32">
        <v>0</v>
      </c>
      <c r="E32" s="360">
        <v>1.19706</v>
      </c>
      <c r="F32">
        <v>0</v>
      </c>
      <c r="G32">
        <v>0</v>
      </c>
      <c r="H32">
        <v>0</v>
      </c>
      <c r="J32">
        <v>0</v>
      </c>
      <c r="K32" s="14">
        <v>2.7851047800000472E-3</v>
      </c>
      <c r="L32">
        <v>0</v>
      </c>
      <c r="M32">
        <v>0</v>
      </c>
      <c r="N32">
        <v>0</v>
      </c>
      <c r="O32" s="20"/>
      <c r="P32" s="20"/>
      <c r="Q32" s="438">
        <v>0.26751358953828852</v>
      </c>
      <c r="R32" s="197">
        <v>0.49</v>
      </c>
      <c r="S32" s="197">
        <v>2.42</v>
      </c>
      <c r="T32" s="197">
        <v>0.50078889239507718</v>
      </c>
      <c r="U32" s="197">
        <v>0.75268470790377973</v>
      </c>
      <c r="V32" s="20">
        <f t="shared" si="22"/>
        <v>1.5668179191926983</v>
      </c>
      <c r="W32" s="20">
        <f t="shared" si="22"/>
        <v>0</v>
      </c>
      <c r="X32" s="20">
        <f t="shared" si="22"/>
        <v>0</v>
      </c>
      <c r="Y32" s="20">
        <f t="shared" si="22"/>
        <v>0</v>
      </c>
      <c r="Z32" s="20">
        <f t="shared" si="23"/>
        <v>0.92739372428942668</v>
      </c>
      <c r="AA32" s="20">
        <f t="shared" si="23"/>
        <v>0</v>
      </c>
      <c r="AB32" s="20">
        <f t="shared" si="23"/>
        <v>0</v>
      </c>
      <c r="AC32" s="20">
        <f t="shared" si="23"/>
        <v>0</v>
      </c>
      <c r="AD32" s="20">
        <f t="shared" si="24"/>
        <v>0.92739372428942668</v>
      </c>
      <c r="AE32" s="20">
        <f t="shared" si="25"/>
        <v>7.7419731780194576</v>
      </c>
      <c r="AF32" s="20">
        <f t="shared" si="25"/>
        <v>0</v>
      </c>
      <c r="AG32" s="20">
        <f t="shared" si="25"/>
        <v>0</v>
      </c>
      <c r="AH32" s="20">
        <f t="shared" si="25"/>
        <v>0</v>
      </c>
      <c r="AI32" s="20">
        <f t="shared" si="26"/>
        <v>6.176704378271543</v>
      </c>
      <c r="AJ32" s="20">
        <f t="shared" si="26"/>
        <v>0</v>
      </c>
      <c r="AK32" s="20">
        <f t="shared" si="26"/>
        <v>0</v>
      </c>
      <c r="AL32" s="20">
        <f t="shared" si="26"/>
        <v>0</v>
      </c>
      <c r="AM32" s="20">
        <f t="shared" si="27"/>
        <v>6.176704378271543</v>
      </c>
      <c r="AO32">
        <f t="shared" si="28"/>
        <v>0.97506176171790315</v>
      </c>
      <c r="AP32">
        <f t="shared" si="28"/>
        <v>0</v>
      </c>
      <c r="AQ32">
        <f t="shared" si="28"/>
        <v>0</v>
      </c>
      <c r="AR32">
        <f t="shared" si="28"/>
        <v>0</v>
      </c>
      <c r="AS32">
        <f t="shared" si="29"/>
        <v>0.97506176171790315</v>
      </c>
      <c r="AU32">
        <f t="shared" si="30"/>
        <v>6.4941869833146999</v>
      </c>
      <c r="AV32">
        <f t="shared" si="30"/>
        <v>0</v>
      </c>
      <c r="AW32">
        <f t="shared" si="30"/>
        <v>0</v>
      </c>
      <c r="AX32">
        <f t="shared" si="30"/>
        <v>0</v>
      </c>
      <c r="AY32">
        <f t="shared" si="31"/>
        <v>6.4941869833146999</v>
      </c>
    </row>
    <row r="33" spans="1:53" ht="15" x14ac:dyDescent="0.25">
      <c r="A33" s="1"/>
      <c r="B33" s="2"/>
      <c r="C33" s="1" t="s">
        <v>11</v>
      </c>
      <c r="D33">
        <v>0</v>
      </c>
      <c r="E33" s="360">
        <v>6.4028799999999997</v>
      </c>
      <c r="F33">
        <v>0</v>
      </c>
      <c r="G33">
        <v>0</v>
      </c>
      <c r="H33">
        <v>0</v>
      </c>
      <c r="J33">
        <v>0</v>
      </c>
      <c r="K33" s="14">
        <v>6.2604168422762765</v>
      </c>
      <c r="L33">
        <v>0</v>
      </c>
      <c r="M33">
        <v>0</v>
      </c>
      <c r="N33">
        <v>0</v>
      </c>
      <c r="O33" s="20"/>
      <c r="P33" s="20"/>
      <c r="Q33" s="438">
        <v>0.28168478605105129</v>
      </c>
      <c r="R33" s="197">
        <v>0.49</v>
      </c>
      <c r="S33" s="197">
        <v>2.42</v>
      </c>
      <c r="T33" s="197">
        <v>0.50078889239507718</v>
      </c>
      <c r="U33" s="197">
        <v>0.75268470790377973</v>
      </c>
      <c r="V33" s="20">
        <f t="shared" si="22"/>
        <v>3.3743715862376487</v>
      </c>
      <c r="W33" s="20">
        <f t="shared" si="22"/>
        <v>0</v>
      </c>
      <c r="X33" s="20">
        <f t="shared" si="22"/>
        <v>0</v>
      </c>
      <c r="Y33" s="20">
        <f t="shared" si="22"/>
        <v>0</v>
      </c>
      <c r="Z33" s="20">
        <f t="shared" si="23"/>
        <v>1.9972780462644693</v>
      </c>
      <c r="AA33" s="20">
        <f t="shared" si="23"/>
        <v>0</v>
      </c>
      <c r="AB33" s="20">
        <f t="shared" si="23"/>
        <v>0</v>
      </c>
      <c r="AC33" s="20">
        <f t="shared" si="23"/>
        <v>0</v>
      </c>
      <c r="AD33" s="20">
        <f t="shared" si="24"/>
        <v>1.9972780462644693</v>
      </c>
      <c r="AE33" s="20">
        <f t="shared" si="25"/>
        <v>25.686002535202707</v>
      </c>
      <c r="AF33" s="20">
        <f t="shared" si="25"/>
        <v>0</v>
      </c>
      <c r="AG33" s="20">
        <f t="shared" si="25"/>
        <v>0</v>
      </c>
      <c r="AH33" s="20">
        <f t="shared" si="25"/>
        <v>0</v>
      </c>
      <c r="AI33" s="20">
        <f t="shared" si="26"/>
        <v>20.492817615272003</v>
      </c>
      <c r="AJ33" s="20">
        <f t="shared" si="26"/>
        <v>0</v>
      </c>
      <c r="AK33" s="20">
        <f t="shared" si="26"/>
        <v>0</v>
      </c>
      <c r="AL33" s="20">
        <f t="shared" si="26"/>
        <v>0</v>
      </c>
      <c r="AM33" s="20">
        <f t="shared" si="27"/>
        <v>20.492817615272003</v>
      </c>
      <c r="AO33">
        <f t="shared" si="28"/>
        <v>2.0999381378424626</v>
      </c>
      <c r="AP33">
        <f t="shared" si="28"/>
        <v>0</v>
      </c>
      <c r="AQ33">
        <f t="shared" si="28"/>
        <v>0</v>
      </c>
      <c r="AR33">
        <f t="shared" si="28"/>
        <v>0</v>
      </c>
      <c r="AS33">
        <f t="shared" si="29"/>
        <v>2.0999381378424626</v>
      </c>
      <c r="AU33">
        <f t="shared" si="30"/>
        <v>21.546148440696982</v>
      </c>
      <c r="AV33">
        <f t="shared" si="30"/>
        <v>0</v>
      </c>
      <c r="AW33">
        <f t="shared" si="30"/>
        <v>0</v>
      </c>
      <c r="AX33">
        <f t="shared" si="30"/>
        <v>0</v>
      </c>
      <c r="AY33">
        <f t="shared" si="31"/>
        <v>21.546148440696982</v>
      </c>
    </row>
    <row r="34" spans="1:53" ht="15" x14ac:dyDescent="0.25">
      <c r="A34" s="1"/>
      <c r="B34" s="2"/>
      <c r="C34" s="1" t="s">
        <v>12</v>
      </c>
      <c r="D34">
        <v>0</v>
      </c>
      <c r="E34" s="360">
        <v>0</v>
      </c>
      <c r="F34">
        <v>0</v>
      </c>
      <c r="G34">
        <v>0</v>
      </c>
      <c r="H34">
        <v>0</v>
      </c>
      <c r="J34">
        <v>0</v>
      </c>
      <c r="K34" s="14">
        <v>0</v>
      </c>
      <c r="L34">
        <v>0</v>
      </c>
      <c r="M34">
        <v>0</v>
      </c>
      <c r="N34">
        <v>0</v>
      </c>
      <c r="O34" s="20"/>
      <c r="P34" s="20"/>
      <c r="Q34" s="438"/>
      <c r="R34" s="197">
        <v>0.49</v>
      </c>
      <c r="S34" s="197">
        <v>2.42</v>
      </c>
      <c r="T34" s="197">
        <v>0.50078889239507718</v>
      </c>
      <c r="U34" s="197">
        <v>0.75268470790377973</v>
      </c>
      <c r="V34" s="20">
        <f t="shared" si="22"/>
        <v>0</v>
      </c>
      <c r="W34" s="20">
        <f t="shared" si="22"/>
        <v>0</v>
      </c>
      <c r="X34" s="20">
        <f t="shared" si="22"/>
        <v>0</v>
      </c>
      <c r="Y34" s="20">
        <f t="shared" si="22"/>
        <v>0</v>
      </c>
      <c r="Z34" s="20">
        <f t="shared" si="23"/>
        <v>0</v>
      </c>
      <c r="AA34" s="20">
        <f t="shared" si="23"/>
        <v>0</v>
      </c>
      <c r="AB34" s="20">
        <f t="shared" si="23"/>
        <v>0</v>
      </c>
      <c r="AC34" s="20">
        <f t="shared" si="23"/>
        <v>0</v>
      </c>
      <c r="AD34" s="20">
        <f t="shared" si="24"/>
        <v>0</v>
      </c>
      <c r="AE34" s="20">
        <f t="shared" si="25"/>
        <v>0</v>
      </c>
      <c r="AF34" s="20">
        <f t="shared" si="25"/>
        <v>0</v>
      </c>
      <c r="AG34" s="20">
        <f t="shared" si="25"/>
        <v>0</v>
      </c>
      <c r="AH34" s="20">
        <f t="shared" si="25"/>
        <v>0</v>
      </c>
      <c r="AI34" s="20">
        <f t="shared" si="26"/>
        <v>0</v>
      </c>
      <c r="AJ34" s="20">
        <f t="shared" si="26"/>
        <v>0</v>
      </c>
      <c r="AK34" s="20">
        <f t="shared" si="26"/>
        <v>0</v>
      </c>
      <c r="AL34" s="20">
        <f t="shared" si="26"/>
        <v>0</v>
      </c>
      <c r="AM34" s="20">
        <f t="shared" si="27"/>
        <v>0</v>
      </c>
      <c r="AO34">
        <f t="shared" si="28"/>
        <v>0</v>
      </c>
      <c r="AP34">
        <f t="shared" si="28"/>
        <v>0</v>
      </c>
      <c r="AQ34">
        <f t="shared" si="28"/>
        <v>0</v>
      </c>
      <c r="AR34">
        <f t="shared" si="28"/>
        <v>0</v>
      </c>
      <c r="AS34">
        <f t="shared" si="29"/>
        <v>0</v>
      </c>
      <c r="AU34">
        <f t="shared" si="30"/>
        <v>0</v>
      </c>
      <c r="AV34">
        <f t="shared" si="30"/>
        <v>0</v>
      </c>
      <c r="AW34">
        <f t="shared" si="30"/>
        <v>0</v>
      </c>
      <c r="AX34">
        <f t="shared" si="30"/>
        <v>0</v>
      </c>
      <c r="AY34">
        <f t="shared" si="31"/>
        <v>0</v>
      </c>
    </row>
    <row r="35" spans="1:53" ht="15" x14ac:dyDescent="0.25">
      <c r="A35" s="1"/>
      <c r="B35" s="2"/>
      <c r="C35" s="1" t="s">
        <v>13</v>
      </c>
      <c r="D35">
        <v>0</v>
      </c>
      <c r="E35" s="360">
        <v>4.8399999999999999E-2</v>
      </c>
      <c r="F35">
        <v>0</v>
      </c>
      <c r="G35">
        <v>0</v>
      </c>
      <c r="H35">
        <v>0</v>
      </c>
      <c r="J35">
        <v>0</v>
      </c>
      <c r="K35" s="14">
        <v>-0.1467011429</v>
      </c>
      <c r="L35">
        <v>0</v>
      </c>
      <c r="M35">
        <v>0</v>
      </c>
      <c r="N35">
        <v>0</v>
      </c>
      <c r="O35" s="20"/>
      <c r="P35" s="20"/>
      <c r="Q35" s="438">
        <v>0.28168478605105135</v>
      </c>
      <c r="R35" s="197">
        <v>0.49</v>
      </c>
      <c r="S35" s="197">
        <v>2.42</v>
      </c>
      <c r="T35" s="197">
        <v>0.50078889239507718</v>
      </c>
      <c r="U35" s="197">
        <v>0.75268470790377973</v>
      </c>
      <c r="V35" s="20">
        <f t="shared" si="22"/>
        <v>6.6804363859867336E-2</v>
      </c>
      <c r="W35" s="20">
        <f t="shared" si="22"/>
        <v>0</v>
      </c>
      <c r="X35" s="20">
        <f t="shared" si="22"/>
        <v>0</v>
      </c>
      <c r="Y35" s="20">
        <f t="shared" si="22"/>
        <v>0</v>
      </c>
      <c r="Z35" s="20">
        <f t="shared" si="23"/>
        <v>3.9541255585531003E-2</v>
      </c>
      <c r="AA35" s="20">
        <f t="shared" si="23"/>
        <v>0</v>
      </c>
      <c r="AB35" s="20">
        <f t="shared" si="23"/>
        <v>0</v>
      </c>
      <c r="AC35" s="20">
        <f t="shared" si="23"/>
        <v>0</v>
      </c>
      <c r="AD35" s="20">
        <f t="shared" si="24"/>
        <v>3.9541255585531003E-2</v>
      </c>
      <c r="AE35" s="20">
        <f t="shared" si="25"/>
        <v>0.32993175620587539</v>
      </c>
      <c r="AF35" s="20">
        <f t="shared" si="25"/>
        <v>0</v>
      </c>
      <c r="AG35" s="20">
        <f t="shared" si="25"/>
        <v>0</v>
      </c>
      <c r="AH35" s="20">
        <f t="shared" si="25"/>
        <v>0</v>
      </c>
      <c r="AI35" s="20">
        <f t="shared" si="26"/>
        <v>0.2632262959620561</v>
      </c>
      <c r="AJ35" s="20">
        <f t="shared" si="26"/>
        <v>0</v>
      </c>
      <c r="AK35" s="20">
        <f t="shared" si="26"/>
        <v>0</v>
      </c>
      <c r="AL35" s="20">
        <f t="shared" si="26"/>
        <v>0</v>
      </c>
      <c r="AM35" s="20">
        <f t="shared" si="27"/>
        <v>0.2632262959620561</v>
      </c>
      <c r="AO35">
        <f t="shared" si="28"/>
        <v>4.1573676122627294E-2</v>
      </c>
      <c r="AP35">
        <f t="shared" si="28"/>
        <v>0</v>
      </c>
      <c r="AQ35">
        <f t="shared" si="28"/>
        <v>0</v>
      </c>
      <c r="AR35">
        <f t="shared" si="28"/>
        <v>0</v>
      </c>
      <c r="AS35">
        <f t="shared" si="29"/>
        <v>4.1573676122627294E-2</v>
      </c>
      <c r="AU35">
        <f t="shared" si="30"/>
        <v>0.27675612757450574</v>
      </c>
      <c r="AV35">
        <f t="shared" si="30"/>
        <v>0</v>
      </c>
      <c r="AW35">
        <f t="shared" si="30"/>
        <v>0</v>
      </c>
      <c r="AX35">
        <f t="shared" si="30"/>
        <v>0</v>
      </c>
      <c r="AY35">
        <f t="shared" si="31"/>
        <v>0.27675612757450574</v>
      </c>
    </row>
    <row r="36" spans="1:53" ht="15" x14ac:dyDescent="0.25">
      <c r="A36" s="7"/>
      <c r="B36" s="8" t="s">
        <v>14</v>
      </c>
      <c r="C36" s="7"/>
      <c r="D36" s="357">
        <f t="shared" ref="D36:H36" si="32">SUM(D30:D35)</f>
        <v>0</v>
      </c>
      <c r="E36" s="363">
        <f>SUM(E30:E35)</f>
        <v>33.783190000000005</v>
      </c>
      <c r="F36" s="357">
        <f t="shared" si="32"/>
        <v>0</v>
      </c>
      <c r="G36" s="357">
        <f t="shared" si="32"/>
        <v>0</v>
      </c>
      <c r="H36" s="357">
        <f t="shared" si="32"/>
        <v>0</v>
      </c>
      <c r="J36">
        <v>0</v>
      </c>
      <c r="K36" s="14">
        <v>12.591797590729282</v>
      </c>
      <c r="L36">
        <v>0</v>
      </c>
      <c r="M36">
        <v>0</v>
      </c>
      <c r="N36">
        <v>0</v>
      </c>
      <c r="O36" s="20"/>
      <c r="P36" s="20"/>
      <c r="Q36" s="438">
        <v>0.24955729162600829</v>
      </c>
      <c r="R36" s="197"/>
      <c r="S36" s="197"/>
      <c r="T36" s="197"/>
      <c r="U36" s="197"/>
      <c r="BA36" s="319">
        <f>(E36*10000*Q36*AU$10)</f>
        <v>88641.86646789631</v>
      </c>
    </row>
    <row r="37" spans="1:53" ht="15" x14ac:dyDescent="0.25">
      <c r="A37" s="5"/>
      <c r="B37" s="9" t="s">
        <v>15</v>
      </c>
      <c r="C37" s="5"/>
      <c r="E37" s="363">
        <f>SUM(E36)</f>
        <v>33.783190000000005</v>
      </c>
      <c r="H37" s="358">
        <f>SUM(D36:H36)</f>
        <v>33.783190000000005</v>
      </c>
      <c r="K37" s="14"/>
      <c r="N37">
        <v>0</v>
      </c>
      <c r="O37" s="20"/>
      <c r="P37" s="20"/>
      <c r="Q37" s="438"/>
      <c r="R37" s="197"/>
      <c r="S37" s="197"/>
      <c r="T37" s="197"/>
      <c r="U37" s="197"/>
    </row>
    <row r="38" spans="1:53" ht="15.75" x14ac:dyDescent="0.25">
      <c r="A38" s="1"/>
      <c r="B38" s="2"/>
      <c r="C38" s="1"/>
      <c r="E38" s="362"/>
      <c r="K38" s="14"/>
      <c r="O38" s="20"/>
      <c r="P38" s="20"/>
      <c r="Q38" s="439"/>
      <c r="R38" s="197"/>
      <c r="S38" s="197"/>
      <c r="T38" s="197"/>
      <c r="U38" s="197"/>
    </row>
    <row r="39" spans="1:53" ht="15" x14ac:dyDescent="0.25">
      <c r="A39" s="1">
        <v>4</v>
      </c>
      <c r="B39" s="2" t="s">
        <v>18</v>
      </c>
      <c r="C39" s="1" t="s">
        <v>8</v>
      </c>
      <c r="D39">
        <v>0</v>
      </c>
      <c r="E39" s="360">
        <v>45.117100000000001</v>
      </c>
      <c r="F39">
        <v>0</v>
      </c>
      <c r="G39">
        <v>0</v>
      </c>
      <c r="H39">
        <v>0</v>
      </c>
      <c r="J39">
        <v>0</v>
      </c>
      <c r="K39" s="14">
        <v>42.497645392392101</v>
      </c>
      <c r="L39">
        <v>0</v>
      </c>
      <c r="M39">
        <v>0</v>
      </c>
      <c r="N39">
        <v>0</v>
      </c>
      <c r="O39" s="20"/>
      <c r="P39" s="20"/>
      <c r="Q39" s="438">
        <v>0.37133695721021032</v>
      </c>
      <c r="R39" s="197">
        <v>0.19500000000000001</v>
      </c>
      <c r="S39" s="197">
        <v>1.22</v>
      </c>
      <c r="T39" s="197">
        <v>0.4144562334217507</v>
      </c>
      <c r="U39" s="197">
        <v>0.6566321730950142</v>
      </c>
      <c r="V39" s="20">
        <f t="shared" ref="V39:Y44" si="33">IF(K39&gt;0,((E39-K39)*$Q39*$R39*10)+(K39*$O$12*$Q39*$R39*10),(E39*$Q39*$R39*10))</f>
        <v>13.213542402612308</v>
      </c>
      <c r="W39" s="20">
        <f t="shared" si="33"/>
        <v>0</v>
      </c>
      <c r="X39" s="20">
        <f t="shared" si="33"/>
        <v>0</v>
      </c>
      <c r="Y39" s="20">
        <f t="shared" si="33"/>
        <v>0</v>
      </c>
      <c r="Z39" s="20">
        <f t="shared" ref="Z39:AC44" si="34">V39*(EXP(1.01-0.34*LN(Z$8))*(1-$T39)+(1*$T39))</f>
        <v>6.8884784600854694</v>
      </c>
      <c r="AA39" s="20">
        <f t="shared" si="34"/>
        <v>0</v>
      </c>
      <c r="AB39" s="20">
        <f t="shared" si="34"/>
        <v>0</v>
      </c>
      <c r="AC39" s="20">
        <f t="shared" si="34"/>
        <v>0</v>
      </c>
      <c r="AD39" s="20">
        <f t="shared" ref="AD39:AD44" si="35">SUM(Z39:AC39)</f>
        <v>6.8884784600854694</v>
      </c>
      <c r="AE39" s="20">
        <f t="shared" ref="AE39:AH44" si="36">IF(K39&gt;0,((E39-K39)*$Q39*$S39*10)+(K39*$P$12*$Q39*$S39)*10,(E39*$Q39*$S39*10))</f>
        <v>123.36545911287659</v>
      </c>
      <c r="AF39" s="20">
        <f t="shared" si="36"/>
        <v>0</v>
      </c>
      <c r="AG39" s="20">
        <f t="shared" si="36"/>
        <v>0</v>
      </c>
      <c r="AH39" s="20">
        <f t="shared" si="36"/>
        <v>0</v>
      </c>
      <c r="AI39" s="20">
        <f t="shared" ref="AI39:AL44" si="37">AE39*(EXP(1.01-0.34*LN(AI$8))*(1-$U39)+(1*$U39))</f>
        <v>88.736497030447737</v>
      </c>
      <c r="AJ39" s="20">
        <f t="shared" si="37"/>
        <v>0</v>
      </c>
      <c r="AK39" s="20">
        <f t="shared" si="37"/>
        <v>0</v>
      </c>
      <c r="AL39" s="20">
        <f t="shared" si="37"/>
        <v>0</v>
      </c>
      <c r="AM39" s="20">
        <f t="shared" ref="AM39:AM44" si="38">SUM(AI39:AL39)</f>
        <v>88.736497030447737</v>
      </c>
      <c r="AO39">
        <f t="shared" ref="AO39:AR44" si="39">Z39*AO$10</f>
        <v>7.2425462529338613</v>
      </c>
      <c r="AP39">
        <f t="shared" si="39"/>
        <v>0</v>
      </c>
      <c r="AQ39">
        <f t="shared" si="39"/>
        <v>0</v>
      </c>
      <c r="AR39">
        <f t="shared" si="39"/>
        <v>0</v>
      </c>
      <c r="AS39">
        <f t="shared" ref="AS39:AS44" si="40">SUM(AO39:AR39)</f>
        <v>7.2425462529338613</v>
      </c>
      <c r="AU39">
        <f t="shared" ref="AU39:AX44" si="41">AI39*AU$10</f>
        <v>93.297552977812742</v>
      </c>
      <c r="AV39">
        <f t="shared" si="41"/>
        <v>0</v>
      </c>
      <c r="AW39">
        <f t="shared" si="41"/>
        <v>0</v>
      </c>
      <c r="AX39">
        <f t="shared" si="41"/>
        <v>0</v>
      </c>
      <c r="AY39">
        <f t="shared" ref="AY39:AY44" si="42">SUM(AU39:AX39)</f>
        <v>93.297552977812742</v>
      </c>
    </row>
    <row r="40" spans="1:53" ht="15" x14ac:dyDescent="0.25">
      <c r="A40" s="1"/>
      <c r="B40" s="2"/>
      <c r="C40" s="1" t="s">
        <v>9</v>
      </c>
      <c r="D40">
        <v>0</v>
      </c>
      <c r="E40" s="360">
        <v>26.16705</v>
      </c>
      <c r="F40">
        <v>0</v>
      </c>
      <c r="G40">
        <v>0</v>
      </c>
      <c r="H40">
        <v>0</v>
      </c>
      <c r="J40">
        <v>0</v>
      </c>
      <c r="K40" s="14">
        <v>26.16705</v>
      </c>
      <c r="L40">
        <v>0</v>
      </c>
      <c r="M40">
        <v>0</v>
      </c>
      <c r="N40">
        <v>0</v>
      </c>
      <c r="O40" s="20"/>
      <c r="P40" s="20"/>
      <c r="Q40" s="438">
        <v>0.38267391442042048</v>
      </c>
      <c r="R40" s="197">
        <v>0.19500000000000001</v>
      </c>
      <c r="S40" s="197">
        <v>1.22</v>
      </c>
      <c r="T40" s="197">
        <v>0.4144562334217507</v>
      </c>
      <c r="U40" s="197">
        <v>0.6566321730950142</v>
      </c>
      <c r="V40" s="20">
        <f t="shared" si="33"/>
        <v>7.1808082712006227</v>
      </c>
      <c r="W40" s="20">
        <f t="shared" si="33"/>
        <v>0</v>
      </c>
      <c r="X40" s="20">
        <f t="shared" si="33"/>
        <v>0</v>
      </c>
      <c r="Y40" s="20">
        <f t="shared" si="33"/>
        <v>0</v>
      </c>
      <c r="Z40" s="20">
        <f t="shared" si="34"/>
        <v>3.7434959978930329</v>
      </c>
      <c r="AA40" s="20">
        <f t="shared" si="34"/>
        <v>0</v>
      </c>
      <c r="AB40" s="20">
        <f t="shared" si="34"/>
        <v>0</v>
      </c>
      <c r="AC40" s="20">
        <f t="shared" si="34"/>
        <v>0</v>
      </c>
      <c r="AD40" s="20">
        <f t="shared" si="35"/>
        <v>3.7434959978930329</v>
      </c>
      <c r="AE40" s="20">
        <f t="shared" si="36"/>
        <v>70.748895650462856</v>
      </c>
      <c r="AF40" s="20">
        <f t="shared" si="36"/>
        <v>0</v>
      </c>
      <c r="AG40" s="20">
        <f t="shared" si="36"/>
        <v>0</v>
      </c>
      <c r="AH40" s="20">
        <f t="shared" si="36"/>
        <v>0</v>
      </c>
      <c r="AI40" s="20">
        <f t="shared" si="37"/>
        <v>50.889521377701989</v>
      </c>
      <c r="AJ40" s="20">
        <f t="shared" si="37"/>
        <v>0</v>
      </c>
      <c r="AK40" s="20">
        <f t="shared" si="37"/>
        <v>0</v>
      </c>
      <c r="AL40" s="20">
        <f t="shared" si="37"/>
        <v>0</v>
      </c>
      <c r="AM40" s="20">
        <f t="shared" si="38"/>
        <v>50.889521377701989</v>
      </c>
      <c r="AO40">
        <f t="shared" si="39"/>
        <v>3.9359116921847344</v>
      </c>
      <c r="AP40">
        <f t="shared" si="39"/>
        <v>0</v>
      </c>
      <c r="AQ40">
        <f t="shared" si="39"/>
        <v>0</v>
      </c>
      <c r="AR40">
        <f t="shared" si="39"/>
        <v>0</v>
      </c>
      <c r="AS40">
        <f t="shared" si="40"/>
        <v>3.9359116921847344</v>
      </c>
      <c r="AU40">
        <f t="shared" si="41"/>
        <v>53.505242776515864</v>
      </c>
      <c r="AV40">
        <f t="shared" si="41"/>
        <v>0</v>
      </c>
      <c r="AW40">
        <f t="shared" si="41"/>
        <v>0</v>
      </c>
      <c r="AX40">
        <f t="shared" si="41"/>
        <v>0</v>
      </c>
      <c r="AY40">
        <f t="shared" si="42"/>
        <v>53.505242776515864</v>
      </c>
    </row>
    <row r="41" spans="1:53" ht="15" x14ac:dyDescent="0.25">
      <c r="A41" s="1"/>
      <c r="B41" s="2"/>
      <c r="C41" s="1" t="s">
        <v>10</v>
      </c>
      <c r="D41">
        <v>0</v>
      </c>
      <c r="E41" s="360">
        <v>0</v>
      </c>
      <c r="F41">
        <v>0</v>
      </c>
      <c r="G41">
        <v>0</v>
      </c>
      <c r="H41">
        <v>0</v>
      </c>
      <c r="J41">
        <v>0</v>
      </c>
      <c r="K41" s="14">
        <v>0</v>
      </c>
      <c r="L41">
        <v>0</v>
      </c>
      <c r="M41">
        <v>0</v>
      </c>
      <c r="N41">
        <v>0</v>
      </c>
      <c r="O41" s="20"/>
      <c r="P41" s="20"/>
      <c r="Q41" s="438"/>
      <c r="R41" s="197">
        <v>0.19500000000000001</v>
      </c>
      <c r="S41" s="197">
        <v>1.22</v>
      </c>
      <c r="T41" s="197">
        <v>0.4144562334217507</v>
      </c>
      <c r="U41" s="197">
        <v>0.6566321730950142</v>
      </c>
      <c r="V41" s="20">
        <f t="shared" si="33"/>
        <v>0</v>
      </c>
      <c r="W41" s="20">
        <f t="shared" si="33"/>
        <v>0</v>
      </c>
      <c r="X41" s="20">
        <f t="shared" si="33"/>
        <v>0</v>
      </c>
      <c r="Y41" s="20">
        <f t="shared" si="33"/>
        <v>0</v>
      </c>
      <c r="Z41" s="20">
        <f t="shared" si="34"/>
        <v>0</v>
      </c>
      <c r="AA41" s="20">
        <f t="shared" si="34"/>
        <v>0</v>
      </c>
      <c r="AB41" s="20">
        <f t="shared" si="34"/>
        <v>0</v>
      </c>
      <c r="AC41" s="20">
        <f t="shared" si="34"/>
        <v>0</v>
      </c>
      <c r="AD41" s="20">
        <f t="shared" si="35"/>
        <v>0</v>
      </c>
      <c r="AE41" s="20">
        <f t="shared" si="36"/>
        <v>0</v>
      </c>
      <c r="AF41" s="20">
        <f t="shared" si="36"/>
        <v>0</v>
      </c>
      <c r="AG41" s="20">
        <f t="shared" si="36"/>
        <v>0</v>
      </c>
      <c r="AH41" s="20">
        <f t="shared" si="36"/>
        <v>0</v>
      </c>
      <c r="AI41" s="20">
        <f t="shared" si="37"/>
        <v>0</v>
      </c>
      <c r="AJ41" s="20">
        <f t="shared" si="37"/>
        <v>0</v>
      </c>
      <c r="AK41" s="20">
        <f t="shared" si="37"/>
        <v>0</v>
      </c>
      <c r="AL41" s="20">
        <f t="shared" si="37"/>
        <v>0</v>
      </c>
      <c r="AM41" s="20">
        <f t="shared" si="38"/>
        <v>0</v>
      </c>
      <c r="AO41">
        <f t="shared" si="39"/>
        <v>0</v>
      </c>
      <c r="AP41">
        <f t="shared" si="39"/>
        <v>0</v>
      </c>
      <c r="AQ41">
        <f t="shared" si="39"/>
        <v>0</v>
      </c>
      <c r="AR41">
        <f t="shared" si="39"/>
        <v>0</v>
      </c>
      <c r="AS41">
        <f t="shared" si="40"/>
        <v>0</v>
      </c>
      <c r="AU41">
        <f t="shared" si="41"/>
        <v>0</v>
      </c>
      <c r="AV41">
        <f t="shared" si="41"/>
        <v>0</v>
      </c>
      <c r="AW41">
        <f t="shared" si="41"/>
        <v>0</v>
      </c>
      <c r="AX41">
        <f t="shared" si="41"/>
        <v>0</v>
      </c>
      <c r="AY41">
        <f t="shared" si="42"/>
        <v>0</v>
      </c>
    </row>
    <row r="42" spans="1:53" ht="15" x14ac:dyDescent="0.25">
      <c r="A42" s="1"/>
      <c r="B42" s="2"/>
      <c r="C42" s="1" t="s">
        <v>11</v>
      </c>
      <c r="D42">
        <v>0</v>
      </c>
      <c r="E42" s="360">
        <v>3.6983999999999999</v>
      </c>
      <c r="F42">
        <v>0</v>
      </c>
      <c r="G42">
        <v>0</v>
      </c>
      <c r="H42">
        <v>0</v>
      </c>
      <c r="J42">
        <v>0</v>
      </c>
      <c r="K42" s="14">
        <v>3.6943102895907001</v>
      </c>
      <c r="L42">
        <v>0</v>
      </c>
      <c r="M42">
        <v>0</v>
      </c>
      <c r="N42">
        <v>0</v>
      </c>
      <c r="O42" s="20"/>
      <c r="P42" s="20"/>
      <c r="Q42" s="438">
        <v>0.40534782884084097</v>
      </c>
      <c r="R42" s="197">
        <v>0.19500000000000001</v>
      </c>
      <c r="S42" s="197">
        <v>1.22</v>
      </c>
      <c r="T42" s="197">
        <v>0.4144562334217507</v>
      </c>
      <c r="U42" s="197">
        <v>0.6566321730950142</v>
      </c>
      <c r="V42" s="20">
        <f t="shared" si="33"/>
        <v>1.0771006910447225</v>
      </c>
      <c r="W42" s="20">
        <f t="shared" si="33"/>
        <v>0</v>
      </c>
      <c r="X42" s="20">
        <f t="shared" si="33"/>
        <v>0</v>
      </c>
      <c r="Y42" s="20">
        <f t="shared" si="33"/>
        <v>0</v>
      </c>
      <c r="Z42" s="20">
        <f t="shared" si="34"/>
        <v>0.5615136867565429</v>
      </c>
      <c r="AA42" s="20">
        <f t="shared" si="34"/>
        <v>0</v>
      </c>
      <c r="AB42" s="20">
        <f t="shared" si="34"/>
        <v>0</v>
      </c>
      <c r="AC42" s="20">
        <f t="shared" si="34"/>
        <v>0</v>
      </c>
      <c r="AD42" s="20">
        <f t="shared" si="35"/>
        <v>0.5615136867565429</v>
      </c>
      <c r="AE42" s="20">
        <f t="shared" si="36"/>
        <v>10.600507089003798</v>
      </c>
      <c r="AF42" s="20">
        <f t="shared" si="36"/>
        <v>0</v>
      </c>
      <c r="AG42" s="20">
        <f t="shared" si="36"/>
        <v>0</v>
      </c>
      <c r="AH42" s="20">
        <f t="shared" si="36"/>
        <v>0</v>
      </c>
      <c r="AI42" s="20">
        <f t="shared" si="37"/>
        <v>7.6249208861935225</v>
      </c>
      <c r="AJ42" s="20">
        <f t="shared" si="37"/>
        <v>0</v>
      </c>
      <c r="AK42" s="20">
        <f t="shared" si="37"/>
        <v>0</v>
      </c>
      <c r="AL42" s="20">
        <f t="shared" si="37"/>
        <v>0</v>
      </c>
      <c r="AM42" s="20">
        <f t="shared" si="38"/>
        <v>7.6249208861935225</v>
      </c>
      <c r="AO42">
        <f t="shared" si="39"/>
        <v>0.59037549025582914</v>
      </c>
      <c r="AP42">
        <f t="shared" si="39"/>
        <v>0</v>
      </c>
      <c r="AQ42">
        <f t="shared" si="39"/>
        <v>0</v>
      </c>
      <c r="AR42">
        <f t="shared" si="39"/>
        <v>0</v>
      </c>
      <c r="AS42">
        <f t="shared" si="40"/>
        <v>0.59037549025582914</v>
      </c>
      <c r="AU42">
        <f t="shared" si="41"/>
        <v>8.0168418197438687</v>
      </c>
      <c r="AV42">
        <f t="shared" si="41"/>
        <v>0</v>
      </c>
      <c r="AW42">
        <f t="shared" si="41"/>
        <v>0</v>
      </c>
      <c r="AX42">
        <f t="shared" si="41"/>
        <v>0</v>
      </c>
      <c r="AY42">
        <f t="shared" si="42"/>
        <v>8.0168418197438687</v>
      </c>
    </row>
    <row r="43" spans="1:53" ht="15" x14ac:dyDescent="0.25">
      <c r="A43" s="1"/>
      <c r="B43" s="2"/>
      <c r="C43" s="1" t="s">
        <v>12</v>
      </c>
      <c r="D43">
        <v>0</v>
      </c>
      <c r="E43" s="360">
        <v>0</v>
      </c>
      <c r="F43">
        <v>0</v>
      </c>
      <c r="G43">
        <v>0</v>
      </c>
      <c r="H43">
        <v>0</v>
      </c>
      <c r="J43">
        <v>0</v>
      </c>
      <c r="K43" s="14">
        <v>0</v>
      </c>
      <c r="L43">
        <v>0</v>
      </c>
      <c r="M43">
        <v>0</v>
      </c>
      <c r="N43">
        <v>0</v>
      </c>
      <c r="O43" s="20"/>
      <c r="P43" s="20"/>
      <c r="Q43" s="438"/>
      <c r="R43" s="197">
        <v>0.19500000000000001</v>
      </c>
      <c r="S43" s="197">
        <v>1.22</v>
      </c>
      <c r="T43" s="197">
        <v>0.4144562334217507</v>
      </c>
      <c r="U43" s="197">
        <v>0.6566321730950142</v>
      </c>
      <c r="V43" s="20">
        <f t="shared" si="33"/>
        <v>0</v>
      </c>
      <c r="W43" s="20">
        <f t="shared" si="33"/>
        <v>0</v>
      </c>
      <c r="X43" s="20">
        <f t="shared" si="33"/>
        <v>0</v>
      </c>
      <c r="Y43" s="20">
        <f t="shared" si="33"/>
        <v>0</v>
      </c>
      <c r="Z43" s="20">
        <f t="shared" si="34"/>
        <v>0</v>
      </c>
      <c r="AA43" s="20">
        <f t="shared" si="34"/>
        <v>0</v>
      </c>
      <c r="AB43" s="20">
        <f t="shared" si="34"/>
        <v>0</v>
      </c>
      <c r="AC43" s="20">
        <f t="shared" si="34"/>
        <v>0</v>
      </c>
      <c r="AD43" s="20">
        <f t="shared" si="35"/>
        <v>0</v>
      </c>
      <c r="AE43" s="20">
        <f t="shared" si="36"/>
        <v>0</v>
      </c>
      <c r="AF43" s="20">
        <f t="shared" si="36"/>
        <v>0</v>
      </c>
      <c r="AG43" s="20">
        <f t="shared" si="36"/>
        <v>0</v>
      </c>
      <c r="AH43" s="20">
        <f t="shared" si="36"/>
        <v>0</v>
      </c>
      <c r="AI43" s="20">
        <f t="shared" si="37"/>
        <v>0</v>
      </c>
      <c r="AJ43" s="20">
        <f t="shared" si="37"/>
        <v>0</v>
      </c>
      <c r="AK43" s="20">
        <f t="shared" si="37"/>
        <v>0</v>
      </c>
      <c r="AL43" s="20">
        <f t="shared" si="37"/>
        <v>0</v>
      </c>
      <c r="AM43" s="20">
        <f t="shared" si="38"/>
        <v>0</v>
      </c>
      <c r="AO43">
        <f t="shared" si="39"/>
        <v>0</v>
      </c>
      <c r="AP43">
        <f t="shared" si="39"/>
        <v>0</v>
      </c>
      <c r="AQ43">
        <f t="shared" si="39"/>
        <v>0</v>
      </c>
      <c r="AR43">
        <f t="shared" si="39"/>
        <v>0</v>
      </c>
      <c r="AS43">
        <f t="shared" si="40"/>
        <v>0</v>
      </c>
      <c r="AU43">
        <f t="shared" si="41"/>
        <v>0</v>
      </c>
      <c r="AV43">
        <f t="shared" si="41"/>
        <v>0</v>
      </c>
      <c r="AW43">
        <f t="shared" si="41"/>
        <v>0</v>
      </c>
      <c r="AX43">
        <f t="shared" si="41"/>
        <v>0</v>
      </c>
      <c r="AY43">
        <f t="shared" si="42"/>
        <v>0</v>
      </c>
    </row>
    <row r="44" spans="1:53" ht="15" x14ac:dyDescent="0.25">
      <c r="A44" s="1"/>
      <c r="B44" s="2"/>
      <c r="C44" s="1" t="s">
        <v>13</v>
      </c>
      <c r="D44">
        <v>0</v>
      </c>
      <c r="E44" s="360">
        <v>2.7449999999999999E-2</v>
      </c>
      <c r="F44">
        <v>0</v>
      </c>
      <c r="G44">
        <v>0</v>
      </c>
      <c r="H44">
        <v>0</v>
      </c>
      <c r="J44">
        <v>0</v>
      </c>
      <c r="K44" s="14">
        <v>2.7449999999999999E-2</v>
      </c>
      <c r="L44">
        <v>0</v>
      </c>
      <c r="M44">
        <v>0</v>
      </c>
      <c r="N44">
        <v>0</v>
      </c>
      <c r="O44" s="20"/>
      <c r="P44" s="20"/>
      <c r="Q44" s="438">
        <v>0.40534782884084103</v>
      </c>
      <c r="R44" s="197">
        <v>0.19500000000000001</v>
      </c>
      <c r="S44" s="197">
        <v>1.22</v>
      </c>
      <c r="T44" s="197">
        <v>0.4144562334217507</v>
      </c>
      <c r="U44" s="197">
        <v>0.6566321730950142</v>
      </c>
      <c r="V44" s="20">
        <f t="shared" si="33"/>
        <v>7.9792102355057456E-3</v>
      </c>
      <c r="W44" s="20">
        <f t="shared" si="33"/>
        <v>0</v>
      </c>
      <c r="X44" s="20">
        <f t="shared" si="33"/>
        <v>0</v>
      </c>
      <c r="Y44" s="20">
        <f t="shared" si="33"/>
        <v>0</v>
      </c>
      <c r="Z44" s="20">
        <f t="shared" si="34"/>
        <v>4.159718579698081E-3</v>
      </c>
      <c r="AA44" s="20">
        <f t="shared" si="34"/>
        <v>0</v>
      </c>
      <c r="AB44" s="20">
        <f t="shared" si="34"/>
        <v>0</v>
      </c>
      <c r="AC44" s="20">
        <f t="shared" si="34"/>
        <v>0</v>
      </c>
      <c r="AD44" s="20">
        <f t="shared" si="35"/>
        <v>4.159718579698081E-3</v>
      </c>
      <c r="AE44" s="20">
        <f t="shared" si="36"/>
        <v>7.8615149020057867E-2</v>
      </c>
      <c r="AF44" s="20">
        <f t="shared" si="36"/>
        <v>0</v>
      </c>
      <c r="AG44" s="20">
        <f t="shared" si="36"/>
        <v>0</v>
      </c>
      <c r="AH44" s="20">
        <f t="shared" si="36"/>
        <v>0</v>
      </c>
      <c r="AI44" s="20">
        <f t="shared" si="37"/>
        <v>5.6547699718635665E-2</v>
      </c>
      <c r="AJ44" s="20">
        <f t="shared" si="37"/>
        <v>0</v>
      </c>
      <c r="AK44" s="20">
        <f t="shared" si="37"/>
        <v>0</v>
      </c>
      <c r="AL44" s="20">
        <f t="shared" si="37"/>
        <v>0</v>
      </c>
      <c r="AM44" s="20">
        <f t="shared" si="38"/>
        <v>5.6547699718635665E-2</v>
      </c>
      <c r="AO44">
        <f t="shared" si="39"/>
        <v>4.3735281146945618E-3</v>
      </c>
      <c r="AP44">
        <f t="shared" si="39"/>
        <v>0</v>
      </c>
      <c r="AQ44">
        <f t="shared" si="39"/>
        <v>0</v>
      </c>
      <c r="AR44">
        <f t="shared" si="39"/>
        <v>0</v>
      </c>
      <c r="AS44">
        <f t="shared" si="40"/>
        <v>4.3735281146945618E-3</v>
      </c>
      <c r="AU44">
        <f t="shared" si="41"/>
        <v>5.9454251484173534E-2</v>
      </c>
      <c r="AV44">
        <f t="shared" si="41"/>
        <v>0</v>
      </c>
      <c r="AW44">
        <f t="shared" si="41"/>
        <v>0</v>
      </c>
      <c r="AX44">
        <f t="shared" si="41"/>
        <v>0</v>
      </c>
      <c r="AY44">
        <f t="shared" si="42"/>
        <v>5.9454251484173534E-2</v>
      </c>
    </row>
    <row r="45" spans="1:53" ht="15" x14ac:dyDescent="0.25">
      <c r="A45" s="7"/>
      <c r="B45" s="8" t="s">
        <v>14</v>
      </c>
      <c r="C45" s="7"/>
      <c r="D45" s="357">
        <f t="shared" ref="D45:H45" si="43">SUM(D39:D44)</f>
        <v>0</v>
      </c>
      <c r="E45" s="363">
        <f>SUM(E39:E44)</f>
        <v>75.010000000000005</v>
      </c>
      <c r="F45" s="357">
        <f t="shared" si="43"/>
        <v>0</v>
      </c>
      <c r="G45" s="357">
        <f t="shared" si="43"/>
        <v>0</v>
      </c>
      <c r="H45" s="357">
        <f t="shared" si="43"/>
        <v>0</v>
      </c>
      <c r="J45">
        <v>0</v>
      </c>
      <c r="K45" s="14">
        <v>72.38645568198281</v>
      </c>
      <c r="L45">
        <v>0</v>
      </c>
      <c r="M45">
        <v>0</v>
      </c>
      <c r="N45">
        <v>0</v>
      </c>
      <c r="O45" s="20"/>
      <c r="P45" s="20"/>
      <c r="Q45" s="438">
        <v>0.37698119307519384</v>
      </c>
      <c r="R45" s="197"/>
      <c r="S45" s="197"/>
      <c r="T45" s="197"/>
      <c r="U45" s="197"/>
      <c r="BA45" s="319">
        <f>(E45*10000*Q45*AU$10)</f>
        <v>297308.15560208401</v>
      </c>
    </row>
    <row r="46" spans="1:53" ht="15" x14ac:dyDescent="0.25">
      <c r="A46" s="10"/>
      <c r="B46" s="9" t="s">
        <v>15</v>
      </c>
      <c r="C46" s="5"/>
      <c r="E46" s="363">
        <f>SUM(E45)</f>
        <v>75.010000000000005</v>
      </c>
      <c r="H46" s="358">
        <f>SUM(D45:H45)</f>
        <v>75.010000000000005</v>
      </c>
      <c r="K46" s="14"/>
      <c r="N46">
        <v>0</v>
      </c>
      <c r="O46" s="20"/>
      <c r="P46" s="20"/>
      <c r="Q46" s="438"/>
      <c r="R46" s="197"/>
      <c r="S46" s="197"/>
      <c r="T46" s="197"/>
      <c r="U46" s="197"/>
    </row>
    <row r="47" spans="1:53" ht="15.75" x14ac:dyDescent="0.25">
      <c r="A47" s="1"/>
      <c r="B47" s="2"/>
      <c r="C47" s="1"/>
      <c r="E47" s="361"/>
      <c r="K47" s="14"/>
      <c r="O47" s="20"/>
      <c r="P47" s="20"/>
      <c r="Q47" s="439"/>
      <c r="R47" s="197"/>
      <c r="S47" s="197"/>
      <c r="T47" s="197"/>
      <c r="U47" s="197"/>
    </row>
    <row r="48" spans="1:53" ht="15" x14ac:dyDescent="0.25">
      <c r="A48" s="1">
        <v>5</v>
      </c>
      <c r="B48" s="2" t="s">
        <v>19</v>
      </c>
      <c r="C48" s="1" t="s">
        <v>8</v>
      </c>
      <c r="D48">
        <v>0</v>
      </c>
      <c r="E48" s="360">
        <v>38.547699999999999</v>
      </c>
      <c r="F48">
        <v>0</v>
      </c>
      <c r="G48">
        <v>0</v>
      </c>
      <c r="H48">
        <v>0</v>
      </c>
      <c r="J48">
        <v>0</v>
      </c>
      <c r="K48" s="14">
        <v>26.9039327586814</v>
      </c>
      <c r="L48">
        <v>0</v>
      </c>
      <c r="M48">
        <v>0</v>
      </c>
      <c r="N48">
        <v>0</v>
      </c>
      <c r="O48" s="20"/>
      <c r="P48" s="20"/>
      <c r="Q48" s="438">
        <v>0.41539221077602606</v>
      </c>
      <c r="R48" s="197">
        <v>0.43</v>
      </c>
      <c r="S48" s="197">
        <v>2.83</v>
      </c>
      <c r="T48" s="197">
        <v>0.76744186046511631</v>
      </c>
      <c r="U48" s="197">
        <v>0.76744186046511631</v>
      </c>
      <c r="V48" s="20">
        <f t="shared" ref="V48:Y53" si="44">IF(K48&gt;0,((E48-K48)*$Q48*$R48*10)+(K48*$O$12*$Q48*$R48*10),(E48*$Q48*$R48*10))</f>
        <v>38.47042688319479</v>
      </c>
      <c r="W48" s="20">
        <f t="shared" si="44"/>
        <v>0</v>
      </c>
      <c r="X48" s="20">
        <f t="shared" si="44"/>
        <v>0</v>
      </c>
      <c r="Y48" s="20">
        <f t="shared" si="44"/>
        <v>0</v>
      </c>
      <c r="Z48" s="20">
        <f t="shared" ref="Z48:AC53" si="45">V48*(EXP(1.01-0.34*LN(Z$8))*(1-$T48)+(1*$T48))</f>
        <v>31.15659715444766</v>
      </c>
      <c r="AA48" s="20">
        <f t="shared" si="45"/>
        <v>0</v>
      </c>
      <c r="AB48" s="20">
        <f t="shared" si="45"/>
        <v>0</v>
      </c>
      <c r="AC48" s="20">
        <f t="shared" si="45"/>
        <v>0</v>
      </c>
      <c r="AD48" s="20">
        <f t="shared" ref="AD48:AD53" si="46">SUM(Z48:AC48)</f>
        <v>31.15659715444766</v>
      </c>
      <c r="AE48" s="20">
        <f t="shared" ref="AE48:AH53" si="47">IF(K48&gt;0,((E48-K48)*$Q48*$S48*10)+(K48*$P$12*$Q48*$S48)*10,(E48*$Q48*$S48*10))</f>
        <v>320.04205020865095</v>
      </c>
      <c r="AF48" s="20">
        <f t="shared" si="47"/>
        <v>0</v>
      </c>
      <c r="AG48" s="20">
        <f t="shared" si="47"/>
        <v>0</v>
      </c>
      <c r="AH48" s="20">
        <f t="shared" si="47"/>
        <v>0</v>
      </c>
      <c r="AI48" s="20">
        <f t="shared" ref="AI48:AL53" si="48">AE48*(EXP(1.01-0.34*LN(AI$8))*(1-$U48)+(1*$U48))</f>
        <v>259.19705183178797</v>
      </c>
      <c r="AJ48" s="20">
        <f t="shared" si="48"/>
        <v>0</v>
      </c>
      <c r="AK48" s="20">
        <f t="shared" si="48"/>
        <v>0</v>
      </c>
      <c r="AL48" s="20">
        <f t="shared" si="48"/>
        <v>0</v>
      </c>
      <c r="AM48" s="20">
        <f t="shared" ref="AM48:AM53" si="49">SUM(AI48:AL48)</f>
        <v>259.19705183178797</v>
      </c>
      <c r="AO48">
        <f t="shared" ref="AO48:AR53" si="50">Z48*AO$10</f>
        <v>32.758046248186268</v>
      </c>
      <c r="AP48">
        <f t="shared" si="50"/>
        <v>0</v>
      </c>
      <c r="AQ48">
        <f t="shared" si="50"/>
        <v>0</v>
      </c>
      <c r="AR48">
        <f t="shared" si="50"/>
        <v>0</v>
      </c>
      <c r="AS48">
        <f t="shared" ref="AS48:AS53" si="51">SUM(AO48:AR48)</f>
        <v>32.758046248186268</v>
      </c>
      <c r="AU48">
        <f t="shared" ref="AU48:AX53" si="52">AI48*AU$10</f>
        <v>272.51978029594187</v>
      </c>
      <c r="AV48">
        <f t="shared" si="52"/>
        <v>0</v>
      </c>
      <c r="AW48">
        <f t="shared" si="52"/>
        <v>0</v>
      </c>
      <c r="AX48">
        <f t="shared" si="52"/>
        <v>0</v>
      </c>
      <c r="AY48">
        <f t="shared" ref="AY48:AY53" si="53">SUM(AU48:AX48)</f>
        <v>272.51978029594187</v>
      </c>
    </row>
    <row r="49" spans="1:53" ht="15" x14ac:dyDescent="0.25">
      <c r="A49" s="1"/>
      <c r="B49" s="2"/>
      <c r="C49" s="1" t="s">
        <v>9</v>
      </c>
      <c r="D49">
        <v>0</v>
      </c>
      <c r="E49" s="360">
        <v>14.5405</v>
      </c>
      <c r="F49">
        <v>0</v>
      </c>
      <c r="G49">
        <v>0</v>
      </c>
      <c r="H49">
        <v>0</v>
      </c>
      <c r="J49">
        <v>0</v>
      </c>
      <c r="K49" s="14">
        <v>2.7821109557028958</v>
      </c>
      <c r="L49">
        <v>0</v>
      </c>
      <c r="M49">
        <v>0</v>
      </c>
      <c r="N49">
        <v>0</v>
      </c>
      <c r="O49" s="20"/>
      <c r="P49" s="20"/>
      <c r="Q49" s="438">
        <v>0.42578442155205209</v>
      </c>
      <c r="R49" s="197">
        <v>0.43</v>
      </c>
      <c r="S49" s="197">
        <v>2.83</v>
      </c>
      <c r="T49" s="197">
        <v>0.76744186046511631</v>
      </c>
      <c r="U49" s="197">
        <v>0.76744186046511631</v>
      </c>
      <c r="V49" s="20">
        <f t="shared" si="44"/>
        <v>23.401332775455309</v>
      </c>
      <c r="W49" s="20">
        <f t="shared" si="44"/>
        <v>0</v>
      </c>
      <c r="X49" s="20">
        <f t="shared" si="44"/>
        <v>0</v>
      </c>
      <c r="Y49" s="20">
        <f t="shared" si="44"/>
        <v>0</v>
      </c>
      <c r="Z49" s="20">
        <f t="shared" si="45"/>
        <v>18.952373478354414</v>
      </c>
      <c r="AA49" s="20">
        <f t="shared" si="45"/>
        <v>0</v>
      </c>
      <c r="AB49" s="20">
        <f t="shared" si="45"/>
        <v>0</v>
      </c>
      <c r="AC49" s="20">
        <f t="shared" si="45"/>
        <v>0</v>
      </c>
      <c r="AD49" s="20">
        <f t="shared" si="46"/>
        <v>18.952373478354414</v>
      </c>
      <c r="AE49" s="20">
        <f t="shared" si="47"/>
        <v>161.09957932582347</v>
      </c>
      <c r="AF49" s="20">
        <f t="shared" si="47"/>
        <v>0</v>
      </c>
      <c r="AG49" s="20">
        <f t="shared" si="47"/>
        <v>0</v>
      </c>
      <c r="AH49" s="20">
        <f t="shared" si="47"/>
        <v>0</v>
      </c>
      <c r="AI49" s="20">
        <f t="shared" si="48"/>
        <v>130.47203011407905</v>
      </c>
      <c r="AJ49" s="20">
        <f t="shared" si="48"/>
        <v>0</v>
      </c>
      <c r="AK49" s="20">
        <f t="shared" si="48"/>
        <v>0</v>
      </c>
      <c r="AL49" s="20">
        <f t="shared" si="48"/>
        <v>0</v>
      </c>
      <c r="AM49" s="20">
        <f t="shared" si="49"/>
        <v>130.47203011407905</v>
      </c>
      <c r="AO49">
        <f t="shared" si="50"/>
        <v>19.92652547514183</v>
      </c>
      <c r="AP49">
        <f t="shared" si="50"/>
        <v>0</v>
      </c>
      <c r="AQ49">
        <f t="shared" si="50"/>
        <v>0</v>
      </c>
      <c r="AR49">
        <f t="shared" si="50"/>
        <v>0</v>
      </c>
      <c r="AS49">
        <f t="shared" si="51"/>
        <v>19.92652547514183</v>
      </c>
      <c r="AU49">
        <f t="shared" si="52"/>
        <v>137.1782924619427</v>
      </c>
      <c r="AV49">
        <f t="shared" si="52"/>
        <v>0</v>
      </c>
      <c r="AW49">
        <f t="shared" si="52"/>
        <v>0</v>
      </c>
      <c r="AX49">
        <f t="shared" si="52"/>
        <v>0</v>
      </c>
      <c r="AY49">
        <f t="shared" si="53"/>
        <v>137.1782924619427</v>
      </c>
    </row>
    <row r="50" spans="1:53" ht="15" x14ac:dyDescent="0.25">
      <c r="A50" s="1"/>
      <c r="B50" s="2"/>
      <c r="C50" s="1" t="s">
        <v>10</v>
      </c>
      <c r="D50">
        <v>0</v>
      </c>
      <c r="E50" s="360">
        <v>1.9340999999999999</v>
      </c>
      <c r="F50">
        <v>0</v>
      </c>
      <c r="G50">
        <v>0</v>
      </c>
      <c r="H50">
        <v>0</v>
      </c>
      <c r="J50">
        <v>0</v>
      </c>
      <c r="K50" s="14">
        <v>0.76237952362999994</v>
      </c>
      <c r="L50">
        <v>0</v>
      </c>
      <c r="M50">
        <v>0</v>
      </c>
      <c r="N50">
        <v>0</v>
      </c>
      <c r="O50" s="20"/>
      <c r="P50" s="20"/>
      <c r="Q50" s="438">
        <v>0.43617663232807824</v>
      </c>
      <c r="R50" s="197">
        <v>0.43</v>
      </c>
      <c r="S50" s="197">
        <v>2.83</v>
      </c>
      <c r="T50" s="197">
        <v>0.76744186046511631</v>
      </c>
      <c r="U50" s="197">
        <v>0.76744186046511631</v>
      </c>
      <c r="V50" s="20">
        <f t="shared" si="44"/>
        <v>2.7234757929729172</v>
      </c>
      <c r="W50" s="20">
        <f t="shared" si="44"/>
        <v>0</v>
      </c>
      <c r="X50" s="20">
        <f t="shared" si="44"/>
        <v>0</v>
      </c>
      <c r="Y50" s="20">
        <f t="shared" si="44"/>
        <v>0</v>
      </c>
      <c r="Z50" s="20">
        <f t="shared" si="45"/>
        <v>2.2057004565918747</v>
      </c>
      <c r="AA50" s="20">
        <f t="shared" si="45"/>
        <v>0</v>
      </c>
      <c r="AB50" s="20">
        <f t="shared" si="45"/>
        <v>0</v>
      </c>
      <c r="AC50" s="20">
        <f t="shared" si="45"/>
        <v>0</v>
      </c>
      <c r="AD50" s="20">
        <f t="shared" si="46"/>
        <v>2.2057004565918747</v>
      </c>
      <c r="AE50" s="20">
        <f t="shared" si="47"/>
        <v>19.913478712124391</v>
      </c>
      <c r="AF50" s="20">
        <f t="shared" si="47"/>
        <v>0</v>
      </c>
      <c r="AG50" s="20">
        <f t="shared" si="47"/>
        <v>0</v>
      </c>
      <c r="AH50" s="20">
        <f t="shared" si="47"/>
        <v>0</v>
      </c>
      <c r="AI50" s="20">
        <f t="shared" si="48"/>
        <v>16.127615013504226</v>
      </c>
      <c r="AJ50" s="20">
        <f t="shared" si="48"/>
        <v>0</v>
      </c>
      <c r="AK50" s="20">
        <f t="shared" si="48"/>
        <v>0</v>
      </c>
      <c r="AL50" s="20">
        <f t="shared" si="48"/>
        <v>0</v>
      </c>
      <c r="AM50" s="20">
        <f t="shared" si="49"/>
        <v>16.127615013504226</v>
      </c>
      <c r="AO50">
        <f t="shared" si="50"/>
        <v>2.319073460060697</v>
      </c>
      <c r="AP50">
        <f t="shared" si="50"/>
        <v>0</v>
      </c>
      <c r="AQ50">
        <f t="shared" si="50"/>
        <v>0</v>
      </c>
      <c r="AR50">
        <f t="shared" si="50"/>
        <v>0</v>
      </c>
      <c r="AS50">
        <f t="shared" si="51"/>
        <v>2.319073460060697</v>
      </c>
      <c r="AU50">
        <f t="shared" si="52"/>
        <v>16.95657442519834</v>
      </c>
      <c r="AV50">
        <f t="shared" si="52"/>
        <v>0</v>
      </c>
      <c r="AW50">
        <f t="shared" si="52"/>
        <v>0</v>
      </c>
      <c r="AX50">
        <f t="shared" si="52"/>
        <v>0</v>
      </c>
      <c r="AY50">
        <f t="shared" si="53"/>
        <v>16.95657442519834</v>
      </c>
    </row>
    <row r="51" spans="1:53" ht="15" x14ac:dyDescent="0.25">
      <c r="A51" s="1"/>
      <c r="B51" s="2"/>
      <c r="C51" s="1" t="s">
        <v>11</v>
      </c>
      <c r="D51">
        <v>0</v>
      </c>
      <c r="E51" s="360">
        <v>31.224499999999999</v>
      </c>
      <c r="F51">
        <v>0</v>
      </c>
      <c r="G51">
        <v>0</v>
      </c>
      <c r="H51">
        <v>0</v>
      </c>
      <c r="J51">
        <v>0</v>
      </c>
      <c r="K51" s="14">
        <v>23.721428580574699</v>
      </c>
      <c r="L51">
        <v>0</v>
      </c>
      <c r="M51">
        <v>0</v>
      </c>
      <c r="N51">
        <v>0</v>
      </c>
      <c r="O51" s="20"/>
      <c r="P51" s="20"/>
      <c r="Q51" s="438">
        <v>0.44656884310410427</v>
      </c>
      <c r="R51" s="197">
        <v>0.43</v>
      </c>
      <c r="S51" s="197">
        <v>2.83</v>
      </c>
      <c r="T51" s="197">
        <v>0.76744186046511631</v>
      </c>
      <c r="U51" s="197">
        <v>0.76744186046511631</v>
      </c>
      <c r="V51" s="20">
        <f t="shared" si="44"/>
        <v>31.159208739843827</v>
      </c>
      <c r="W51" s="20">
        <f t="shared" si="44"/>
        <v>0</v>
      </c>
      <c r="X51" s="20">
        <f t="shared" si="44"/>
        <v>0</v>
      </c>
      <c r="Y51" s="20">
        <f t="shared" si="44"/>
        <v>0</v>
      </c>
      <c r="Z51" s="20">
        <f t="shared" si="45"/>
        <v>25.235355908742054</v>
      </c>
      <c r="AA51" s="20">
        <f t="shared" si="45"/>
        <v>0</v>
      </c>
      <c r="AB51" s="20">
        <f t="shared" si="45"/>
        <v>0</v>
      </c>
      <c r="AC51" s="20">
        <f t="shared" si="45"/>
        <v>0</v>
      </c>
      <c r="AD51" s="20">
        <f t="shared" si="46"/>
        <v>25.235355908742054</v>
      </c>
      <c r="AE51" s="20">
        <f t="shared" si="47"/>
        <v>268.43991678088997</v>
      </c>
      <c r="AF51" s="20">
        <f t="shared" si="47"/>
        <v>0</v>
      </c>
      <c r="AG51" s="20">
        <f t="shared" si="47"/>
        <v>0</v>
      </c>
      <c r="AH51" s="20">
        <f t="shared" si="47"/>
        <v>0</v>
      </c>
      <c r="AI51" s="20">
        <f t="shared" si="48"/>
        <v>217.40529089291661</v>
      </c>
      <c r="AJ51" s="20">
        <f t="shared" si="48"/>
        <v>0</v>
      </c>
      <c r="AK51" s="20">
        <f t="shared" si="48"/>
        <v>0</v>
      </c>
      <c r="AL51" s="20">
        <f t="shared" si="48"/>
        <v>0</v>
      </c>
      <c r="AM51" s="20">
        <f t="shared" si="49"/>
        <v>217.40529089291661</v>
      </c>
      <c r="AO51">
        <f t="shared" si="50"/>
        <v>26.532453202451393</v>
      </c>
      <c r="AP51">
        <f t="shared" si="50"/>
        <v>0</v>
      </c>
      <c r="AQ51">
        <f t="shared" si="50"/>
        <v>0</v>
      </c>
      <c r="AR51">
        <f t="shared" si="50"/>
        <v>0</v>
      </c>
      <c r="AS51">
        <f t="shared" si="51"/>
        <v>26.532453202451393</v>
      </c>
      <c r="AU51">
        <f t="shared" si="52"/>
        <v>228.5799228448125</v>
      </c>
      <c r="AV51">
        <f t="shared" si="52"/>
        <v>0</v>
      </c>
      <c r="AW51">
        <f t="shared" si="52"/>
        <v>0</v>
      </c>
      <c r="AX51">
        <f t="shared" si="52"/>
        <v>0</v>
      </c>
      <c r="AY51">
        <f t="shared" si="53"/>
        <v>228.5799228448125</v>
      </c>
    </row>
    <row r="52" spans="1:53" ht="15" x14ac:dyDescent="0.25">
      <c r="A52" s="1"/>
      <c r="B52" s="2"/>
      <c r="C52" s="1" t="s">
        <v>12</v>
      </c>
      <c r="D52">
        <v>0</v>
      </c>
      <c r="E52" s="360">
        <v>0</v>
      </c>
      <c r="F52">
        <v>0</v>
      </c>
      <c r="G52">
        <v>0</v>
      </c>
      <c r="H52">
        <v>0</v>
      </c>
      <c r="J52">
        <v>0</v>
      </c>
      <c r="K52" s="14">
        <v>0</v>
      </c>
      <c r="L52">
        <v>0</v>
      </c>
      <c r="M52">
        <v>0</v>
      </c>
      <c r="N52">
        <v>0</v>
      </c>
      <c r="O52" s="20"/>
      <c r="P52" s="20"/>
      <c r="Q52" s="438"/>
      <c r="R52" s="197">
        <v>0.43</v>
      </c>
      <c r="S52" s="197">
        <v>2.83</v>
      </c>
      <c r="T52" s="197">
        <v>0.76744186046511631</v>
      </c>
      <c r="U52" s="197">
        <v>0.76744186046511631</v>
      </c>
      <c r="V52" s="20">
        <f t="shared" si="44"/>
        <v>0</v>
      </c>
      <c r="W52" s="20">
        <f t="shared" si="44"/>
        <v>0</v>
      </c>
      <c r="X52" s="20">
        <f t="shared" si="44"/>
        <v>0</v>
      </c>
      <c r="Y52" s="20">
        <f t="shared" si="44"/>
        <v>0</v>
      </c>
      <c r="Z52" s="20">
        <f t="shared" si="45"/>
        <v>0</v>
      </c>
      <c r="AA52" s="20">
        <f t="shared" si="45"/>
        <v>0</v>
      </c>
      <c r="AB52" s="20">
        <f t="shared" si="45"/>
        <v>0</v>
      </c>
      <c r="AC52" s="20">
        <f t="shared" si="45"/>
        <v>0</v>
      </c>
      <c r="AD52" s="20">
        <f t="shared" si="46"/>
        <v>0</v>
      </c>
      <c r="AE52" s="20">
        <f t="shared" si="47"/>
        <v>0</v>
      </c>
      <c r="AF52" s="20">
        <f t="shared" si="47"/>
        <v>0</v>
      </c>
      <c r="AG52" s="20">
        <f t="shared" si="47"/>
        <v>0</v>
      </c>
      <c r="AH52" s="20">
        <f t="shared" si="47"/>
        <v>0</v>
      </c>
      <c r="AI52" s="20">
        <f t="shared" si="48"/>
        <v>0</v>
      </c>
      <c r="AJ52" s="20">
        <f t="shared" si="48"/>
        <v>0</v>
      </c>
      <c r="AK52" s="20">
        <f t="shared" si="48"/>
        <v>0</v>
      </c>
      <c r="AL52" s="20">
        <f t="shared" si="48"/>
        <v>0</v>
      </c>
      <c r="AM52" s="20">
        <f t="shared" si="49"/>
        <v>0</v>
      </c>
      <c r="AO52">
        <f t="shared" si="50"/>
        <v>0</v>
      </c>
      <c r="AP52">
        <f t="shared" si="50"/>
        <v>0</v>
      </c>
      <c r="AQ52">
        <f t="shared" si="50"/>
        <v>0</v>
      </c>
      <c r="AR52">
        <f t="shared" si="50"/>
        <v>0</v>
      </c>
      <c r="AS52">
        <f t="shared" si="51"/>
        <v>0</v>
      </c>
      <c r="AU52">
        <f t="shared" si="52"/>
        <v>0</v>
      </c>
      <c r="AV52">
        <f t="shared" si="52"/>
        <v>0</v>
      </c>
      <c r="AW52">
        <f t="shared" si="52"/>
        <v>0</v>
      </c>
      <c r="AX52">
        <f t="shared" si="52"/>
        <v>0</v>
      </c>
      <c r="AY52">
        <f t="shared" si="53"/>
        <v>0</v>
      </c>
    </row>
    <row r="53" spans="1:53" ht="15" x14ac:dyDescent="0.25">
      <c r="A53" s="1"/>
      <c r="B53" s="2"/>
      <c r="C53" s="1" t="s">
        <v>13</v>
      </c>
      <c r="D53">
        <v>0</v>
      </c>
      <c r="E53" s="360">
        <v>7.3499999999999996E-2</v>
      </c>
      <c r="F53">
        <v>0</v>
      </c>
      <c r="G53">
        <v>0</v>
      </c>
      <c r="H53">
        <v>0</v>
      </c>
      <c r="J53">
        <v>0</v>
      </c>
      <c r="K53" s="14">
        <v>5.4110147222699995E-2</v>
      </c>
      <c r="L53">
        <v>0</v>
      </c>
      <c r="M53">
        <v>0</v>
      </c>
      <c r="N53">
        <v>0</v>
      </c>
      <c r="O53" s="20"/>
      <c r="P53" s="20"/>
      <c r="Q53" s="438">
        <v>0.44656884310410433</v>
      </c>
      <c r="R53" s="197">
        <v>0.43</v>
      </c>
      <c r="S53" s="197">
        <v>2.83</v>
      </c>
      <c r="T53" s="197">
        <v>0.76744186046511631</v>
      </c>
      <c r="U53" s="197">
        <v>0.76744186046511631</v>
      </c>
      <c r="V53" s="20">
        <f t="shared" si="44"/>
        <v>7.544448864484575E-2</v>
      </c>
      <c r="W53" s="20">
        <f t="shared" si="44"/>
        <v>0</v>
      </c>
      <c r="X53" s="20">
        <f t="shared" si="44"/>
        <v>0</v>
      </c>
      <c r="Y53" s="20">
        <f t="shared" si="44"/>
        <v>0</v>
      </c>
      <c r="Z53" s="20">
        <f t="shared" si="45"/>
        <v>6.110131159624798E-2</v>
      </c>
      <c r="AA53" s="20">
        <f t="shared" si="45"/>
        <v>0</v>
      </c>
      <c r="AB53" s="20">
        <f t="shared" si="45"/>
        <v>0</v>
      </c>
      <c r="AC53" s="20">
        <f t="shared" si="45"/>
        <v>0</v>
      </c>
      <c r="AD53" s="20">
        <f t="shared" si="46"/>
        <v>6.110131159624798E-2</v>
      </c>
      <c r="AE53" s="20">
        <f t="shared" si="47"/>
        <v>0.64107853320892128</v>
      </c>
      <c r="AF53" s="20">
        <f t="shared" si="47"/>
        <v>0</v>
      </c>
      <c r="AG53" s="20">
        <f t="shared" si="47"/>
        <v>0</v>
      </c>
      <c r="AH53" s="20">
        <f t="shared" si="47"/>
        <v>0</v>
      </c>
      <c r="AI53" s="20">
        <f t="shared" si="48"/>
        <v>0.51919947923114451</v>
      </c>
      <c r="AJ53" s="20">
        <f t="shared" si="48"/>
        <v>0</v>
      </c>
      <c r="AK53" s="20">
        <f t="shared" si="48"/>
        <v>0</v>
      </c>
      <c r="AL53" s="20">
        <f t="shared" si="48"/>
        <v>0</v>
      </c>
      <c r="AM53" s="20">
        <f t="shared" si="49"/>
        <v>0.51919947923114451</v>
      </c>
      <c r="AO53">
        <f t="shared" si="50"/>
        <v>6.4241919012295118E-2</v>
      </c>
      <c r="AP53">
        <f t="shared" si="50"/>
        <v>0</v>
      </c>
      <c r="AQ53">
        <f t="shared" si="50"/>
        <v>0</v>
      </c>
      <c r="AR53">
        <f t="shared" si="50"/>
        <v>0</v>
      </c>
      <c r="AS53">
        <f t="shared" si="51"/>
        <v>6.4241919012295118E-2</v>
      </c>
      <c r="AU53">
        <f t="shared" si="52"/>
        <v>0.54588633246362528</v>
      </c>
      <c r="AV53">
        <f t="shared" si="52"/>
        <v>0</v>
      </c>
      <c r="AW53">
        <f t="shared" si="52"/>
        <v>0</v>
      </c>
      <c r="AX53">
        <f t="shared" si="52"/>
        <v>0</v>
      </c>
      <c r="AY53">
        <f t="shared" si="53"/>
        <v>0.54588633246362528</v>
      </c>
    </row>
    <row r="54" spans="1:53" ht="15" x14ac:dyDescent="0.25">
      <c r="A54" s="7"/>
      <c r="B54" s="8" t="s">
        <v>14</v>
      </c>
      <c r="C54" s="7"/>
      <c r="D54" s="357">
        <f t="shared" ref="D54:H54" si="54">SUM(D48:D53)</f>
        <v>0</v>
      </c>
      <c r="E54" s="363">
        <f>SUM(E48:E53)</f>
        <v>86.320300000000003</v>
      </c>
      <c r="F54" s="357">
        <f t="shared" si="54"/>
        <v>0</v>
      </c>
      <c r="G54" s="357">
        <f t="shared" si="54"/>
        <v>0</v>
      </c>
      <c r="H54" s="357">
        <f t="shared" si="54"/>
        <v>0</v>
      </c>
      <c r="J54">
        <v>0</v>
      </c>
      <c r="K54" s="14">
        <v>54.223961965811704</v>
      </c>
      <c r="L54">
        <v>0</v>
      </c>
      <c r="M54">
        <v>0</v>
      </c>
      <c r="N54">
        <v>0</v>
      </c>
      <c r="O54" s="20"/>
      <c r="P54" s="20"/>
      <c r="Q54" s="438">
        <v>0.42891247575560576</v>
      </c>
      <c r="R54" s="197"/>
      <c r="S54" s="197"/>
      <c r="T54" s="197"/>
      <c r="U54" s="197"/>
      <c r="BA54" s="319">
        <f>(E54*10000*Q54*AU$10)</f>
        <v>389268.79655028298</v>
      </c>
    </row>
    <row r="55" spans="1:53" ht="15" x14ac:dyDescent="0.25">
      <c r="A55" s="10"/>
      <c r="B55" s="9" t="s">
        <v>15</v>
      </c>
      <c r="C55" s="5"/>
      <c r="E55" s="363">
        <f>SUM(E54)</f>
        <v>86.320300000000003</v>
      </c>
      <c r="H55" s="358">
        <f>SUM(D54:H54)</f>
        <v>86.320300000000003</v>
      </c>
      <c r="K55" s="14">
        <v>54.223961965811704</v>
      </c>
      <c r="N55">
        <v>0</v>
      </c>
      <c r="O55" s="20"/>
      <c r="P55" s="20"/>
      <c r="Q55" s="438"/>
      <c r="R55" s="197"/>
      <c r="S55" s="197"/>
      <c r="T55" s="197"/>
      <c r="U55" s="197"/>
    </row>
    <row r="56" spans="1:53" ht="15.75" x14ac:dyDescent="0.25">
      <c r="A56" s="1"/>
      <c r="B56" s="2"/>
      <c r="C56" s="1"/>
      <c r="E56" s="361"/>
      <c r="K56" s="14"/>
      <c r="O56" s="20"/>
      <c r="P56" s="20"/>
      <c r="Q56" s="439"/>
      <c r="R56" s="197"/>
      <c r="S56" s="197"/>
      <c r="T56" s="197"/>
      <c r="U56" s="197"/>
    </row>
    <row r="57" spans="1:53" ht="15" x14ac:dyDescent="0.25">
      <c r="A57" s="1">
        <v>6</v>
      </c>
      <c r="B57" s="2" t="s">
        <v>20</v>
      </c>
      <c r="C57" s="1" t="s">
        <v>8</v>
      </c>
      <c r="D57">
        <v>0</v>
      </c>
      <c r="E57" s="360">
        <v>11.9978</v>
      </c>
      <c r="F57">
        <v>0</v>
      </c>
      <c r="G57">
        <v>0</v>
      </c>
      <c r="H57">
        <v>0</v>
      </c>
      <c r="J57">
        <v>0</v>
      </c>
      <c r="K57" s="14">
        <v>11.908647118760999</v>
      </c>
      <c r="L57">
        <v>0</v>
      </c>
      <c r="M57">
        <v>0</v>
      </c>
      <c r="N57">
        <v>0</v>
      </c>
      <c r="O57" s="20"/>
      <c r="P57" s="20"/>
      <c r="Q57" s="438">
        <v>0.45944746434184186</v>
      </c>
      <c r="R57" s="197">
        <v>0.33900000000000002</v>
      </c>
      <c r="S57" s="197">
        <v>1.9830000000000001</v>
      </c>
      <c r="T57" s="197">
        <v>0.76146788990825687</v>
      </c>
      <c r="U57" s="197">
        <v>0.76146788990825687</v>
      </c>
      <c r="V57" s="20">
        <f t="shared" ref="V57:Y62" si="55">IF(K57&gt;0,((E57-K57)*$Q57*$R57*10)+(K57*$O$12*$Q57*$R57*10),(E57*$Q57*$R57*10))</f>
        <v>6.9599370227139463</v>
      </c>
      <c r="W57" s="20">
        <f t="shared" si="55"/>
        <v>0</v>
      </c>
      <c r="X57" s="20">
        <f t="shared" si="55"/>
        <v>0</v>
      </c>
      <c r="Y57" s="20">
        <f t="shared" si="55"/>
        <v>0</v>
      </c>
      <c r="Z57" s="20">
        <f t="shared" ref="Z57:AC62" si="56">V57*(EXP(1.01-0.34*LN(Z$8))*(1-$T57)+(1*$T57))</f>
        <v>5.6027538838401849</v>
      </c>
      <c r="AA57" s="20">
        <f t="shared" si="56"/>
        <v>0</v>
      </c>
      <c r="AB57" s="20">
        <f t="shared" si="56"/>
        <v>0</v>
      </c>
      <c r="AC57" s="20">
        <f t="shared" si="56"/>
        <v>0</v>
      </c>
      <c r="AD57" s="20">
        <f t="shared" ref="AD57:AD62" si="57">SUM(Z57:AC57)</f>
        <v>5.6027538838401849</v>
      </c>
      <c r="AE57" s="20">
        <f t="shared" ref="AE57:AH62" si="58">IF(K57&gt;0,((E57-K57)*$Q57*$S57*10)+(K57*$P$12*$Q57*$S57)*10,(E57*$Q57*$S57*10))</f>
        <v>63.646620088595668</v>
      </c>
      <c r="AF57" s="20">
        <f t="shared" si="58"/>
        <v>0</v>
      </c>
      <c r="AG57" s="20">
        <f t="shared" si="58"/>
        <v>0</v>
      </c>
      <c r="AH57" s="20">
        <f t="shared" si="58"/>
        <v>0</v>
      </c>
      <c r="AI57" s="20">
        <f t="shared" ref="AI57:AL62" si="59">AE57*(EXP(1.01-0.34*LN(AI$8))*(1-$U57)+(1*$U57))</f>
        <v>51.235571059180288</v>
      </c>
      <c r="AJ57" s="20">
        <f t="shared" si="59"/>
        <v>0</v>
      </c>
      <c r="AK57" s="20">
        <f t="shared" si="59"/>
        <v>0</v>
      </c>
      <c r="AL57" s="20">
        <f t="shared" si="59"/>
        <v>0</v>
      </c>
      <c r="AM57" s="20">
        <f t="shared" ref="AM57:AM62" si="60">SUM(AI57:AL57)</f>
        <v>51.235571059180288</v>
      </c>
      <c r="AO57">
        <f t="shared" ref="AO57:AR62" si="61">Z57*AO$10</f>
        <v>5.8907354334695698</v>
      </c>
      <c r="AP57">
        <f t="shared" si="61"/>
        <v>0</v>
      </c>
      <c r="AQ57">
        <f t="shared" si="61"/>
        <v>0</v>
      </c>
      <c r="AR57">
        <f t="shared" si="61"/>
        <v>0</v>
      </c>
      <c r="AS57">
        <f t="shared" ref="AS57:AS62" si="62">SUM(AO57:AR57)</f>
        <v>5.8907354334695698</v>
      </c>
      <c r="AU57">
        <f t="shared" ref="AU57:AX62" si="63">AI57*AU$10</f>
        <v>53.869079411622145</v>
      </c>
      <c r="AV57">
        <f t="shared" si="63"/>
        <v>0</v>
      </c>
      <c r="AW57">
        <f t="shared" si="63"/>
        <v>0</v>
      </c>
      <c r="AX57">
        <f t="shared" si="63"/>
        <v>0</v>
      </c>
      <c r="AY57">
        <f t="shared" ref="AY57:AY62" si="64">SUM(AU57:AX57)</f>
        <v>53.869079411622145</v>
      </c>
    </row>
    <row r="58" spans="1:53" ht="15" x14ac:dyDescent="0.25">
      <c r="A58" s="1"/>
      <c r="B58" s="2"/>
      <c r="C58" s="1" t="s">
        <v>9</v>
      </c>
      <c r="D58">
        <v>0</v>
      </c>
      <c r="E58" s="360">
        <v>3.8092000000000001</v>
      </c>
      <c r="F58">
        <v>0</v>
      </c>
      <c r="G58">
        <v>0</v>
      </c>
      <c r="H58">
        <v>0</v>
      </c>
      <c r="J58">
        <v>0</v>
      </c>
      <c r="K58" s="14">
        <v>2.2897921524700005</v>
      </c>
      <c r="L58">
        <v>0</v>
      </c>
      <c r="M58">
        <v>0</v>
      </c>
      <c r="N58">
        <v>0</v>
      </c>
      <c r="O58" s="20"/>
      <c r="P58" s="20"/>
      <c r="Q58" s="438">
        <v>0.46889492868368371</v>
      </c>
      <c r="R58" s="197">
        <v>0.33900000000000002</v>
      </c>
      <c r="S58" s="197">
        <v>1.9830000000000001</v>
      </c>
      <c r="T58" s="197">
        <v>0.76146788990825687</v>
      </c>
      <c r="U58" s="197">
        <v>0.76146788990825687</v>
      </c>
      <c r="V58" s="20">
        <f t="shared" si="55"/>
        <v>3.7537052410218403</v>
      </c>
      <c r="W58" s="20">
        <f t="shared" si="55"/>
        <v>0</v>
      </c>
      <c r="X58" s="20">
        <f t="shared" si="55"/>
        <v>0</v>
      </c>
      <c r="Y58" s="20">
        <f t="shared" si="55"/>
        <v>0</v>
      </c>
      <c r="Z58" s="20">
        <f t="shared" si="56"/>
        <v>3.0217351894551405</v>
      </c>
      <c r="AA58" s="20">
        <f t="shared" si="56"/>
        <v>0</v>
      </c>
      <c r="AB58" s="20">
        <f t="shared" si="56"/>
        <v>0</v>
      </c>
      <c r="AC58" s="20">
        <f t="shared" si="56"/>
        <v>0</v>
      </c>
      <c r="AD58" s="20">
        <f t="shared" si="57"/>
        <v>3.0217351894551405</v>
      </c>
      <c r="AE58" s="20">
        <f t="shared" si="58"/>
        <v>26.457948875132114</v>
      </c>
      <c r="AF58" s="20">
        <f t="shared" si="58"/>
        <v>0</v>
      </c>
      <c r="AG58" s="20">
        <f t="shared" si="58"/>
        <v>0</v>
      </c>
      <c r="AH58" s="20">
        <f t="shared" si="58"/>
        <v>0</v>
      </c>
      <c r="AI58" s="20">
        <f t="shared" si="59"/>
        <v>21.298666257297263</v>
      </c>
      <c r="AJ58" s="20">
        <f t="shared" si="59"/>
        <v>0</v>
      </c>
      <c r="AK58" s="20">
        <f t="shared" si="59"/>
        <v>0</v>
      </c>
      <c r="AL58" s="20">
        <f t="shared" si="59"/>
        <v>0</v>
      </c>
      <c r="AM58" s="20">
        <f t="shared" si="60"/>
        <v>21.298666257297263</v>
      </c>
      <c r="AO58">
        <f t="shared" si="61"/>
        <v>3.1770523781931344</v>
      </c>
      <c r="AP58">
        <f t="shared" si="61"/>
        <v>0</v>
      </c>
      <c r="AQ58">
        <f t="shared" si="61"/>
        <v>0</v>
      </c>
      <c r="AR58">
        <f t="shared" si="61"/>
        <v>0</v>
      </c>
      <c r="AS58">
        <f t="shared" si="62"/>
        <v>3.1770523781931344</v>
      </c>
      <c r="AU58">
        <f t="shared" si="63"/>
        <v>22.393417702922342</v>
      </c>
      <c r="AV58">
        <f t="shared" si="63"/>
        <v>0</v>
      </c>
      <c r="AW58">
        <f t="shared" si="63"/>
        <v>0</v>
      </c>
      <c r="AX58">
        <f t="shared" si="63"/>
        <v>0</v>
      </c>
      <c r="AY58">
        <f t="shared" si="64"/>
        <v>22.393417702922342</v>
      </c>
    </row>
    <row r="59" spans="1:53" ht="15" x14ac:dyDescent="0.25">
      <c r="A59" s="1"/>
      <c r="B59" s="2"/>
      <c r="C59" s="1" t="s">
        <v>10</v>
      </c>
      <c r="D59">
        <v>0</v>
      </c>
      <c r="E59" s="360">
        <v>0.1384</v>
      </c>
      <c r="F59">
        <v>0</v>
      </c>
      <c r="G59">
        <v>0</v>
      </c>
      <c r="H59">
        <v>0</v>
      </c>
      <c r="J59">
        <v>0</v>
      </c>
      <c r="K59" s="14">
        <v>-8.809080921500001E-2</v>
      </c>
      <c r="L59">
        <v>0</v>
      </c>
      <c r="M59">
        <v>0</v>
      </c>
      <c r="N59">
        <v>0</v>
      </c>
      <c r="O59" s="20"/>
      <c r="P59" s="20"/>
      <c r="Q59" s="438">
        <v>0.47834239302552567</v>
      </c>
      <c r="R59" s="197">
        <v>0.33900000000000002</v>
      </c>
      <c r="S59" s="197">
        <v>1.9830000000000001</v>
      </c>
      <c r="T59" s="197">
        <v>0.76146788990825687</v>
      </c>
      <c r="U59" s="197">
        <v>0.76146788990825687</v>
      </c>
      <c r="V59" s="20">
        <f t="shared" si="55"/>
        <v>0.22442677059014404</v>
      </c>
      <c r="W59" s="20">
        <f t="shared" si="55"/>
        <v>0</v>
      </c>
      <c r="X59" s="20">
        <f t="shared" si="55"/>
        <v>0</v>
      </c>
      <c r="Y59" s="20">
        <f t="shared" si="55"/>
        <v>0</v>
      </c>
      <c r="Z59" s="20">
        <f t="shared" si="56"/>
        <v>0.18066369802744683</v>
      </c>
      <c r="AA59" s="20">
        <f t="shared" si="56"/>
        <v>0</v>
      </c>
      <c r="AB59" s="20">
        <f t="shared" si="56"/>
        <v>0</v>
      </c>
      <c r="AC59" s="20">
        <f t="shared" si="56"/>
        <v>0</v>
      </c>
      <c r="AD59" s="20">
        <f t="shared" si="57"/>
        <v>0.18066369802744683</v>
      </c>
      <c r="AE59" s="20">
        <f t="shared" si="58"/>
        <v>1.3127973040715504</v>
      </c>
      <c r="AF59" s="20">
        <f t="shared" si="58"/>
        <v>0</v>
      </c>
      <c r="AG59" s="20">
        <f t="shared" si="58"/>
        <v>0</v>
      </c>
      <c r="AH59" s="20">
        <f t="shared" si="58"/>
        <v>0</v>
      </c>
      <c r="AI59" s="20">
        <f t="shared" si="59"/>
        <v>1.056802693771171</v>
      </c>
      <c r="AJ59" s="20">
        <f t="shared" si="59"/>
        <v>0</v>
      </c>
      <c r="AK59" s="20">
        <f t="shared" si="59"/>
        <v>0</v>
      </c>
      <c r="AL59" s="20">
        <f t="shared" si="59"/>
        <v>0</v>
      </c>
      <c r="AM59" s="20">
        <f t="shared" si="60"/>
        <v>1.056802693771171</v>
      </c>
      <c r="AO59">
        <f t="shared" si="61"/>
        <v>0.18994981210605758</v>
      </c>
      <c r="AP59">
        <f t="shared" si="61"/>
        <v>0</v>
      </c>
      <c r="AQ59">
        <f t="shared" si="61"/>
        <v>0</v>
      </c>
      <c r="AR59">
        <f t="shared" si="61"/>
        <v>0</v>
      </c>
      <c r="AS59">
        <f t="shared" si="62"/>
        <v>0.18994981210605758</v>
      </c>
      <c r="AU59">
        <f t="shared" si="63"/>
        <v>1.111122352231009</v>
      </c>
      <c r="AV59">
        <f t="shared" si="63"/>
        <v>0</v>
      </c>
      <c r="AW59">
        <f t="shared" si="63"/>
        <v>0</v>
      </c>
      <c r="AX59">
        <f t="shared" si="63"/>
        <v>0</v>
      </c>
      <c r="AY59">
        <f t="shared" si="64"/>
        <v>1.111122352231009</v>
      </c>
    </row>
    <row r="60" spans="1:53" ht="15" x14ac:dyDescent="0.25">
      <c r="A60" s="1"/>
      <c r="B60" s="2"/>
      <c r="C60" s="1" t="s">
        <v>11</v>
      </c>
      <c r="D60">
        <v>0</v>
      </c>
      <c r="E60" s="360">
        <v>2.6183000000000001</v>
      </c>
      <c r="F60">
        <v>0</v>
      </c>
      <c r="G60">
        <v>0</v>
      </c>
      <c r="H60">
        <v>0</v>
      </c>
      <c r="J60">
        <v>0</v>
      </c>
      <c r="K60" s="14">
        <v>2.1201244640930001</v>
      </c>
      <c r="L60">
        <v>0</v>
      </c>
      <c r="M60">
        <v>0</v>
      </c>
      <c r="N60">
        <v>0</v>
      </c>
      <c r="O60" s="20"/>
      <c r="P60" s="20"/>
      <c r="Q60" s="438">
        <v>0.48778985736736757</v>
      </c>
      <c r="R60" s="197">
        <v>0.33900000000000002</v>
      </c>
      <c r="S60" s="197">
        <v>1.9830000000000001</v>
      </c>
      <c r="T60" s="197">
        <v>0.76146788990825687</v>
      </c>
      <c r="U60" s="197">
        <v>0.76146788990825687</v>
      </c>
      <c r="V60" s="20">
        <f t="shared" si="55"/>
        <v>2.1130718251066032</v>
      </c>
      <c r="W60" s="20">
        <f t="shared" si="55"/>
        <v>0</v>
      </c>
      <c r="X60" s="20">
        <f t="shared" si="55"/>
        <v>0</v>
      </c>
      <c r="Y60" s="20">
        <f t="shared" si="55"/>
        <v>0</v>
      </c>
      <c r="Z60" s="20">
        <f t="shared" si="56"/>
        <v>1.7010242098904511</v>
      </c>
      <c r="AA60" s="20">
        <f t="shared" si="56"/>
        <v>0</v>
      </c>
      <c r="AB60" s="20">
        <f t="shared" si="56"/>
        <v>0</v>
      </c>
      <c r="AC60" s="20">
        <f t="shared" si="56"/>
        <v>0</v>
      </c>
      <c r="AD60" s="20">
        <f t="shared" si="57"/>
        <v>1.7010242098904511</v>
      </c>
      <c r="AE60" s="20">
        <f t="shared" si="58"/>
        <v>16.695413756010613</v>
      </c>
      <c r="AF60" s="20">
        <f t="shared" si="58"/>
        <v>0</v>
      </c>
      <c r="AG60" s="20">
        <f t="shared" si="58"/>
        <v>0</v>
      </c>
      <c r="AH60" s="20">
        <f t="shared" si="58"/>
        <v>0</v>
      </c>
      <c r="AI60" s="20">
        <f t="shared" si="59"/>
        <v>13.439819061370237</v>
      </c>
      <c r="AJ60" s="20">
        <f t="shared" si="59"/>
        <v>0</v>
      </c>
      <c r="AK60" s="20">
        <f t="shared" si="59"/>
        <v>0</v>
      </c>
      <c r="AL60" s="20">
        <f t="shared" si="59"/>
        <v>0</v>
      </c>
      <c r="AM60" s="20">
        <f t="shared" si="60"/>
        <v>13.439819061370237</v>
      </c>
      <c r="AO60">
        <f t="shared" si="61"/>
        <v>1.7884568542788202</v>
      </c>
      <c r="AP60">
        <f t="shared" si="61"/>
        <v>0</v>
      </c>
      <c r="AQ60">
        <f t="shared" si="61"/>
        <v>0</v>
      </c>
      <c r="AR60">
        <f t="shared" si="61"/>
        <v>0</v>
      </c>
      <c r="AS60">
        <f t="shared" si="62"/>
        <v>1.7884568542788202</v>
      </c>
      <c r="AU60">
        <f t="shared" si="63"/>
        <v>14.130625761124666</v>
      </c>
      <c r="AV60">
        <f t="shared" si="63"/>
        <v>0</v>
      </c>
      <c r="AW60">
        <f t="shared" si="63"/>
        <v>0</v>
      </c>
      <c r="AX60">
        <f t="shared" si="63"/>
        <v>0</v>
      </c>
      <c r="AY60">
        <f t="shared" si="64"/>
        <v>14.130625761124666</v>
      </c>
    </row>
    <row r="61" spans="1:53" ht="15" x14ac:dyDescent="0.25">
      <c r="A61" s="1"/>
      <c r="B61" s="2"/>
      <c r="C61" s="1" t="s">
        <v>12</v>
      </c>
      <c r="D61">
        <v>0</v>
      </c>
      <c r="E61" s="360">
        <v>0</v>
      </c>
      <c r="F61">
        <v>0</v>
      </c>
      <c r="G61">
        <v>0</v>
      </c>
      <c r="H61">
        <v>0</v>
      </c>
      <c r="J61">
        <v>0</v>
      </c>
      <c r="K61" s="14">
        <v>0</v>
      </c>
      <c r="L61">
        <v>0</v>
      </c>
      <c r="M61">
        <v>0</v>
      </c>
      <c r="N61">
        <v>0</v>
      </c>
      <c r="O61" s="20"/>
      <c r="P61" s="20"/>
      <c r="Q61" s="438"/>
      <c r="R61" s="197">
        <v>0.33900000000000002</v>
      </c>
      <c r="S61" s="197">
        <v>1.9830000000000001</v>
      </c>
      <c r="T61" s="197">
        <v>0.76146788990825687</v>
      </c>
      <c r="U61" s="197">
        <v>0.76146788990825687</v>
      </c>
      <c r="V61" s="20">
        <f t="shared" si="55"/>
        <v>0</v>
      </c>
      <c r="W61" s="20">
        <f t="shared" si="55"/>
        <v>0</v>
      </c>
      <c r="X61" s="20">
        <f t="shared" si="55"/>
        <v>0</v>
      </c>
      <c r="Y61" s="20">
        <f t="shared" si="55"/>
        <v>0</v>
      </c>
      <c r="Z61" s="20">
        <f t="shared" si="56"/>
        <v>0</v>
      </c>
      <c r="AA61" s="20">
        <f t="shared" si="56"/>
        <v>0</v>
      </c>
      <c r="AB61" s="20">
        <f t="shared" si="56"/>
        <v>0</v>
      </c>
      <c r="AC61" s="20">
        <f t="shared" si="56"/>
        <v>0</v>
      </c>
      <c r="AD61" s="20">
        <f t="shared" si="57"/>
        <v>0</v>
      </c>
      <c r="AE61" s="20">
        <f t="shared" si="58"/>
        <v>0</v>
      </c>
      <c r="AF61" s="20">
        <f t="shared" si="58"/>
        <v>0</v>
      </c>
      <c r="AG61" s="20">
        <f t="shared" si="58"/>
        <v>0</v>
      </c>
      <c r="AH61" s="20">
        <f t="shared" si="58"/>
        <v>0</v>
      </c>
      <c r="AI61" s="20">
        <f t="shared" si="59"/>
        <v>0</v>
      </c>
      <c r="AJ61" s="20">
        <f t="shared" si="59"/>
        <v>0</v>
      </c>
      <c r="AK61" s="20">
        <f t="shared" si="59"/>
        <v>0</v>
      </c>
      <c r="AL61" s="20">
        <f t="shared" si="59"/>
        <v>0</v>
      </c>
      <c r="AM61" s="20">
        <f t="shared" si="60"/>
        <v>0</v>
      </c>
      <c r="AO61">
        <f t="shared" si="61"/>
        <v>0</v>
      </c>
      <c r="AP61">
        <f t="shared" si="61"/>
        <v>0</v>
      </c>
      <c r="AQ61">
        <f t="shared" si="61"/>
        <v>0</v>
      </c>
      <c r="AR61">
        <f t="shared" si="61"/>
        <v>0</v>
      </c>
      <c r="AS61">
        <f t="shared" si="62"/>
        <v>0</v>
      </c>
      <c r="AU61">
        <f t="shared" si="63"/>
        <v>0</v>
      </c>
      <c r="AV61">
        <f t="shared" si="63"/>
        <v>0</v>
      </c>
      <c r="AW61">
        <f t="shared" si="63"/>
        <v>0</v>
      </c>
      <c r="AX61">
        <f t="shared" si="63"/>
        <v>0</v>
      </c>
      <c r="AY61">
        <f t="shared" si="64"/>
        <v>0</v>
      </c>
    </row>
    <row r="62" spans="1:53" ht="15" x14ac:dyDescent="0.25">
      <c r="A62" s="1"/>
      <c r="B62" s="2"/>
      <c r="C62" s="1" t="s">
        <v>13</v>
      </c>
      <c r="D62">
        <v>0</v>
      </c>
      <c r="E62" s="360">
        <v>1.4E-3</v>
      </c>
      <c r="F62">
        <v>0</v>
      </c>
      <c r="G62">
        <v>0</v>
      </c>
      <c r="H62">
        <v>0</v>
      </c>
      <c r="J62">
        <v>0</v>
      </c>
      <c r="K62" s="14">
        <v>1.4E-3</v>
      </c>
      <c r="L62">
        <v>0</v>
      </c>
      <c r="M62">
        <v>0</v>
      </c>
      <c r="N62">
        <v>0</v>
      </c>
      <c r="O62" s="20"/>
      <c r="P62" s="20"/>
      <c r="Q62" s="438">
        <v>0.48778985736736752</v>
      </c>
      <c r="R62" s="197">
        <v>0.33900000000000002</v>
      </c>
      <c r="S62" s="197">
        <v>1.9830000000000001</v>
      </c>
      <c r="T62" s="197">
        <v>0.76146788990825687</v>
      </c>
      <c r="U62" s="197">
        <v>0.76146788990825687</v>
      </c>
      <c r="V62" s="20">
        <f t="shared" si="55"/>
        <v>8.5136461608488999E-4</v>
      </c>
      <c r="W62" s="20">
        <f t="shared" si="55"/>
        <v>0</v>
      </c>
      <c r="X62" s="20">
        <f t="shared" si="55"/>
        <v>0</v>
      </c>
      <c r="Y62" s="20">
        <f t="shared" si="55"/>
        <v>0</v>
      </c>
      <c r="Z62" s="20">
        <f t="shared" si="56"/>
        <v>6.8534907625841194E-4</v>
      </c>
      <c r="AA62" s="20">
        <f t="shared" si="56"/>
        <v>0</v>
      </c>
      <c r="AB62" s="20">
        <f t="shared" si="56"/>
        <v>0</v>
      </c>
      <c r="AC62" s="20">
        <f t="shared" si="56"/>
        <v>0</v>
      </c>
      <c r="AD62" s="20">
        <f t="shared" si="57"/>
        <v>6.8534907625841194E-4</v>
      </c>
      <c r="AE62" s="20">
        <f t="shared" si="58"/>
        <v>7.842593896172121E-3</v>
      </c>
      <c r="AF62" s="20">
        <f t="shared" si="58"/>
        <v>0</v>
      </c>
      <c r="AG62" s="20">
        <f t="shared" si="58"/>
        <v>0</v>
      </c>
      <c r="AH62" s="20">
        <f t="shared" si="58"/>
        <v>0</v>
      </c>
      <c r="AI62" s="20">
        <f t="shared" si="59"/>
        <v>6.3132932478785183E-3</v>
      </c>
      <c r="AJ62" s="20">
        <f t="shared" si="59"/>
        <v>0</v>
      </c>
      <c r="AK62" s="20">
        <f t="shared" si="59"/>
        <v>0</v>
      </c>
      <c r="AL62" s="20">
        <f t="shared" si="59"/>
        <v>0</v>
      </c>
      <c r="AM62" s="20">
        <f t="shared" si="60"/>
        <v>6.3132932478785183E-3</v>
      </c>
      <c r="AO62">
        <f t="shared" si="61"/>
        <v>7.2057601877809421E-4</v>
      </c>
      <c r="AP62">
        <f t="shared" si="61"/>
        <v>0</v>
      </c>
      <c r="AQ62">
        <f t="shared" si="61"/>
        <v>0</v>
      </c>
      <c r="AR62">
        <f t="shared" si="61"/>
        <v>0</v>
      </c>
      <c r="AS62">
        <f t="shared" si="62"/>
        <v>7.2057601877809421E-4</v>
      </c>
      <c r="AU62">
        <f t="shared" si="63"/>
        <v>6.6377965208194731E-3</v>
      </c>
      <c r="AV62">
        <f t="shared" si="63"/>
        <v>0</v>
      </c>
      <c r="AW62">
        <f t="shared" si="63"/>
        <v>0</v>
      </c>
      <c r="AX62">
        <f t="shared" si="63"/>
        <v>0</v>
      </c>
      <c r="AY62">
        <f t="shared" si="64"/>
        <v>6.6377965208194731E-3</v>
      </c>
    </row>
    <row r="63" spans="1:53" ht="15" x14ac:dyDescent="0.25">
      <c r="A63" s="7"/>
      <c r="B63" s="8" t="s">
        <v>14</v>
      </c>
      <c r="C63" s="7"/>
      <c r="D63" s="357">
        <f t="shared" ref="D63:H63" si="65">SUM(D57:D62)</f>
        <v>0</v>
      </c>
      <c r="E63" s="363">
        <f>SUM(E57:E62)</f>
        <v>18.565100000000001</v>
      </c>
      <c r="F63" s="357">
        <f t="shared" si="65"/>
        <v>0</v>
      </c>
      <c r="G63" s="357">
        <f t="shared" si="65"/>
        <v>0</v>
      </c>
      <c r="H63" s="357">
        <f t="shared" si="65"/>
        <v>0</v>
      </c>
      <c r="J63">
        <v>0</v>
      </c>
      <c r="K63" s="14">
        <v>16.231872926109002</v>
      </c>
      <c r="L63">
        <v>0</v>
      </c>
      <c r="M63">
        <v>0</v>
      </c>
      <c r="N63">
        <v>0</v>
      </c>
      <c r="O63" s="20"/>
      <c r="P63" s="20"/>
      <c r="Q63" s="438">
        <v>0.46552612302451712</v>
      </c>
      <c r="R63" s="197"/>
      <c r="S63" s="197"/>
      <c r="T63" s="197"/>
      <c r="U63" s="197"/>
      <c r="BA63" s="319">
        <f>(E63*10000*Q63*AU$10)</f>
        <v>90867.655325277738</v>
      </c>
    </row>
    <row r="64" spans="1:53" ht="15" x14ac:dyDescent="0.25">
      <c r="A64" s="10"/>
      <c r="B64" s="9" t="s">
        <v>15</v>
      </c>
      <c r="C64" s="5"/>
      <c r="E64" s="363">
        <f>SUM(E63)</f>
        <v>18.565100000000001</v>
      </c>
      <c r="H64" s="358">
        <f>SUM(D63:H63)</f>
        <v>18.565100000000001</v>
      </c>
      <c r="K64" s="14"/>
      <c r="N64">
        <v>0</v>
      </c>
      <c r="O64" s="20"/>
      <c r="P64" s="20"/>
      <c r="Q64" s="438"/>
      <c r="R64" s="197"/>
      <c r="S64" s="197"/>
      <c r="T64" s="197"/>
      <c r="U64" s="197"/>
    </row>
    <row r="65" spans="1:53" ht="15.75" x14ac:dyDescent="0.25">
      <c r="A65" s="3"/>
      <c r="B65" s="11"/>
      <c r="C65" s="3"/>
      <c r="E65" s="361"/>
      <c r="K65" s="14"/>
      <c r="O65" s="20"/>
      <c r="P65" s="20"/>
      <c r="Q65" s="439"/>
      <c r="R65" s="197"/>
      <c r="S65" s="197"/>
      <c r="T65" s="197"/>
      <c r="U65" s="197"/>
    </row>
    <row r="66" spans="1:53" ht="15" x14ac:dyDescent="0.25">
      <c r="A66" s="3">
        <v>7</v>
      </c>
      <c r="B66" s="11" t="s">
        <v>21</v>
      </c>
      <c r="C66" s="3" t="s">
        <v>8</v>
      </c>
      <c r="D66">
        <v>0</v>
      </c>
      <c r="E66" s="360">
        <v>3.6787999999999998</v>
      </c>
      <c r="F66">
        <v>0</v>
      </c>
      <c r="G66">
        <v>0</v>
      </c>
      <c r="H66">
        <v>0</v>
      </c>
      <c r="J66">
        <v>0</v>
      </c>
      <c r="K66" s="14">
        <v>0.48486916860059948</v>
      </c>
      <c r="L66">
        <v>0</v>
      </c>
      <c r="M66">
        <v>0</v>
      </c>
      <c r="N66">
        <v>0</v>
      </c>
      <c r="O66" s="20"/>
      <c r="P66" s="20"/>
      <c r="Q66" s="438">
        <v>2.7705979396846929E-2</v>
      </c>
      <c r="R66" s="197">
        <v>0.15</v>
      </c>
      <c r="S66" s="197">
        <v>1.18</v>
      </c>
      <c r="T66" s="197">
        <v>0.46666666666666673</v>
      </c>
      <c r="U66" s="197">
        <v>0.6566321730950142</v>
      </c>
      <c r="V66" s="20">
        <f t="shared" ref="V66:Y71" si="66">IF(K66&gt;0,((E66-K66)*$Q66*$R66*10)+(K66*$O$12*$Q66*$R66*10),(E66*$Q66*$R66*10))</f>
        <v>0.14014692016887306</v>
      </c>
      <c r="W66" s="20">
        <f t="shared" si="66"/>
        <v>0</v>
      </c>
      <c r="X66" s="20">
        <f t="shared" si="66"/>
        <v>0</v>
      </c>
      <c r="Y66" s="20">
        <f t="shared" si="66"/>
        <v>0</v>
      </c>
      <c r="Z66" s="20">
        <f t="shared" ref="Z66:AC71" si="67">V66*(EXP(1.01-0.34*LN(Z$8))*(1-$T66)+(1*$T66))</f>
        <v>7.9043069203549227E-2</v>
      </c>
      <c r="AA66" s="20">
        <f t="shared" si="67"/>
        <v>0</v>
      </c>
      <c r="AB66" s="20">
        <f t="shared" si="67"/>
        <v>0</v>
      </c>
      <c r="AC66" s="20">
        <f t="shared" si="67"/>
        <v>0</v>
      </c>
      <c r="AD66" s="20">
        <f t="shared" ref="AD66:AD71" si="68">SUM(Z66:AC66)</f>
        <v>7.9043069203549227E-2</v>
      </c>
      <c r="AE66" s="20">
        <f t="shared" ref="AE66:AH71" si="69">IF(K66&gt;0,((E66-K66)*$Q66*$S66*10)+(K66*$P$12*$Q66*$S66)*10,(E66*$Q66*$S66*10))</f>
        <v>1.1359964630690857</v>
      </c>
      <c r="AF66" s="20">
        <f t="shared" si="69"/>
        <v>0</v>
      </c>
      <c r="AG66" s="20">
        <f t="shared" si="69"/>
        <v>0</v>
      </c>
      <c r="AH66" s="20">
        <f t="shared" si="69"/>
        <v>0</v>
      </c>
      <c r="AI66" s="20">
        <f t="shared" ref="AI66:AL71" si="70">AE66*(EXP(1.01-0.34*LN(AI$8))*(1-$U66)+(1*$U66))</f>
        <v>0.81711969863051681</v>
      </c>
      <c r="AJ66" s="20">
        <f t="shared" si="70"/>
        <v>0</v>
      </c>
      <c r="AK66" s="20">
        <f t="shared" si="70"/>
        <v>0</v>
      </c>
      <c r="AL66" s="20">
        <f t="shared" si="70"/>
        <v>0</v>
      </c>
      <c r="AM66" s="20">
        <f t="shared" ref="AM66:AM71" si="71">SUM(AI66:AL66)</f>
        <v>0.81711969863051681</v>
      </c>
      <c r="AO66">
        <f t="shared" ref="AO66:AR71" si="72">Z66*AO$10</f>
        <v>8.3105882960611652E-2</v>
      </c>
      <c r="AP66">
        <f t="shared" si="72"/>
        <v>0</v>
      </c>
      <c r="AQ66">
        <f t="shared" si="72"/>
        <v>0</v>
      </c>
      <c r="AR66">
        <f t="shared" si="72"/>
        <v>0</v>
      </c>
      <c r="AS66">
        <f t="shared" ref="AS66:AS71" si="73">SUM(AO66:AR66)</f>
        <v>8.3105882960611652E-2</v>
      </c>
      <c r="AU66">
        <f t="shared" ref="AU66:AX71" si="74">AI66*AU$10</f>
        <v>0.85911965114012534</v>
      </c>
      <c r="AV66">
        <f t="shared" si="74"/>
        <v>0</v>
      </c>
      <c r="AW66">
        <f t="shared" si="74"/>
        <v>0</v>
      </c>
      <c r="AX66">
        <f t="shared" si="74"/>
        <v>0</v>
      </c>
      <c r="AY66">
        <f t="shared" ref="AY66:AY71" si="75">SUM(AU66:AX66)</f>
        <v>0.85911965114012534</v>
      </c>
    </row>
    <row r="67" spans="1:53" ht="15" x14ac:dyDescent="0.25">
      <c r="A67" s="3"/>
      <c r="B67" s="11"/>
      <c r="C67" s="3" t="s">
        <v>9</v>
      </c>
      <c r="D67">
        <v>0</v>
      </c>
      <c r="E67" s="360">
        <v>4.2149000000000001</v>
      </c>
      <c r="F67">
        <v>0</v>
      </c>
      <c r="G67">
        <v>0</v>
      </c>
      <c r="H67">
        <v>0</v>
      </c>
      <c r="J67">
        <v>0</v>
      </c>
      <c r="K67" s="14">
        <v>-24.0944119095</v>
      </c>
      <c r="L67">
        <v>0</v>
      </c>
      <c r="M67">
        <v>0</v>
      </c>
      <c r="N67">
        <v>0</v>
      </c>
      <c r="O67" s="20"/>
      <c r="P67" s="20"/>
      <c r="Q67" s="438">
        <v>4.641195879369385E-2</v>
      </c>
      <c r="R67" s="197">
        <v>0.15</v>
      </c>
      <c r="S67" s="197">
        <v>1.18</v>
      </c>
      <c r="T67" s="197">
        <v>0.46666666666666673</v>
      </c>
      <c r="U67" s="197">
        <v>0.6566321730950142</v>
      </c>
      <c r="V67" s="20">
        <f t="shared" si="66"/>
        <v>0.29343264767931032</v>
      </c>
      <c r="W67" s="20">
        <f t="shared" si="66"/>
        <v>0</v>
      </c>
      <c r="X67" s="20">
        <f t="shared" si="66"/>
        <v>0</v>
      </c>
      <c r="Y67" s="20">
        <f t="shared" si="66"/>
        <v>0</v>
      </c>
      <c r="Z67" s="20">
        <f t="shared" si="67"/>
        <v>0.16549644508169364</v>
      </c>
      <c r="AA67" s="20">
        <f t="shared" si="67"/>
        <v>0</v>
      </c>
      <c r="AB67" s="20">
        <f t="shared" si="67"/>
        <v>0</v>
      </c>
      <c r="AC67" s="20">
        <f t="shared" si="67"/>
        <v>0</v>
      </c>
      <c r="AD67" s="20">
        <f t="shared" si="68"/>
        <v>0.16549644508169364</v>
      </c>
      <c r="AE67" s="20">
        <f t="shared" si="69"/>
        <v>2.3083368284105745</v>
      </c>
      <c r="AF67" s="20">
        <f t="shared" si="69"/>
        <v>0</v>
      </c>
      <c r="AG67" s="20">
        <f t="shared" si="69"/>
        <v>0</v>
      </c>
      <c r="AH67" s="20">
        <f t="shared" si="69"/>
        <v>0</v>
      </c>
      <c r="AI67" s="20">
        <f t="shared" si="70"/>
        <v>1.6603814843513847</v>
      </c>
      <c r="AJ67" s="20">
        <f t="shared" si="70"/>
        <v>0</v>
      </c>
      <c r="AK67" s="20">
        <f t="shared" si="70"/>
        <v>0</v>
      </c>
      <c r="AL67" s="20">
        <f t="shared" si="70"/>
        <v>0</v>
      </c>
      <c r="AM67" s="20">
        <f t="shared" si="71"/>
        <v>1.6603814843513847</v>
      </c>
      <c r="AO67">
        <f t="shared" si="72"/>
        <v>0.17400296235889268</v>
      </c>
      <c r="AP67">
        <f t="shared" si="72"/>
        <v>0</v>
      </c>
      <c r="AQ67">
        <f t="shared" si="72"/>
        <v>0</v>
      </c>
      <c r="AR67">
        <f t="shared" si="72"/>
        <v>0</v>
      </c>
      <c r="AS67">
        <f t="shared" si="73"/>
        <v>0.17400296235889268</v>
      </c>
      <c r="AU67">
        <f t="shared" si="74"/>
        <v>1.7457250926470456</v>
      </c>
      <c r="AV67">
        <f t="shared" si="74"/>
        <v>0</v>
      </c>
      <c r="AW67">
        <f t="shared" si="74"/>
        <v>0</v>
      </c>
      <c r="AX67">
        <f t="shared" si="74"/>
        <v>0</v>
      </c>
      <c r="AY67">
        <f t="shared" si="75"/>
        <v>1.7457250926470456</v>
      </c>
    </row>
    <row r="68" spans="1:53" ht="15" x14ac:dyDescent="0.25">
      <c r="A68" s="3"/>
      <c r="B68" s="11"/>
      <c r="C68" s="3" t="s">
        <v>10</v>
      </c>
      <c r="D68">
        <v>0</v>
      </c>
      <c r="E68" s="360">
        <v>0</v>
      </c>
      <c r="F68">
        <v>0</v>
      </c>
      <c r="G68">
        <v>0</v>
      </c>
      <c r="H68">
        <v>0</v>
      </c>
      <c r="J68">
        <v>0</v>
      </c>
      <c r="K68" s="14">
        <v>0</v>
      </c>
      <c r="L68">
        <v>0</v>
      </c>
      <c r="M68">
        <v>0</v>
      </c>
      <c r="N68">
        <v>0</v>
      </c>
      <c r="O68" s="20"/>
      <c r="P68" s="20"/>
      <c r="Q68" s="438"/>
      <c r="R68" s="197">
        <v>0.15</v>
      </c>
      <c r="S68" s="197">
        <v>1.18</v>
      </c>
      <c r="T68" s="197">
        <v>0.46666666666666673</v>
      </c>
      <c r="U68" s="197">
        <v>0.6566321730950142</v>
      </c>
      <c r="V68" s="20">
        <f t="shared" si="66"/>
        <v>0</v>
      </c>
      <c r="W68" s="20">
        <f t="shared" si="66"/>
        <v>0</v>
      </c>
      <c r="X68" s="20">
        <f t="shared" si="66"/>
        <v>0</v>
      </c>
      <c r="Y68" s="20">
        <f t="shared" si="66"/>
        <v>0</v>
      </c>
      <c r="Z68" s="20">
        <f t="shared" si="67"/>
        <v>0</v>
      </c>
      <c r="AA68" s="20">
        <f t="shared" si="67"/>
        <v>0</v>
      </c>
      <c r="AB68" s="20">
        <f t="shared" si="67"/>
        <v>0</v>
      </c>
      <c r="AC68" s="20">
        <f t="shared" si="67"/>
        <v>0</v>
      </c>
      <c r="AD68" s="20">
        <f t="shared" si="68"/>
        <v>0</v>
      </c>
      <c r="AE68" s="20">
        <f t="shared" si="69"/>
        <v>0</v>
      </c>
      <c r="AF68" s="20">
        <f t="shared" si="69"/>
        <v>0</v>
      </c>
      <c r="AG68" s="20">
        <f t="shared" si="69"/>
        <v>0</v>
      </c>
      <c r="AH68" s="20">
        <f t="shared" si="69"/>
        <v>0</v>
      </c>
      <c r="AI68" s="20">
        <f t="shared" si="70"/>
        <v>0</v>
      </c>
      <c r="AJ68" s="20">
        <f t="shared" si="70"/>
        <v>0</v>
      </c>
      <c r="AK68" s="20">
        <f t="shared" si="70"/>
        <v>0</v>
      </c>
      <c r="AL68" s="20">
        <f t="shared" si="70"/>
        <v>0</v>
      </c>
      <c r="AM68" s="20">
        <f t="shared" si="71"/>
        <v>0</v>
      </c>
      <c r="AO68">
        <f t="shared" si="72"/>
        <v>0</v>
      </c>
      <c r="AP68">
        <f t="shared" si="72"/>
        <v>0</v>
      </c>
      <c r="AQ68">
        <f t="shared" si="72"/>
        <v>0</v>
      </c>
      <c r="AR68">
        <f t="shared" si="72"/>
        <v>0</v>
      </c>
      <c r="AS68">
        <f t="shared" si="73"/>
        <v>0</v>
      </c>
      <c r="AU68">
        <f t="shared" si="74"/>
        <v>0</v>
      </c>
      <c r="AV68">
        <f t="shared" si="74"/>
        <v>0</v>
      </c>
      <c r="AW68">
        <f t="shared" si="74"/>
        <v>0</v>
      </c>
      <c r="AX68">
        <f t="shared" si="74"/>
        <v>0</v>
      </c>
      <c r="AY68">
        <f t="shared" si="75"/>
        <v>0</v>
      </c>
    </row>
    <row r="69" spans="1:53" ht="15" x14ac:dyDescent="0.25">
      <c r="A69" s="3"/>
      <c r="B69" s="11"/>
      <c r="C69" s="3" t="s">
        <v>11</v>
      </c>
      <c r="D69">
        <v>0</v>
      </c>
      <c r="E69" s="360">
        <v>0.18565999999999999</v>
      </c>
      <c r="F69">
        <v>0</v>
      </c>
      <c r="G69">
        <v>0</v>
      </c>
      <c r="H69">
        <v>0</v>
      </c>
      <c r="J69">
        <v>0</v>
      </c>
      <c r="K69" s="14">
        <v>-0.24479512371430001</v>
      </c>
      <c r="L69">
        <v>0</v>
      </c>
      <c r="M69">
        <v>0</v>
      </c>
      <c r="N69">
        <v>0</v>
      </c>
      <c r="O69" s="20"/>
      <c r="P69" s="20"/>
      <c r="Q69" s="438">
        <v>8.3823917587387692E-2</v>
      </c>
      <c r="R69" s="197">
        <v>0.15</v>
      </c>
      <c r="S69" s="197">
        <v>1.18</v>
      </c>
      <c r="T69" s="197">
        <v>0.46666666666666673</v>
      </c>
      <c r="U69" s="197">
        <v>0.6566321730950142</v>
      </c>
      <c r="V69" s="20">
        <f t="shared" si="66"/>
        <v>2.3344122808911599E-2</v>
      </c>
      <c r="W69" s="20">
        <f t="shared" si="66"/>
        <v>0</v>
      </c>
      <c r="X69" s="20">
        <f t="shared" si="66"/>
        <v>0</v>
      </c>
      <c r="Y69" s="20">
        <f t="shared" si="66"/>
        <v>0</v>
      </c>
      <c r="Z69" s="20">
        <f t="shared" si="67"/>
        <v>1.3166119615454615E-2</v>
      </c>
      <c r="AA69" s="20">
        <f t="shared" si="67"/>
        <v>0</v>
      </c>
      <c r="AB69" s="20">
        <f t="shared" si="67"/>
        <v>0</v>
      </c>
      <c r="AC69" s="20">
        <f t="shared" si="67"/>
        <v>0</v>
      </c>
      <c r="AD69" s="20">
        <f t="shared" si="68"/>
        <v>1.3166119615454615E-2</v>
      </c>
      <c r="AE69" s="20">
        <f t="shared" si="69"/>
        <v>0.18364043276343789</v>
      </c>
      <c r="AF69" s="20">
        <f t="shared" si="69"/>
        <v>0</v>
      </c>
      <c r="AG69" s="20">
        <f t="shared" si="69"/>
        <v>0</v>
      </c>
      <c r="AH69" s="20">
        <f t="shared" si="69"/>
        <v>0</v>
      </c>
      <c r="AI69" s="20">
        <f t="shared" si="70"/>
        <v>0.13209214989159027</v>
      </c>
      <c r="AJ69" s="20">
        <f t="shared" si="70"/>
        <v>0</v>
      </c>
      <c r="AK69" s="20">
        <f t="shared" si="70"/>
        <v>0</v>
      </c>
      <c r="AL69" s="20">
        <f t="shared" si="70"/>
        <v>0</v>
      </c>
      <c r="AM69" s="20">
        <f t="shared" si="71"/>
        <v>0.13209214989159027</v>
      </c>
      <c r="AO69">
        <f t="shared" si="72"/>
        <v>1.384285816368898E-2</v>
      </c>
      <c r="AP69">
        <f t="shared" si="72"/>
        <v>0</v>
      </c>
      <c r="AQ69">
        <f t="shared" si="72"/>
        <v>0</v>
      </c>
      <c r="AR69">
        <f t="shared" si="72"/>
        <v>0</v>
      </c>
      <c r="AS69">
        <f t="shared" si="73"/>
        <v>1.384285816368898E-2</v>
      </c>
      <c r="AU69">
        <f t="shared" si="74"/>
        <v>0.138881686396018</v>
      </c>
      <c r="AV69">
        <f t="shared" si="74"/>
        <v>0</v>
      </c>
      <c r="AW69">
        <f t="shared" si="74"/>
        <v>0</v>
      </c>
      <c r="AX69">
        <f t="shared" si="74"/>
        <v>0</v>
      </c>
      <c r="AY69">
        <f t="shared" si="75"/>
        <v>0.138881686396018</v>
      </c>
    </row>
    <row r="70" spans="1:53" ht="15" x14ac:dyDescent="0.25">
      <c r="A70" s="3"/>
      <c r="B70" s="12"/>
      <c r="C70" s="3" t="s">
        <v>12</v>
      </c>
      <c r="D70">
        <v>0</v>
      </c>
      <c r="E70" s="360">
        <v>0</v>
      </c>
      <c r="F70">
        <v>0</v>
      </c>
      <c r="G70">
        <v>0</v>
      </c>
      <c r="H70">
        <v>0</v>
      </c>
      <c r="J70">
        <v>0</v>
      </c>
      <c r="K70" s="14">
        <v>0</v>
      </c>
      <c r="L70">
        <v>0</v>
      </c>
      <c r="M70">
        <v>0</v>
      </c>
      <c r="N70">
        <v>0</v>
      </c>
      <c r="O70" s="20"/>
      <c r="P70" s="20"/>
      <c r="Q70" s="438"/>
      <c r="R70" s="197">
        <v>0.15</v>
      </c>
      <c r="S70" s="197">
        <v>1.18</v>
      </c>
      <c r="T70" s="197">
        <v>0.46666666666666673</v>
      </c>
      <c r="U70" s="197">
        <v>0.6566321730950142</v>
      </c>
      <c r="V70" s="20">
        <f t="shared" si="66"/>
        <v>0</v>
      </c>
      <c r="W70" s="20">
        <f t="shared" si="66"/>
        <v>0</v>
      </c>
      <c r="X70" s="20">
        <f t="shared" si="66"/>
        <v>0</v>
      </c>
      <c r="Y70" s="20">
        <f t="shared" si="66"/>
        <v>0</v>
      </c>
      <c r="Z70" s="20">
        <f t="shared" si="67"/>
        <v>0</v>
      </c>
      <c r="AA70" s="20">
        <f t="shared" si="67"/>
        <v>0</v>
      </c>
      <c r="AB70" s="20">
        <f t="shared" si="67"/>
        <v>0</v>
      </c>
      <c r="AC70" s="20">
        <f t="shared" si="67"/>
        <v>0</v>
      </c>
      <c r="AD70" s="20">
        <f t="shared" si="68"/>
        <v>0</v>
      </c>
      <c r="AE70" s="20">
        <f t="shared" si="69"/>
        <v>0</v>
      </c>
      <c r="AF70" s="20">
        <f t="shared" si="69"/>
        <v>0</v>
      </c>
      <c r="AG70" s="20">
        <f t="shared" si="69"/>
        <v>0</v>
      </c>
      <c r="AH70" s="20">
        <f t="shared" si="69"/>
        <v>0</v>
      </c>
      <c r="AI70" s="20">
        <f t="shared" si="70"/>
        <v>0</v>
      </c>
      <c r="AJ70" s="20">
        <f t="shared" si="70"/>
        <v>0</v>
      </c>
      <c r="AK70" s="20">
        <f t="shared" si="70"/>
        <v>0</v>
      </c>
      <c r="AL70" s="20">
        <f t="shared" si="70"/>
        <v>0</v>
      </c>
      <c r="AM70" s="20">
        <f t="shared" si="71"/>
        <v>0</v>
      </c>
      <c r="AO70">
        <f t="shared" si="72"/>
        <v>0</v>
      </c>
      <c r="AP70">
        <f t="shared" si="72"/>
        <v>0</v>
      </c>
      <c r="AQ70">
        <f t="shared" si="72"/>
        <v>0</v>
      </c>
      <c r="AR70">
        <f t="shared" si="72"/>
        <v>0</v>
      </c>
      <c r="AS70">
        <f t="shared" si="73"/>
        <v>0</v>
      </c>
      <c r="AU70">
        <f t="shared" si="74"/>
        <v>0</v>
      </c>
      <c r="AV70">
        <f t="shared" si="74"/>
        <v>0</v>
      </c>
      <c r="AW70">
        <f t="shared" si="74"/>
        <v>0</v>
      </c>
      <c r="AX70">
        <f t="shared" si="74"/>
        <v>0</v>
      </c>
      <c r="AY70">
        <f t="shared" si="75"/>
        <v>0</v>
      </c>
    </row>
    <row r="71" spans="1:53" ht="15" x14ac:dyDescent="0.25">
      <c r="A71" s="3"/>
      <c r="B71" s="12"/>
      <c r="C71" s="3" t="s">
        <v>13</v>
      </c>
      <c r="D71">
        <v>0</v>
      </c>
      <c r="E71" s="360">
        <v>0</v>
      </c>
      <c r="F71">
        <v>0</v>
      </c>
      <c r="G71">
        <v>0</v>
      </c>
      <c r="H71">
        <v>0</v>
      </c>
      <c r="J71">
        <v>0</v>
      </c>
      <c r="K71" s="14">
        <v>-3.8476341248699999</v>
      </c>
      <c r="L71">
        <v>0</v>
      </c>
      <c r="M71">
        <v>0</v>
      </c>
      <c r="N71">
        <v>0</v>
      </c>
      <c r="O71" s="20"/>
      <c r="P71" s="20"/>
      <c r="Q71" s="438"/>
      <c r="R71" s="197">
        <v>0.15</v>
      </c>
      <c r="S71" s="197">
        <v>1.18</v>
      </c>
      <c r="T71" s="197">
        <v>0.46666666666666673</v>
      </c>
      <c r="U71" s="197">
        <v>0.6566321730950142</v>
      </c>
      <c r="V71" s="20">
        <f t="shared" si="66"/>
        <v>0</v>
      </c>
      <c r="W71" s="20">
        <f t="shared" si="66"/>
        <v>0</v>
      </c>
      <c r="X71" s="20">
        <f t="shared" si="66"/>
        <v>0</v>
      </c>
      <c r="Y71" s="20">
        <f t="shared" si="66"/>
        <v>0</v>
      </c>
      <c r="Z71" s="20">
        <f t="shared" si="67"/>
        <v>0</v>
      </c>
      <c r="AA71" s="20">
        <f t="shared" si="67"/>
        <v>0</v>
      </c>
      <c r="AB71" s="20">
        <f t="shared" si="67"/>
        <v>0</v>
      </c>
      <c r="AC71" s="20">
        <f t="shared" si="67"/>
        <v>0</v>
      </c>
      <c r="AD71" s="20">
        <f t="shared" si="68"/>
        <v>0</v>
      </c>
      <c r="AE71" s="20">
        <f t="shared" si="69"/>
        <v>0</v>
      </c>
      <c r="AF71" s="20">
        <f t="shared" si="69"/>
        <v>0</v>
      </c>
      <c r="AG71" s="20">
        <f t="shared" si="69"/>
        <v>0</v>
      </c>
      <c r="AH71" s="20">
        <f t="shared" si="69"/>
        <v>0</v>
      </c>
      <c r="AI71" s="20">
        <f t="shared" si="70"/>
        <v>0</v>
      </c>
      <c r="AJ71" s="20">
        <f t="shared" si="70"/>
        <v>0</v>
      </c>
      <c r="AK71" s="20">
        <f t="shared" si="70"/>
        <v>0</v>
      </c>
      <c r="AL71" s="20">
        <f t="shared" si="70"/>
        <v>0</v>
      </c>
      <c r="AM71" s="20">
        <f t="shared" si="71"/>
        <v>0</v>
      </c>
      <c r="AO71">
        <f t="shared" si="72"/>
        <v>0</v>
      </c>
      <c r="AP71">
        <f t="shared" si="72"/>
        <v>0</v>
      </c>
      <c r="AQ71">
        <f t="shared" si="72"/>
        <v>0</v>
      </c>
      <c r="AR71">
        <f t="shared" si="72"/>
        <v>0</v>
      </c>
      <c r="AS71">
        <f t="shared" si="73"/>
        <v>0</v>
      </c>
      <c r="AU71">
        <f t="shared" si="74"/>
        <v>0</v>
      </c>
      <c r="AV71">
        <f t="shared" si="74"/>
        <v>0</v>
      </c>
      <c r="AW71">
        <f t="shared" si="74"/>
        <v>0</v>
      </c>
      <c r="AX71">
        <f t="shared" si="74"/>
        <v>0</v>
      </c>
      <c r="AY71">
        <f t="shared" si="75"/>
        <v>0</v>
      </c>
    </row>
    <row r="72" spans="1:53" ht="15" x14ac:dyDescent="0.25">
      <c r="A72" s="7"/>
      <c r="B72" s="8" t="s">
        <v>14</v>
      </c>
      <c r="C72" s="7"/>
      <c r="D72" s="357">
        <f t="shared" ref="D72:H72" si="76">SUM(D66:D71)</f>
        <v>0</v>
      </c>
      <c r="E72" s="363">
        <f>SUM(E66:E71)</f>
        <v>8.0793599999999994</v>
      </c>
      <c r="F72" s="357">
        <f t="shared" si="76"/>
        <v>0</v>
      </c>
      <c r="G72" s="357">
        <f t="shared" si="76"/>
        <v>0</v>
      </c>
      <c r="H72" s="357">
        <f t="shared" si="76"/>
        <v>0</v>
      </c>
      <c r="J72">
        <v>0</v>
      </c>
      <c r="K72" s="14">
        <v>-27.701971989483695</v>
      </c>
      <c r="L72">
        <v>0</v>
      </c>
      <c r="M72">
        <v>0</v>
      </c>
      <c r="N72">
        <v>0</v>
      </c>
      <c r="O72" s="20"/>
      <c r="P72" s="20"/>
      <c r="Q72" s="438">
        <v>3.875421700034843E-2</v>
      </c>
      <c r="R72" s="197"/>
      <c r="S72" s="197"/>
      <c r="T72" s="197"/>
      <c r="U72" s="197"/>
      <c r="BA72" s="319">
        <f>(E72*10000*Q72*AU$10)</f>
        <v>3292.0308717606131</v>
      </c>
    </row>
    <row r="73" spans="1:53" ht="15" x14ac:dyDescent="0.25">
      <c r="A73" s="10"/>
      <c r="B73" s="9" t="s">
        <v>15</v>
      </c>
      <c r="C73" s="5"/>
      <c r="E73" s="363">
        <f>SUM(E72)</f>
        <v>8.0793599999999994</v>
      </c>
      <c r="H73" s="358">
        <f>SUM(D72:H72)</f>
        <v>8.0793599999999994</v>
      </c>
      <c r="K73" s="14"/>
      <c r="N73">
        <v>0</v>
      </c>
      <c r="O73" s="20"/>
      <c r="P73" s="20"/>
      <c r="Q73" s="438"/>
      <c r="R73" s="197"/>
      <c r="S73" s="197"/>
      <c r="T73" s="197"/>
      <c r="U73" s="197"/>
    </row>
    <row r="74" spans="1:53" ht="15.75" x14ac:dyDescent="0.25">
      <c r="A74" s="1"/>
      <c r="B74" s="2"/>
      <c r="C74" s="1"/>
      <c r="E74" s="361"/>
      <c r="K74" s="14"/>
      <c r="O74" s="20"/>
      <c r="P74" s="20"/>
      <c r="Q74" s="439"/>
      <c r="R74" s="197"/>
      <c r="S74" s="197"/>
      <c r="T74" s="197"/>
      <c r="U74" s="197"/>
    </row>
    <row r="75" spans="1:53" ht="15" x14ac:dyDescent="0.25">
      <c r="A75" s="1">
        <v>8</v>
      </c>
      <c r="B75" s="2" t="s">
        <v>22</v>
      </c>
      <c r="C75" s="1" t="s">
        <v>8</v>
      </c>
      <c r="D75">
        <v>0</v>
      </c>
      <c r="E75" s="360">
        <v>0</v>
      </c>
      <c r="F75">
        <v>0</v>
      </c>
      <c r="G75">
        <v>0</v>
      </c>
      <c r="H75">
        <v>0</v>
      </c>
      <c r="J75">
        <v>0</v>
      </c>
      <c r="K75">
        <v>0</v>
      </c>
      <c r="L75">
        <v>0</v>
      </c>
      <c r="M75">
        <v>0</v>
      </c>
      <c r="N75">
        <v>0</v>
      </c>
      <c r="O75" s="20"/>
      <c r="P75" s="20"/>
      <c r="Q75" s="438"/>
      <c r="R75" s="197">
        <v>5.6499999999999995E-2</v>
      </c>
      <c r="S75" s="197">
        <v>1.25</v>
      </c>
      <c r="T75" s="197">
        <v>0.50078889239507718</v>
      </c>
      <c r="U75" s="197">
        <v>0.75268470790377973</v>
      </c>
      <c r="V75" s="20">
        <f t="shared" ref="V75:Y80" si="77">IF(K75&gt;0,((E75-K75)*$Q75*$R75*10)+(K75*$O$12*$Q75*$R75*10),(E75*$Q75*$R75*10))</f>
        <v>0</v>
      </c>
      <c r="W75" s="20">
        <f t="shared" si="77"/>
        <v>0</v>
      </c>
      <c r="X75" s="20">
        <f t="shared" si="77"/>
        <v>0</v>
      </c>
      <c r="Y75" s="20">
        <f t="shared" si="77"/>
        <v>0</v>
      </c>
      <c r="Z75" s="20">
        <f t="shared" ref="Z75:AC80" si="78">V75*(EXP(1.01-0.34*LN(Z$8))*(1-$T75)+(1*$T75))</f>
        <v>0</v>
      </c>
      <c r="AA75" s="20">
        <f t="shared" si="78"/>
        <v>0</v>
      </c>
      <c r="AB75" s="20">
        <f t="shared" si="78"/>
        <v>0</v>
      </c>
      <c r="AC75" s="20">
        <f t="shared" si="78"/>
        <v>0</v>
      </c>
      <c r="AD75" s="20">
        <f t="shared" ref="AD75:AD80" si="79">SUM(Z75:AC75)</f>
        <v>0</v>
      </c>
      <c r="AE75" s="20">
        <f t="shared" ref="AE75:AH80" si="80">IF(K75&gt;0,((E75-K75)*$Q75*$S75*10)+(K75*$P$12*$Q75*$S75)*10,(E75*$Q75*$S75*10))</f>
        <v>0</v>
      </c>
      <c r="AF75" s="20">
        <f t="shared" si="80"/>
        <v>0</v>
      </c>
      <c r="AG75" s="20">
        <f t="shared" si="80"/>
        <v>0</v>
      </c>
      <c r="AH75" s="20">
        <f t="shared" si="80"/>
        <v>0</v>
      </c>
      <c r="AI75" s="20">
        <f t="shared" ref="AI75:AL80" si="81">AE75*(EXP(1.01-0.34*LN(AI$8))*(1-$U75)+(1*$U75))</f>
        <v>0</v>
      </c>
      <c r="AJ75" s="20">
        <f t="shared" si="81"/>
        <v>0</v>
      </c>
      <c r="AK75" s="20">
        <f t="shared" si="81"/>
        <v>0</v>
      </c>
      <c r="AL75" s="20">
        <f t="shared" si="81"/>
        <v>0</v>
      </c>
      <c r="AM75" s="20">
        <f t="shared" ref="AM75:AM80" si="82">SUM(AI75:AL75)</f>
        <v>0</v>
      </c>
      <c r="AO75">
        <f t="shared" ref="AO75:AR80" si="83">Z75*AO$10</f>
        <v>0</v>
      </c>
      <c r="AP75">
        <f t="shared" si="83"/>
        <v>0</v>
      </c>
      <c r="AQ75">
        <f t="shared" si="83"/>
        <v>0</v>
      </c>
      <c r="AR75">
        <f t="shared" si="83"/>
        <v>0</v>
      </c>
      <c r="AS75">
        <f t="shared" ref="AS75:AS80" si="84">SUM(AO75:AR75)</f>
        <v>0</v>
      </c>
      <c r="AU75">
        <f t="shared" ref="AU75:AX80" si="85">AI75*AU$10</f>
        <v>0</v>
      </c>
      <c r="AV75">
        <f t="shared" si="85"/>
        <v>0</v>
      </c>
      <c r="AW75">
        <f t="shared" si="85"/>
        <v>0</v>
      </c>
      <c r="AX75">
        <f t="shared" si="85"/>
        <v>0</v>
      </c>
      <c r="AY75">
        <f t="shared" ref="AY75:AY80" si="86">SUM(AU75:AX75)</f>
        <v>0</v>
      </c>
    </row>
    <row r="76" spans="1:53" ht="15" x14ac:dyDescent="0.25">
      <c r="A76" s="1"/>
      <c r="B76" s="2"/>
      <c r="C76" s="1" t="s">
        <v>9</v>
      </c>
      <c r="D76">
        <v>0</v>
      </c>
      <c r="E76" s="360">
        <v>0</v>
      </c>
      <c r="F76">
        <v>0</v>
      </c>
      <c r="G76">
        <v>0</v>
      </c>
      <c r="H76">
        <v>0</v>
      </c>
      <c r="J76">
        <v>0</v>
      </c>
      <c r="K76">
        <v>0</v>
      </c>
      <c r="L76">
        <v>0</v>
      </c>
      <c r="M76">
        <v>0</v>
      </c>
      <c r="N76">
        <v>0</v>
      </c>
      <c r="O76" s="20"/>
      <c r="P76" s="20"/>
      <c r="Q76" s="438"/>
      <c r="R76" s="197">
        <v>5.6499999999999995E-2</v>
      </c>
      <c r="S76" s="197">
        <v>1.25</v>
      </c>
      <c r="T76" s="197">
        <v>0.50078889239507718</v>
      </c>
      <c r="U76" s="197">
        <v>0.75268470790377973</v>
      </c>
      <c r="V76" s="20">
        <f t="shared" si="77"/>
        <v>0</v>
      </c>
      <c r="W76" s="20">
        <f t="shared" si="77"/>
        <v>0</v>
      </c>
      <c r="X76" s="20">
        <f t="shared" si="77"/>
        <v>0</v>
      </c>
      <c r="Y76" s="20">
        <f t="shared" si="77"/>
        <v>0</v>
      </c>
      <c r="Z76" s="20">
        <f t="shared" si="78"/>
        <v>0</v>
      </c>
      <c r="AA76" s="20">
        <f t="shared" si="78"/>
        <v>0</v>
      </c>
      <c r="AB76" s="20">
        <f t="shared" si="78"/>
        <v>0</v>
      </c>
      <c r="AC76" s="20">
        <f t="shared" si="78"/>
        <v>0</v>
      </c>
      <c r="AD76" s="20">
        <f t="shared" si="79"/>
        <v>0</v>
      </c>
      <c r="AE76" s="20">
        <f t="shared" si="80"/>
        <v>0</v>
      </c>
      <c r="AF76" s="20">
        <f t="shared" si="80"/>
        <v>0</v>
      </c>
      <c r="AG76" s="20">
        <f t="shared" si="80"/>
        <v>0</v>
      </c>
      <c r="AH76" s="20">
        <f t="shared" si="80"/>
        <v>0</v>
      </c>
      <c r="AI76" s="20">
        <f t="shared" si="81"/>
        <v>0</v>
      </c>
      <c r="AJ76" s="20">
        <f t="shared" si="81"/>
        <v>0</v>
      </c>
      <c r="AK76" s="20">
        <f t="shared" si="81"/>
        <v>0</v>
      </c>
      <c r="AL76" s="20">
        <f t="shared" si="81"/>
        <v>0</v>
      </c>
      <c r="AM76" s="20">
        <f t="shared" si="82"/>
        <v>0</v>
      </c>
      <c r="AO76">
        <f t="shared" si="83"/>
        <v>0</v>
      </c>
      <c r="AP76">
        <f t="shared" si="83"/>
        <v>0</v>
      </c>
      <c r="AQ76">
        <f t="shared" si="83"/>
        <v>0</v>
      </c>
      <c r="AR76">
        <f t="shared" si="83"/>
        <v>0</v>
      </c>
      <c r="AS76">
        <f t="shared" si="84"/>
        <v>0</v>
      </c>
      <c r="AU76">
        <f t="shared" si="85"/>
        <v>0</v>
      </c>
      <c r="AV76">
        <f t="shared" si="85"/>
        <v>0</v>
      </c>
      <c r="AW76">
        <f t="shared" si="85"/>
        <v>0</v>
      </c>
      <c r="AX76">
        <f t="shared" si="85"/>
        <v>0</v>
      </c>
      <c r="AY76">
        <f t="shared" si="86"/>
        <v>0</v>
      </c>
    </row>
    <row r="77" spans="1:53" ht="15" x14ac:dyDescent="0.25">
      <c r="A77" s="1"/>
      <c r="B77" s="2"/>
      <c r="C77" s="1" t="s">
        <v>10</v>
      </c>
      <c r="D77">
        <v>0</v>
      </c>
      <c r="E77" s="360">
        <v>0</v>
      </c>
      <c r="F77">
        <v>0</v>
      </c>
      <c r="G77">
        <v>0</v>
      </c>
      <c r="H77">
        <v>0</v>
      </c>
      <c r="J77">
        <v>0</v>
      </c>
      <c r="K77">
        <v>0</v>
      </c>
      <c r="L77">
        <v>0</v>
      </c>
      <c r="M77">
        <v>0</v>
      </c>
      <c r="N77">
        <v>0</v>
      </c>
      <c r="O77" s="20"/>
      <c r="P77" s="20"/>
      <c r="Q77" s="438"/>
      <c r="R77" s="197">
        <v>5.6499999999999995E-2</v>
      </c>
      <c r="S77" s="197">
        <v>1.25</v>
      </c>
      <c r="T77" s="197">
        <v>0.50078889239507718</v>
      </c>
      <c r="U77" s="197">
        <v>0.75268470790377973</v>
      </c>
      <c r="V77" s="20">
        <f t="shared" si="77"/>
        <v>0</v>
      </c>
      <c r="W77" s="20">
        <f t="shared" si="77"/>
        <v>0</v>
      </c>
      <c r="X77" s="20">
        <f t="shared" si="77"/>
        <v>0</v>
      </c>
      <c r="Y77" s="20">
        <f t="shared" si="77"/>
        <v>0</v>
      </c>
      <c r="Z77" s="20">
        <f t="shared" si="78"/>
        <v>0</v>
      </c>
      <c r="AA77" s="20">
        <f t="shared" si="78"/>
        <v>0</v>
      </c>
      <c r="AB77" s="20">
        <f t="shared" si="78"/>
        <v>0</v>
      </c>
      <c r="AC77" s="20">
        <f t="shared" si="78"/>
        <v>0</v>
      </c>
      <c r="AD77" s="20">
        <f t="shared" si="79"/>
        <v>0</v>
      </c>
      <c r="AE77" s="20">
        <f t="shared" si="80"/>
        <v>0</v>
      </c>
      <c r="AF77" s="20">
        <f t="shared" si="80"/>
        <v>0</v>
      </c>
      <c r="AG77" s="20">
        <f t="shared" si="80"/>
        <v>0</v>
      </c>
      <c r="AH77" s="20">
        <f t="shared" si="80"/>
        <v>0</v>
      </c>
      <c r="AI77" s="20">
        <f t="shared" si="81"/>
        <v>0</v>
      </c>
      <c r="AJ77" s="20">
        <f t="shared" si="81"/>
        <v>0</v>
      </c>
      <c r="AK77" s="20">
        <f t="shared" si="81"/>
        <v>0</v>
      </c>
      <c r="AL77" s="20">
        <f t="shared" si="81"/>
        <v>0</v>
      </c>
      <c r="AM77" s="20">
        <f t="shared" si="82"/>
        <v>0</v>
      </c>
      <c r="AO77">
        <f t="shared" si="83"/>
        <v>0</v>
      </c>
      <c r="AP77">
        <f t="shared" si="83"/>
        <v>0</v>
      </c>
      <c r="AQ77">
        <f t="shared" si="83"/>
        <v>0</v>
      </c>
      <c r="AR77">
        <f t="shared" si="83"/>
        <v>0</v>
      </c>
      <c r="AS77">
        <f t="shared" si="84"/>
        <v>0</v>
      </c>
      <c r="AU77">
        <f t="shared" si="85"/>
        <v>0</v>
      </c>
      <c r="AV77">
        <f t="shared" si="85"/>
        <v>0</v>
      </c>
      <c r="AW77">
        <f t="shared" si="85"/>
        <v>0</v>
      </c>
      <c r="AX77">
        <f t="shared" si="85"/>
        <v>0</v>
      </c>
      <c r="AY77">
        <f t="shared" si="86"/>
        <v>0</v>
      </c>
    </row>
    <row r="78" spans="1:53" ht="15" x14ac:dyDescent="0.25">
      <c r="A78" s="1"/>
      <c r="B78" s="2"/>
      <c r="C78" s="1" t="s">
        <v>11</v>
      </c>
      <c r="D78">
        <v>0</v>
      </c>
      <c r="E78" s="360">
        <v>0</v>
      </c>
      <c r="F78">
        <v>0</v>
      </c>
      <c r="G78">
        <v>0</v>
      </c>
      <c r="H78">
        <v>0</v>
      </c>
      <c r="J78">
        <v>0</v>
      </c>
      <c r="K78">
        <v>0</v>
      </c>
      <c r="L78">
        <v>0</v>
      </c>
      <c r="M78">
        <v>0</v>
      </c>
      <c r="N78">
        <v>0</v>
      </c>
      <c r="O78" s="20"/>
      <c r="P78" s="20"/>
      <c r="Q78" s="438"/>
      <c r="R78" s="197">
        <v>5.6499999999999995E-2</v>
      </c>
      <c r="S78" s="197">
        <v>1.25</v>
      </c>
      <c r="T78" s="197">
        <v>0.50078889239507718</v>
      </c>
      <c r="U78" s="197">
        <v>0.75268470790377973</v>
      </c>
      <c r="V78" s="20">
        <f t="shared" si="77"/>
        <v>0</v>
      </c>
      <c r="W78" s="20">
        <f t="shared" si="77"/>
        <v>0</v>
      </c>
      <c r="X78" s="20">
        <f t="shared" si="77"/>
        <v>0</v>
      </c>
      <c r="Y78" s="20">
        <f t="shared" si="77"/>
        <v>0</v>
      </c>
      <c r="Z78" s="20">
        <f t="shared" si="78"/>
        <v>0</v>
      </c>
      <c r="AA78" s="20">
        <f t="shared" si="78"/>
        <v>0</v>
      </c>
      <c r="AB78" s="20">
        <f t="shared" si="78"/>
        <v>0</v>
      </c>
      <c r="AC78" s="20">
        <f t="shared" si="78"/>
        <v>0</v>
      </c>
      <c r="AD78" s="20">
        <f t="shared" si="79"/>
        <v>0</v>
      </c>
      <c r="AE78" s="20">
        <f t="shared" si="80"/>
        <v>0</v>
      </c>
      <c r="AF78" s="20">
        <f t="shared" si="80"/>
        <v>0</v>
      </c>
      <c r="AG78" s="20">
        <f t="shared" si="80"/>
        <v>0</v>
      </c>
      <c r="AH78" s="20">
        <f t="shared" si="80"/>
        <v>0</v>
      </c>
      <c r="AI78" s="20">
        <f t="shared" si="81"/>
        <v>0</v>
      </c>
      <c r="AJ78" s="20">
        <f t="shared" si="81"/>
        <v>0</v>
      </c>
      <c r="AK78" s="20">
        <f t="shared" si="81"/>
        <v>0</v>
      </c>
      <c r="AL78" s="20">
        <f t="shared" si="81"/>
        <v>0</v>
      </c>
      <c r="AM78" s="20">
        <f t="shared" si="82"/>
        <v>0</v>
      </c>
      <c r="AO78">
        <f t="shared" si="83"/>
        <v>0</v>
      </c>
      <c r="AP78">
        <f t="shared" si="83"/>
        <v>0</v>
      </c>
      <c r="AQ78">
        <f t="shared" si="83"/>
        <v>0</v>
      </c>
      <c r="AR78">
        <f t="shared" si="83"/>
        <v>0</v>
      </c>
      <c r="AS78">
        <f t="shared" si="84"/>
        <v>0</v>
      </c>
      <c r="AU78">
        <f t="shared" si="85"/>
        <v>0</v>
      </c>
      <c r="AV78">
        <f t="shared" si="85"/>
        <v>0</v>
      </c>
      <c r="AW78">
        <f t="shared" si="85"/>
        <v>0</v>
      </c>
      <c r="AX78">
        <f t="shared" si="85"/>
        <v>0</v>
      </c>
      <c r="AY78">
        <f t="shared" si="86"/>
        <v>0</v>
      </c>
    </row>
    <row r="79" spans="1:53" ht="15" x14ac:dyDescent="0.25">
      <c r="A79" s="1"/>
      <c r="B79" s="13"/>
      <c r="C79" s="1" t="s">
        <v>12</v>
      </c>
      <c r="D79">
        <v>0</v>
      </c>
      <c r="E79" s="360">
        <v>0</v>
      </c>
      <c r="F79">
        <v>0</v>
      </c>
      <c r="G79">
        <v>0</v>
      </c>
      <c r="H79">
        <v>0</v>
      </c>
      <c r="J79">
        <v>0</v>
      </c>
      <c r="K79">
        <v>0</v>
      </c>
      <c r="L79">
        <v>0</v>
      </c>
      <c r="M79">
        <v>0</v>
      </c>
      <c r="N79">
        <v>0</v>
      </c>
      <c r="O79" s="20"/>
      <c r="P79" s="20"/>
      <c r="Q79" s="438"/>
      <c r="R79" s="197">
        <v>5.6499999999999995E-2</v>
      </c>
      <c r="S79" s="197">
        <v>1.25</v>
      </c>
      <c r="T79" s="197">
        <v>0.50078889239507718</v>
      </c>
      <c r="U79" s="197">
        <v>0.75268470790377973</v>
      </c>
      <c r="V79" s="20">
        <f t="shared" si="77"/>
        <v>0</v>
      </c>
      <c r="W79" s="20">
        <f t="shared" si="77"/>
        <v>0</v>
      </c>
      <c r="X79" s="20">
        <f t="shared" si="77"/>
        <v>0</v>
      </c>
      <c r="Y79" s="20">
        <f t="shared" si="77"/>
        <v>0</v>
      </c>
      <c r="Z79" s="20">
        <f t="shared" si="78"/>
        <v>0</v>
      </c>
      <c r="AA79" s="20">
        <f t="shared" si="78"/>
        <v>0</v>
      </c>
      <c r="AB79" s="20">
        <f t="shared" si="78"/>
        <v>0</v>
      </c>
      <c r="AC79" s="20">
        <f t="shared" si="78"/>
        <v>0</v>
      </c>
      <c r="AD79" s="20">
        <f t="shared" si="79"/>
        <v>0</v>
      </c>
      <c r="AE79" s="20">
        <f t="shared" si="80"/>
        <v>0</v>
      </c>
      <c r="AF79" s="20">
        <f t="shared" si="80"/>
        <v>0</v>
      </c>
      <c r="AG79" s="20">
        <f t="shared" si="80"/>
        <v>0</v>
      </c>
      <c r="AH79" s="20">
        <f t="shared" si="80"/>
        <v>0</v>
      </c>
      <c r="AI79" s="20">
        <f t="shared" si="81"/>
        <v>0</v>
      </c>
      <c r="AJ79" s="20">
        <f t="shared" si="81"/>
        <v>0</v>
      </c>
      <c r="AK79" s="20">
        <f t="shared" si="81"/>
        <v>0</v>
      </c>
      <c r="AL79" s="20">
        <f t="shared" si="81"/>
        <v>0</v>
      </c>
      <c r="AM79" s="20">
        <f t="shared" si="82"/>
        <v>0</v>
      </c>
      <c r="AO79">
        <f t="shared" si="83"/>
        <v>0</v>
      </c>
      <c r="AP79">
        <f t="shared" si="83"/>
        <v>0</v>
      </c>
      <c r="AQ79">
        <f t="shared" si="83"/>
        <v>0</v>
      </c>
      <c r="AR79">
        <f t="shared" si="83"/>
        <v>0</v>
      </c>
      <c r="AS79">
        <f t="shared" si="84"/>
        <v>0</v>
      </c>
      <c r="AU79">
        <f t="shared" si="85"/>
        <v>0</v>
      </c>
      <c r="AV79">
        <f t="shared" si="85"/>
        <v>0</v>
      </c>
      <c r="AW79">
        <f t="shared" si="85"/>
        <v>0</v>
      </c>
      <c r="AX79">
        <f t="shared" si="85"/>
        <v>0</v>
      </c>
      <c r="AY79">
        <f t="shared" si="86"/>
        <v>0</v>
      </c>
    </row>
    <row r="80" spans="1:53" ht="15" x14ac:dyDescent="0.25">
      <c r="A80" s="1"/>
      <c r="B80" s="13"/>
      <c r="C80" s="1" t="s">
        <v>13</v>
      </c>
      <c r="D80">
        <v>0</v>
      </c>
      <c r="E80" s="360">
        <v>0</v>
      </c>
      <c r="F80">
        <v>0</v>
      </c>
      <c r="G80">
        <v>0</v>
      </c>
      <c r="H80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20"/>
      <c r="P80" s="20"/>
      <c r="Q80" s="438"/>
      <c r="R80" s="197">
        <v>5.6499999999999995E-2</v>
      </c>
      <c r="S80" s="197">
        <v>1.25</v>
      </c>
      <c r="T80" s="197">
        <v>0.50078889239507718</v>
      </c>
      <c r="U80" s="197">
        <v>0.75268470790377973</v>
      </c>
      <c r="V80" s="20">
        <f t="shared" si="77"/>
        <v>0</v>
      </c>
      <c r="W80" s="20">
        <f t="shared" si="77"/>
        <v>0</v>
      </c>
      <c r="X80" s="20">
        <f t="shared" si="77"/>
        <v>0</v>
      </c>
      <c r="Y80" s="20">
        <f t="shared" si="77"/>
        <v>0</v>
      </c>
      <c r="Z80" s="20">
        <f t="shared" si="78"/>
        <v>0</v>
      </c>
      <c r="AA80" s="20">
        <f t="shared" si="78"/>
        <v>0</v>
      </c>
      <c r="AB80" s="20">
        <f t="shared" si="78"/>
        <v>0</v>
      </c>
      <c r="AC80" s="20">
        <f t="shared" si="78"/>
        <v>0</v>
      </c>
      <c r="AD80" s="20">
        <f t="shared" si="79"/>
        <v>0</v>
      </c>
      <c r="AE80" s="20">
        <f t="shared" si="80"/>
        <v>0</v>
      </c>
      <c r="AF80" s="20">
        <f t="shared" si="80"/>
        <v>0</v>
      </c>
      <c r="AG80" s="20">
        <f t="shared" si="80"/>
        <v>0</v>
      </c>
      <c r="AH80" s="20">
        <f t="shared" si="80"/>
        <v>0</v>
      </c>
      <c r="AI80" s="20">
        <f t="shared" si="81"/>
        <v>0</v>
      </c>
      <c r="AJ80" s="20">
        <f t="shared" si="81"/>
        <v>0</v>
      </c>
      <c r="AK80" s="20">
        <f t="shared" si="81"/>
        <v>0</v>
      </c>
      <c r="AL80" s="20">
        <f t="shared" si="81"/>
        <v>0</v>
      </c>
      <c r="AM80" s="20">
        <f t="shared" si="82"/>
        <v>0</v>
      </c>
      <c r="AO80">
        <f t="shared" si="83"/>
        <v>0</v>
      </c>
      <c r="AP80">
        <f t="shared" si="83"/>
        <v>0</v>
      </c>
      <c r="AQ80">
        <f t="shared" si="83"/>
        <v>0</v>
      </c>
      <c r="AR80">
        <f t="shared" si="83"/>
        <v>0</v>
      </c>
      <c r="AS80">
        <f t="shared" si="84"/>
        <v>0</v>
      </c>
      <c r="AU80">
        <f t="shared" si="85"/>
        <v>0</v>
      </c>
      <c r="AV80">
        <f t="shared" si="85"/>
        <v>0</v>
      </c>
      <c r="AW80">
        <f t="shared" si="85"/>
        <v>0</v>
      </c>
      <c r="AX80">
        <f t="shared" si="85"/>
        <v>0</v>
      </c>
      <c r="AY80">
        <f t="shared" si="86"/>
        <v>0</v>
      </c>
    </row>
    <row r="81" spans="1:53" ht="15" x14ac:dyDescent="0.25">
      <c r="A81" s="7"/>
      <c r="B81" s="8" t="s">
        <v>14</v>
      </c>
      <c r="C81" s="7"/>
      <c r="D81" s="357">
        <f t="shared" ref="D81:H81" si="87">SUM(D75:D80)</f>
        <v>0</v>
      </c>
      <c r="E81" s="363">
        <f>SUM(E75:E80)</f>
        <v>0</v>
      </c>
      <c r="F81" s="357">
        <f t="shared" si="87"/>
        <v>0</v>
      </c>
      <c r="G81" s="357">
        <f t="shared" si="87"/>
        <v>0</v>
      </c>
      <c r="H81" s="357">
        <f t="shared" si="87"/>
        <v>0</v>
      </c>
      <c r="J81">
        <v>0</v>
      </c>
      <c r="K81">
        <v>0</v>
      </c>
      <c r="L81">
        <v>0</v>
      </c>
      <c r="M81">
        <v>0</v>
      </c>
      <c r="N81">
        <v>0</v>
      </c>
      <c r="O81" s="20"/>
      <c r="P81" s="20"/>
      <c r="Q81" s="438"/>
      <c r="R81" s="197"/>
      <c r="S81" s="197"/>
      <c r="T81" s="197"/>
      <c r="U81" s="197"/>
      <c r="BA81" s="319">
        <f>(E81*10000*Q81*AU$10)</f>
        <v>0</v>
      </c>
    </row>
    <row r="82" spans="1:53" ht="15" x14ac:dyDescent="0.25">
      <c r="A82" s="10"/>
      <c r="B82" s="9" t="s">
        <v>15</v>
      </c>
      <c r="C82" s="5"/>
      <c r="E82" s="363">
        <f>SUM(E81)</f>
        <v>0</v>
      </c>
      <c r="H82" s="358">
        <f>SUM(D81:H81)</f>
        <v>0</v>
      </c>
      <c r="K82" s="14"/>
      <c r="N82">
        <v>0</v>
      </c>
      <c r="O82" s="20"/>
      <c r="P82" s="20"/>
      <c r="Q82" s="438"/>
      <c r="R82" s="197"/>
      <c r="S82" s="197"/>
      <c r="T82" s="197"/>
      <c r="U82" s="197"/>
    </row>
    <row r="83" spans="1:53" ht="15.75" x14ac:dyDescent="0.25">
      <c r="A83" s="1"/>
      <c r="B83" s="2"/>
      <c r="C83" s="1"/>
      <c r="E83" s="361"/>
      <c r="K83" s="14"/>
      <c r="O83" s="20"/>
      <c r="P83" s="20"/>
      <c r="Q83" s="439"/>
      <c r="R83" s="197"/>
      <c r="S83" s="197"/>
      <c r="T83" s="197"/>
      <c r="U83" s="197"/>
    </row>
    <row r="84" spans="1:53" ht="15" x14ac:dyDescent="0.25">
      <c r="A84" s="1">
        <v>9</v>
      </c>
      <c r="B84" s="2" t="s">
        <v>23</v>
      </c>
      <c r="C84" s="1" t="s">
        <v>8</v>
      </c>
      <c r="D84">
        <v>0</v>
      </c>
      <c r="E84" s="360">
        <v>81.6173</v>
      </c>
      <c r="F84">
        <v>0</v>
      </c>
      <c r="G84">
        <v>0</v>
      </c>
      <c r="H84">
        <v>0</v>
      </c>
      <c r="J84">
        <v>0</v>
      </c>
      <c r="K84">
        <v>0</v>
      </c>
      <c r="L84">
        <v>0</v>
      </c>
      <c r="M84">
        <v>0</v>
      </c>
      <c r="N84">
        <v>0</v>
      </c>
      <c r="O84" s="20"/>
      <c r="P84" s="20"/>
      <c r="Q84" s="438">
        <v>2.7705979396846925E-2</v>
      </c>
      <c r="R84" s="197">
        <v>0.38700000000000001</v>
      </c>
      <c r="S84" s="197">
        <v>2.48</v>
      </c>
      <c r="T84" s="197">
        <v>0.72182006204756977</v>
      </c>
      <c r="U84" s="197">
        <v>0.90789473684210531</v>
      </c>
      <c r="V84" s="20">
        <f t="shared" ref="V84:Y89" si="88">IF(K84&gt;0,((E84-K84)*$Q84*$R84*10)+(K84*$O$12*$Q84*$R84*10),(E84*$Q84*$R84*10))</f>
        <v>8.7511815887156832</v>
      </c>
      <c r="W84" s="20">
        <f t="shared" si="88"/>
        <v>0</v>
      </c>
      <c r="X84" s="20">
        <f t="shared" si="88"/>
        <v>0</v>
      </c>
      <c r="Y84" s="20">
        <f t="shared" si="88"/>
        <v>0</v>
      </c>
      <c r="Z84" s="20">
        <f t="shared" ref="Z84:AC89" si="89">V84*(EXP(1.01-0.34*LN(Z$8))*(1-$T84)+(1*$T84))</f>
        <v>6.7610637292186153</v>
      </c>
      <c r="AA84" s="20">
        <f t="shared" si="89"/>
        <v>0</v>
      </c>
      <c r="AB84" s="20">
        <f t="shared" si="89"/>
        <v>0</v>
      </c>
      <c r="AC84" s="20">
        <f t="shared" si="89"/>
        <v>0</v>
      </c>
      <c r="AD84" s="20">
        <f t="shared" ref="AD84:AD89" si="90">SUM(Z84:AC84)</f>
        <v>6.7610637292186153</v>
      </c>
      <c r="AE84" s="20">
        <f t="shared" ref="AE84:AH89" si="91">IF(K84&gt;0,((E84-K84)*$Q84*$S84*10)+(K84*$P$12*$Q84*$S84)*10,(E84*$Q84*$S84*10))</f>
        <v>56.079923359211605</v>
      </c>
      <c r="AF84" s="20">
        <f t="shared" si="91"/>
        <v>0</v>
      </c>
      <c r="AG84" s="20">
        <f t="shared" si="91"/>
        <v>0</v>
      </c>
      <c r="AH84" s="20">
        <f t="shared" si="91"/>
        <v>0</v>
      </c>
      <c r="AI84" s="20">
        <f t="shared" ref="AI84:AL89" si="92">AE84*(EXP(1.01-0.34*LN(AI$8))*(1-$U84)+(1*$U84))</f>
        <v>51.857340749791831</v>
      </c>
      <c r="AJ84" s="20">
        <f t="shared" si="92"/>
        <v>0</v>
      </c>
      <c r="AK84" s="20">
        <f t="shared" si="92"/>
        <v>0</v>
      </c>
      <c r="AL84" s="20">
        <f t="shared" si="92"/>
        <v>0</v>
      </c>
      <c r="AM84" s="20">
        <f t="shared" ref="AM84:AM89" si="93">SUM(AI84:AL84)</f>
        <v>51.857340749791831</v>
      </c>
      <c r="AO84">
        <f t="shared" ref="AO84:AR89" si="94">Z84*AO$10</f>
        <v>7.1085824049004511</v>
      </c>
      <c r="AP84">
        <f t="shared" si="94"/>
        <v>0</v>
      </c>
      <c r="AQ84">
        <f t="shared" si="94"/>
        <v>0</v>
      </c>
      <c r="AR84">
        <f t="shared" si="94"/>
        <v>0</v>
      </c>
      <c r="AS84">
        <f t="shared" ref="AS84:AS89" si="95">SUM(AO84:AR84)</f>
        <v>7.1085824049004511</v>
      </c>
      <c r="AU84">
        <f t="shared" ref="AU84:AX89" si="96">AI84*AU$10</f>
        <v>54.522808064331123</v>
      </c>
      <c r="AV84">
        <f t="shared" si="96"/>
        <v>0</v>
      </c>
      <c r="AW84">
        <f t="shared" si="96"/>
        <v>0</v>
      </c>
      <c r="AX84">
        <f t="shared" si="96"/>
        <v>0</v>
      </c>
      <c r="AY84">
        <f t="shared" ref="AY84:AY89" si="97">SUM(AU84:AX84)</f>
        <v>54.522808064331123</v>
      </c>
    </row>
    <row r="85" spans="1:53" ht="15" x14ac:dyDescent="0.25">
      <c r="A85" s="1"/>
      <c r="B85" s="2"/>
      <c r="C85" s="1" t="s">
        <v>9</v>
      </c>
      <c r="D85">
        <v>0</v>
      </c>
      <c r="E85" s="360">
        <v>7.3124000000000002</v>
      </c>
      <c r="F85">
        <v>0</v>
      </c>
      <c r="G85">
        <v>0</v>
      </c>
      <c r="H85">
        <v>0</v>
      </c>
      <c r="J85">
        <v>0</v>
      </c>
      <c r="K85">
        <v>0</v>
      </c>
      <c r="L85">
        <v>0</v>
      </c>
      <c r="M85">
        <v>0</v>
      </c>
      <c r="N85">
        <v>0</v>
      </c>
      <c r="O85" s="20"/>
      <c r="P85" s="20"/>
      <c r="Q85" s="438">
        <v>4.6411958793693857E-2</v>
      </c>
      <c r="R85" s="197">
        <v>0.38700000000000001</v>
      </c>
      <c r="S85" s="197">
        <v>2.48</v>
      </c>
      <c r="T85" s="197">
        <v>0.72182006204756977</v>
      </c>
      <c r="U85" s="197">
        <v>0.90789473684210531</v>
      </c>
      <c r="V85" s="20">
        <f t="shared" si="88"/>
        <v>1.3134114649592372</v>
      </c>
      <c r="W85" s="20">
        <f t="shared" si="88"/>
        <v>0</v>
      </c>
      <c r="X85" s="20">
        <f t="shared" si="88"/>
        <v>0</v>
      </c>
      <c r="Y85" s="20">
        <f t="shared" si="88"/>
        <v>0</v>
      </c>
      <c r="Z85" s="20">
        <f t="shared" si="89"/>
        <v>1.0147268145739639</v>
      </c>
      <c r="AA85" s="20">
        <f t="shared" si="89"/>
        <v>0</v>
      </c>
      <c r="AB85" s="20">
        <f t="shared" si="89"/>
        <v>0</v>
      </c>
      <c r="AC85" s="20">
        <f t="shared" si="89"/>
        <v>0</v>
      </c>
      <c r="AD85" s="20">
        <f t="shared" si="90"/>
        <v>1.0147268145739639</v>
      </c>
      <c r="AE85" s="20">
        <f t="shared" si="91"/>
        <v>8.4166936255785725</v>
      </c>
      <c r="AF85" s="20">
        <f t="shared" si="91"/>
        <v>0</v>
      </c>
      <c r="AG85" s="20">
        <f t="shared" si="91"/>
        <v>0</v>
      </c>
      <c r="AH85" s="20">
        <f t="shared" si="91"/>
        <v>0</v>
      </c>
      <c r="AI85" s="20">
        <f t="shared" si="92"/>
        <v>7.7829519582703819</v>
      </c>
      <c r="AJ85" s="20">
        <f t="shared" si="92"/>
        <v>0</v>
      </c>
      <c r="AK85" s="20">
        <f t="shared" si="92"/>
        <v>0</v>
      </c>
      <c r="AL85" s="20">
        <f t="shared" si="92"/>
        <v>0</v>
      </c>
      <c r="AM85" s="20">
        <f t="shared" si="93"/>
        <v>7.7829519582703819</v>
      </c>
      <c r="AO85">
        <f t="shared" si="94"/>
        <v>1.0668837728430656</v>
      </c>
      <c r="AP85">
        <f t="shared" si="94"/>
        <v>0</v>
      </c>
      <c r="AQ85">
        <f t="shared" si="94"/>
        <v>0</v>
      </c>
      <c r="AR85">
        <f t="shared" si="94"/>
        <v>0</v>
      </c>
      <c r="AS85">
        <f t="shared" si="95"/>
        <v>1.0668837728430656</v>
      </c>
      <c r="AU85">
        <f t="shared" si="96"/>
        <v>8.1829956889254785</v>
      </c>
      <c r="AV85">
        <f t="shared" si="96"/>
        <v>0</v>
      </c>
      <c r="AW85">
        <f t="shared" si="96"/>
        <v>0</v>
      </c>
      <c r="AX85">
        <f t="shared" si="96"/>
        <v>0</v>
      </c>
      <c r="AY85">
        <f t="shared" si="97"/>
        <v>8.1829956889254785</v>
      </c>
    </row>
    <row r="86" spans="1:53" ht="15" x14ac:dyDescent="0.25">
      <c r="A86" s="1"/>
      <c r="B86" s="2"/>
      <c r="C86" s="1" t="s">
        <v>10</v>
      </c>
      <c r="D86">
        <v>0</v>
      </c>
      <c r="E86" s="360">
        <v>0.68179999999999996</v>
      </c>
      <c r="F86">
        <v>0</v>
      </c>
      <c r="G86">
        <v>0</v>
      </c>
      <c r="H86">
        <v>0</v>
      </c>
      <c r="J86">
        <v>0</v>
      </c>
      <c r="K86">
        <v>0</v>
      </c>
      <c r="L86">
        <v>0</v>
      </c>
      <c r="M86">
        <v>0</v>
      </c>
      <c r="N86">
        <v>0</v>
      </c>
      <c r="O86" s="20"/>
      <c r="P86" s="20"/>
      <c r="Q86" s="438">
        <v>6.5117938190540778E-2</v>
      </c>
      <c r="R86" s="197">
        <v>0.38700000000000001</v>
      </c>
      <c r="S86" s="197">
        <v>2.48</v>
      </c>
      <c r="T86" s="197">
        <v>0.72182006204756977</v>
      </c>
      <c r="U86" s="197">
        <v>0.90789473684210531</v>
      </c>
      <c r="V86" s="20">
        <f t="shared" si="88"/>
        <v>0.17181797769966239</v>
      </c>
      <c r="W86" s="20">
        <f t="shared" si="88"/>
        <v>0</v>
      </c>
      <c r="X86" s="20">
        <f t="shared" si="88"/>
        <v>0</v>
      </c>
      <c r="Y86" s="20">
        <f t="shared" si="88"/>
        <v>0</v>
      </c>
      <c r="Z86" s="20">
        <f t="shared" si="89"/>
        <v>0.13274462257197506</v>
      </c>
      <c r="AA86" s="20">
        <f t="shared" si="89"/>
        <v>0</v>
      </c>
      <c r="AB86" s="20">
        <f t="shared" si="89"/>
        <v>0</v>
      </c>
      <c r="AC86" s="20">
        <f t="shared" si="89"/>
        <v>0</v>
      </c>
      <c r="AD86" s="20">
        <f t="shared" si="90"/>
        <v>0.13274462257197506</v>
      </c>
      <c r="AE86" s="20">
        <f t="shared" si="91"/>
        <v>1.1010557744061054</v>
      </c>
      <c r="AF86" s="20">
        <f t="shared" si="91"/>
        <v>0</v>
      </c>
      <c r="AG86" s="20">
        <f t="shared" si="91"/>
        <v>0</v>
      </c>
      <c r="AH86" s="20">
        <f t="shared" si="91"/>
        <v>0</v>
      </c>
      <c r="AI86" s="20">
        <f t="shared" si="92"/>
        <v>1.0181509006738778</v>
      </c>
      <c r="AJ86" s="20">
        <f t="shared" si="92"/>
        <v>0</v>
      </c>
      <c r="AK86" s="20">
        <f t="shared" si="92"/>
        <v>0</v>
      </c>
      <c r="AL86" s="20">
        <f t="shared" si="92"/>
        <v>0</v>
      </c>
      <c r="AM86" s="20">
        <f t="shared" si="93"/>
        <v>1.0181509006738778</v>
      </c>
      <c r="AO86">
        <f t="shared" si="94"/>
        <v>0.13956769617217457</v>
      </c>
      <c r="AP86">
        <f t="shared" si="94"/>
        <v>0</v>
      </c>
      <c r="AQ86">
        <f t="shared" si="94"/>
        <v>0</v>
      </c>
      <c r="AR86">
        <f t="shared" si="94"/>
        <v>0</v>
      </c>
      <c r="AS86">
        <f t="shared" si="95"/>
        <v>0.13956769617217457</v>
      </c>
      <c r="AU86">
        <f t="shared" si="96"/>
        <v>1.0704838569685151</v>
      </c>
      <c r="AV86">
        <f t="shared" si="96"/>
        <v>0</v>
      </c>
      <c r="AW86">
        <f t="shared" si="96"/>
        <v>0</v>
      </c>
      <c r="AX86">
        <f t="shared" si="96"/>
        <v>0</v>
      </c>
      <c r="AY86">
        <f t="shared" si="97"/>
        <v>1.0704838569685151</v>
      </c>
    </row>
    <row r="87" spans="1:53" ht="15" x14ac:dyDescent="0.25">
      <c r="A87" s="1"/>
      <c r="B87" s="2"/>
      <c r="C87" s="1" t="s">
        <v>11</v>
      </c>
      <c r="D87">
        <v>0</v>
      </c>
      <c r="E87" s="360">
        <v>34.516599999999997</v>
      </c>
      <c r="F87">
        <v>0</v>
      </c>
      <c r="G87">
        <v>0</v>
      </c>
      <c r="H87">
        <v>0</v>
      </c>
      <c r="J87">
        <v>0</v>
      </c>
      <c r="K87">
        <v>0</v>
      </c>
      <c r="L87">
        <v>0</v>
      </c>
      <c r="M87">
        <v>0</v>
      </c>
      <c r="N87">
        <v>0</v>
      </c>
      <c r="O87" s="20"/>
      <c r="P87" s="20"/>
      <c r="Q87" s="438">
        <v>8.3823917587387706E-2</v>
      </c>
      <c r="R87" s="197">
        <v>0.38700000000000001</v>
      </c>
      <c r="S87" s="197">
        <v>2.48</v>
      </c>
      <c r="T87" s="197">
        <v>0.72182006204756977</v>
      </c>
      <c r="U87" s="197">
        <v>0.90789473684210531</v>
      </c>
      <c r="V87" s="20">
        <f t="shared" si="88"/>
        <v>11.197135372793719</v>
      </c>
      <c r="W87" s="20">
        <f t="shared" si="88"/>
        <v>0</v>
      </c>
      <c r="X87" s="20">
        <f t="shared" si="88"/>
        <v>0</v>
      </c>
      <c r="Y87" s="20">
        <f t="shared" si="88"/>
        <v>0</v>
      </c>
      <c r="Z87" s="20">
        <f t="shared" si="89"/>
        <v>8.6507799058546002</v>
      </c>
      <c r="AA87" s="20">
        <f t="shared" si="89"/>
        <v>0</v>
      </c>
      <c r="AB87" s="20">
        <f t="shared" si="89"/>
        <v>0</v>
      </c>
      <c r="AC87" s="20">
        <f t="shared" si="89"/>
        <v>0</v>
      </c>
      <c r="AD87" s="20">
        <f t="shared" si="90"/>
        <v>8.6507799058546002</v>
      </c>
      <c r="AE87" s="20">
        <f t="shared" si="91"/>
        <v>71.75425251816128</v>
      </c>
      <c r="AF87" s="20">
        <f t="shared" si="91"/>
        <v>0</v>
      </c>
      <c r="AG87" s="20">
        <f t="shared" si="91"/>
        <v>0</v>
      </c>
      <c r="AH87" s="20">
        <f t="shared" si="91"/>
        <v>0</v>
      </c>
      <c r="AI87" s="20">
        <f t="shared" si="92"/>
        <v>66.351458778691338</v>
      </c>
      <c r="AJ87" s="20">
        <f t="shared" si="92"/>
        <v>0</v>
      </c>
      <c r="AK87" s="20">
        <f t="shared" si="92"/>
        <v>0</v>
      </c>
      <c r="AL87" s="20">
        <f t="shared" si="92"/>
        <v>0</v>
      </c>
      <c r="AM87" s="20">
        <f t="shared" si="93"/>
        <v>66.351458778691338</v>
      </c>
      <c r="AO87">
        <f t="shared" si="94"/>
        <v>9.0954299930155251</v>
      </c>
      <c r="AP87">
        <f t="shared" si="94"/>
        <v>0</v>
      </c>
      <c r="AQ87">
        <f t="shared" si="94"/>
        <v>0</v>
      </c>
      <c r="AR87">
        <f t="shared" si="94"/>
        <v>0</v>
      </c>
      <c r="AS87">
        <f t="shared" si="95"/>
        <v>9.0954299930155251</v>
      </c>
      <c r="AU87">
        <f t="shared" si="96"/>
        <v>69.761923759916073</v>
      </c>
      <c r="AV87">
        <f t="shared" si="96"/>
        <v>0</v>
      </c>
      <c r="AW87">
        <f t="shared" si="96"/>
        <v>0</v>
      </c>
      <c r="AX87">
        <f t="shared" si="96"/>
        <v>0</v>
      </c>
      <c r="AY87">
        <f t="shared" si="97"/>
        <v>69.761923759916073</v>
      </c>
    </row>
    <row r="88" spans="1:53" ht="15" x14ac:dyDescent="0.25">
      <c r="A88" s="1"/>
      <c r="B88" s="2"/>
      <c r="C88" s="1" t="s">
        <v>12</v>
      </c>
      <c r="D88">
        <v>0</v>
      </c>
      <c r="E88" s="360">
        <v>0</v>
      </c>
      <c r="F88">
        <v>0</v>
      </c>
      <c r="G88">
        <v>0</v>
      </c>
      <c r="H88">
        <v>0</v>
      </c>
      <c r="J88">
        <v>0</v>
      </c>
      <c r="K88">
        <v>0</v>
      </c>
      <c r="L88">
        <v>0</v>
      </c>
      <c r="M88">
        <v>0</v>
      </c>
      <c r="N88">
        <v>0</v>
      </c>
      <c r="O88" s="20"/>
      <c r="P88" s="20"/>
      <c r="Q88" s="438"/>
      <c r="R88" s="197">
        <v>0.38700000000000001</v>
      </c>
      <c r="S88" s="197">
        <v>2.48</v>
      </c>
      <c r="T88" s="197">
        <v>0.72182006204756977</v>
      </c>
      <c r="U88" s="197">
        <v>0.90789473684210531</v>
      </c>
      <c r="V88" s="20">
        <f t="shared" si="88"/>
        <v>0</v>
      </c>
      <c r="W88" s="20">
        <f t="shared" si="88"/>
        <v>0</v>
      </c>
      <c r="X88" s="20">
        <f t="shared" si="88"/>
        <v>0</v>
      </c>
      <c r="Y88" s="20">
        <f t="shared" si="88"/>
        <v>0</v>
      </c>
      <c r="Z88" s="20">
        <f t="shared" si="89"/>
        <v>0</v>
      </c>
      <c r="AA88" s="20">
        <f t="shared" si="89"/>
        <v>0</v>
      </c>
      <c r="AB88" s="20">
        <f t="shared" si="89"/>
        <v>0</v>
      </c>
      <c r="AC88" s="20">
        <f t="shared" si="89"/>
        <v>0</v>
      </c>
      <c r="AD88" s="20">
        <f t="shared" si="90"/>
        <v>0</v>
      </c>
      <c r="AE88" s="20">
        <f t="shared" si="91"/>
        <v>0</v>
      </c>
      <c r="AF88" s="20">
        <f t="shared" si="91"/>
        <v>0</v>
      </c>
      <c r="AG88" s="20">
        <f t="shared" si="91"/>
        <v>0</v>
      </c>
      <c r="AH88" s="20">
        <f t="shared" si="91"/>
        <v>0</v>
      </c>
      <c r="AI88" s="20">
        <f t="shared" si="92"/>
        <v>0</v>
      </c>
      <c r="AJ88" s="20">
        <f t="shared" si="92"/>
        <v>0</v>
      </c>
      <c r="AK88" s="20">
        <f t="shared" si="92"/>
        <v>0</v>
      </c>
      <c r="AL88" s="20">
        <f t="shared" si="92"/>
        <v>0</v>
      </c>
      <c r="AM88" s="20">
        <f t="shared" si="93"/>
        <v>0</v>
      </c>
      <c r="AO88">
        <f t="shared" si="94"/>
        <v>0</v>
      </c>
      <c r="AP88">
        <f t="shared" si="94"/>
        <v>0</v>
      </c>
      <c r="AQ88">
        <f t="shared" si="94"/>
        <v>0</v>
      </c>
      <c r="AR88">
        <f t="shared" si="94"/>
        <v>0</v>
      </c>
      <c r="AS88">
        <f t="shared" si="95"/>
        <v>0</v>
      </c>
      <c r="AU88">
        <f t="shared" si="96"/>
        <v>0</v>
      </c>
      <c r="AV88">
        <f t="shared" si="96"/>
        <v>0</v>
      </c>
      <c r="AW88">
        <f t="shared" si="96"/>
        <v>0</v>
      </c>
      <c r="AX88">
        <f t="shared" si="96"/>
        <v>0</v>
      </c>
      <c r="AY88">
        <f t="shared" si="97"/>
        <v>0</v>
      </c>
    </row>
    <row r="89" spans="1:53" ht="15" x14ac:dyDescent="0.25">
      <c r="A89" s="1"/>
      <c r="B89" s="2"/>
      <c r="C89" s="1" t="s">
        <v>13</v>
      </c>
      <c r="D89">
        <v>0</v>
      </c>
      <c r="E89" s="360">
        <v>0.19370000000000001</v>
      </c>
      <c r="F89">
        <v>0</v>
      </c>
      <c r="G89">
        <v>0</v>
      </c>
      <c r="H89">
        <v>0</v>
      </c>
      <c r="J89">
        <v>0</v>
      </c>
      <c r="K89">
        <v>0</v>
      </c>
      <c r="L89">
        <v>0</v>
      </c>
      <c r="M89">
        <v>0</v>
      </c>
      <c r="N89">
        <v>0</v>
      </c>
      <c r="O89" s="20"/>
      <c r="P89" s="20"/>
      <c r="Q89" s="438">
        <v>8.3823917587387706E-2</v>
      </c>
      <c r="R89" s="197">
        <v>0.38700000000000001</v>
      </c>
      <c r="S89" s="197">
        <v>2.48</v>
      </c>
      <c r="T89" s="197">
        <v>0.72182006204756977</v>
      </c>
      <c r="U89" s="197">
        <v>0.90789473684210531</v>
      </c>
      <c r="V89" s="20">
        <f t="shared" si="88"/>
        <v>6.2836001277939993E-2</v>
      </c>
      <c r="W89" s="20">
        <f t="shared" si="88"/>
        <v>0</v>
      </c>
      <c r="X89" s="20">
        <f t="shared" si="88"/>
        <v>0</v>
      </c>
      <c r="Y89" s="20">
        <f t="shared" si="88"/>
        <v>0</v>
      </c>
      <c r="Z89" s="20">
        <f t="shared" si="89"/>
        <v>4.8546382545327067E-2</v>
      </c>
      <c r="AA89" s="20">
        <f t="shared" si="89"/>
        <v>0</v>
      </c>
      <c r="AB89" s="20">
        <f t="shared" si="89"/>
        <v>0</v>
      </c>
      <c r="AC89" s="20">
        <f t="shared" si="89"/>
        <v>0</v>
      </c>
      <c r="AD89" s="20">
        <f t="shared" si="90"/>
        <v>4.8546382545327067E-2</v>
      </c>
      <c r="AE89" s="20">
        <f t="shared" si="91"/>
        <v>0.40266998234958962</v>
      </c>
      <c r="AF89" s="20">
        <f t="shared" si="91"/>
        <v>0</v>
      </c>
      <c r="AG89" s="20">
        <f t="shared" si="91"/>
        <v>0</v>
      </c>
      <c r="AH89" s="20">
        <f t="shared" si="91"/>
        <v>0</v>
      </c>
      <c r="AI89" s="20">
        <f t="shared" si="92"/>
        <v>0.37235062449466394</v>
      </c>
      <c r="AJ89" s="20">
        <f t="shared" si="92"/>
        <v>0</v>
      </c>
      <c r="AK89" s="20">
        <f t="shared" si="92"/>
        <v>0</v>
      </c>
      <c r="AL89" s="20">
        <f t="shared" si="92"/>
        <v>0</v>
      </c>
      <c r="AM89" s="20">
        <f t="shared" si="93"/>
        <v>0.37235062449466394</v>
      </c>
      <c r="AO89">
        <f t="shared" si="94"/>
        <v>5.1041666608156872E-2</v>
      </c>
      <c r="AP89">
        <f t="shared" si="94"/>
        <v>0</v>
      </c>
      <c r="AQ89">
        <f t="shared" si="94"/>
        <v>0</v>
      </c>
      <c r="AR89">
        <f t="shared" si="94"/>
        <v>0</v>
      </c>
      <c r="AS89">
        <f t="shared" si="95"/>
        <v>5.1041666608156872E-2</v>
      </c>
      <c r="AU89">
        <f t="shared" si="96"/>
        <v>0.39148944659368962</v>
      </c>
      <c r="AV89">
        <f t="shared" si="96"/>
        <v>0</v>
      </c>
      <c r="AW89">
        <f t="shared" si="96"/>
        <v>0</v>
      </c>
      <c r="AX89">
        <f t="shared" si="96"/>
        <v>0</v>
      </c>
      <c r="AY89">
        <f t="shared" si="97"/>
        <v>0.39148944659368962</v>
      </c>
    </row>
    <row r="90" spans="1:53" ht="15" x14ac:dyDescent="0.25">
      <c r="A90" s="7"/>
      <c r="B90" s="8" t="s">
        <v>14</v>
      </c>
      <c r="C90" s="7"/>
      <c r="D90" s="357">
        <f t="shared" ref="D90:H90" si="98">SUM(D84:D89)</f>
        <v>0</v>
      </c>
      <c r="E90" s="363">
        <f>SUM(E84:E89)</f>
        <v>124.3218</v>
      </c>
      <c r="F90" s="357">
        <f t="shared" si="98"/>
        <v>0</v>
      </c>
      <c r="G90" s="357">
        <f t="shared" si="98"/>
        <v>0</v>
      </c>
      <c r="H90" s="357">
        <f t="shared" si="98"/>
        <v>0</v>
      </c>
      <c r="J90">
        <v>0</v>
      </c>
      <c r="K90">
        <v>0</v>
      </c>
      <c r="L90">
        <v>0</v>
      </c>
      <c r="M90">
        <v>0</v>
      </c>
      <c r="N90">
        <v>0</v>
      </c>
      <c r="O90" s="20"/>
      <c r="P90" s="20"/>
      <c r="Q90" s="438">
        <v>4.4679378649610087E-2</v>
      </c>
      <c r="R90" s="197"/>
      <c r="S90" s="197"/>
      <c r="T90" s="197"/>
      <c r="U90" s="197"/>
      <c r="BA90" s="319">
        <f>(E90*10000*Q90*AU$10)</f>
        <v>58401.282845183909</v>
      </c>
    </row>
    <row r="91" spans="1:53" ht="15" x14ac:dyDescent="0.25">
      <c r="A91" s="10"/>
      <c r="B91" s="9" t="s">
        <v>15</v>
      </c>
      <c r="C91" s="5"/>
      <c r="E91" s="363">
        <f>SUM(E90)</f>
        <v>124.3218</v>
      </c>
      <c r="H91" s="358">
        <f>SUM(D90:H90)</f>
        <v>124.3218</v>
      </c>
      <c r="K91" s="14"/>
      <c r="N91">
        <v>0</v>
      </c>
      <c r="O91" s="20"/>
      <c r="P91" s="20"/>
      <c r="Q91" s="438"/>
      <c r="R91" s="197"/>
      <c r="S91" s="197"/>
      <c r="T91" s="197"/>
      <c r="U91" s="197"/>
    </row>
    <row r="92" spans="1:53" ht="15.75" x14ac:dyDescent="0.25">
      <c r="A92" s="1"/>
      <c r="B92" s="2"/>
      <c r="C92" s="1"/>
      <c r="E92" s="361"/>
      <c r="K92" s="14"/>
      <c r="O92" s="20"/>
      <c r="P92" s="20"/>
      <c r="Q92" s="439"/>
      <c r="R92" s="197"/>
      <c r="S92" s="197"/>
      <c r="T92" s="197"/>
      <c r="U92" s="197"/>
    </row>
    <row r="93" spans="1:53" ht="15" x14ac:dyDescent="0.25">
      <c r="A93" s="1">
        <v>10</v>
      </c>
      <c r="B93" s="2" t="s">
        <v>24</v>
      </c>
      <c r="C93" s="1" t="s">
        <v>8</v>
      </c>
      <c r="D93">
        <v>0</v>
      </c>
      <c r="E93" s="360">
        <v>148.16669999999999</v>
      </c>
      <c r="F93">
        <v>0</v>
      </c>
      <c r="G93">
        <v>0</v>
      </c>
      <c r="H93">
        <v>0</v>
      </c>
      <c r="J93">
        <v>0</v>
      </c>
      <c r="K93">
        <v>0</v>
      </c>
      <c r="L93">
        <v>0</v>
      </c>
      <c r="M93">
        <v>0</v>
      </c>
      <c r="N93">
        <v>0</v>
      </c>
      <c r="O93" s="20"/>
      <c r="P93" s="20"/>
      <c r="Q93" s="438">
        <v>2.7705979396846925E-2</v>
      </c>
      <c r="R93" s="197">
        <v>0.66599999999999993</v>
      </c>
      <c r="S93" s="197">
        <v>4.5549999999999997</v>
      </c>
      <c r="T93" s="197">
        <v>0.60039794540960334</v>
      </c>
      <c r="U93" s="197">
        <v>0.90789473684210531</v>
      </c>
      <c r="V93" s="20">
        <f t="shared" ref="V93:Y98" si="99">IF(K93&gt;0,((E93-K93)*$Q93*$R93*10)+(K93*$O$12*$Q93*$R93*10),(E93*$Q93*$R93*10))</f>
        <v>27.339989559742001</v>
      </c>
      <c r="W93" s="20">
        <f t="shared" si="99"/>
        <v>0</v>
      </c>
      <c r="X93" s="20">
        <f t="shared" si="99"/>
        <v>0</v>
      </c>
      <c r="Y93" s="20">
        <f t="shared" si="99"/>
        <v>0</v>
      </c>
      <c r="Z93" s="20">
        <f t="shared" ref="Z93:AC98" si="100">V93*(EXP(1.01-0.34*LN(Z$8))*(1-$T93)+(1*$T93))</f>
        <v>18.408737372676544</v>
      </c>
      <c r="AA93" s="20">
        <f t="shared" si="100"/>
        <v>0</v>
      </c>
      <c r="AB93" s="20">
        <f t="shared" si="100"/>
        <v>0</v>
      </c>
      <c r="AC93" s="20">
        <f t="shared" si="100"/>
        <v>0</v>
      </c>
      <c r="AD93" s="20">
        <f t="shared" ref="AD93:AD98" si="101">SUM(Z93:AC93)</f>
        <v>18.408737372676544</v>
      </c>
      <c r="AE93" s="20">
        <f t="shared" ref="AE93:AH98" si="102">IF(K93&gt;0,((E93-K93)*$Q93*$S93*10)+(K93*$P$12*$Q93*$S93)*10,(E93*$Q93*$S93*10))</f>
        <v>186.98746613307031</v>
      </c>
      <c r="AF93" s="20">
        <f t="shared" si="102"/>
        <v>0</v>
      </c>
      <c r="AG93" s="20">
        <f t="shared" si="102"/>
        <v>0</v>
      </c>
      <c r="AH93" s="20">
        <f t="shared" si="102"/>
        <v>0</v>
      </c>
      <c r="AI93" s="20">
        <f t="shared" ref="AI93:AL98" si="103">AE93*(EXP(1.01-0.34*LN(AI$8))*(1-$U93)+(1*$U93))</f>
        <v>172.90809556019173</v>
      </c>
      <c r="AJ93" s="20">
        <f t="shared" si="103"/>
        <v>0</v>
      </c>
      <c r="AK93" s="20">
        <f t="shared" si="103"/>
        <v>0</v>
      </c>
      <c r="AL93" s="20">
        <f t="shared" si="103"/>
        <v>0</v>
      </c>
      <c r="AM93" s="20">
        <f t="shared" ref="AM93:AM98" si="104">SUM(AI93:AL93)</f>
        <v>172.90809556019173</v>
      </c>
      <c r="AO93">
        <f t="shared" ref="AO93:AR98" si="105">Z93*AO$10</f>
        <v>19.354946473632115</v>
      </c>
      <c r="AP93">
        <f t="shared" si="105"/>
        <v>0</v>
      </c>
      <c r="AQ93">
        <f t="shared" si="105"/>
        <v>0</v>
      </c>
      <c r="AR93">
        <f t="shared" si="105"/>
        <v>0</v>
      </c>
      <c r="AS93">
        <f t="shared" ref="AS93:AS98" si="106">SUM(AO93:AR93)</f>
        <v>19.354946473632115</v>
      </c>
      <c r="AU93">
        <f t="shared" ref="AU93:AX98" si="107">AI93*AU$10</f>
        <v>181.79557167198556</v>
      </c>
      <c r="AV93">
        <f t="shared" si="107"/>
        <v>0</v>
      </c>
      <c r="AW93">
        <f t="shared" si="107"/>
        <v>0</v>
      </c>
      <c r="AX93">
        <f t="shared" si="107"/>
        <v>0</v>
      </c>
      <c r="AY93">
        <f t="shared" ref="AY93:AY98" si="108">SUM(AU93:AX93)</f>
        <v>181.79557167198556</v>
      </c>
    </row>
    <row r="94" spans="1:53" ht="15" x14ac:dyDescent="0.25">
      <c r="A94" s="1"/>
      <c r="B94" s="2"/>
      <c r="C94" s="1" t="s">
        <v>9</v>
      </c>
      <c r="D94">
        <v>0</v>
      </c>
      <c r="E94" s="360">
        <v>16.532399999999999</v>
      </c>
      <c r="F94">
        <v>0</v>
      </c>
      <c r="G94">
        <v>0</v>
      </c>
      <c r="H94">
        <v>0</v>
      </c>
      <c r="J94">
        <v>0</v>
      </c>
      <c r="K94">
        <v>0</v>
      </c>
      <c r="L94">
        <v>0</v>
      </c>
      <c r="M94">
        <v>0</v>
      </c>
      <c r="N94">
        <v>0</v>
      </c>
      <c r="O94" s="20"/>
      <c r="P94" s="20"/>
      <c r="Q94" s="438">
        <v>4.641195879369385E-2</v>
      </c>
      <c r="R94" s="197">
        <v>0.66599999999999993</v>
      </c>
      <c r="S94" s="197">
        <v>4.5549999999999997</v>
      </c>
      <c r="T94" s="197">
        <v>0.60039794540960334</v>
      </c>
      <c r="U94" s="197">
        <v>0.90789473684210531</v>
      </c>
      <c r="V94" s="20">
        <f t="shared" si="99"/>
        <v>5.110225109955354</v>
      </c>
      <c r="W94" s="20">
        <f t="shared" si="99"/>
        <v>0</v>
      </c>
      <c r="X94" s="20">
        <f t="shared" si="99"/>
        <v>0</v>
      </c>
      <c r="Y94" s="20">
        <f t="shared" si="99"/>
        <v>0</v>
      </c>
      <c r="Z94" s="20">
        <f t="shared" si="100"/>
        <v>3.440849593554598</v>
      </c>
      <c r="AA94" s="20">
        <f t="shared" si="100"/>
        <v>0</v>
      </c>
      <c r="AB94" s="20">
        <f t="shared" si="100"/>
        <v>0</v>
      </c>
      <c r="AC94" s="20">
        <f t="shared" si="100"/>
        <v>0</v>
      </c>
      <c r="AD94" s="20">
        <f t="shared" si="101"/>
        <v>3.440849593554598</v>
      </c>
      <c r="AE94" s="20">
        <f t="shared" si="102"/>
        <v>34.950563627397358</v>
      </c>
      <c r="AF94" s="20">
        <f t="shared" si="102"/>
        <v>0</v>
      </c>
      <c r="AG94" s="20">
        <f t="shared" si="102"/>
        <v>0</v>
      </c>
      <c r="AH94" s="20">
        <f t="shared" si="102"/>
        <v>0</v>
      </c>
      <c r="AI94" s="20">
        <f t="shared" si="103"/>
        <v>32.318933030879684</v>
      </c>
      <c r="AJ94" s="20">
        <f t="shared" si="103"/>
        <v>0</v>
      </c>
      <c r="AK94" s="20">
        <f t="shared" si="103"/>
        <v>0</v>
      </c>
      <c r="AL94" s="20">
        <f t="shared" si="103"/>
        <v>0</v>
      </c>
      <c r="AM94" s="20">
        <f t="shared" si="104"/>
        <v>32.318933030879684</v>
      </c>
      <c r="AO94">
        <f t="shared" si="105"/>
        <v>3.6177092626633041</v>
      </c>
      <c r="AP94">
        <f t="shared" si="105"/>
        <v>0</v>
      </c>
      <c r="AQ94">
        <f t="shared" si="105"/>
        <v>0</v>
      </c>
      <c r="AR94">
        <f t="shared" si="105"/>
        <v>0</v>
      </c>
      <c r="AS94">
        <f t="shared" si="106"/>
        <v>3.6177092626633041</v>
      </c>
      <c r="AU94">
        <f t="shared" si="107"/>
        <v>33.980126188666894</v>
      </c>
      <c r="AV94">
        <f t="shared" si="107"/>
        <v>0</v>
      </c>
      <c r="AW94">
        <f t="shared" si="107"/>
        <v>0</v>
      </c>
      <c r="AX94">
        <f t="shared" si="107"/>
        <v>0</v>
      </c>
      <c r="AY94">
        <f t="shared" si="108"/>
        <v>33.980126188666894</v>
      </c>
    </row>
    <row r="95" spans="1:53" ht="15" x14ac:dyDescent="0.25">
      <c r="A95" s="1"/>
      <c r="B95" s="2"/>
      <c r="C95" s="1" t="s">
        <v>10</v>
      </c>
      <c r="D95">
        <v>0</v>
      </c>
      <c r="E95" s="360"/>
      <c r="F95">
        <v>0</v>
      </c>
      <c r="G95">
        <v>0</v>
      </c>
      <c r="H95">
        <v>0</v>
      </c>
      <c r="J95">
        <v>0</v>
      </c>
      <c r="K95">
        <v>0</v>
      </c>
      <c r="L95">
        <v>0</v>
      </c>
      <c r="M95">
        <v>0</v>
      </c>
      <c r="N95">
        <v>0</v>
      </c>
      <c r="O95" s="20"/>
      <c r="P95" s="20"/>
      <c r="Q95" s="438"/>
      <c r="R95" s="197">
        <v>0.66599999999999993</v>
      </c>
      <c r="S95" s="197">
        <v>4.5549999999999997</v>
      </c>
      <c r="T95" s="197">
        <v>0.60039794540960334</v>
      </c>
      <c r="U95" s="197">
        <v>0.90789473684210531</v>
      </c>
      <c r="V95" s="20">
        <f t="shared" si="99"/>
        <v>0</v>
      </c>
      <c r="W95" s="20">
        <f t="shared" si="99"/>
        <v>0</v>
      </c>
      <c r="X95" s="20">
        <f t="shared" si="99"/>
        <v>0</v>
      </c>
      <c r="Y95" s="20">
        <f t="shared" si="99"/>
        <v>0</v>
      </c>
      <c r="Z95" s="20">
        <f t="shared" si="100"/>
        <v>0</v>
      </c>
      <c r="AA95" s="20">
        <f t="shared" si="100"/>
        <v>0</v>
      </c>
      <c r="AB95" s="20">
        <f t="shared" si="100"/>
        <v>0</v>
      </c>
      <c r="AC95" s="20">
        <f t="shared" si="100"/>
        <v>0</v>
      </c>
      <c r="AD95" s="20">
        <f t="shared" si="101"/>
        <v>0</v>
      </c>
      <c r="AE95" s="20">
        <f t="shared" si="102"/>
        <v>0</v>
      </c>
      <c r="AF95" s="20">
        <f t="shared" si="102"/>
        <v>0</v>
      </c>
      <c r="AG95" s="20">
        <f t="shared" si="102"/>
        <v>0</v>
      </c>
      <c r="AH95" s="20">
        <f t="shared" si="102"/>
        <v>0</v>
      </c>
      <c r="AI95" s="20">
        <f t="shared" si="103"/>
        <v>0</v>
      </c>
      <c r="AJ95" s="20">
        <f t="shared" si="103"/>
        <v>0</v>
      </c>
      <c r="AK95" s="20">
        <f t="shared" si="103"/>
        <v>0</v>
      </c>
      <c r="AL95" s="20">
        <f t="shared" si="103"/>
        <v>0</v>
      </c>
      <c r="AM95" s="20">
        <f t="shared" si="104"/>
        <v>0</v>
      </c>
      <c r="AO95">
        <f t="shared" si="105"/>
        <v>0</v>
      </c>
      <c r="AP95">
        <f t="shared" si="105"/>
        <v>0</v>
      </c>
      <c r="AQ95">
        <f t="shared" si="105"/>
        <v>0</v>
      </c>
      <c r="AR95">
        <f t="shared" si="105"/>
        <v>0</v>
      </c>
      <c r="AS95">
        <f t="shared" si="106"/>
        <v>0</v>
      </c>
      <c r="AU95">
        <f t="shared" si="107"/>
        <v>0</v>
      </c>
      <c r="AV95">
        <f t="shared" si="107"/>
        <v>0</v>
      </c>
      <c r="AW95">
        <f t="shared" si="107"/>
        <v>0</v>
      </c>
      <c r="AX95">
        <f t="shared" si="107"/>
        <v>0</v>
      </c>
      <c r="AY95">
        <f t="shared" si="108"/>
        <v>0</v>
      </c>
    </row>
    <row r="96" spans="1:53" ht="15" x14ac:dyDescent="0.25">
      <c r="A96" s="1"/>
      <c r="B96" s="2"/>
      <c r="C96" s="1" t="s">
        <v>11</v>
      </c>
      <c r="D96">
        <v>0</v>
      </c>
      <c r="E96" s="360">
        <v>104.04470000000001</v>
      </c>
      <c r="F96">
        <v>0</v>
      </c>
      <c r="G96">
        <v>0</v>
      </c>
      <c r="H96">
        <v>0</v>
      </c>
      <c r="J96">
        <v>0</v>
      </c>
      <c r="K96">
        <v>0</v>
      </c>
      <c r="L96">
        <v>0</v>
      </c>
      <c r="M96">
        <v>0</v>
      </c>
      <c r="N96">
        <v>0</v>
      </c>
      <c r="O96" s="20"/>
      <c r="P96" s="20"/>
      <c r="Q96" s="438">
        <v>8.3823917587387706E-2</v>
      </c>
      <c r="R96" s="197">
        <v>0.66599999999999993</v>
      </c>
      <c r="S96" s="197">
        <v>4.5549999999999997</v>
      </c>
      <c r="T96" s="197">
        <v>0.60039794540960334</v>
      </c>
      <c r="U96" s="197">
        <v>0.90789473684210531</v>
      </c>
      <c r="V96" s="20">
        <f t="shared" si="99"/>
        <v>58.084752825641814</v>
      </c>
      <c r="W96" s="20">
        <f t="shared" si="99"/>
        <v>0</v>
      </c>
      <c r="X96" s="20">
        <f t="shared" si="99"/>
        <v>0</v>
      </c>
      <c r="Y96" s="20">
        <f t="shared" si="99"/>
        <v>0</v>
      </c>
      <c r="Z96" s="20">
        <f t="shared" si="100"/>
        <v>39.109998845740684</v>
      </c>
      <c r="AA96" s="20">
        <f t="shared" si="100"/>
        <v>0</v>
      </c>
      <c r="AB96" s="20">
        <f t="shared" si="100"/>
        <v>0</v>
      </c>
      <c r="AC96" s="20">
        <f t="shared" si="100"/>
        <v>0</v>
      </c>
      <c r="AD96" s="20">
        <f t="shared" si="101"/>
        <v>39.109998845740684</v>
      </c>
      <c r="AE96" s="20">
        <f t="shared" si="102"/>
        <v>397.26133501621399</v>
      </c>
      <c r="AF96" s="20">
        <f t="shared" si="102"/>
        <v>0</v>
      </c>
      <c r="AG96" s="20">
        <f t="shared" si="102"/>
        <v>0</v>
      </c>
      <c r="AH96" s="20">
        <f t="shared" si="102"/>
        <v>0</v>
      </c>
      <c r="AI96" s="20">
        <f t="shared" si="103"/>
        <v>367.34922558108565</v>
      </c>
      <c r="AJ96" s="20">
        <f t="shared" si="103"/>
        <v>0</v>
      </c>
      <c r="AK96" s="20">
        <f t="shared" si="103"/>
        <v>0</v>
      </c>
      <c r="AL96" s="20">
        <f t="shared" si="103"/>
        <v>0</v>
      </c>
      <c r="AM96" s="20">
        <f t="shared" si="104"/>
        <v>367.34922558108565</v>
      </c>
      <c r="AO96">
        <f t="shared" si="105"/>
        <v>41.120252786411747</v>
      </c>
      <c r="AP96">
        <f t="shared" si="105"/>
        <v>0</v>
      </c>
      <c r="AQ96">
        <f t="shared" si="105"/>
        <v>0</v>
      </c>
      <c r="AR96">
        <f t="shared" si="105"/>
        <v>0</v>
      </c>
      <c r="AS96">
        <f t="shared" si="106"/>
        <v>41.120252786411747</v>
      </c>
      <c r="AU96">
        <f t="shared" si="107"/>
        <v>386.23097577595342</v>
      </c>
      <c r="AV96">
        <f t="shared" si="107"/>
        <v>0</v>
      </c>
      <c r="AW96">
        <f t="shared" si="107"/>
        <v>0</v>
      </c>
      <c r="AX96">
        <f t="shared" si="107"/>
        <v>0</v>
      </c>
      <c r="AY96">
        <f t="shared" si="108"/>
        <v>386.23097577595342</v>
      </c>
    </row>
    <row r="97" spans="1:53" ht="15" x14ac:dyDescent="0.25">
      <c r="A97" s="1"/>
      <c r="B97" s="2"/>
      <c r="C97" s="1" t="s">
        <v>12</v>
      </c>
      <c r="D97">
        <v>0</v>
      </c>
      <c r="E97" s="360">
        <v>0</v>
      </c>
      <c r="F97">
        <v>0</v>
      </c>
      <c r="G97">
        <v>0</v>
      </c>
      <c r="H9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20"/>
      <c r="P97" s="20"/>
      <c r="Q97" s="438"/>
      <c r="R97" s="197">
        <v>0.66599999999999993</v>
      </c>
      <c r="S97" s="197">
        <v>4.5549999999999997</v>
      </c>
      <c r="T97" s="197">
        <v>0.60039794540960334</v>
      </c>
      <c r="U97" s="197">
        <v>0.90789473684210531</v>
      </c>
      <c r="V97" s="20">
        <f t="shared" si="99"/>
        <v>0</v>
      </c>
      <c r="W97" s="20">
        <f t="shared" si="99"/>
        <v>0</v>
      </c>
      <c r="X97" s="20">
        <f t="shared" si="99"/>
        <v>0</v>
      </c>
      <c r="Y97" s="20">
        <f t="shared" si="99"/>
        <v>0</v>
      </c>
      <c r="Z97" s="20">
        <f t="shared" si="100"/>
        <v>0</v>
      </c>
      <c r="AA97" s="20">
        <f t="shared" si="100"/>
        <v>0</v>
      </c>
      <c r="AB97" s="20">
        <f t="shared" si="100"/>
        <v>0</v>
      </c>
      <c r="AC97" s="20">
        <f t="shared" si="100"/>
        <v>0</v>
      </c>
      <c r="AD97" s="20">
        <f t="shared" si="101"/>
        <v>0</v>
      </c>
      <c r="AE97" s="20">
        <f t="shared" si="102"/>
        <v>0</v>
      </c>
      <c r="AF97" s="20">
        <f t="shared" si="102"/>
        <v>0</v>
      </c>
      <c r="AG97" s="20">
        <f t="shared" si="102"/>
        <v>0</v>
      </c>
      <c r="AH97" s="20">
        <f t="shared" si="102"/>
        <v>0</v>
      </c>
      <c r="AI97" s="20">
        <f t="shared" si="103"/>
        <v>0</v>
      </c>
      <c r="AJ97" s="20">
        <f t="shared" si="103"/>
        <v>0</v>
      </c>
      <c r="AK97" s="20">
        <f t="shared" si="103"/>
        <v>0</v>
      </c>
      <c r="AL97" s="20">
        <f t="shared" si="103"/>
        <v>0</v>
      </c>
      <c r="AM97" s="20">
        <f t="shared" si="104"/>
        <v>0</v>
      </c>
      <c r="AO97">
        <f t="shared" si="105"/>
        <v>0</v>
      </c>
      <c r="AP97">
        <f t="shared" si="105"/>
        <v>0</v>
      </c>
      <c r="AQ97">
        <f t="shared" si="105"/>
        <v>0</v>
      </c>
      <c r="AR97">
        <f t="shared" si="105"/>
        <v>0</v>
      </c>
      <c r="AS97">
        <f t="shared" si="106"/>
        <v>0</v>
      </c>
      <c r="AU97">
        <f t="shared" si="107"/>
        <v>0</v>
      </c>
      <c r="AV97">
        <f t="shared" si="107"/>
        <v>0</v>
      </c>
      <c r="AW97">
        <f t="shared" si="107"/>
        <v>0</v>
      </c>
      <c r="AX97">
        <f t="shared" si="107"/>
        <v>0</v>
      </c>
      <c r="AY97">
        <f t="shared" si="108"/>
        <v>0</v>
      </c>
    </row>
    <row r="98" spans="1:53" ht="15" x14ac:dyDescent="0.25">
      <c r="A98" s="1"/>
      <c r="B98" s="2"/>
      <c r="C98" s="1" t="s">
        <v>13</v>
      </c>
      <c r="D98">
        <v>0</v>
      </c>
      <c r="E98" s="360">
        <v>1.4752000000000001</v>
      </c>
      <c r="F98">
        <v>0</v>
      </c>
      <c r="G98">
        <v>0</v>
      </c>
      <c r="H98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20"/>
      <c r="P98" s="20"/>
      <c r="Q98" s="438">
        <v>8.3823917587387706E-2</v>
      </c>
      <c r="R98" s="197">
        <v>0.66599999999999993</v>
      </c>
      <c r="S98" s="197">
        <v>4.5549999999999997</v>
      </c>
      <c r="T98" s="197">
        <v>0.60039794540960334</v>
      </c>
      <c r="U98" s="197">
        <v>0.90789473684210531</v>
      </c>
      <c r="V98" s="20">
        <f t="shared" si="99"/>
        <v>0.82355590787792954</v>
      </c>
      <c r="W98" s="20">
        <f t="shared" si="99"/>
        <v>0</v>
      </c>
      <c r="X98" s="20">
        <f t="shared" si="99"/>
        <v>0</v>
      </c>
      <c r="Y98" s="20">
        <f t="shared" si="99"/>
        <v>0</v>
      </c>
      <c r="Z98" s="20">
        <f t="shared" si="100"/>
        <v>0.55452195351840761</v>
      </c>
      <c r="AA98" s="20">
        <f t="shared" si="100"/>
        <v>0</v>
      </c>
      <c r="AB98" s="20">
        <f t="shared" si="100"/>
        <v>0</v>
      </c>
      <c r="AC98" s="20">
        <f t="shared" si="100"/>
        <v>0</v>
      </c>
      <c r="AD98" s="20">
        <f t="shared" si="101"/>
        <v>0.55452195351840761</v>
      </c>
      <c r="AE98" s="20">
        <f t="shared" si="102"/>
        <v>5.6325783188948488</v>
      </c>
      <c r="AF98" s="20">
        <f t="shared" si="102"/>
        <v>0</v>
      </c>
      <c r="AG98" s="20">
        <f t="shared" si="102"/>
        <v>0</v>
      </c>
      <c r="AH98" s="20">
        <f t="shared" si="102"/>
        <v>0</v>
      </c>
      <c r="AI98" s="20">
        <f t="shared" si="103"/>
        <v>5.2084688367328429</v>
      </c>
      <c r="AJ98" s="20">
        <f t="shared" si="103"/>
        <v>0</v>
      </c>
      <c r="AK98" s="20">
        <f t="shared" si="103"/>
        <v>0</v>
      </c>
      <c r="AL98" s="20">
        <f t="shared" si="103"/>
        <v>0</v>
      </c>
      <c r="AM98" s="20">
        <f t="shared" si="104"/>
        <v>5.2084688367328429</v>
      </c>
      <c r="AO98">
        <f t="shared" si="105"/>
        <v>0.58302438192925365</v>
      </c>
      <c r="AP98">
        <f t="shared" si="105"/>
        <v>0</v>
      </c>
      <c r="AQ98">
        <f t="shared" si="105"/>
        <v>0</v>
      </c>
      <c r="AR98">
        <f t="shared" si="105"/>
        <v>0</v>
      </c>
      <c r="AS98">
        <f t="shared" si="106"/>
        <v>0.58302438192925365</v>
      </c>
      <c r="AU98">
        <f t="shared" si="107"/>
        <v>5.4761841349409108</v>
      </c>
      <c r="AV98">
        <f t="shared" si="107"/>
        <v>0</v>
      </c>
      <c r="AW98">
        <f t="shared" si="107"/>
        <v>0</v>
      </c>
      <c r="AX98">
        <f t="shared" si="107"/>
        <v>0</v>
      </c>
      <c r="AY98">
        <f t="shared" si="108"/>
        <v>5.4761841349409108</v>
      </c>
    </row>
    <row r="99" spans="1:53" ht="15" x14ac:dyDescent="0.25">
      <c r="A99" s="7"/>
      <c r="B99" s="8" t="s">
        <v>14</v>
      </c>
      <c r="C99" s="7"/>
      <c r="D99" s="357">
        <f t="shared" ref="D99:H99" si="109">SUM(D93:D98)</f>
        <v>0</v>
      </c>
      <c r="E99" s="363">
        <f>SUM(E93:E98)</f>
        <v>270.21899999999994</v>
      </c>
      <c r="F99" s="357">
        <f t="shared" si="109"/>
        <v>0</v>
      </c>
      <c r="G99" s="357">
        <f t="shared" si="109"/>
        <v>0</v>
      </c>
      <c r="H99" s="357">
        <f t="shared" si="109"/>
        <v>0</v>
      </c>
      <c r="J99">
        <v>0</v>
      </c>
      <c r="K99">
        <v>0</v>
      </c>
      <c r="L99">
        <v>0</v>
      </c>
      <c r="M99">
        <v>0</v>
      </c>
      <c r="N99">
        <v>0</v>
      </c>
      <c r="O99" s="20"/>
      <c r="P99" s="20"/>
      <c r="Q99" s="438">
        <v>5.0764365224092535E-2</v>
      </c>
      <c r="R99" s="197"/>
      <c r="S99" s="197"/>
      <c r="T99" s="197"/>
      <c r="U99" s="197"/>
      <c r="BA99" s="319">
        <f>(E99*10000*Q99*AU$10)</f>
        <v>144225.75301222596</v>
      </c>
    </row>
    <row r="100" spans="1:53" ht="15" x14ac:dyDescent="0.25">
      <c r="A100" s="10"/>
      <c r="B100" s="9" t="s">
        <v>15</v>
      </c>
      <c r="C100" s="5"/>
      <c r="E100" s="363">
        <f>SUM(E99)</f>
        <v>270.21899999999994</v>
      </c>
      <c r="H100" s="358">
        <f>SUM(D99:H99)</f>
        <v>270.21899999999994</v>
      </c>
      <c r="K100" s="14"/>
      <c r="N100">
        <v>0</v>
      </c>
      <c r="O100" s="20"/>
      <c r="P100" s="20"/>
      <c r="Q100" s="438"/>
      <c r="R100" s="197"/>
      <c r="S100" s="197"/>
      <c r="T100" s="197"/>
      <c r="U100" s="197"/>
    </row>
    <row r="101" spans="1:53" ht="15.75" x14ac:dyDescent="0.25">
      <c r="A101" s="1"/>
      <c r="B101" s="2"/>
      <c r="C101" s="1"/>
      <c r="E101" s="361"/>
      <c r="K101" s="14"/>
      <c r="O101" s="20"/>
      <c r="P101" s="20"/>
      <c r="Q101" s="439"/>
      <c r="R101" s="197"/>
      <c r="S101" s="197"/>
      <c r="T101" s="197"/>
      <c r="U101" s="197"/>
    </row>
    <row r="102" spans="1:53" ht="15" x14ac:dyDescent="0.25">
      <c r="A102" s="1">
        <v>11</v>
      </c>
      <c r="B102" s="2" t="s">
        <v>25</v>
      </c>
      <c r="C102" s="1" t="s">
        <v>8</v>
      </c>
      <c r="D102">
        <v>0</v>
      </c>
      <c r="E102" s="360">
        <v>9.1846999999999994</v>
      </c>
      <c r="F102">
        <v>0</v>
      </c>
      <c r="G102">
        <v>0</v>
      </c>
      <c r="H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 s="20"/>
      <c r="P102" s="20"/>
      <c r="Q102" s="438">
        <v>2.7705979396846925E-2</v>
      </c>
      <c r="R102" s="197">
        <v>0.14000000000000001</v>
      </c>
      <c r="S102" s="197">
        <v>2.0499999999999998</v>
      </c>
      <c r="T102" s="197">
        <v>0.62857142857142845</v>
      </c>
      <c r="U102" s="197">
        <v>0.90789473684210531</v>
      </c>
      <c r="V102" s="20">
        <f t="shared" ref="V102:Y107" si="110">IF(K102&gt;0,((E102-K102)*$Q102*$R102*10)+(K102*$O$12*$Q102*$R102*10),(E102*$Q102*$R102*10))</f>
        <v>0.35625955255270791</v>
      </c>
      <c r="W102" s="20">
        <f t="shared" si="110"/>
        <v>0</v>
      </c>
      <c r="X102" s="20">
        <f t="shared" si="110"/>
        <v>0</v>
      </c>
      <c r="Y102" s="20">
        <f t="shared" si="110"/>
        <v>0</v>
      </c>
      <c r="Z102" s="20">
        <f t="shared" ref="Z102:AC107" si="111">V102*(EXP(1.01-0.34*LN(Z$8))*(1-$T102)+(1*$T102))</f>
        <v>0.2480842492277873</v>
      </c>
      <c r="AA102" s="20">
        <f t="shared" si="111"/>
        <v>0</v>
      </c>
      <c r="AB102" s="20">
        <f t="shared" si="111"/>
        <v>0</v>
      </c>
      <c r="AC102" s="20">
        <f t="shared" si="111"/>
        <v>0</v>
      </c>
      <c r="AD102" s="20">
        <f t="shared" ref="AD102:AD107" si="112">SUM(Z102:AC102)</f>
        <v>0.2480842492277873</v>
      </c>
      <c r="AE102" s="20">
        <f t="shared" ref="AE102:AH107" si="113">IF(K102&gt;0,((E102-K102)*$Q102*$S102*10)+(K102*$P$12*$Q102*$S102)*10,(E102*$Q102*$S102*10))</f>
        <v>5.2166577338075086</v>
      </c>
      <c r="AF102" s="20">
        <f t="shared" si="113"/>
        <v>0</v>
      </c>
      <c r="AG102" s="20">
        <f t="shared" si="113"/>
        <v>0</v>
      </c>
      <c r="AH102" s="20">
        <f t="shared" si="113"/>
        <v>0</v>
      </c>
      <c r="AI102" s="20">
        <f t="shared" ref="AI102:AL107" si="114">AE102*(EXP(1.01-0.34*LN(AI$8))*(1-$U102)+(1*$U102))</f>
        <v>4.8238653242142364</v>
      </c>
      <c r="AJ102" s="20">
        <f t="shared" si="114"/>
        <v>0</v>
      </c>
      <c r="AK102" s="20">
        <f t="shared" si="114"/>
        <v>0</v>
      </c>
      <c r="AL102" s="20">
        <f t="shared" si="114"/>
        <v>0</v>
      </c>
      <c r="AM102" s="20">
        <f t="shared" ref="AM102:AM107" si="115">SUM(AI102:AL102)</f>
        <v>4.8238653242142364</v>
      </c>
      <c r="AO102">
        <f t="shared" ref="AO102:AR107" si="116">Z102*AO$10</f>
        <v>0.26083577963809551</v>
      </c>
      <c r="AP102">
        <f t="shared" si="116"/>
        <v>0</v>
      </c>
      <c r="AQ102">
        <f t="shared" si="116"/>
        <v>0</v>
      </c>
      <c r="AR102">
        <f t="shared" si="116"/>
        <v>0</v>
      </c>
      <c r="AS102">
        <f t="shared" ref="AS102:AS107" si="117">SUM(AO102:AR102)</f>
        <v>0.26083577963809551</v>
      </c>
      <c r="AU102">
        <f t="shared" ref="AU102:AX107" si="118">AI102*AU$10</f>
        <v>5.0718120018788477</v>
      </c>
      <c r="AV102">
        <f t="shared" si="118"/>
        <v>0</v>
      </c>
      <c r="AW102">
        <f t="shared" si="118"/>
        <v>0</v>
      </c>
      <c r="AX102">
        <f t="shared" si="118"/>
        <v>0</v>
      </c>
      <c r="AY102">
        <f t="shared" ref="AY102:AY107" si="119">SUM(AU102:AX102)</f>
        <v>5.0718120018788477</v>
      </c>
    </row>
    <row r="103" spans="1:53" ht="15" x14ac:dyDescent="0.25">
      <c r="A103" s="1"/>
      <c r="B103" s="2"/>
      <c r="C103" s="1" t="s">
        <v>9</v>
      </c>
      <c r="D103">
        <v>0</v>
      </c>
      <c r="E103" s="360">
        <v>0</v>
      </c>
      <c r="F103">
        <v>0</v>
      </c>
      <c r="G103">
        <v>0</v>
      </c>
      <c r="H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 s="20"/>
      <c r="P103" s="20"/>
      <c r="Q103" s="438"/>
      <c r="R103" s="197">
        <v>0.14000000000000001</v>
      </c>
      <c r="S103" s="197">
        <v>2.0499999999999998</v>
      </c>
      <c r="T103" s="197">
        <v>0.62857142857142845</v>
      </c>
      <c r="U103" s="197">
        <v>0.90789473684210531</v>
      </c>
      <c r="V103" s="20">
        <f t="shared" si="110"/>
        <v>0</v>
      </c>
      <c r="W103" s="20">
        <f t="shared" si="110"/>
        <v>0</v>
      </c>
      <c r="X103" s="20">
        <f t="shared" si="110"/>
        <v>0</v>
      </c>
      <c r="Y103" s="20">
        <f t="shared" si="110"/>
        <v>0</v>
      </c>
      <c r="Z103" s="20">
        <f t="shared" si="111"/>
        <v>0</v>
      </c>
      <c r="AA103" s="20">
        <f t="shared" si="111"/>
        <v>0</v>
      </c>
      <c r="AB103" s="20">
        <f t="shared" si="111"/>
        <v>0</v>
      </c>
      <c r="AC103" s="20">
        <f t="shared" si="111"/>
        <v>0</v>
      </c>
      <c r="AD103" s="20">
        <f t="shared" si="112"/>
        <v>0</v>
      </c>
      <c r="AE103" s="20">
        <f t="shared" si="113"/>
        <v>0</v>
      </c>
      <c r="AF103" s="20">
        <f t="shared" si="113"/>
        <v>0</v>
      </c>
      <c r="AG103" s="20">
        <f t="shared" si="113"/>
        <v>0</v>
      </c>
      <c r="AH103" s="20">
        <f t="shared" si="113"/>
        <v>0</v>
      </c>
      <c r="AI103" s="20">
        <f t="shared" si="114"/>
        <v>0</v>
      </c>
      <c r="AJ103" s="20">
        <f t="shared" si="114"/>
        <v>0</v>
      </c>
      <c r="AK103" s="20">
        <f t="shared" si="114"/>
        <v>0</v>
      </c>
      <c r="AL103" s="20">
        <f t="shared" si="114"/>
        <v>0</v>
      </c>
      <c r="AM103" s="20">
        <f t="shared" si="115"/>
        <v>0</v>
      </c>
      <c r="AO103">
        <f t="shared" si="116"/>
        <v>0</v>
      </c>
      <c r="AP103">
        <f t="shared" si="116"/>
        <v>0</v>
      </c>
      <c r="AQ103">
        <f t="shared" si="116"/>
        <v>0</v>
      </c>
      <c r="AR103">
        <f t="shared" si="116"/>
        <v>0</v>
      </c>
      <c r="AS103">
        <f t="shared" si="117"/>
        <v>0</v>
      </c>
      <c r="AU103">
        <f t="shared" si="118"/>
        <v>0</v>
      </c>
      <c r="AV103">
        <f t="shared" si="118"/>
        <v>0</v>
      </c>
      <c r="AW103">
        <f t="shared" si="118"/>
        <v>0</v>
      </c>
      <c r="AX103">
        <f t="shared" si="118"/>
        <v>0</v>
      </c>
      <c r="AY103">
        <f t="shared" si="119"/>
        <v>0</v>
      </c>
    </row>
    <row r="104" spans="1:53" ht="15" x14ac:dyDescent="0.25">
      <c r="A104" s="1"/>
      <c r="B104" s="2"/>
      <c r="C104" s="1" t="s">
        <v>10</v>
      </c>
      <c r="D104">
        <v>0</v>
      </c>
      <c r="E104" s="360">
        <v>0</v>
      </c>
      <c r="F104">
        <v>0</v>
      </c>
      <c r="G104">
        <v>0</v>
      </c>
      <c r="H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 s="20"/>
      <c r="P104" s="20"/>
      <c r="Q104" s="438"/>
      <c r="R104" s="197">
        <v>0.14000000000000001</v>
      </c>
      <c r="S104" s="197">
        <v>2.0499999999999998</v>
      </c>
      <c r="T104" s="197">
        <v>0.62857142857142845</v>
      </c>
      <c r="U104" s="197">
        <v>0.90789473684210531</v>
      </c>
      <c r="V104" s="20">
        <f t="shared" si="110"/>
        <v>0</v>
      </c>
      <c r="W104" s="20">
        <f t="shared" si="110"/>
        <v>0</v>
      </c>
      <c r="X104" s="20">
        <f t="shared" si="110"/>
        <v>0</v>
      </c>
      <c r="Y104" s="20">
        <f t="shared" si="110"/>
        <v>0</v>
      </c>
      <c r="Z104" s="20">
        <f t="shared" si="111"/>
        <v>0</v>
      </c>
      <c r="AA104" s="20">
        <f t="shared" si="111"/>
        <v>0</v>
      </c>
      <c r="AB104" s="20">
        <f t="shared" si="111"/>
        <v>0</v>
      </c>
      <c r="AC104" s="20">
        <f t="shared" si="111"/>
        <v>0</v>
      </c>
      <c r="AD104" s="20">
        <f t="shared" si="112"/>
        <v>0</v>
      </c>
      <c r="AE104" s="20">
        <f t="shared" si="113"/>
        <v>0</v>
      </c>
      <c r="AF104" s="20">
        <f t="shared" si="113"/>
        <v>0</v>
      </c>
      <c r="AG104" s="20">
        <f t="shared" si="113"/>
        <v>0</v>
      </c>
      <c r="AH104" s="20">
        <f t="shared" si="113"/>
        <v>0</v>
      </c>
      <c r="AI104" s="20">
        <f t="shared" si="114"/>
        <v>0</v>
      </c>
      <c r="AJ104" s="20">
        <f t="shared" si="114"/>
        <v>0</v>
      </c>
      <c r="AK104" s="20">
        <f t="shared" si="114"/>
        <v>0</v>
      </c>
      <c r="AL104" s="20">
        <f t="shared" si="114"/>
        <v>0</v>
      </c>
      <c r="AM104" s="20">
        <f t="shared" si="115"/>
        <v>0</v>
      </c>
      <c r="AO104">
        <f t="shared" si="116"/>
        <v>0</v>
      </c>
      <c r="AP104">
        <f t="shared" si="116"/>
        <v>0</v>
      </c>
      <c r="AQ104">
        <f t="shared" si="116"/>
        <v>0</v>
      </c>
      <c r="AR104">
        <f t="shared" si="116"/>
        <v>0</v>
      </c>
      <c r="AS104">
        <f t="shared" si="117"/>
        <v>0</v>
      </c>
      <c r="AU104">
        <f t="shared" si="118"/>
        <v>0</v>
      </c>
      <c r="AV104">
        <f t="shared" si="118"/>
        <v>0</v>
      </c>
      <c r="AW104">
        <f t="shared" si="118"/>
        <v>0</v>
      </c>
      <c r="AX104">
        <f t="shared" si="118"/>
        <v>0</v>
      </c>
      <c r="AY104">
        <f t="shared" si="119"/>
        <v>0</v>
      </c>
    </row>
    <row r="105" spans="1:53" ht="15" x14ac:dyDescent="0.25">
      <c r="A105" s="1"/>
      <c r="B105" s="2"/>
      <c r="C105" s="1" t="s">
        <v>11</v>
      </c>
      <c r="D105">
        <v>0</v>
      </c>
      <c r="E105" s="360">
        <v>6.8169999999999994E-2</v>
      </c>
      <c r="F105">
        <v>0</v>
      </c>
      <c r="G105">
        <v>0</v>
      </c>
      <c r="H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 s="20"/>
      <c r="P105" s="20"/>
      <c r="Q105" s="438">
        <v>8.3823917587387692E-2</v>
      </c>
      <c r="R105" s="197">
        <v>0.14000000000000001</v>
      </c>
      <c r="S105" s="197">
        <v>2.0499999999999998</v>
      </c>
      <c r="T105" s="197">
        <v>0.62857142857142845</v>
      </c>
      <c r="U105" s="197">
        <v>0.90789473684210531</v>
      </c>
      <c r="V105" s="20">
        <f t="shared" si="110"/>
        <v>7.9999870467051069E-3</v>
      </c>
      <c r="W105" s="20">
        <f t="shared" si="110"/>
        <v>0</v>
      </c>
      <c r="X105" s="20">
        <f t="shared" si="110"/>
        <v>0</v>
      </c>
      <c r="Y105" s="20">
        <f t="shared" si="110"/>
        <v>0</v>
      </c>
      <c r="Z105" s="20">
        <f t="shared" si="111"/>
        <v>5.5708563211655402E-3</v>
      </c>
      <c r="AA105" s="20">
        <f t="shared" si="111"/>
        <v>0</v>
      </c>
      <c r="AB105" s="20">
        <f t="shared" si="111"/>
        <v>0</v>
      </c>
      <c r="AC105" s="20">
        <f t="shared" si="111"/>
        <v>0</v>
      </c>
      <c r="AD105" s="20">
        <f t="shared" si="112"/>
        <v>5.5708563211655402E-3</v>
      </c>
      <c r="AE105" s="20">
        <f t="shared" si="113"/>
        <v>0.11714266746961047</v>
      </c>
      <c r="AF105" s="20">
        <f t="shared" si="113"/>
        <v>0</v>
      </c>
      <c r="AG105" s="20">
        <f t="shared" si="113"/>
        <v>0</v>
      </c>
      <c r="AH105" s="20">
        <f t="shared" si="113"/>
        <v>0</v>
      </c>
      <c r="AI105" s="20">
        <f t="shared" si="114"/>
        <v>0.108322316783504</v>
      </c>
      <c r="AJ105" s="20">
        <f t="shared" si="114"/>
        <v>0</v>
      </c>
      <c r="AK105" s="20">
        <f t="shared" si="114"/>
        <v>0</v>
      </c>
      <c r="AL105" s="20">
        <f t="shared" si="114"/>
        <v>0</v>
      </c>
      <c r="AM105" s="20">
        <f t="shared" si="115"/>
        <v>0.108322316783504</v>
      </c>
      <c r="AO105">
        <f t="shared" si="116"/>
        <v>5.8571983360734487E-3</v>
      </c>
      <c r="AP105">
        <f t="shared" si="116"/>
        <v>0</v>
      </c>
      <c r="AQ105">
        <f t="shared" si="116"/>
        <v>0</v>
      </c>
      <c r="AR105">
        <f t="shared" si="116"/>
        <v>0</v>
      </c>
      <c r="AS105">
        <f t="shared" si="117"/>
        <v>5.8571983360734487E-3</v>
      </c>
      <c r="AU105">
        <f t="shared" si="118"/>
        <v>0.11389008386617609</v>
      </c>
      <c r="AV105">
        <f t="shared" si="118"/>
        <v>0</v>
      </c>
      <c r="AW105">
        <f t="shared" si="118"/>
        <v>0</v>
      </c>
      <c r="AX105">
        <f t="shared" si="118"/>
        <v>0</v>
      </c>
      <c r="AY105">
        <f t="shared" si="119"/>
        <v>0.11389008386617609</v>
      </c>
    </row>
    <row r="106" spans="1:53" ht="15" x14ac:dyDescent="0.25">
      <c r="A106" s="1"/>
      <c r="B106" s="2"/>
      <c r="C106" s="1" t="s">
        <v>12</v>
      </c>
      <c r="D106">
        <v>0</v>
      </c>
      <c r="E106" s="360">
        <v>0</v>
      </c>
      <c r="F106">
        <v>0</v>
      </c>
      <c r="G106">
        <v>0</v>
      </c>
      <c r="H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 s="20"/>
      <c r="P106" s="20"/>
      <c r="Q106" s="438"/>
      <c r="R106" s="197">
        <v>0.14000000000000001</v>
      </c>
      <c r="S106" s="197">
        <v>2.0499999999999998</v>
      </c>
      <c r="T106" s="197">
        <v>0.62857142857142845</v>
      </c>
      <c r="U106" s="197">
        <v>0.90789473684210531</v>
      </c>
      <c r="V106" s="20">
        <f t="shared" si="110"/>
        <v>0</v>
      </c>
      <c r="W106" s="20">
        <f t="shared" si="110"/>
        <v>0</v>
      </c>
      <c r="X106" s="20">
        <f t="shared" si="110"/>
        <v>0</v>
      </c>
      <c r="Y106" s="20">
        <f t="shared" si="110"/>
        <v>0</v>
      </c>
      <c r="Z106" s="20">
        <f t="shared" si="111"/>
        <v>0</v>
      </c>
      <c r="AA106" s="20">
        <f t="shared" si="111"/>
        <v>0</v>
      </c>
      <c r="AB106" s="20">
        <f t="shared" si="111"/>
        <v>0</v>
      </c>
      <c r="AC106" s="20">
        <f t="shared" si="111"/>
        <v>0</v>
      </c>
      <c r="AD106" s="20">
        <f t="shared" si="112"/>
        <v>0</v>
      </c>
      <c r="AE106" s="20">
        <f t="shared" si="113"/>
        <v>0</v>
      </c>
      <c r="AF106" s="20">
        <f t="shared" si="113"/>
        <v>0</v>
      </c>
      <c r="AG106" s="20">
        <f t="shared" si="113"/>
        <v>0</v>
      </c>
      <c r="AH106" s="20">
        <f t="shared" si="113"/>
        <v>0</v>
      </c>
      <c r="AI106" s="20">
        <f t="shared" si="114"/>
        <v>0</v>
      </c>
      <c r="AJ106" s="20">
        <f t="shared" si="114"/>
        <v>0</v>
      </c>
      <c r="AK106" s="20">
        <f t="shared" si="114"/>
        <v>0</v>
      </c>
      <c r="AL106" s="20">
        <f t="shared" si="114"/>
        <v>0</v>
      </c>
      <c r="AM106" s="20">
        <f t="shared" si="115"/>
        <v>0</v>
      </c>
      <c r="AO106">
        <f t="shared" si="116"/>
        <v>0</v>
      </c>
      <c r="AP106">
        <f t="shared" si="116"/>
        <v>0</v>
      </c>
      <c r="AQ106">
        <f t="shared" si="116"/>
        <v>0</v>
      </c>
      <c r="AR106">
        <f t="shared" si="116"/>
        <v>0</v>
      </c>
      <c r="AS106">
        <f t="shared" si="117"/>
        <v>0</v>
      </c>
      <c r="AU106">
        <f t="shared" si="118"/>
        <v>0</v>
      </c>
      <c r="AV106">
        <f t="shared" si="118"/>
        <v>0</v>
      </c>
      <c r="AW106">
        <f t="shared" si="118"/>
        <v>0</v>
      </c>
      <c r="AX106">
        <f t="shared" si="118"/>
        <v>0</v>
      </c>
      <c r="AY106">
        <f t="shared" si="119"/>
        <v>0</v>
      </c>
    </row>
    <row r="107" spans="1:53" ht="15" x14ac:dyDescent="0.25">
      <c r="A107" s="1"/>
      <c r="B107" s="2"/>
      <c r="C107" s="1" t="s">
        <v>13</v>
      </c>
      <c r="D107">
        <v>0</v>
      </c>
      <c r="E107" s="360">
        <v>2.5700000000000001E-2</v>
      </c>
      <c r="F107">
        <v>0</v>
      </c>
      <c r="G107">
        <v>0</v>
      </c>
      <c r="H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0"/>
      <c r="P107" s="20"/>
      <c r="Q107" s="438">
        <v>8.3823917587387706E-2</v>
      </c>
      <c r="R107" s="197">
        <v>0.14000000000000001</v>
      </c>
      <c r="S107" s="197">
        <v>2.0499999999999998</v>
      </c>
      <c r="T107" s="197">
        <v>0.62857142857142845</v>
      </c>
      <c r="U107" s="197">
        <v>0.90789473684210531</v>
      </c>
      <c r="V107" s="20">
        <f t="shared" si="110"/>
        <v>3.0159845547942103E-3</v>
      </c>
      <c r="W107" s="20">
        <f t="shared" si="110"/>
        <v>0</v>
      </c>
      <c r="X107" s="20">
        <f t="shared" si="110"/>
        <v>0</v>
      </c>
      <c r="Y107" s="20">
        <f t="shared" si="110"/>
        <v>0</v>
      </c>
      <c r="Z107" s="20">
        <f t="shared" si="111"/>
        <v>2.1002054782742327E-3</v>
      </c>
      <c r="AA107" s="20">
        <f t="shared" si="111"/>
        <v>0</v>
      </c>
      <c r="AB107" s="20">
        <f t="shared" si="111"/>
        <v>0</v>
      </c>
      <c r="AC107" s="20">
        <f t="shared" si="111"/>
        <v>0</v>
      </c>
      <c r="AD107" s="20">
        <f t="shared" si="112"/>
        <v>2.1002054782742327E-3</v>
      </c>
      <c r="AE107" s="20">
        <f t="shared" si="113"/>
        <v>4.4162630980915211E-2</v>
      </c>
      <c r="AF107" s="20">
        <f t="shared" si="113"/>
        <v>0</v>
      </c>
      <c r="AG107" s="20">
        <f t="shared" si="113"/>
        <v>0</v>
      </c>
      <c r="AH107" s="20">
        <f t="shared" si="113"/>
        <v>0</v>
      </c>
      <c r="AI107" s="20">
        <f t="shared" si="114"/>
        <v>4.0837370417134422E-2</v>
      </c>
      <c r="AJ107" s="20">
        <f t="shared" si="114"/>
        <v>0</v>
      </c>
      <c r="AK107" s="20">
        <f t="shared" si="114"/>
        <v>0</v>
      </c>
      <c r="AL107" s="20">
        <f t="shared" si="114"/>
        <v>0</v>
      </c>
      <c r="AM107" s="20">
        <f t="shared" si="115"/>
        <v>4.0837370417134422E-2</v>
      </c>
      <c r="AO107">
        <f t="shared" si="116"/>
        <v>2.208156039857528E-3</v>
      </c>
      <c r="AP107">
        <f t="shared" si="116"/>
        <v>0</v>
      </c>
      <c r="AQ107">
        <f t="shared" si="116"/>
        <v>0</v>
      </c>
      <c r="AR107">
        <f t="shared" si="116"/>
        <v>0</v>
      </c>
      <c r="AS107">
        <f t="shared" si="117"/>
        <v>2.208156039857528E-3</v>
      </c>
      <c r="AU107">
        <f t="shared" si="118"/>
        <v>4.293641125657513E-2</v>
      </c>
      <c r="AV107">
        <f t="shared" si="118"/>
        <v>0</v>
      </c>
      <c r="AW107">
        <f t="shared" si="118"/>
        <v>0</v>
      </c>
      <c r="AX107">
        <f t="shared" si="118"/>
        <v>0</v>
      </c>
      <c r="AY107">
        <f t="shared" si="119"/>
        <v>4.293641125657513E-2</v>
      </c>
    </row>
    <row r="108" spans="1:53" ht="15" x14ac:dyDescent="0.25">
      <c r="A108" s="7"/>
      <c r="B108" s="8" t="s">
        <v>14</v>
      </c>
      <c r="C108" s="7"/>
      <c r="D108" s="357">
        <f t="shared" ref="D108:H108" si="120">SUM(D102:D107)</f>
        <v>0</v>
      </c>
      <c r="E108" s="363">
        <f>SUM(E102:E107)</f>
        <v>9.2785700000000002</v>
      </c>
      <c r="F108" s="357">
        <f t="shared" si="120"/>
        <v>0</v>
      </c>
      <c r="G108" s="357">
        <f t="shared" si="120"/>
        <v>0</v>
      </c>
      <c r="H108" s="357">
        <f t="shared" si="120"/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 s="20"/>
      <c r="P108" s="20"/>
      <c r="Q108" s="438">
        <v>2.8273716759171733E-2</v>
      </c>
      <c r="R108" s="197"/>
      <c r="S108" s="197"/>
      <c r="T108" s="197"/>
      <c r="U108" s="197"/>
      <c r="BA108" s="319">
        <f>(E108*10000*Q108*AU$10)</f>
        <v>2758.2391863980961</v>
      </c>
    </row>
    <row r="109" spans="1:53" ht="15" x14ac:dyDescent="0.25">
      <c r="A109" s="10"/>
      <c r="B109" s="9" t="s">
        <v>15</v>
      </c>
      <c r="C109" s="5"/>
      <c r="E109" s="363">
        <f>SUM(E108)</f>
        <v>9.2785700000000002</v>
      </c>
      <c r="H109" s="358">
        <f>SUM(D108:H108)</f>
        <v>9.2785700000000002</v>
      </c>
      <c r="K109" s="14"/>
      <c r="N109">
        <v>0</v>
      </c>
      <c r="O109" s="20"/>
      <c r="P109" s="20"/>
      <c r="Q109" s="438"/>
      <c r="R109" s="197"/>
      <c r="S109" s="197"/>
      <c r="T109" s="197"/>
      <c r="U109" s="197"/>
    </row>
    <row r="110" spans="1:53" ht="15.75" x14ac:dyDescent="0.25">
      <c r="A110" s="1"/>
      <c r="B110" s="2"/>
      <c r="C110" s="1"/>
      <c r="E110" s="361"/>
      <c r="K110" s="14"/>
      <c r="O110" s="20"/>
      <c r="P110" s="20"/>
      <c r="Q110" s="439"/>
      <c r="R110" s="197"/>
      <c r="S110" s="197"/>
      <c r="T110" s="197"/>
      <c r="U110" s="197"/>
    </row>
    <row r="111" spans="1:53" ht="15" x14ac:dyDescent="0.25">
      <c r="A111" s="1">
        <v>12</v>
      </c>
      <c r="B111" s="2" t="s">
        <v>26</v>
      </c>
      <c r="C111" s="1" t="s">
        <v>8</v>
      </c>
      <c r="D111">
        <v>0</v>
      </c>
      <c r="E111" s="360"/>
      <c r="F111">
        <v>0</v>
      </c>
      <c r="G111">
        <v>0</v>
      </c>
      <c r="H111">
        <v>0</v>
      </c>
      <c r="J111">
        <v>0</v>
      </c>
      <c r="K111" s="14">
        <v>0</v>
      </c>
      <c r="L111">
        <v>0</v>
      </c>
      <c r="M111">
        <v>0</v>
      </c>
      <c r="N111">
        <v>0</v>
      </c>
      <c r="O111" s="20"/>
      <c r="P111" s="20"/>
      <c r="Q111" s="438"/>
      <c r="R111" s="197">
        <v>6.531704360902256</v>
      </c>
      <c r="S111" s="197">
        <v>78.227142857142866</v>
      </c>
      <c r="T111" s="197">
        <v>0.5825685654008439</v>
      </c>
      <c r="U111" s="197">
        <v>0.90789473684210531</v>
      </c>
      <c r="V111" s="20">
        <f t="shared" ref="V111:Y116" si="121">IF(K111&gt;0,((E111-K111)*$Q111*$R111*10)+(K111*$O$12*$Q111*$R111*10),(E111*$Q111*$R111*10))</f>
        <v>0</v>
      </c>
      <c r="W111" s="20">
        <f t="shared" si="121"/>
        <v>0</v>
      </c>
      <c r="X111" s="20">
        <f t="shared" si="121"/>
        <v>0</v>
      </c>
      <c r="Y111" s="20">
        <f t="shared" si="121"/>
        <v>0</v>
      </c>
      <c r="Z111" s="20">
        <f t="shared" ref="Z111:AC116" si="122">V111*(EXP(1.01-0.34*LN(Z$8))*(1-$T111)+(1*$T111))</f>
        <v>0</v>
      </c>
      <c r="AA111" s="20">
        <f t="shared" si="122"/>
        <v>0</v>
      </c>
      <c r="AB111" s="20">
        <f t="shared" si="122"/>
        <v>0</v>
      </c>
      <c r="AC111" s="20">
        <f t="shared" si="122"/>
        <v>0</v>
      </c>
      <c r="AD111" s="20">
        <f t="shared" ref="AD111:AD116" si="123">SUM(Z111:AC111)</f>
        <v>0</v>
      </c>
      <c r="AE111" s="20">
        <f t="shared" ref="AE111:AH116" si="124">IF(K111&gt;0,((E111-K111)*$Q111*$S111*10)+(K111*$P$12*$Q111*$S111)*10,(E111*$Q111*$S111*10))</f>
        <v>0</v>
      </c>
      <c r="AF111" s="20">
        <f t="shared" si="124"/>
        <v>0</v>
      </c>
      <c r="AG111" s="20">
        <f t="shared" si="124"/>
        <v>0</v>
      </c>
      <c r="AH111" s="20">
        <f t="shared" si="124"/>
        <v>0</v>
      </c>
      <c r="AI111" s="20">
        <f t="shared" ref="AI111:AL116" si="125">AE111*(EXP(1.01-0.34*LN(AI$8))*(1-$U111)+(1*$U111))</f>
        <v>0</v>
      </c>
      <c r="AJ111" s="20">
        <f t="shared" si="125"/>
        <v>0</v>
      </c>
      <c r="AK111" s="20">
        <f t="shared" si="125"/>
        <v>0</v>
      </c>
      <c r="AL111" s="20">
        <f t="shared" si="125"/>
        <v>0</v>
      </c>
      <c r="AM111" s="20">
        <f t="shared" ref="AM111:AM116" si="126">SUM(AI111:AL111)</f>
        <v>0</v>
      </c>
      <c r="AO111">
        <f t="shared" ref="AO111:AR116" si="127">Z111*AO$10</f>
        <v>0</v>
      </c>
      <c r="AP111">
        <f t="shared" si="127"/>
        <v>0</v>
      </c>
      <c r="AQ111">
        <f t="shared" si="127"/>
        <v>0</v>
      </c>
      <c r="AR111">
        <f t="shared" si="127"/>
        <v>0</v>
      </c>
      <c r="AS111">
        <f t="shared" ref="AS111:AS116" si="128">SUM(AO111:AR111)</f>
        <v>0</v>
      </c>
      <c r="AU111">
        <f t="shared" ref="AU111:AX116" si="129">AI111*AU$10</f>
        <v>0</v>
      </c>
      <c r="AV111">
        <f t="shared" si="129"/>
        <v>0</v>
      </c>
      <c r="AW111">
        <f t="shared" si="129"/>
        <v>0</v>
      </c>
      <c r="AX111">
        <f t="shared" si="129"/>
        <v>0</v>
      </c>
      <c r="AY111">
        <f t="shared" ref="AY111:AY116" si="130">SUM(AU111:AX111)</f>
        <v>0</v>
      </c>
    </row>
    <row r="112" spans="1:53" ht="15" x14ac:dyDescent="0.25">
      <c r="A112" s="1"/>
      <c r="B112" s="2"/>
      <c r="C112" s="1" t="s">
        <v>9</v>
      </c>
      <c r="D112">
        <v>0</v>
      </c>
      <c r="E112" s="360"/>
      <c r="F112">
        <v>0</v>
      </c>
      <c r="G112">
        <v>0</v>
      </c>
      <c r="H112">
        <v>0</v>
      </c>
      <c r="J112">
        <v>0</v>
      </c>
      <c r="K112" s="14">
        <v>0</v>
      </c>
      <c r="L112">
        <v>0</v>
      </c>
      <c r="M112">
        <v>0</v>
      </c>
      <c r="N112">
        <v>0</v>
      </c>
      <c r="O112" s="20"/>
      <c r="P112" s="20"/>
      <c r="Q112" s="438"/>
      <c r="R112" s="197">
        <v>6.531704360902256</v>
      </c>
      <c r="S112" s="197">
        <v>78.227142857142866</v>
      </c>
      <c r="T112" s="197">
        <v>0.5825685654008439</v>
      </c>
      <c r="U112" s="197">
        <v>0.90789473684210531</v>
      </c>
      <c r="V112" s="20">
        <f t="shared" si="121"/>
        <v>0</v>
      </c>
      <c r="W112" s="20">
        <f t="shared" si="121"/>
        <v>0</v>
      </c>
      <c r="X112" s="20">
        <f t="shared" si="121"/>
        <v>0</v>
      </c>
      <c r="Y112" s="20">
        <f t="shared" si="121"/>
        <v>0</v>
      </c>
      <c r="Z112" s="20">
        <f t="shared" si="122"/>
        <v>0</v>
      </c>
      <c r="AA112" s="20">
        <f t="shared" si="122"/>
        <v>0</v>
      </c>
      <c r="AB112" s="20">
        <f t="shared" si="122"/>
        <v>0</v>
      </c>
      <c r="AC112" s="20">
        <f t="shared" si="122"/>
        <v>0</v>
      </c>
      <c r="AD112" s="20">
        <f t="shared" si="123"/>
        <v>0</v>
      </c>
      <c r="AE112" s="20">
        <f t="shared" si="124"/>
        <v>0</v>
      </c>
      <c r="AF112" s="20">
        <f t="shared" si="124"/>
        <v>0</v>
      </c>
      <c r="AG112" s="20">
        <f t="shared" si="124"/>
        <v>0</v>
      </c>
      <c r="AH112" s="20">
        <f t="shared" si="124"/>
        <v>0</v>
      </c>
      <c r="AI112" s="20">
        <f t="shared" si="125"/>
        <v>0</v>
      </c>
      <c r="AJ112" s="20">
        <f t="shared" si="125"/>
        <v>0</v>
      </c>
      <c r="AK112" s="20">
        <f t="shared" si="125"/>
        <v>0</v>
      </c>
      <c r="AL112" s="20">
        <f t="shared" si="125"/>
        <v>0</v>
      </c>
      <c r="AM112" s="20">
        <f t="shared" si="126"/>
        <v>0</v>
      </c>
      <c r="AO112">
        <f t="shared" si="127"/>
        <v>0</v>
      </c>
      <c r="AP112">
        <f t="shared" si="127"/>
        <v>0</v>
      </c>
      <c r="AQ112">
        <f t="shared" si="127"/>
        <v>0</v>
      </c>
      <c r="AR112">
        <f t="shared" si="127"/>
        <v>0</v>
      </c>
      <c r="AS112">
        <f t="shared" si="128"/>
        <v>0</v>
      </c>
      <c r="AU112">
        <f t="shared" si="129"/>
        <v>0</v>
      </c>
      <c r="AV112">
        <f t="shared" si="129"/>
        <v>0</v>
      </c>
      <c r="AW112">
        <f t="shared" si="129"/>
        <v>0</v>
      </c>
      <c r="AX112">
        <f t="shared" si="129"/>
        <v>0</v>
      </c>
      <c r="AY112">
        <f t="shared" si="130"/>
        <v>0</v>
      </c>
    </row>
    <row r="113" spans="1:53" ht="15" x14ac:dyDescent="0.25">
      <c r="A113" s="1"/>
      <c r="B113" s="2"/>
      <c r="C113" s="1" t="s">
        <v>10</v>
      </c>
      <c r="D113">
        <v>0</v>
      </c>
      <c r="E113" s="360"/>
      <c r="F113">
        <v>0</v>
      </c>
      <c r="G113">
        <v>0</v>
      </c>
      <c r="H113">
        <v>0</v>
      </c>
      <c r="J113">
        <v>0</v>
      </c>
      <c r="K113" s="14">
        <v>0</v>
      </c>
      <c r="L113">
        <v>0</v>
      </c>
      <c r="M113">
        <v>0</v>
      </c>
      <c r="N113">
        <v>0</v>
      </c>
      <c r="O113" s="20"/>
      <c r="P113" s="20"/>
      <c r="Q113" s="438"/>
      <c r="R113" s="197">
        <v>6.531704360902256</v>
      </c>
      <c r="S113" s="197">
        <v>78.227142857142866</v>
      </c>
      <c r="T113" s="197">
        <v>0.5825685654008439</v>
      </c>
      <c r="U113" s="197">
        <v>0.90789473684210531</v>
      </c>
      <c r="V113" s="20">
        <f t="shared" si="121"/>
        <v>0</v>
      </c>
      <c r="W113" s="20">
        <f t="shared" si="121"/>
        <v>0</v>
      </c>
      <c r="X113" s="20">
        <f t="shared" si="121"/>
        <v>0</v>
      </c>
      <c r="Y113" s="20">
        <f t="shared" si="121"/>
        <v>0</v>
      </c>
      <c r="Z113" s="20">
        <f t="shared" si="122"/>
        <v>0</v>
      </c>
      <c r="AA113" s="20">
        <f t="shared" si="122"/>
        <v>0</v>
      </c>
      <c r="AB113" s="20">
        <f t="shared" si="122"/>
        <v>0</v>
      </c>
      <c r="AC113" s="20">
        <f t="shared" si="122"/>
        <v>0</v>
      </c>
      <c r="AD113" s="20">
        <f t="shared" si="123"/>
        <v>0</v>
      </c>
      <c r="AE113" s="20">
        <f t="shared" si="124"/>
        <v>0</v>
      </c>
      <c r="AF113" s="20">
        <f t="shared" si="124"/>
        <v>0</v>
      </c>
      <c r="AG113" s="20">
        <f t="shared" si="124"/>
        <v>0</v>
      </c>
      <c r="AH113" s="20">
        <f t="shared" si="124"/>
        <v>0</v>
      </c>
      <c r="AI113" s="20">
        <f t="shared" si="125"/>
        <v>0</v>
      </c>
      <c r="AJ113" s="20">
        <f t="shared" si="125"/>
        <v>0</v>
      </c>
      <c r="AK113" s="20">
        <f t="shared" si="125"/>
        <v>0</v>
      </c>
      <c r="AL113" s="20">
        <f t="shared" si="125"/>
        <v>0</v>
      </c>
      <c r="AM113" s="20">
        <f t="shared" si="126"/>
        <v>0</v>
      </c>
      <c r="AO113">
        <f t="shared" si="127"/>
        <v>0</v>
      </c>
      <c r="AP113">
        <f t="shared" si="127"/>
        <v>0</v>
      </c>
      <c r="AQ113">
        <f t="shared" si="127"/>
        <v>0</v>
      </c>
      <c r="AR113">
        <f t="shared" si="127"/>
        <v>0</v>
      </c>
      <c r="AS113">
        <f t="shared" si="128"/>
        <v>0</v>
      </c>
      <c r="AU113">
        <f t="shared" si="129"/>
        <v>0</v>
      </c>
      <c r="AV113">
        <f t="shared" si="129"/>
        <v>0</v>
      </c>
      <c r="AW113">
        <f t="shared" si="129"/>
        <v>0</v>
      </c>
      <c r="AX113">
        <f t="shared" si="129"/>
        <v>0</v>
      </c>
      <c r="AY113">
        <f t="shared" si="130"/>
        <v>0</v>
      </c>
    </row>
    <row r="114" spans="1:53" ht="15" x14ac:dyDescent="0.25">
      <c r="A114" s="1"/>
      <c r="B114" s="2"/>
      <c r="C114" s="1" t="s">
        <v>11</v>
      </c>
      <c r="D114">
        <v>0</v>
      </c>
      <c r="E114" s="360"/>
      <c r="F114">
        <v>0</v>
      </c>
      <c r="G114">
        <v>0</v>
      </c>
      <c r="H114">
        <v>0</v>
      </c>
      <c r="J114">
        <v>0</v>
      </c>
      <c r="K114" s="14">
        <v>0</v>
      </c>
      <c r="L114">
        <v>0</v>
      </c>
      <c r="M114">
        <v>0</v>
      </c>
      <c r="N114">
        <v>0</v>
      </c>
      <c r="O114" s="20"/>
      <c r="P114" s="20"/>
      <c r="Q114" s="438"/>
      <c r="R114" s="197">
        <v>6.531704360902256</v>
      </c>
      <c r="S114" s="197">
        <v>78.227142857142866</v>
      </c>
      <c r="T114" s="197">
        <v>0.5825685654008439</v>
      </c>
      <c r="U114" s="197">
        <v>0.90789473684210531</v>
      </c>
      <c r="V114" s="20">
        <f t="shared" si="121"/>
        <v>0</v>
      </c>
      <c r="W114" s="20">
        <f t="shared" si="121"/>
        <v>0</v>
      </c>
      <c r="X114" s="20">
        <f t="shared" si="121"/>
        <v>0</v>
      </c>
      <c r="Y114" s="20">
        <f t="shared" si="121"/>
        <v>0</v>
      </c>
      <c r="Z114" s="20">
        <f t="shared" si="122"/>
        <v>0</v>
      </c>
      <c r="AA114" s="20">
        <f t="shared" si="122"/>
        <v>0</v>
      </c>
      <c r="AB114" s="20">
        <f t="shared" si="122"/>
        <v>0</v>
      </c>
      <c r="AC114" s="20">
        <f t="shared" si="122"/>
        <v>0</v>
      </c>
      <c r="AD114" s="20">
        <f t="shared" si="123"/>
        <v>0</v>
      </c>
      <c r="AE114" s="20">
        <f t="shared" si="124"/>
        <v>0</v>
      </c>
      <c r="AF114" s="20">
        <f t="shared" si="124"/>
        <v>0</v>
      </c>
      <c r="AG114" s="20">
        <f t="shared" si="124"/>
        <v>0</v>
      </c>
      <c r="AH114" s="20">
        <f t="shared" si="124"/>
        <v>0</v>
      </c>
      <c r="AI114" s="20">
        <f t="shared" si="125"/>
        <v>0</v>
      </c>
      <c r="AJ114" s="20">
        <f t="shared" si="125"/>
        <v>0</v>
      </c>
      <c r="AK114" s="20">
        <f t="shared" si="125"/>
        <v>0</v>
      </c>
      <c r="AL114" s="20">
        <f t="shared" si="125"/>
        <v>0</v>
      </c>
      <c r="AM114" s="20">
        <f t="shared" si="126"/>
        <v>0</v>
      </c>
      <c r="AO114">
        <f t="shared" si="127"/>
        <v>0</v>
      </c>
      <c r="AP114">
        <f t="shared" si="127"/>
        <v>0</v>
      </c>
      <c r="AQ114">
        <f t="shared" si="127"/>
        <v>0</v>
      </c>
      <c r="AR114">
        <f t="shared" si="127"/>
        <v>0</v>
      </c>
      <c r="AS114">
        <f t="shared" si="128"/>
        <v>0</v>
      </c>
      <c r="AU114">
        <f t="shared" si="129"/>
        <v>0</v>
      </c>
      <c r="AV114">
        <f t="shared" si="129"/>
        <v>0</v>
      </c>
      <c r="AW114">
        <f t="shared" si="129"/>
        <v>0</v>
      </c>
      <c r="AX114">
        <f t="shared" si="129"/>
        <v>0</v>
      </c>
      <c r="AY114">
        <f t="shared" si="130"/>
        <v>0</v>
      </c>
    </row>
    <row r="115" spans="1:53" ht="15" x14ac:dyDescent="0.25">
      <c r="A115" s="1"/>
      <c r="B115" s="2"/>
      <c r="C115" s="1" t="s">
        <v>12</v>
      </c>
      <c r="D115">
        <v>0</v>
      </c>
      <c r="E115" s="360"/>
      <c r="F115">
        <v>0</v>
      </c>
      <c r="G115">
        <v>0</v>
      </c>
      <c r="H115">
        <v>0</v>
      </c>
      <c r="J115">
        <v>0</v>
      </c>
      <c r="K115" s="14">
        <v>0</v>
      </c>
      <c r="L115">
        <v>0</v>
      </c>
      <c r="M115">
        <v>0</v>
      </c>
      <c r="N115">
        <v>0</v>
      </c>
      <c r="O115" s="20"/>
      <c r="P115" s="20"/>
      <c r="Q115" s="438"/>
      <c r="R115" s="197">
        <v>6.531704360902256</v>
      </c>
      <c r="S115" s="197">
        <v>78.227142857142866</v>
      </c>
      <c r="T115" s="197">
        <v>0.5825685654008439</v>
      </c>
      <c r="U115" s="197">
        <v>0.90789473684210531</v>
      </c>
      <c r="V115" s="20">
        <f t="shared" si="121"/>
        <v>0</v>
      </c>
      <c r="W115" s="20">
        <f t="shared" si="121"/>
        <v>0</v>
      </c>
      <c r="X115" s="20">
        <f t="shared" si="121"/>
        <v>0</v>
      </c>
      <c r="Y115" s="20">
        <f t="shared" si="121"/>
        <v>0</v>
      </c>
      <c r="Z115" s="20">
        <f t="shared" si="122"/>
        <v>0</v>
      </c>
      <c r="AA115" s="20">
        <f t="shared" si="122"/>
        <v>0</v>
      </c>
      <c r="AB115" s="20">
        <f t="shared" si="122"/>
        <v>0</v>
      </c>
      <c r="AC115" s="20">
        <f t="shared" si="122"/>
        <v>0</v>
      </c>
      <c r="AD115" s="20">
        <f t="shared" si="123"/>
        <v>0</v>
      </c>
      <c r="AE115" s="20">
        <f t="shared" si="124"/>
        <v>0</v>
      </c>
      <c r="AF115" s="20">
        <f t="shared" si="124"/>
        <v>0</v>
      </c>
      <c r="AG115" s="20">
        <f t="shared" si="124"/>
        <v>0</v>
      </c>
      <c r="AH115" s="20">
        <f t="shared" si="124"/>
        <v>0</v>
      </c>
      <c r="AI115" s="20">
        <f t="shared" si="125"/>
        <v>0</v>
      </c>
      <c r="AJ115" s="20">
        <f t="shared" si="125"/>
        <v>0</v>
      </c>
      <c r="AK115" s="20">
        <f t="shared" si="125"/>
        <v>0</v>
      </c>
      <c r="AL115" s="20">
        <f t="shared" si="125"/>
        <v>0</v>
      </c>
      <c r="AM115" s="20">
        <f t="shared" si="126"/>
        <v>0</v>
      </c>
      <c r="AO115">
        <f t="shared" si="127"/>
        <v>0</v>
      </c>
      <c r="AP115">
        <f t="shared" si="127"/>
        <v>0</v>
      </c>
      <c r="AQ115">
        <f t="shared" si="127"/>
        <v>0</v>
      </c>
      <c r="AR115">
        <f t="shared" si="127"/>
        <v>0</v>
      </c>
      <c r="AS115">
        <f t="shared" si="128"/>
        <v>0</v>
      </c>
      <c r="AU115">
        <f t="shared" si="129"/>
        <v>0</v>
      </c>
      <c r="AV115">
        <f t="shared" si="129"/>
        <v>0</v>
      </c>
      <c r="AW115">
        <f t="shared" si="129"/>
        <v>0</v>
      </c>
      <c r="AX115">
        <f t="shared" si="129"/>
        <v>0</v>
      </c>
      <c r="AY115">
        <f t="shared" si="130"/>
        <v>0</v>
      </c>
    </row>
    <row r="116" spans="1:53" ht="15" x14ac:dyDescent="0.25">
      <c r="A116" s="1"/>
      <c r="B116" s="2"/>
      <c r="C116" s="1" t="s">
        <v>13</v>
      </c>
      <c r="D116">
        <v>0</v>
      </c>
      <c r="E116" s="360"/>
      <c r="F116">
        <v>0</v>
      </c>
      <c r="G116">
        <v>0</v>
      </c>
      <c r="H116">
        <v>0</v>
      </c>
      <c r="J116">
        <v>0</v>
      </c>
      <c r="K116" s="14">
        <v>0</v>
      </c>
      <c r="L116">
        <v>0</v>
      </c>
      <c r="M116">
        <v>0</v>
      </c>
      <c r="N116">
        <v>0</v>
      </c>
      <c r="O116" s="20"/>
      <c r="P116" s="20"/>
      <c r="Q116" s="438"/>
      <c r="R116" s="197">
        <v>6.531704360902256</v>
      </c>
      <c r="S116" s="197">
        <v>78.227142857142866</v>
      </c>
      <c r="T116" s="197">
        <v>0.5825685654008439</v>
      </c>
      <c r="U116" s="197">
        <v>0.90789473684210531</v>
      </c>
      <c r="V116" s="20">
        <f t="shared" si="121"/>
        <v>0</v>
      </c>
      <c r="W116" s="20">
        <f t="shared" si="121"/>
        <v>0</v>
      </c>
      <c r="X116" s="20">
        <f t="shared" si="121"/>
        <v>0</v>
      </c>
      <c r="Y116" s="20">
        <f t="shared" si="121"/>
        <v>0</v>
      </c>
      <c r="Z116" s="20">
        <f t="shared" si="122"/>
        <v>0</v>
      </c>
      <c r="AA116" s="20">
        <f t="shared" si="122"/>
        <v>0</v>
      </c>
      <c r="AB116" s="20">
        <f t="shared" si="122"/>
        <v>0</v>
      </c>
      <c r="AC116" s="20">
        <f t="shared" si="122"/>
        <v>0</v>
      </c>
      <c r="AD116" s="20">
        <f t="shared" si="123"/>
        <v>0</v>
      </c>
      <c r="AE116" s="20">
        <f t="shared" si="124"/>
        <v>0</v>
      </c>
      <c r="AF116" s="20">
        <f t="shared" si="124"/>
        <v>0</v>
      </c>
      <c r="AG116" s="20">
        <f t="shared" si="124"/>
        <v>0</v>
      </c>
      <c r="AH116" s="20">
        <f t="shared" si="124"/>
        <v>0</v>
      </c>
      <c r="AI116" s="20">
        <f t="shared" si="125"/>
        <v>0</v>
      </c>
      <c r="AJ116" s="20">
        <f t="shared" si="125"/>
        <v>0</v>
      </c>
      <c r="AK116" s="20">
        <f t="shared" si="125"/>
        <v>0</v>
      </c>
      <c r="AL116" s="20">
        <f t="shared" si="125"/>
        <v>0</v>
      </c>
      <c r="AM116" s="20">
        <f t="shared" si="126"/>
        <v>0</v>
      </c>
      <c r="AO116">
        <f t="shared" si="127"/>
        <v>0</v>
      </c>
      <c r="AP116">
        <f t="shared" si="127"/>
        <v>0</v>
      </c>
      <c r="AQ116">
        <f t="shared" si="127"/>
        <v>0</v>
      </c>
      <c r="AR116">
        <f t="shared" si="127"/>
        <v>0</v>
      </c>
      <c r="AS116">
        <f t="shared" si="128"/>
        <v>0</v>
      </c>
      <c r="AU116">
        <f t="shared" si="129"/>
        <v>0</v>
      </c>
      <c r="AV116">
        <f t="shared" si="129"/>
        <v>0</v>
      </c>
      <c r="AW116">
        <f t="shared" si="129"/>
        <v>0</v>
      </c>
      <c r="AX116">
        <f t="shared" si="129"/>
        <v>0</v>
      </c>
      <c r="AY116">
        <f t="shared" si="130"/>
        <v>0</v>
      </c>
    </row>
    <row r="117" spans="1:53" ht="15" x14ac:dyDescent="0.25">
      <c r="A117" s="7"/>
      <c r="B117" s="8" t="s">
        <v>14</v>
      </c>
      <c r="C117" s="7"/>
      <c r="D117" s="357">
        <f t="shared" ref="D117:H117" si="131">SUM(D111:D116)</f>
        <v>0</v>
      </c>
      <c r="E117" s="363">
        <f>SUM(E111:E116)</f>
        <v>0</v>
      </c>
      <c r="F117" s="357">
        <f t="shared" si="131"/>
        <v>0</v>
      </c>
      <c r="G117" s="357">
        <f t="shared" si="131"/>
        <v>0</v>
      </c>
      <c r="H117" s="357">
        <f t="shared" si="131"/>
        <v>0</v>
      </c>
      <c r="J117">
        <v>0</v>
      </c>
      <c r="K117" s="14">
        <v>0</v>
      </c>
      <c r="L117">
        <v>0</v>
      </c>
      <c r="M117">
        <v>0</v>
      </c>
      <c r="N117">
        <v>0</v>
      </c>
      <c r="O117" s="20"/>
      <c r="P117" s="20"/>
      <c r="Q117" s="438"/>
      <c r="R117" s="197"/>
      <c r="S117" s="197"/>
      <c r="T117" s="197"/>
      <c r="U117" s="197"/>
      <c r="BA117" s="319">
        <f>(E117*10000*Q117*AU$10)</f>
        <v>0</v>
      </c>
    </row>
    <row r="118" spans="1:53" ht="15" x14ac:dyDescent="0.25">
      <c r="A118" s="10"/>
      <c r="B118" s="9" t="s">
        <v>15</v>
      </c>
      <c r="C118" s="5"/>
      <c r="E118" s="363">
        <f>SUM(E117)</f>
        <v>0</v>
      </c>
      <c r="H118" s="358">
        <f>SUM(D117:H117)</f>
        <v>0</v>
      </c>
      <c r="K118" s="14"/>
      <c r="N118">
        <v>0</v>
      </c>
      <c r="O118" s="20"/>
      <c r="P118" s="20"/>
      <c r="Q118" s="438"/>
      <c r="R118" s="197"/>
      <c r="S118" s="197"/>
      <c r="T118" s="197"/>
      <c r="U118" s="197"/>
    </row>
    <row r="119" spans="1:53" ht="15.75" x14ac:dyDescent="0.25">
      <c r="A119" s="1"/>
      <c r="B119" s="2"/>
      <c r="C119" s="1"/>
      <c r="E119" s="361"/>
      <c r="K119" s="14"/>
      <c r="O119" s="20"/>
      <c r="P119" s="20"/>
      <c r="Q119" s="439"/>
      <c r="R119" s="197"/>
      <c r="S119" s="197"/>
      <c r="T119" s="197"/>
      <c r="U119" s="197"/>
    </row>
    <row r="120" spans="1:53" ht="15" x14ac:dyDescent="0.25">
      <c r="A120" s="1">
        <v>13</v>
      </c>
      <c r="B120" s="2" t="s">
        <v>27</v>
      </c>
      <c r="C120" s="1" t="s">
        <v>8</v>
      </c>
      <c r="D120">
        <v>0</v>
      </c>
      <c r="E120" s="360">
        <v>6.2455999999999996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 s="20"/>
      <c r="P120" s="20"/>
      <c r="Q120" s="438">
        <v>2.7705979396846925E-2</v>
      </c>
      <c r="R120" s="197">
        <v>0.49226666666666663</v>
      </c>
      <c r="S120" s="197">
        <v>2.8337500000000002</v>
      </c>
      <c r="T120" s="197">
        <v>0.68718466195761863</v>
      </c>
      <c r="U120" s="197">
        <v>0.90789473684210531</v>
      </c>
      <c r="V120" s="20">
        <f t="shared" ref="V120:Y125" si="132">IF(K120&gt;0,((E120-K120)*$Q120*$R120*10)+(K120*$O$12*$Q120*$R120*10),(E120*$Q120*$R120*10))</f>
        <v>0.85182052865084912</v>
      </c>
      <c r="W120" s="20">
        <f t="shared" si="132"/>
        <v>0</v>
      </c>
      <c r="X120" s="20">
        <f t="shared" si="132"/>
        <v>0</v>
      </c>
      <c r="Y120" s="20">
        <f t="shared" si="132"/>
        <v>0</v>
      </c>
      <c r="Z120" s="20">
        <f t="shared" ref="Z120:AC125" si="133">V120*(EXP(1.01-0.34*LN(Z$8))*(1-$T120)+(1*$T120))</f>
        <v>0.63398814833218431</v>
      </c>
      <c r="AA120" s="20">
        <f t="shared" si="133"/>
        <v>0</v>
      </c>
      <c r="AB120" s="20">
        <f t="shared" si="133"/>
        <v>0</v>
      </c>
      <c r="AC120" s="20">
        <f t="shared" si="133"/>
        <v>0</v>
      </c>
      <c r="AD120" s="20">
        <f t="shared" ref="AD120:AD125" si="134">SUM(Z120:AC120)</f>
        <v>0.63398814833218431</v>
      </c>
      <c r="AE120" s="20">
        <f t="shared" ref="AE120:AH125" si="135">IF(K120&gt;0,((E120-K120)*$Q120*$S120*10)+(K120*$P$12*$Q120*$S120)*10,(E120*$Q120*$S120*10))</f>
        <v>4.9035341746973407</v>
      </c>
      <c r="AF120" s="20">
        <f t="shared" si="135"/>
        <v>0</v>
      </c>
      <c r="AG120" s="20">
        <f t="shared" si="135"/>
        <v>0</v>
      </c>
      <c r="AH120" s="20">
        <f t="shared" si="135"/>
        <v>0</v>
      </c>
      <c r="AI120" s="20">
        <f t="shared" ref="AI120:AL125" si="136">AE120*(EXP(1.01-0.34*LN(AI$8))*(1-$U120)+(1*$U120))</f>
        <v>4.5343186535179338</v>
      </c>
      <c r="AJ120" s="20">
        <f t="shared" si="136"/>
        <v>0</v>
      </c>
      <c r="AK120" s="20">
        <f t="shared" si="136"/>
        <v>0</v>
      </c>
      <c r="AL120" s="20">
        <f t="shared" si="136"/>
        <v>0</v>
      </c>
      <c r="AM120" s="20">
        <f t="shared" ref="AM120:AM125" si="137">SUM(AI120:AL120)</f>
        <v>4.5343186535179338</v>
      </c>
      <c r="AO120">
        <f t="shared" ref="AO120:AR125" si="138">Z120*AO$10</f>
        <v>0.6665751391564585</v>
      </c>
      <c r="AP120">
        <f t="shared" si="138"/>
        <v>0</v>
      </c>
      <c r="AQ120">
        <f t="shared" si="138"/>
        <v>0</v>
      </c>
      <c r="AR120">
        <f t="shared" si="138"/>
        <v>0</v>
      </c>
      <c r="AS120">
        <f t="shared" ref="AS120:AS125" si="139">SUM(AO120:AR120)</f>
        <v>0.6665751391564585</v>
      </c>
      <c r="AU120">
        <f t="shared" ref="AU120:AX125" si="140">AI120*AU$10</f>
        <v>4.7673826323087551</v>
      </c>
      <c r="AV120">
        <f t="shared" si="140"/>
        <v>0</v>
      </c>
      <c r="AW120">
        <f t="shared" si="140"/>
        <v>0</v>
      </c>
      <c r="AX120">
        <f t="shared" si="140"/>
        <v>0</v>
      </c>
      <c r="AY120">
        <f t="shared" ref="AY120:AY125" si="141">SUM(AU120:AX120)</f>
        <v>4.7673826323087551</v>
      </c>
    </row>
    <row r="121" spans="1:53" ht="15" x14ac:dyDescent="0.25">
      <c r="A121" s="1"/>
      <c r="B121" s="2"/>
      <c r="C121" s="1" t="s">
        <v>9</v>
      </c>
      <c r="D121">
        <v>0</v>
      </c>
      <c r="E121" s="360">
        <v>0.30580000000000002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20"/>
      <c r="P121" s="20"/>
      <c r="Q121" s="438">
        <v>4.641195879369385E-2</v>
      </c>
      <c r="R121" s="197">
        <v>0.49226666666666663</v>
      </c>
      <c r="S121" s="197">
        <v>2.8337500000000002</v>
      </c>
      <c r="T121" s="197">
        <v>0.68718466195761863</v>
      </c>
      <c r="U121" s="197">
        <v>0.90789473684210531</v>
      </c>
      <c r="V121" s="20">
        <f t="shared" si="132"/>
        <v>6.9866310240959933E-2</v>
      </c>
      <c r="W121" s="20">
        <f t="shared" si="132"/>
        <v>0</v>
      </c>
      <c r="X121" s="20">
        <f t="shared" si="132"/>
        <v>0</v>
      </c>
      <c r="Y121" s="20">
        <f t="shared" si="132"/>
        <v>0</v>
      </c>
      <c r="Z121" s="20">
        <f t="shared" si="133"/>
        <v>5.1999700841471333E-2</v>
      </c>
      <c r="AA121" s="20">
        <f t="shared" si="133"/>
        <v>0</v>
      </c>
      <c r="AB121" s="20">
        <f t="shared" si="133"/>
        <v>0</v>
      </c>
      <c r="AC121" s="20">
        <f t="shared" si="133"/>
        <v>0</v>
      </c>
      <c r="AD121" s="20">
        <f t="shared" si="134"/>
        <v>5.1999700841471333E-2</v>
      </c>
      <c r="AE121" s="20">
        <f t="shared" si="135"/>
        <v>0.40218781821232447</v>
      </c>
      <c r="AF121" s="20">
        <f t="shared" si="135"/>
        <v>0</v>
      </c>
      <c r="AG121" s="20">
        <f t="shared" si="135"/>
        <v>0</v>
      </c>
      <c r="AH121" s="20">
        <f t="shared" si="135"/>
        <v>0</v>
      </c>
      <c r="AI121" s="20">
        <f t="shared" si="136"/>
        <v>0.37190476529112454</v>
      </c>
      <c r="AJ121" s="20">
        <f t="shared" si="136"/>
        <v>0</v>
      </c>
      <c r="AK121" s="20">
        <f t="shared" si="136"/>
        <v>0</v>
      </c>
      <c r="AL121" s="20">
        <f t="shared" si="136"/>
        <v>0</v>
      </c>
      <c r="AM121" s="20">
        <f t="shared" si="137"/>
        <v>0.37190476529112454</v>
      </c>
      <c r="AO121">
        <f t="shared" si="138"/>
        <v>5.4672485464722954E-2</v>
      </c>
      <c r="AP121">
        <f t="shared" si="138"/>
        <v>0</v>
      </c>
      <c r="AQ121">
        <f t="shared" si="138"/>
        <v>0</v>
      </c>
      <c r="AR121">
        <f t="shared" si="138"/>
        <v>0</v>
      </c>
      <c r="AS121">
        <f t="shared" si="139"/>
        <v>5.4672485464722954E-2</v>
      </c>
      <c r="AU121">
        <f t="shared" si="140"/>
        <v>0.39102067022708831</v>
      </c>
      <c r="AV121">
        <f t="shared" si="140"/>
        <v>0</v>
      </c>
      <c r="AW121">
        <f t="shared" si="140"/>
        <v>0</v>
      </c>
      <c r="AX121">
        <f t="shared" si="140"/>
        <v>0</v>
      </c>
      <c r="AY121">
        <f t="shared" si="141"/>
        <v>0.39102067022708831</v>
      </c>
    </row>
    <row r="122" spans="1:53" ht="15" x14ac:dyDescent="0.25">
      <c r="A122" s="1"/>
      <c r="B122" s="2"/>
      <c r="C122" s="1" t="s">
        <v>10</v>
      </c>
      <c r="D122">
        <v>0</v>
      </c>
      <c r="E122" s="360"/>
      <c r="F122">
        <v>0</v>
      </c>
      <c r="G122">
        <v>0</v>
      </c>
      <c r="H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s="20"/>
      <c r="P122" s="20"/>
      <c r="Q122" s="438"/>
      <c r="R122" s="197">
        <v>0.49226666666666663</v>
      </c>
      <c r="S122" s="197">
        <v>2.8337500000000002</v>
      </c>
      <c r="T122" s="197">
        <v>0.68718466195761863</v>
      </c>
      <c r="U122" s="197">
        <v>0.90789473684210531</v>
      </c>
      <c r="V122" s="20">
        <f t="shared" si="132"/>
        <v>0</v>
      </c>
      <c r="W122" s="20">
        <f t="shared" si="132"/>
        <v>0</v>
      </c>
      <c r="X122" s="20">
        <f t="shared" si="132"/>
        <v>0</v>
      </c>
      <c r="Y122" s="20">
        <f t="shared" si="132"/>
        <v>0</v>
      </c>
      <c r="Z122" s="20">
        <f t="shared" si="133"/>
        <v>0</v>
      </c>
      <c r="AA122" s="20">
        <f t="shared" si="133"/>
        <v>0</v>
      </c>
      <c r="AB122" s="20">
        <f t="shared" si="133"/>
        <v>0</v>
      </c>
      <c r="AC122" s="20">
        <f t="shared" si="133"/>
        <v>0</v>
      </c>
      <c r="AD122" s="20">
        <f t="shared" si="134"/>
        <v>0</v>
      </c>
      <c r="AE122" s="20">
        <f t="shared" si="135"/>
        <v>0</v>
      </c>
      <c r="AF122" s="20">
        <f t="shared" si="135"/>
        <v>0</v>
      </c>
      <c r="AG122" s="20">
        <f t="shared" si="135"/>
        <v>0</v>
      </c>
      <c r="AH122" s="20">
        <f t="shared" si="135"/>
        <v>0</v>
      </c>
      <c r="AI122" s="20">
        <f t="shared" si="136"/>
        <v>0</v>
      </c>
      <c r="AJ122" s="20">
        <f t="shared" si="136"/>
        <v>0</v>
      </c>
      <c r="AK122" s="20">
        <f t="shared" si="136"/>
        <v>0</v>
      </c>
      <c r="AL122" s="20">
        <f t="shared" si="136"/>
        <v>0</v>
      </c>
      <c r="AM122" s="20">
        <f t="shared" si="137"/>
        <v>0</v>
      </c>
      <c r="AO122">
        <f t="shared" si="138"/>
        <v>0</v>
      </c>
      <c r="AP122">
        <f t="shared" si="138"/>
        <v>0</v>
      </c>
      <c r="AQ122">
        <f t="shared" si="138"/>
        <v>0</v>
      </c>
      <c r="AR122">
        <f t="shared" si="138"/>
        <v>0</v>
      </c>
      <c r="AS122">
        <f t="shared" si="139"/>
        <v>0</v>
      </c>
      <c r="AU122">
        <f t="shared" si="140"/>
        <v>0</v>
      </c>
      <c r="AV122">
        <f t="shared" si="140"/>
        <v>0</v>
      </c>
      <c r="AW122">
        <f t="shared" si="140"/>
        <v>0</v>
      </c>
      <c r="AX122">
        <f t="shared" si="140"/>
        <v>0</v>
      </c>
      <c r="AY122">
        <f t="shared" si="141"/>
        <v>0</v>
      </c>
    </row>
    <row r="123" spans="1:53" ht="15" x14ac:dyDescent="0.25">
      <c r="A123" s="1"/>
      <c r="B123" s="2"/>
      <c r="C123" s="1" t="s">
        <v>11</v>
      </c>
      <c r="D123">
        <v>0</v>
      </c>
      <c r="E123" s="360">
        <v>1.7323999999999999</v>
      </c>
      <c r="F123">
        <v>0</v>
      </c>
      <c r="G123">
        <v>0</v>
      </c>
      <c r="H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 s="20"/>
      <c r="P123" s="20"/>
      <c r="Q123" s="438">
        <v>8.3823917587387706E-2</v>
      </c>
      <c r="R123" s="197">
        <v>0.49226666666666663</v>
      </c>
      <c r="S123" s="197">
        <v>2.8337500000000002</v>
      </c>
      <c r="T123" s="197">
        <v>0.68718466195761863</v>
      </c>
      <c r="U123" s="197">
        <v>0.90789473684210531</v>
      </c>
      <c r="V123" s="20">
        <f t="shared" si="132"/>
        <v>0.7148526939018901</v>
      </c>
      <c r="W123" s="20">
        <f t="shared" si="132"/>
        <v>0</v>
      </c>
      <c r="X123" s="20">
        <f t="shared" si="132"/>
        <v>0</v>
      </c>
      <c r="Y123" s="20">
        <f t="shared" si="132"/>
        <v>0</v>
      </c>
      <c r="Z123" s="20">
        <f t="shared" si="133"/>
        <v>0.53204650568229916</v>
      </c>
      <c r="AA123" s="20">
        <f t="shared" si="133"/>
        <v>0</v>
      </c>
      <c r="AB123" s="20">
        <f t="shared" si="133"/>
        <v>0</v>
      </c>
      <c r="AC123" s="20">
        <f t="shared" si="133"/>
        <v>0</v>
      </c>
      <c r="AD123" s="20">
        <f t="shared" si="134"/>
        <v>0.53204650568229916</v>
      </c>
      <c r="AE123" s="20">
        <f t="shared" si="135"/>
        <v>4.1150741224495153</v>
      </c>
      <c r="AF123" s="20">
        <f t="shared" si="135"/>
        <v>0</v>
      </c>
      <c r="AG123" s="20">
        <f t="shared" si="135"/>
        <v>0</v>
      </c>
      <c r="AH123" s="20">
        <f t="shared" si="135"/>
        <v>0</v>
      </c>
      <c r="AI123" s="20">
        <f t="shared" si="136"/>
        <v>3.8052263304932437</v>
      </c>
      <c r="AJ123" s="20">
        <f t="shared" si="136"/>
        <v>0</v>
      </c>
      <c r="AK123" s="20">
        <f t="shared" si="136"/>
        <v>0</v>
      </c>
      <c r="AL123" s="20">
        <f t="shared" si="136"/>
        <v>0</v>
      </c>
      <c r="AM123" s="20">
        <f t="shared" si="137"/>
        <v>3.8052263304932437</v>
      </c>
      <c r="AO123">
        <f t="shared" si="138"/>
        <v>0.55939369607436928</v>
      </c>
      <c r="AP123">
        <f t="shared" si="138"/>
        <v>0</v>
      </c>
      <c r="AQ123">
        <f t="shared" si="138"/>
        <v>0</v>
      </c>
      <c r="AR123">
        <f t="shared" si="138"/>
        <v>0</v>
      </c>
      <c r="AS123">
        <f t="shared" si="139"/>
        <v>0.55939369607436928</v>
      </c>
      <c r="AU123">
        <f t="shared" si="140"/>
        <v>4.0008149638805959</v>
      </c>
      <c r="AV123">
        <f t="shared" si="140"/>
        <v>0</v>
      </c>
      <c r="AW123">
        <f t="shared" si="140"/>
        <v>0</v>
      </c>
      <c r="AX123">
        <f t="shared" si="140"/>
        <v>0</v>
      </c>
      <c r="AY123">
        <f t="shared" si="141"/>
        <v>4.0008149638805959</v>
      </c>
    </row>
    <row r="124" spans="1:53" ht="15" x14ac:dyDescent="0.25">
      <c r="A124" s="1"/>
      <c r="B124" s="2"/>
      <c r="C124" s="1" t="s">
        <v>12</v>
      </c>
      <c r="D124">
        <v>0</v>
      </c>
      <c r="E124" s="360"/>
      <c r="F124">
        <v>0</v>
      </c>
      <c r="G124">
        <v>0</v>
      </c>
      <c r="H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 s="20"/>
      <c r="P124" s="20"/>
      <c r="Q124" s="438"/>
      <c r="R124" s="197">
        <v>0.49226666666666663</v>
      </c>
      <c r="S124" s="197">
        <v>2.8337500000000002</v>
      </c>
      <c r="T124" s="197">
        <v>0.68718466195761863</v>
      </c>
      <c r="U124" s="197">
        <v>0.90789473684210531</v>
      </c>
      <c r="V124" s="20">
        <f t="shared" si="132"/>
        <v>0</v>
      </c>
      <c r="W124" s="20">
        <f t="shared" si="132"/>
        <v>0</v>
      </c>
      <c r="X124" s="20">
        <f t="shared" si="132"/>
        <v>0</v>
      </c>
      <c r="Y124" s="20">
        <f t="shared" si="132"/>
        <v>0</v>
      </c>
      <c r="Z124" s="20">
        <f t="shared" si="133"/>
        <v>0</v>
      </c>
      <c r="AA124" s="20">
        <f t="shared" si="133"/>
        <v>0</v>
      </c>
      <c r="AB124" s="20">
        <f t="shared" si="133"/>
        <v>0</v>
      </c>
      <c r="AC124" s="20">
        <f t="shared" si="133"/>
        <v>0</v>
      </c>
      <c r="AD124" s="20">
        <f t="shared" si="134"/>
        <v>0</v>
      </c>
      <c r="AE124" s="20">
        <f t="shared" si="135"/>
        <v>0</v>
      </c>
      <c r="AF124" s="20">
        <f t="shared" si="135"/>
        <v>0</v>
      </c>
      <c r="AG124" s="20">
        <f t="shared" si="135"/>
        <v>0</v>
      </c>
      <c r="AH124" s="20">
        <f t="shared" si="135"/>
        <v>0</v>
      </c>
      <c r="AI124" s="20">
        <f t="shared" si="136"/>
        <v>0</v>
      </c>
      <c r="AJ124" s="20">
        <f t="shared" si="136"/>
        <v>0</v>
      </c>
      <c r="AK124" s="20">
        <f t="shared" si="136"/>
        <v>0</v>
      </c>
      <c r="AL124" s="20">
        <f t="shared" si="136"/>
        <v>0</v>
      </c>
      <c r="AM124" s="20">
        <f t="shared" si="137"/>
        <v>0</v>
      </c>
      <c r="AO124">
        <f t="shared" si="138"/>
        <v>0</v>
      </c>
      <c r="AP124">
        <f t="shared" si="138"/>
        <v>0</v>
      </c>
      <c r="AQ124">
        <f t="shared" si="138"/>
        <v>0</v>
      </c>
      <c r="AR124">
        <f t="shared" si="138"/>
        <v>0</v>
      </c>
      <c r="AS124">
        <f t="shared" si="139"/>
        <v>0</v>
      </c>
      <c r="AU124">
        <f t="shared" si="140"/>
        <v>0</v>
      </c>
      <c r="AV124">
        <f t="shared" si="140"/>
        <v>0</v>
      </c>
      <c r="AW124">
        <f t="shared" si="140"/>
        <v>0</v>
      </c>
      <c r="AX124">
        <f t="shared" si="140"/>
        <v>0</v>
      </c>
      <c r="AY124">
        <f t="shared" si="141"/>
        <v>0</v>
      </c>
    </row>
    <row r="125" spans="1:53" ht="15" x14ac:dyDescent="0.25">
      <c r="A125" s="1"/>
      <c r="B125" s="2"/>
      <c r="C125" s="1" t="s">
        <v>13</v>
      </c>
      <c r="D125">
        <v>0</v>
      </c>
      <c r="E125" s="360"/>
      <c r="F125">
        <v>0</v>
      </c>
      <c r="G125">
        <v>0</v>
      </c>
      <c r="H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20"/>
      <c r="P125" s="20"/>
      <c r="Q125" s="438"/>
      <c r="R125" s="197">
        <v>0.49226666666666663</v>
      </c>
      <c r="S125" s="197">
        <v>2.8337500000000002</v>
      </c>
      <c r="T125" s="197">
        <v>0.68718466195761863</v>
      </c>
      <c r="U125" s="197">
        <v>0.90789473684210531</v>
      </c>
      <c r="V125" s="20">
        <f t="shared" si="132"/>
        <v>0</v>
      </c>
      <c r="W125" s="20">
        <f t="shared" si="132"/>
        <v>0</v>
      </c>
      <c r="X125" s="20">
        <f t="shared" si="132"/>
        <v>0</v>
      </c>
      <c r="Y125" s="20">
        <f t="shared" si="132"/>
        <v>0</v>
      </c>
      <c r="Z125" s="20">
        <f t="shared" si="133"/>
        <v>0</v>
      </c>
      <c r="AA125" s="20">
        <f t="shared" si="133"/>
        <v>0</v>
      </c>
      <c r="AB125" s="20">
        <f t="shared" si="133"/>
        <v>0</v>
      </c>
      <c r="AC125" s="20">
        <f t="shared" si="133"/>
        <v>0</v>
      </c>
      <c r="AD125" s="20">
        <f t="shared" si="134"/>
        <v>0</v>
      </c>
      <c r="AE125" s="20">
        <f t="shared" si="135"/>
        <v>0</v>
      </c>
      <c r="AF125" s="20">
        <f t="shared" si="135"/>
        <v>0</v>
      </c>
      <c r="AG125" s="20">
        <f t="shared" si="135"/>
        <v>0</v>
      </c>
      <c r="AH125" s="20">
        <f t="shared" si="135"/>
        <v>0</v>
      </c>
      <c r="AI125" s="20">
        <f t="shared" si="136"/>
        <v>0</v>
      </c>
      <c r="AJ125" s="20">
        <f t="shared" si="136"/>
        <v>0</v>
      </c>
      <c r="AK125" s="20">
        <f t="shared" si="136"/>
        <v>0</v>
      </c>
      <c r="AL125" s="20">
        <f t="shared" si="136"/>
        <v>0</v>
      </c>
      <c r="AM125" s="20">
        <f t="shared" si="137"/>
        <v>0</v>
      </c>
      <c r="AO125">
        <f t="shared" si="138"/>
        <v>0</v>
      </c>
      <c r="AP125">
        <f t="shared" si="138"/>
        <v>0</v>
      </c>
      <c r="AQ125">
        <f t="shared" si="138"/>
        <v>0</v>
      </c>
      <c r="AR125">
        <f t="shared" si="138"/>
        <v>0</v>
      </c>
      <c r="AS125">
        <f t="shared" si="139"/>
        <v>0</v>
      </c>
      <c r="AU125">
        <f t="shared" si="140"/>
        <v>0</v>
      </c>
      <c r="AV125">
        <f t="shared" si="140"/>
        <v>0</v>
      </c>
      <c r="AW125">
        <f t="shared" si="140"/>
        <v>0</v>
      </c>
      <c r="AX125">
        <f t="shared" si="140"/>
        <v>0</v>
      </c>
      <c r="AY125">
        <f t="shared" si="141"/>
        <v>0</v>
      </c>
    </row>
    <row r="126" spans="1:53" ht="15" x14ac:dyDescent="0.25">
      <c r="A126" s="7"/>
      <c r="B126" s="8" t="s">
        <v>14</v>
      </c>
      <c r="C126" s="7"/>
      <c r="D126" s="357">
        <f t="shared" ref="D126:H126" si="142">SUM(D120:D125)</f>
        <v>0</v>
      </c>
      <c r="E126" s="363">
        <f>SUM(E120:E125)</f>
        <v>8.2837999999999994</v>
      </c>
      <c r="F126" s="357">
        <f t="shared" si="142"/>
        <v>0</v>
      </c>
      <c r="G126" s="357">
        <f t="shared" si="142"/>
        <v>0</v>
      </c>
      <c r="H126" s="357">
        <f t="shared" si="142"/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 s="20"/>
      <c r="P126" s="20"/>
      <c r="Q126" s="438">
        <v>4.0132523328478387E-2</v>
      </c>
      <c r="R126" s="197"/>
      <c r="S126" s="197"/>
      <c r="T126" s="197"/>
      <c r="U126" s="197"/>
      <c r="BA126" s="319">
        <f>(E126*10000*Q126*AU$10)</f>
        <v>3495.3771630131951</v>
      </c>
    </row>
    <row r="127" spans="1:53" ht="15" x14ac:dyDescent="0.25">
      <c r="A127" s="10"/>
      <c r="B127" s="9" t="s">
        <v>15</v>
      </c>
      <c r="C127" s="5"/>
      <c r="E127" s="363">
        <f>SUM(E126)</f>
        <v>8.2837999999999994</v>
      </c>
      <c r="H127" s="358">
        <f>SUM(D126:H126)</f>
        <v>8.2837999999999994</v>
      </c>
      <c r="K127" s="14"/>
      <c r="N127">
        <v>0</v>
      </c>
      <c r="O127" s="20"/>
      <c r="P127" s="20"/>
      <c r="Q127" s="438"/>
      <c r="R127" s="197"/>
      <c r="S127" s="197"/>
      <c r="T127" s="197"/>
      <c r="U127" s="197"/>
    </row>
    <row r="128" spans="1:53" ht="15.75" x14ac:dyDescent="0.25">
      <c r="A128" s="1"/>
      <c r="B128" s="2"/>
      <c r="C128" s="1"/>
      <c r="E128" s="361"/>
      <c r="K128" s="14"/>
      <c r="O128" s="20"/>
      <c r="P128" s="20"/>
      <c r="Q128" s="439"/>
      <c r="R128" s="197"/>
      <c r="S128" s="197"/>
      <c r="T128" s="197"/>
      <c r="U128" s="197"/>
    </row>
    <row r="129" spans="1:53" ht="15" x14ac:dyDescent="0.25">
      <c r="A129" s="1">
        <v>14</v>
      </c>
      <c r="B129" s="2" t="s">
        <v>28</v>
      </c>
      <c r="C129" s="1" t="s">
        <v>8</v>
      </c>
      <c r="D129">
        <v>0</v>
      </c>
      <c r="E129" s="360">
        <v>281.78219999999999</v>
      </c>
      <c r="F129">
        <v>0</v>
      </c>
      <c r="G129">
        <v>0</v>
      </c>
      <c r="H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 s="20"/>
      <c r="P129" s="20"/>
      <c r="Q129" s="438">
        <v>2.7705979396846929E-2</v>
      </c>
      <c r="R129" s="197">
        <v>5.6499999999999995E-2</v>
      </c>
      <c r="S129" s="197">
        <v>1.25</v>
      </c>
      <c r="T129" s="197">
        <v>0.50078889239507718</v>
      </c>
      <c r="U129" s="197">
        <v>0.75268470790377973</v>
      </c>
      <c r="V129" s="20">
        <f t="shared" ref="V129:Y134" si="143">E129*$Q129*$R129*10</f>
        <v>4.4109842825929828</v>
      </c>
      <c r="W129" s="20">
        <f t="shared" si="143"/>
        <v>0</v>
      </c>
      <c r="X129" s="20">
        <f t="shared" si="143"/>
        <v>0</v>
      </c>
      <c r="Y129" s="20">
        <f t="shared" si="143"/>
        <v>0</v>
      </c>
      <c r="Z129" s="20">
        <f t="shared" ref="Z129:AC134" si="144">V129*(EXP(1.01-0.34*LN(Z$8))*(1-$T129)+(1*$T129))</f>
        <v>2.6108452625585055</v>
      </c>
      <c r="AA129" s="20">
        <f t="shared" si="144"/>
        <v>0</v>
      </c>
      <c r="AB129" s="20">
        <f t="shared" si="144"/>
        <v>0</v>
      </c>
      <c r="AC129" s="20">
        <f t="shared" si="144"/>
        <v>0</v>
      </c>
      <c r="AD129" s="20">
        <f t="shared" ref="AD129:AD134" si="145">SUM(Z129:AC129)</f>
        <v>2.6108452625585055</v>
      </c>
      <c r="AE129" s="20">
        <f t="shared" ref="AE129:AE134" si="146">E129*$Q129*$S129*10</f>
        <v>97.588147844977499</v>
      </c>
      <c r="AF129" s="20">
        <f t="shared" ref="AF129:AH134" si="147">F129*$Q129*$S129*10</f>
        <v>0</v>
      </c>
      <c r="AG129" s="20">
        <f t="shared" si="147"/>
        <v>0</v>
      </c>
      <c r="AH129" s="20">
        <f t="shared" si="147"/>
        <v>0</v>
      </c>
      <c r="AI129" s="20">
        <f t="shared" ref="AI129:AL134" si="148">AE129*(EXP(1.01-0.34*LN(AI$8))*(1-$U129)+(1*$U129))</f>
        <v>77.857818181654281</v>
      </c>
      <c r="AJ129" s="20">
        <f t="shared" si="148"/>
        <v>0</v>
      </c>
      <c r="AK129" s="20">
        <f t="shared" si="148"/>
        <v>0</v>
      </c>
      <c r="AL129" s="20">
        <f t="shared" si="148"/>
        <v>0</v>
      </c>
      <c r="AM129" s="20">
        <f t="shared" ref="AM129:AM134" si="149">SUM(AI129:AL129)</f>
        <v>77.857818181654281</v>
      </c>
      <c r="AO129">
        <f t="shared" ref="AO129:AR134" si="150">Z129*AO$10</f>
        <v>2.7450427090540122</v>
      </c>
      <c r="AP129">
        <f t="shared" si="150"/>
        <v>0</v>
      </c>
      <c r="AQ129">
        <f t="shared" si="150"/>
        <v>0</v>
      </c>
      <c r="AR129">
        <f t="shared" si="150"/>
        <v>0</v>
      </c>
      <c r="AS129">
        <f t="shared" ref="AS129:AS134" si="151">SUM(AO129:AR129)</f>
        <v>2.7450427090540122</v>
      </c>
      <c r="AU129">
        <f t="shared" ref="AU129:AX134" si="152">AI129*AU$10</f>
        <v>81.859710036191302</v>
      </c>
      <c r="AV129">
        <f t="shared" si="152"/>
        <v>0</v>
      </c>
      <c r="AW129">
        <f t="shared" si="152"/>
        <v>0</v>
      </c>
      <c r="AX129">
        <f t="shared" si="152"/>
        <v>0</v>
      </c>
      <c r="AY129">
        <f t="shared" ref="AY129:AY134" si="153">SUM(AU129:AX129)</f>
        <v>81.859710036191302</v>
      </c>
    </row>
    <row r="130" spans="1:53" ht="15" x14ac:dyDescent="0.25">
      <c r="A130" s="1"/>
      <c r="B130" s="2"/>
      <c r="C130" s="1" t="s">
        <v>9</v>
      </c>
      <c r="D130">
        <v>0</v>
      </c>
      <c r="E130" s="360">
        <v>3.4670999999999998</v>
      </c>
      <c r="F130">
        <v>0</v>
      </c>
      <c r="G130">
        <v>0</v>
      </c>
      <c r="H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 s="20"/>
      <c r="P130" s="20"/>
      <c r="Q130" s="438">
        <v>4.6411958793693857E-2</v>
      </c>
      <c r="R130" s="197">
        <v>5.6499999999999995E-2</v>
      </c>
      <c r="S130" s="197">
        <v>1.25</v>
      </c>
      <c r="T130" s="197">
        <v>0.50078889239507718</v>
      </c>
      <c r="U130" s="197">
        <v>0.75268470790377973</v>
      </c>
      <c r="V130" s="20">
        <f t="shared" si="143"/>
        <v>9.0916919818493008E-2</v>
      </c>
      <c r="W130" s="20">
        <f t="shared" si="143"/>
        <v>0</v>
      </c>
      <c r="X130" s="20">
        <f t="shared" si="143"/>
        <v>0</v>
      </c>
      <c r="Y130" s="20">
        <f t="shared" si="143"/>
        <v>0</v>
      </c>
      <c r="Z130" s="20">
        <f t="shared" si="144"/>
        <v>5.3813388166277204E-2</v>
      </c>
      <c r="AA130" s="20">
        <f t="shared" si="144"/>
        <v>0</v>
      </c>
      <c r="AB130" s="20">
        <f t="shared" si="144"/>
        <v>0</v>
      </c>
      <c r="AC130" s="20">
        <f t="shared" si="144"/>
        <v>0</v>
      </c>
      <c r="AD130" s="20">
        <f t="shared" si="145"/>
        <v>5.3813388166277204E-2</v>
      </c>
      <c r="AE130" s="20">
        <f t="shared" si="146"/>
        <v>2.0114362791701996</v>
      </c>
      <c r="AF130" s="20">
        <f t="shared" si="147"/>
        <v>0</v>
      </c>
      <c r="AG130" s="20">
        <f t="shared" si="147"/>
        <v>0</v>
      </c>
      <c r="AH130" s="20">
        <f t="shared" si="147"/>
        <v>0</v>
      </c>
      <c r="AI130" s="20">
        <f t="shared" si="148"/>
        <v>1.6047649593308329</v>
      </c>
      <c r="AJ130" s="20">
        <f t="shared" si="148"/>
        <v>0</v>
      </c>
      <c r="AK130" s="20">
        <f t="shared" si="148"/>
        <v>0</v>
      </c>
      <c r="AL130" s="20">
        <f t="shared" si="148"/>
        <v>0</v>
      </c>
      <c r="AM130" s="20">
        <f t="shared" si="149"/>
        <v>1.6047649593308329</v>
      </c>
      <c r="AO130">
        <f t="shared" si="150"/>
        <v>5.6579396318023847E-2</v>
      </c>
      <c r="AP130">
        <f t="shared" si="150"/>
        <v>0</v>
      </c>
      <c r="AQ130">
        <f t="shared" si="150"/>
        <v>0</v>
      </c>
      <c r="AR130">
        <f t="shared" si="150"/>
        <v>0</v>
      </c>
      <c r="AS130">
        <f t="shared" si="151"/>
        <v>5.6579396318023847E-2</v>
      </c>
      <c r="AU130">
        <f t="shared" si="152"/>
        <v>1.6872498782404375</v>
      </c>
      <c r="AV130">
        <f t="shared" si="152"/>
        <v>0</v>
      </c>
      <c r="AW130">
        <f t="shared" si="152"/>
        <v>0</v>
      </c>
      <c r="AX130">
        <f t="shared" si="152"/>
        <v>0</v>
      </c>
      <c r="AY130">
        <f t="shared" si="153"/>
        <v>1.6872498782404375</v>
      </c>
    </row>
    <row r="131" spans="1:53" ht="15" x14ac:dyDescent="0.25">
      <c r="A131" s="1"/>
      <c r="B131" s="2"/>
      <c r="C131" s="1" t="s">
        <v>10</v>
      </c>
      <c r="D131">
        <v>0</v>
      </c>
      <c r="E131" s="360">
        <v>1.0326</v>
      </c>
      <c r="F131">
        <v>0</v>
      </c>
      <c r="G131">
        <v>0</v>
      </c>
      <c r="H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 s="20"/>
      <c r="P131" s="20"/>
      <c r="Q131" s="438">
        <v>6.5117938190540778E-2</v>
      </c>
      <c r="R131" s="197">
        <v>5.6499999999999995E-2</v>
      </c>
      <c r="S131" s="197">
        <v>1.25</v>
      </c>
      <c r="T131" s="197">
        <v>0.50078889239507718</v>
      </c>
      <c r="U131" s="197">
        <v>0.75268470790377973</v>
      </c>
      <c r="V131" s="20">
        <f t="shared" si="143"/>
        <v>3.7991042381187105E-2</v>
      </c>
      <c r="W131" s="20">
        <f t="shared" si="143"/>
        <v>0</v>
      </c>
      <c r="X131" s="20">
        <f t="shared" si="143"/>
        <v>0</v>
      </c>
      <c r="Y131" s="20">
        <f t="shared" si="143"/>
        <v>0</v>
      </c>
      <c r="Z131" s="20">
        <f t="shared" si="144"/>
        <v>2.2486757300861197E-2</v>
      </c>
      <c r="AA131" s="20">
        <f t="shared" si="144"/>
        <v>0</v>
      </c>
      <c r="AB131" s="20">
        <f t="shared" si="144"/>
        <v>0</v>
      </c>
      <c r="AC131" s="20">
        <f t="shared" si="144"/>
        <v>0</v>
      </c>
      <c r="AD131" s="20">
        <f t="shared" si="145"/>
        <v>2.2486757300861197E-2</v>
      </c>
      <c r="AE131" s="20">
        <f t="shared" si="146"/>
        <v>0.84050978719440506</v>
      </c>
      <c r="AF131" s="20">
        <f t="shared" si="147"/>
        <v>0</v>
      </c>
      <c r="AG131" s="20">
        <f t="shared" si="147"/>
        <v>0</v>
      </c>
      <c r="AH131" s="20">
        <f t="shared" si="147"/>
        <v>0</v>
      </c>
      <c r="AI131" s="20">
        <f t="shared" si="148"/>
        <v>0.67057588074360497</v>
      </c>
      <c r="AJ131" s="20">
        <f t="shared" si="148"/>
        <v>0</v>
      </c>
      <c r="AK131" s="20">
        <f t="shared" si="148"/>
        <v>0</v>
      </c>
      <c r="AL131" s="20">
        <f t="shared" si="148"/>
        <v>0</v>
      </c>
      <c r="AM131" s="20">
        <f t="shared" si="149"/>
        <v>0.67057588074360497</v>
      </c>
      <c r="AO131">
        <f t="shared" si="150"/>
        <v>2.3642576626125459E-2</v>
      </c>
      <c r="AP131">
        <f t="shared" si="150"/>
        <v>0</v>
      </c>
      <c r="AQ131">
        <f t="shared" si="150"/>
        <v>0</v>
      </c>
      <c r="AR131">
        <f t="shared" si="150"/>
        <v>0</v>
      </c>
      <c r="AS131">
        <f t="shared" si="151"/>
        <v>2.3642576626125459E-2</v>
      </c>
      <c r="AU131">
        <f t="shared" si="152"/>
        <v>0.70504348101382619</v>
      </c>
      <c r="AV131">
        <f t="shared" si="152"/>
        <v>0</v>
      </c>
      <c r="AW131">
        <f t="shared" si="152"/>
        <v>0</v>
      </c>
      <c r="AX131">
        <f t="shared" si="152"/>
        <v>0</v>
      </c>
      <c r="AY131">
        <f t="shared" si="153"/>
        <v>0.70504348101382619</v>
      </c>
    </row>
    <row r="132" spans="1:53" ht="15" x14ac:dyDescent="0.25">
      <c r="A132" s="1"/>
      <c r="B132" s="2"/>
      <c r="C132" s="1" t="s">
        <v>11</v>
      </c>
      <c r="D132">
        <v>0</v>
      </c>
      <c r="E132" s="360">
        <v>113.0378</v>
      </c>
      <c r="F132">
        <v>0</v>
      </c>
      <c r="G132">
        <v>0</v>
      </c>
      <c r="H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 s="20"/>
      <c r="P132" s="20"/>
      <c r="Q132" s="438">
        <v>8.3823917587387692E-2</v>
      </c>
      <c r="R132" s="197">
        <v>5.6499999999999995E-2</v>
      </c>
      <c r="S132" s="197">
        <v>1.25</v>
      </c>
      <c r="T132" s="197">
        <v>0.50078889239507718</v>
      </c>
      <c r="U132" s="197">
        <v>0.75268470790377973</v>
      </c>
      <c r="V132" s="20">
        <f t="shared" si="143"/>
        <v>5.3535282457746813</v>
      </c>
      <c r="W132" s="20">
        <f t="shared" si="143"/>
        <v>0</v>
      </c>
      <c r="X132" s="20">
        <f t="shared" si="143"/>
        <v>0</v>
      </c>
      <c r="Y132" s="20">
        <f t="shared" si="143"/>
        <v>0</v>
      </c>
      <c r="Z132" s="20">
        <f t="shared" si="144"/>
        <v>3.1687335440328299</v>
      </c>
      <c r="AA132" s="20">
        <f t="shared" si="144"/>
        <v>0</v>
      </c>
      <c r="AB132" s="20">
        <f t="shared" si="144"/>
        <v>0</v>
      </c>
      <c r="AC132" s="20">
        <f t="shared" si="144"/>
        <v>0</v>
      </c>
      <c r="AD132" s="20">
        <f t="shared" si="145"/>
        <v>3.1687335440328299</v>
      </c>
      <c r="AE132" s="20">
        <f t="shared" si="146"/>
        <v>118.44089039324517</v>
      </c>
      <c r="AF132" s="20">
        <f t="shared" si="147"/>
        <v>0</v>
      </c>
      <c r="AG132" s="20">
        <f t="shared" si="147"/>
        <v>0</v>
      </c>
      <c r="AH132" s="20">
        <f t="shared" si="147"/>
        <v>0</v>
      </c>
      <c r="AI132" s="20">
        <f t="shared" si="148"/>
        <v>94.494562230644121</v>
      </c>
      <c r="AJ132" s="20">
        <f t="shared" si="148"/>
        <v>0</v>
      </c>
      <c r="AK132" s="20">
        <f t="shared" si="148"/>
        <v>0</v>
      </c>
      <c r="AL132" s="20">
        <f t="shared" si="148"/>
        <v>0</v>
      </c>
      <c r="AM132" s="20">
        <f t="shared" si="149"/>
        <v>94.494562230644121</v>
      </c>
      <c r="AO132">
        <f t="shared" si="150"/>
        <v>3.331606448196117</v>
      </c>
      <c r="AP132">
        <f t="shared" si="150"/>
        <v>0</v>
      </c>
      <c r="AQ132">
        <f t="shared" si="150"/>
        <v>0</v>
      </c>
      <c r="AR132">
        <f t="shared" si="150"/>
        <v>0</v>
      </c>
      <c r="AS132">
        <f t="shared" si="151"/>
        <v>3.331606448196117</v>
      </c>
      <c r="AU132">
        <f t="shared" si="152"/>
        <v>99.351582729299224</v>
      </c>
      <c r="AV132">
        <f t="shared" si="152"/>
        <v>0</v>
      </c>
      <c r="AW132">
        <f t="shared" si="152"/>
        <v>0</v>
      </c>
      <c r="AX132">
        <f t="shared" si="152"/>
        <v>0</v>
      </c>
      <c r="AY132">
        <f t="shared" si="153"/>
        <v>99.351582729299224</v>
      </c>
    </row>
    <row r="133" spans="1:53" ht="15" x14ac:dyDescent="0.25">
      <c r="A133" s="1"/>
      <c r="B133" s="2"/>
      <c r="C133" s="1" t="s">
        <v>12</v>
      </c>
      <c r="D133">
        <v>0</v>
      </c>
      <c r="E133" s="360">
        <v>0</v>
      </c>
      <c r="F133">
        <v>0</v>
      </c>
      <c r="G133">
        <v>0</v>
      </c>
      <c r="H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 s="20"/>
      <c r="P133" s="20"/>
      <c r="Q133" s="438"/>
      <c r="R133" s="197">
        <v>5.6499999999999995E-2</v>
      </c>
      <c r="S133" s="197">
        <v>1.25</v>
      </c>
      <c r="T133" s="197">
        <v>0.50078889239507718</v>
      </c>
      <c r="U133" s="197">
        <v>0.75268470790377973</v>
      </c>
      <c r="V133" s="20">
        <f t="shared" si="143"/>
        <v>0</v>
      </c>
      <c r="W133" s="20">
        <f t="shared" si="143"/>
        <v>0</v>
      </c>
      <c r="X133" s="20">
        <f t="shared" si="143"/>
        <v>0</v>
      </c>
      <c r="Y133" s="20">
        <f t="shared" si="143"/>
        <v>0</v>
      </c>
      <c r="Z133" s="20">
        <f t="shared" si="144"/>
        <v>0</v>
      </c>
      <c r="AA133" s="20">
        <f t="shared" si="144"/>
        <v>0</v>
      </c>
      <c r="AB133" s="20">
        <f t="shared" si="144"/>
        <v>0</v>
      </c>
      <c r="AC133" s="20">
        <f t="shared" si="144"/>
        <v>0</v>
      </c>
      <c r="AD133" s="20">
        <f t="shared" si="145"/>
        <v>0</v>
      </c>
      <c r="AE133" s="20">
        <f t="shared" si="146"/>
        <v>0</v>
      </c>
      <c r="AF133" s="20">
        <f t="shared" si="147"/>
        <v>0</v>
      </c>
      <c r="AG133" s="20">
        <f t="shared" si="147"/>
        <v>0</v>
      </c>
      <c r="AH133" s="20">
        <f t="shared" si="147"/>
        <v>0</v>
      </c>
      <c r="AI133" s="20">
        <f t="shared" si="148"/>
        <v>0</v>
      </c>
      <c r="AJ133" s="20">
        <f t="shared" si="148"/>
        <v>0</v>
      </c>
      <c r="AK133" s="20">
        <f t="shared" si="148"/>
        <v>0</v>
      </c>
      <c r="AL133" s="20">
        <f t="shared" si="148"/>
        <v>0</v>
      </c>
      <c r="AM133" s="20">
        <f t="shared" si="149"/>
        <v>0</v>
      </c>
      <c r="AO133">
        <f t="shared" si="150"/>
        <v>0</v>
      </c>
      <c r="AP133">
        <f t="shared" si="150"/>
        <v>0</v>
      </c>
      <c r="AQ133">
        <f t="shared" si="150"/>
        <v>0</v>
      </c>
      <c r="AR133">
        <f t="shared" si="150"/>
        <v>0</v>
      </c>
      <c r="AS133">
        <f t="shared" si="151"/>
        <v>0</v>
      </c>
      <c r="AU133">
        <f t="shared" si="152"/>
        <v>0</v>
      </c>
      <c r="AV133">
        <f t="shared" si="152"/>
        <v>0</v>
      </c>
      <c r="AW133">
        <f t="shared" si="152"/>
        <v>0</v>
      </c>
      <c r="AX133">
        <f t="shared" si="152"/>
        <v>0</v>
      </c>
      <c r="AY133">
        <f t="shared" si="153"/>
        <v>0</v>
      </c>
    </row>
    <row r="134" spans="1:53" ht="15" x14ac:dyDescent="0.25">
      <c r="A134" s="1"/>
      <c r="B134" s="2"/>
      <c r="C134" s="1" t="s">
        <v>13</v>
      </c>
      <c r="D134">
        <v>0</v>
      </c>
      <c r="E134" s="360">
        <v>0.78949999999999998</v>
      </c>
      <c r="F134">
        <v>0</v>
      </c>
      <c r="G134">
        <v>0</v>
      </c>
      <c r="H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20"/>
      <c r="P134" s="20"/>
      <c r="Q134" s="438">
        <v>8.3823917587387706E-2</v>
      </c>
      <c r="R134" s="197">
        <v>5.6499999999999995E-2</v>
      </c>
      <c r="S134" s="197">
        <v>1.25</v>
      </c>
      <c r="T134" s="197">
        <v>0.50078889239507718</v>
      </c>
      <c r="U134" s="197">
        <v>0.75268470790377973</v>
      </c>
      <c r="V134" s="20">
        <f t="shared" si="143"/>
        <v>3.7391125358412061E-2</v>
      </c>
      <c r="W134" s="20">
        <f t="shared" si="143"/>
        <v>0</v>
      </c>
      <c r="X134" s="20">
        <f t="shared" si="143"/>
        <v>0</v>
      </c>
      <c r="Y134" s="20">
        <f t="shared" si="143"/>
        <v>0</v>
      </c>
      <c r="Z134" s="20">
        <f t="shared" si="144"/>
        <v>2.2131668636632341E-2</v>
      </c>
      <c r="AA134" s="20">
        <f t="shared" si="144"/>
        <v>0</v>
      </c>
      <c r="AB134" s="20">
        <f t="shared" si="144"/>
        <v>0</v>
      </c>
      <c r="AC134" s="20">
        <f t="shared" si="144"/>
        <v>0</v>
      </c>
      <c r="AD134" s="20">
        <f t="shared" si="145"/>
        <v>2.2131668636632341E-2</v>
      </c>
      <c r="AE134" s="20">
        <f t="shared" si="146"/>
        <v>0.82723728669053243</v>
      </c>
      <c r="AF134" s="20">
        <f t="shared" si="147"/>
        <v>0</v>
      </c>
      <c r="AG134" s="20">
        <f t="shared" si="147"/>
        <v>0</v>
      </c>
      <c r="AH134" s="20">
        <f t="shared" si="147"/>
        <v>0</v>
      </c>
      <c r="AI134" s="20">
        <f t="shared" si="148"/>
        <v>0.65998680867013992</v>
      </c>
      <c r="AJ134" s="20">
        <f t="shared" si="148"/>
        <v>0</v>
      </c>
      <c r="AK134" s="20">
        <f t="shared" si="148"/>
        <v>0</v>
      </c>
      <c r="AL134" s="20">
        <f t="shared" si="148"/>
        <v>0</v>
      </c>
      <c r="AM134" s="20">
        <f t="shared" si="149"/>
        <v>0.65998680867013992</v>
      </c>
      <c r="AO134">
        <f t="shared" si="150"/>
        <v>2.3269236404555242E-2</v>
      </c>
      <c r="AP134">
        <f t="shared" si="150"/>
        <v>0</v>
      </c>
      <c r="AQ134">
        <f t="shared" si="150"/>
        <v>0</v>
      </c>
      <c r="AR134">
        <f t="shared" si="150"/>
        <v>0</v>
      </c>
      <c r="AS134">
        <f t="shared" si="151"/>
        <v>2.3269236404555242E-2</v>
      </c>
      <c r="AU134">
        <f t="shared" si="152"/>
        <v>0.69391013063578499</v>
      </c>
      <c r="AV134">
        <f t="shared" si="152"/>
        <v>0</v>
      </c>
      <c r="AW134">
        <f t="shared" si="152"/>
        <v>0</v>
      </c>
      <c r="AX134">
        <f t="shared" si="152"/>
        <v>0</v>
      </c>
      <c r="AY134">
        <f t="shared" si="153"/>
        <v>0.69391013063578499</v>
      </c>
    </row>
    <row r="135" spans="1:53" ht="15" x14ac:dyDescent="0.25">
      <c r="A135" s="7"/>
      <c r="B135" s="8" t="s">
        <v>14</v>
      </c>
      <c r="C135" s="7"/>
      <c r="D135" s="357">
        <f t="shared" ref="D135:H135" si="154">SUM(D129:D134)</f>
        <v>0</v>
      </c>
      <c r="E135" s="363">
        <f>SUM(E129:E134)</f>
        <v>400.10919999999999</v>
      </c>
      <c r="F135" s="357">
        <f t="shared" si="154"/>
        <v>0</v>
      </c>
      <c r="G135" s="357">
        <f t="shared" si="154"/>
        <v>0</v>
      </c>
      <c r="H135" s="357">
        <f t="shared" si="154"/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 s="20"/>
      <c r="P135" s="20"/>
      <c r="Q135" s="438">
        <v>4.3929651523389672E-2</v>
      </c>
      <c r="R135" s="197"/>
      <c r="S135" s="197"/>
      <c r="T135" s="197"/>
      <c r="U135" s="197"/>
      <c r="BA135" s="319">
        <f>(E135*10000*Q135*AU$10)</f>
        <v>184800.97934485556</v>
      </c>
    </row>
    <row r="136" spans="1:53" ht="15" x14ac:dyDescent="0.25">
      <c r="A136" s="10"/>
      <c r="B136" s="9" t="s">
        <v>15</v>
      </c>
      <c r="C136" s="5"/>
      <c r="E136" s="363">
        <f>SUM(E135)</f>
        <v>400.10919999999999</v>
      </c>
      <c r="H136" s="358">
        <f>SUM(D135:H135)</f>
        <v>400.10919999999999</v>
      </c>
      <c r="K136" s="14"/>
      <c r="N136">
        <v>0</v>
      </c>
      <c r="O136" s="20"/>
      <c r="P136" s="20"/>
      <c r="Q136" s="438"/>
      <c r="R136" s="197"/>
      <c r="S136" s="197"/>
      <c r="T136" s="197"/>
      <c r="U136" s="197"/>
    </row>
    <row r="137" spans="1:53" ht="15.75" x14ac:dyDescent="0.25">
      <c r="A137" s="1"/>
      <c r="B137" s="2"/>
      <c r="C137" s="1"/>
      <c r="E137" s="361"/>
      <c r="K137" s="14"/>
      <c r="O137" s="20"/>
      <c r="P137" s="20"/>
      <c r="Q137" s="439"/>
      <c r="R137" s="197"/>
      <c r="S137" s="197"/>
      <c r="T137" s="197"/>
      <c r="U137" s="197"/>
    </row>
    <row r="138" spans="1:53" ht="15" x14ac:dyDescent="0.25">
      <c r="A138" s="1">
        <v>15</v>
      </c>
      <c r="B138" s="2" t="s">
        <v>29</v>
      </c>
      <c r="C138" s="1" t="s">
        <v>8</v>
      </c>
      <c r="D138">
        <v>0</v>
      </c>
      <c r="E138" s="360">
        <v>0.63266</v>
      </c>
      <c r="F138">
        <v>0</v>
      </c>
      <c r="G138">
        <v>0</v>
      </c>
      <c r="H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 s="20"/>
      <c r="P138" s="20"/>
      <c r="Q138" s="438">
        <v>0.76783423930255246</v>
      </c>
      <c r="R138" s="197">
        <v>2.5000000000000001E-2</v>
      </c>
      <c r="S138" s="197">
        <v>0.71599999999999997</v>
      </c>
      <c r="T138" s="197">
        <v>0.11808671869809276</v>
      </c>
      <c r="U138" s="197">
        <v>0.41263016220713056</v>
      </c>
      <c r="V138" s="20">
        <f t="shared" ref="V138:Y143" si="155">E138*$Q138*$R138*10</f>
        <v>0.12144450245928821</v>
      </c>
      <c r="W138" s="20">
        <f t="shared" si="155"/>
        <v>0</v>
      </c>
      <c r="X138" s="20">
        <f t="shared" si="155"/>
        <v>0</v>
      </c>
      <c r="Y138" s="20">
        <f t="shared" si="155"/>
        <v>0</v>
      </c>
      <c r="Z138" s="20">
        <f t="shared" ref="Z138:AC143" si="156">V138*(EXP(1.01-0.34*LN(Z$8))*(1-$T138)+(1*$T138))</f>
        <v>3.3887670645611115E-2</v>
      </c>
      <c r="AA138" s="20">
        <f t="shared" si="156"/>
        <v>0</v>
      </c>
      <c r="AB138" s="20">
        <f t="shared" si="156"/>
        <v>0</v>
      </c>
      <c r="AC138" s="20">
        <f t="shared" si="156"/>
        <v>0</v>
      </c>
      <c r="AD138" s="20">
        <f t="shared" ref="AD138:AD143" si="157">SUM(Z138:AC138)</f>
        <v>3.3887670645611115E-2</v>
      </c>
      <c r="AE138" s="20">
        <f t="shared" ref="AE138:AE143" si="158">E138*$Q138*$S138*10</f>
        <v>3.4781705504340144</v>
      </c>
      <c r="AF138" s="20">
        <f t="shared" ref="AF138:AH143" si="159">F138*$Q138*$S138*10</f>
        <v>0</v>
      </c>
      <c r="AG138" s="20">
        <f t="shared" si="159"/>
        <v>0</v>
      </c>
      <c r="AH138" s="20">
        <f t="shared" si="159"/>
        <v>0</v>
      </c>
      <c r="AI138" s="20">
        <f t="shared" ref="AI138:AL143" si="160">AE138*(EXP(1.01-0.34*LN(AI$8))*(1-$U138)+(1*$U138))</f>
        <v>1.8080461913005548</v>
      </c>
      <c r="AJ138" s="20">
        <f t="shared" si="160"/>
        <v>0</v>
      </c>
      <c r="AK138" s="20">
        <f t="shared" si="160"/>
        <v>0</v>
      </c>
      <c r="AL138" s="20">
        <f t="shared" si="160"/>
        <v>0</v>
      </c>
      <c r="AM138" s="20">
        <f t="shared" ref="AM138:AM143" si="161">SUM(AI138:AL138)</f>
        <v>1.8080461913005548</v>
      </c>
      <c r="AO138">
        <f t="shared" ref="AO138:AR143" si="162">Z138*AO$10</f>
        <v>3.5629496916795525E-2</v>
      </c>
      <c r="AP138">
        <f t="shared" si="162"/>
        <v>0</v>
      </c>
      <c r="AQ138">
        <f t="shared" si="162"/>
        <v>0</v>
      </c>
      <c r="AR138">
        <f t="shared" si="162"/>
        <v>0</v>
      </c>
      <c r="AS138">
        <f t="shared" ref="AS138:AS143" si="163">SUM(AO138:AR138)</f>
        <v>3.5629496916795525E-2</v>
      </c>
      <c r="AU138">
        <f t="shared" ref="AU138:AX143" si="164">AI138*AU$10</f>
        <v>1.9009797655334031</v>
      </c>
      <c r="AV138">
        <f t="shared" si="164"/>
        <v>0</v>
      </c>
      <c r="AW138">
        <f t="shared" si="164"/>
        <v>0</v>
      </c>
      <c r="AX138">
        <f t="shared" si="164"/>
        <v>0</v>
      </c>
      <c r="AY138">
        <f t="shared" ref="AY138:AY143" si="165">SUM(AU138:AX138)</f>
        <v>1.9009797655334031</v>
      </c>
    </row>
    <row r="139" spans="1:53" ht="15" x14ac:dyDescent="0.25">
      <c r="A139" s="1"/>
      <c r="B139" s="2"/>
      <c r="C139" s="1" t="s">
        <v>9</v>
      </c>
      <c r="D139">
        <v>0</v>
      </c>
      <c r="E139" s="360">
        <v>1.5754999999999999</v>
      </c>
      <c r="F139">
        <v>0</v>
      </c>
      <c r="G139">
        <v>0</v>
      </c>
      <c r="H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 s="20"/>
      <c r="P139" s="20"/>
      <c r="Q139" s="438">
        <v>0.77066847860510512</v>
      </c>
      <c r="R139" s="197">
        <v>2.5000000000000001E-2</v>
      </c>
      <c r="S139" s="197">
        <v>0.71599999999999997</v>
      </c>
      <c r="T139" s="197">
        <v>0.11808671869809276</v>
      </c>
      <c r="U139" s="197">
        <v>0.41263016220713056</v>
      </c>
      <c r="V139" s="20">
        <f t="shared" si="155"/>
        <v>0.30354704701058577</v>
      </c>
      <c r="W139" s="20">
        <f t="shared" si="155"/>
        <v>0</v>
      </c>
      <c r="X139" s="20">
        <f t="shared" si="155"/>
        <v>0</v>
      </c>
      <c r="Y139" s="20">
        <f t="shared" si="155"/>
        <v>0</v>
      </c>
      <c r="Z139" s="20">
        <f t="shared" si="156"/>
        <v>8.4701259803760198E-2</v>
      </c>
      <c r="AA139" s="20">
        <f t="shared" si="156"/>
        <v>0</v>
      </c>
      <c r="AB139" s="20">
        <f t="shared" si="156"/>
        <v>0</v>
      </c>
      <c r="AC139" s="20">
        <f t="shared" si="156"/>
        <v>0</v>
      </c>
      <c r="AD139" s="20">
        <f t="shared" si="157"/>
        <v>8.4701259803760198E-2</v>
      </c>
      <c r="AE139" s="20">
        <f t="shared" si="158"/>
        <v>8.6935874263831749</v>
      </c>
      <c r="AF139" s="20">
        <f t="shared" si="159"/>
        <v>0</v>
      </c>
      <c r="AG139" s="20">
        <f t="shared" si="159"/>
        <v>0</v>
      </c>
      <c r="AH139" s="20">
        <f t="shared" si="159"/>
        <v>0</v>
      </c>
      <c r="AI139" s="20">
        <f t="shared" si="160"/>
        <v>4.5191595429525764</v>
      </c>
      <c r="AJ139" s="20">
        <f t="shared" si="160"/>
        <v>0</v>
      </c>
      <c r="AK139" s="20">
        <f t="shared" si="160"/>
        <v>0</v>
      </c>
      <c r="AL139" s="20">
        <f t="shared" si="160"/>
        <v>0</v>
      </c>
      <c r="AM139" s="20">
        <f t="shared" si="161"/>
        <v>4.5191595429525764</v>
      </c>
      <c r="AO139">
        <f t="shared" si="162"/>
        <v>8.9054904557673467E-2</v>
      </c>
      <c r="AP139">
        <f t="shared" si="162"/>
        <v>0</v>
      </c>
      <c r="AQ139">
        <f t="shared" si="162"/>
        <v>0</v>
      </c>
      <c r="AR139">
        <f t="shared" si="162"/>
        <v>0</v>
      </c>
      <c r="AS139">
        <f t="shared" si="163"/>
        <v>8.9054904557673467E-2</v>
      </c>
      <c r="AU139">
        <f t="shared" si="164"/>
        <v>4.7514443434603386</v>
      </c>
      <c r="AV139">
        <f t="shared" si="164"/>
        <v>0</v>
      </c>
      <c r="AW139">
        <f t="shared" si="164"/>
        <v>0</v>
      </c>
      <c r="AX139">
        <f t="shared" si="164"/>
        <v>0</v>
      </c>
      <c r="AY139">
        <f t="shared" si="165"/>
        <v>4.7514443434603386</v>
      </c>
    </row>
    <row r="140" spans="1:53" ht="15" x14ac:dyDescent="0.25">
      <c r="A140" s="1"/>
      <c r="B140" s="2"/>
      <c r="C140" s="1" t="s">
        <v>10</v>
      </c>
      <c r="D140">
        <v>0</v>
      </c>
      <c r="E140" s="360">
        <v>0</v>
      </c>
      <c r="F140">
        <v>0</v>
      </c>
      <c r="G140">
        <v>0</v>
      </c>
      <c r="H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 s="20"/>
      <c r="P140" s="20"/>
      <c r="Q140" s="438"/>
      <c r="R140" s="197">
        <v>2.5000000000000001E-2</v>
      </c>
      <c r="S140" s="197">
        <v>0.71599999999999997</v>
      </c>
      <c r="T140" s="197">
        <v>0.11808671869809276</v>
      </c>
      <c r="U140" s="197">
        <v>0.41263016220713056</v>
      </c>
      <c r="V140" s="20">
        <f t="shared" si="155"/>
        <v>0</v>
      </c>
      <c r="W140" s="20">
        <f t="shared" si="155"/>
        <v>0</v>
      </c>
      <c r="X140" s="20">
        <f t="shared" si="155"/>
        <v>0</v>
      </c>
      <c r="Y140" s="20">
        <f t="shared" si="155"/>
        <v>0</v>
      </c>
      <c r="Z140" s="20">
        <f t="shared" si="156"/>
        <v>0</v>
      </c>
      <c r="AA140" s="20">
        <f t="shared" si="156"/>
        <v>0</v>
      </c>
      <c r="AB140" s="20">
        <f t="shared" si="156"/>
        <v>0</v>
      </c>
      <c r="AC140" s="20">
        <f t="shared" si="156"/>
        <v>0</v>
      </c>
      <c r="AD140" s="20">
        <f t="shared" si="157"/>
        <v>0</v>
      </c>
      <c r="AE140" s="20">
        <f t="shared" si="158"/>
        <v>0</v>
      </c>
      <c r="AF140" s="20">
        <f t="shared" si="159"/>
        <v>0</v>
      </c>
      <c r="AG140" s="20">
        <f t="shared" si="159"/>
        <v>0</v>
      </c>
      <c r="AH140" s="20">
        <f t="shared" si="159"/>
        <v>0</v>
      </c>
      <c r="AI140" s="20">
        <f t="shared" si="160"/>
        <v>0</v>
      </c>
      <c r="AJ140" s="20">
        <f t="shared" si="160"/>
        <v>0</v>
      </c>
      <c r="AK140" s="20">
        <f t="shared" si="160"/>
        <v>0</v>
      </c>
      <c r="AL140" s="20">
        <f t="shared" si="160"/>
        <v>0</v>
      </c>
      <c r="AM140" s="20">
        <f t="shared" si="161"/>
        <v>0</v>
      </c>
      <c r="AO140">
        <f t="shared" si="162"/>
        <v>0</v>
      </c>
      <c r="AP140">
        <f t="shared" si="162"/>
        <v>0</v>
      </c>
      <c r="AQ140">
        <f t="shared" si="162"/>
        <v>0</v>
      </c>
      <c r="AR140">
        <f t="shared" si="162"/>
        <v>0</v>
      </c>
      <c r="AS140">
        <f t="shared" si="163"/>
        <v>0</v>
      </c>
      <c r="AU140">
        <f t="shared" si="164"/>
        <v>0</v>
      </c>
      <c r="AV140">
        <f t="shared" si="164"/>
        <v>0</v>
      </c>
      <c r="AW140">
        <f t="shared" si="164"/>
        <v>0</v>
      </c>
      <c r="AX140">
        <f t="shared" si="164"/>
        <v>0</v>
      </c>
      <c r="AY140">
        <f t="shared" si="165"/>
        <v>0</v>
      </c>
    </row>
    <row r="141" spans="1:53" ht="15" x14ac:dyDescent="0.25">
      <c r="A141" s="1"/>
      <c r="B141" s="2"/>
      <c r="C141" s="1" t="s">
        <v>11</v>
      </c>
      <c r="D141">
        <v>0</v>
      </c>
      <c r="E141" s="360">
        <v>10.5235</v>
      </c>
      <c r="F141">
        <v>0</v>
      </c>
      <c r="G141">
        <v>0</v>
      </c>
      <c r="H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 s="20"/>
      <c r="P141" s="20"/>
      <c r="Q141" s="438">
        <v>0.77633695721021023</v>
      </c>
      <c r="R141" s="197">
        <v>2.5000000000000001E-2</v>
      </c>
      <c r="S141" s="197">
        <v>0.71599999999999997</v>
      </c>
      <c r="T141" s="197">
        <v>0.11808671869809276</v>
      </c>
      <c r="U141" s="197">
        <v>0.41263016220713056</v>
      </c>
      <c r="V141" s="20">
        <f t="shared" si="155"/>
        <v>2.0424454923004118</v>
      </c>
      <c r="W141" s="20">
        <f t="shared" si="155"/>
        <v>0</v>
      </c>
      <c r="X141" s="20">
        <f t="shared" si="155"/>
        <v>0</v>
      </c>
      <c r="Y141" s="20">
        <f t="shared" si="155"/>
        <v>0</v>
      </c>
      <c r="Z141" s="20">
        <f t="shared" si="156"/>
        <v>0.56992057073881874</v>
      </c>
      <c r="AA141" s="20">
        <f t="shared" si="156"/>
        <v>0</v>
      </c>
      <c r="AB141" s="20">
        <f t="shared" si="156"/>
        <v>0</v>
      </c>
      <c r="AC141" s="20">
        <f t="shared" si="156"/>
        <v>0</v>
      </c>
      <c r="AD141" s="20">
        <f t="shared" si="157"/>
        <v>0.56992057073881874</v>
      </c>
      <c r="AE141" s="20">
        <f t="shared" si="158"/>
        <v>58.495638899483787</v>
      </c>
      <c r="AF141" s="20">
        <f t="shared" si="159"/>
        <v>0</v>
      </c>
      <c r="AG141" s="20">
        <f t="shared" si="159"/>
        <v>0</v>
      </c>
      <c r="AH141" s="20">
        <f t="shared" si="159"/>
        <v>0</v>
      </c>
      <c r="AI141" s="20">
        <f t="shared" si="160"/>
        <v>30.407599508513719</v>
      </c>
      <c r="AJ141" s="20">
        <f t="shared" si="160"/>
        <v>0</v>
      </c>
      <c r="AK141" s="20">
        <f t="shared" si="160"/>
        <v>0</v>
      </c>
      <c r="AL141" s="20">
        <f t="shared" si="160"/>
        <v>0</v>
      </c>
      <c r="AM141" s="20">
        <f t="shared" si="161"/>
        <v>30.407599508513719</v>
      </c>
      <c r="AO141">
        <f t="shared" si="162"/>
        <v>0.59921448807479394</v>
      </c>
      <c r="AP141">
        <f t="shared" si="162"/>
        <v>0</v>
      </c>
      <c r="AQ141">
        <f t="shared" si="162"/>
        <v>0</v>
      </c>
      <c r="AR141">
        <f t="shared" si="162"/>
        <v>0</v>
      </c>
      <c r="AS141">
        <f t="shared" si="163"/>
        <v>0.59921448807479394</v>
      </c>
      <c r="AU141">
        <f t="shared" si="164"/>
        <v>31.970550123251321</v>
      </c>
      <c r="AV141">
        <f t="shared" si="164"/>
        <v>0</v>
      </c>
      <c r="AW141">
        <f t="shared" si="164"/>
        <v>0</v>
      </c>
      <c r="AX141">
        <f t="shared" si="164"/>
        <v>0</v>
      </c>
      <c r="AY141">
        <f t="shared" si="165"/>
        <v>31.970550123251321</v>
      </c>
    </row>
    <row r="142" spans="1:53" ht="15" x14ac:dyDescent="0.25">
      <c r="A142" s="1"/>
      <c r="B142" s="2"/>
      <c r="C142" s="1" t="s">
        <v>12</v>
      </c>
      <c r="D142">
        <v>0</v>
      </c>
      <c r="E142" s="360">
        <v>0</v>
      </c>
      <c r="F142">
        <v>0</v>
      </c>
      <c r="G142">
        <v>0</v>
      </c>
      <c r="H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 s="20"/>
      <c r="P142" s="20"/>
      <c r="Q142" s="438"/>
      <c r="R142" s="197">
        <v>2.5000000000000001E-2</v>
      </c>
      <c r="S142" s="197">
        <v>0.71599999999999997</v>
      </c>
      <c r="T142" s="197">
        <v>0.11808671869809276</v>
      </c>
      <c r="U142" s="197">
        <v>0.41263016220713056</v>
      </c>
      <c r="V142" s="20">
        <f t="shared" si="155"/>
        <v>0</v>
      </c>
      <c r="W142" s="20">
        <f t="shared" si="155"/>
        <v>0</v>
      </c>
      <c r="X142" s="20">
        <f t="shared" si="155"/>
        <v>0</v>
      </c>
      <c r="Y142" s="20">
        <f t="shared" si="155"/>
        <v>0</v>
      </c>
      <c r="Z142" s="20">
        <f t="shared" si="156"/>
        <v>0</v>
      </c>
      <c r="AA142" s="20">
        <f t="shared" si="156"/>
        <v>0</v>
      </c>
      <c r="AB142" s="20">
        <f t="shared" si="156"/>
        <v>0</v>
      </c>
      <c r="AC142" s="20">
        <f t="shared" si="156"/>
        <v>0</v>
      </c>
      <c r="AD142" s="20">
        <f t="shared" si="157"/>
        <v>0</v>
      </c>
      <c r="AE142" s="20">
        <f t="shared" si="158"/>
        <v>0</v>
      </c>
      <c r="AF142" s="20">
        <f t="shared" si="159"/>
        <v>0</v>
      </c>
      <c r="AG142" s="20">
        <f t="shared" si="159"/>
        <v>0</v>
      </c>
      <c r="AH142" s="20">
        <f t="shared" si="159"/>
        <v>0</v>
      </c>
      <c r="AI142" s="20">
        <f t="shared" si="160"/>
        <v>0</v>
      </c>
      <c r="AJ142" s="20">
        <f t="shared" si="160"/>
        <v>0</v>
      </c>
      <c r="AK142" s="20">
        <f t="shared" si="160"/>
        <v>0</v>
      </c>
      <c r="AL142" s="20">
        <f t="shared" si="160"/>
        <v>0</v>
      </c>
      <c r="AM142" s="20">
        <f t="shared" si="161"/>
        <v>0</v>
      </c>
      <c r="AO142">
        <f t="shared" si="162"/>
        <v>0</v>
      </c>
      <c r="AP142">
        <f t="shared" si="162"/>
        <v>0</v>
      </c>
      <c r="AQ142">
        <f t="shared" si="162"/>
        <v>0</v>
      </c>
      <c r="AR142">
        <f t="shared" si="162"/>
        <v>0</v>
      </c>
      <c r="AS142">
        <f t="shared" si="163"/>
        <v>0</v>
      </c>
      <c r="AU142">
        <f t="shared" si="164"/>
        <v>0</v>
      </c>
      <c r="AV142">
        <f t="shared" si="164"/>
        <v>0</v>
      </c>
      <c r="AW142">
        <f t="shared" si="164"/>
        <v>0</v>
      </c>
      <c r="AX142">
        <f t="shared" si="164"/>
        <v>0</v>
      </c>
      <c r="AY142">
        <f t="shared" si="165"/>
        <v>0</v>
      </c>
    </row>
    <row r="143" spans="1:53" ht="15" x14ac:dyDescent="0.25">
      <c r="A143" s="1"/>
      <c r="B143" s="2"/>
      <c r="C143" s="1" t="s">
        <v>13</v>
      </c>
      <c r="D143">
        <v>0</v>
      </c>
      <c r="E143" s="360">
        <v>12.9397</v>
      </c>
      <c r="F143">
        <v>0</v>
      </c>
      <c r="G143">
        <v>0</v>
      </c>
      <c r="H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20"/>
      <c r="P143" s="20"/>
      <c r="Q143" s="438">
        <v>0.77633695721021023</v>
      </c>
      <c r="R143" s="197">
        <v>2.5000000000000001E-2</v>
      </c>
      <c r="S143" s="197">
        <v>0.71599999999999997</v>
      </c>
      <c r="T143" s="197">
        <v>0.11808671869809276</v>
      </c>
      <c r="U143" s="197">
        <v>0.41263016220713056</v>
      </c>
      <c r="V143" s="20">
        <f t="shared" si="155"/>
        <v>2.5113918313032397</v>
      </c>
      <c r="W143" s="20">
        <f t="shared" si="155"/>
        <v>0</v>
      </c>
      <c r="X143" s="20">
        <f t="shared" si="155"/>
        <v>0</v>
      </c>
      <c r="Y143" s="20">
        <f t="shared" si="155"/>
        <v>0</v>
      </c>
      <c r="Z143" s="20">
        <f t="shared" si="156"/>
        <v>0.70077457207099292</v>
      </c>
      <c r="AA143" s="20">
        <f t="shared" si="156"/>
        <v>0</v>
      </c>
      <c r="AB143" s="20">
        <f t="shared" si="156"/>
        <v>0</v>
      </c>
      <c r="AC143" s="20">
        <f t="shared" si="156"/>
        <v>0</v>
      </c>
      <c r="AD143" s="20">
        <f t="shared" si="157"/>
        <v>0.70077457207099292</v>
      </c>
      <c r="AE143" s="20">
        <f t="shared" si="158"/>
        <v>71.926262048524762</v>
      </c>
      <c r="AF143" s="20">
        <f t="shared" si="159"/>
        <v>0</v>
      </c>
      <c r="AG143" s="20">
        <f t="shared" si="159"/>
        <v>0</v>
      </c>
      <c r="AH143" s="20">
        <f t="shared" si="159"/>
        <v>0</v>
      </c>
      <c r="AI143" s="20">
        <f t="shared" si="160"/>
        <v>37.389197069445999</v>
      </c>
      <c r="AJ143" s="20">
        <f t="shared" si="160"/>
        <v>0</v>
      </c>
      <c r="AK143" s="20">
        <f t="shared" si="160"/>
        <v>0</v>
      </c>
      <c r="AL143" s="20">
        <f t="shared" si="160"/>
        <v>0</v>
      </c>
      <c r="AM143" s="20">
        <f t="shared" si="161"/>
        <v>37.389197069445999</v>
      </c>
      <c r="AO143">
        <f t="shared" si="162"/>
        <v>0.73679438507544193</v>
      </c>
      <c r="AP143">
        <f t="shared" si="162"/>
        <v>0</v>
      </c>
      <c r="AQ143">
        <f t="shared" si="162"/>
        <v>0</v>
      </c>
      <c r="AR143">
        <f t="shared" si="162"/>
        <v>0</v>
      </c>
      <c r="AS143">
        <f t="shared" si="163"/>
        <v>0.73679438507544193</v>
      </c>
      <c r="AU143">
        <f t="shared" si="164"/>
        <v>39.311001798815518</v>
      </c>
      <c r="AV143">
        <f t="shared" si="164"/>
        <v>0</v>
      </c>
      <c r="AW143">
        <f t="shared" si="164"/>
        <v>0</v>
      </c>
      <c r="AX143">
        <f t="shared" si="164"/>
        <v>0</v>
      </c>
      <c r="AY143">
        <f t="shared" si="165"/>
        <v>39.311001798815518</v>
      </c>
    </row>
    <row r="144" spans="1:53" ht="15" x14ac:dyDescent="0.25">
      <c r="A144" s="7"/>
      <c r="B144" s="8" t="s">
        <v>14</v>
      </c>
      <c r="C144" s="7"/>
      <c r="D144" s="357">
        <f t="shared" ref="D144:H144" si="166">SUM(D138:D143)</f>
        <v>0</v>
      </c>
      <c r="E144" s="363">
        <f>SUM(E138:E143)</f>
        <v>25.67136</v>
      </c>
      <c r="F144" s="357">
        <f t="shared" si="166"/>
        <v>0</v>
      </c>
      <c r="G144" s="357">
        <f t="shared" si="166"/>
        <v>0</v>
      </c>
      <c r="H144" s="357">
        <f t="shared" si="166"/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 s="20"/>
      <c r="P144" s="20"/>
      <c r="Q144" s="438">
        <v>0.77577952598904376</v>
      </c>
      <c r="R144" s="197"/>
      <c r="S144" s="197"/>
      <c r="T144" s="197"/>
      <c r="U144" s="197"/>
      <c r="BA144" s="319">
        <f>(E144*10000*Q144*AU$10)</f>
        <v>209389.62708598014</v>
      </c>
    </row>
    <row r="145" spans="1:53" ht="15" x14ac:dyDescent="0.25">
      <c r="A145" s="10"/>
      <c r="B145" s="9" t="s">
        <v>15</v>
      </c>
      <c r="C145" s="5"/>
      <c r="E145" s="363">
        <f>SUM(E144)</f>
        <v>25.67136</v>
      </c>
      <c r="H145" s="358">
        <f>SUM(D144:H144)</f>
        <v>25.67136</v>
      </c>
      <c r="K145" s="14"/>
      <c r="N145">
        <v>0</v>
      </c>
      <c r="O145" s="20"/>
      <c r="P145" s="20"/>
      <c r="Q145" s="438"/>
      <c r="R145" s="197"/>
      <c r="S145" s="197"/>
      <c r="T145" s="197"/>
      <c r="U145" s="197"/>
    </row>
    <row r="146" spans="1:53" ht="15.75" x14ac:dyDescent="0.25">
      <c r="A146" s="1"/>
      <c r="B146" s="2"/>
      <c r="C146" s="1"/>
      <c r="E146" s="361"/>
      <c r="K146" s="14"/>
      <c r="O146" s="20"/>
      <c r="P146" s="20"/>
      <c r="Q146" s="439"/>
      <c r="R146" s="197"/>
      <c r="S146" s="197"/>
      <c r="T146" s="197"/>
      <c r="U146" s="197"/>
    </row>
    <row r="147" spans="1:53" ht="15" x14ac:dyDescent="0.25">
      <c r="A147" s="1">
        <v>16</v>
      </c>
      <c r="B147" s="2" t="s">
        <v>30</v>
      </c>
      <c r="C147" s="1" t="s">
        <v>8</v>
      </c>
      <c r="D147">
        <v>0</v>
      </c>
      <c r="E147" s="360">
        <v>69.565200000000004</v>
      </c>
      <c r="F147">
        <v>0</v>
      </c>
      <c r="G147">
        <v>0</v>
      </c>
      <c r="H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 s="20"/>
      <c r="P147" s="20"/>
      <c r="Q147" s="438">
        <v>0.67972373217092097</v>
      </c>
      <c r="R147" s="197">
        <v>5.6499999999999995E-2</v>
      </c>
      <c r="S147" s="197">
        <v>1.25</v>
      </c>
      <c r="T147" s="197">
        <v>0.50650413159351704</v>
      </c>
      <c r="U147" s="197">
        <v>0.77519673403474398</v>
      </c>
      <c r="V147" s="20">
        <f t="shared" ref="V147:Y152" si="167">E147*$Q147*$R147*10</f>
        <v>26.716091315867352</v>
      </c>
      <c r="W147" s="20">
        <f t="shared" si="167"/>
        <v>0</v>
      </c>
      <c r="X147" s="20">
        <f t="shared" si="167"/>
        <v>0</v>
      </c>
      <c r="Y147" s="20">
        <f t="shared" si="167"/>
        <v>0</v>
      </c>
      <c r="Z147" s="20">
        <f t="shared" ref="Z147:AC152" si="168">V147*(EXP(1.01-0.34*LN(Z$8))*(1-$T147)+(1*$T147))</f>
        <v>15.93797823303745</v>
      </c>
      <c r="AA147" s="20">
        <f t="shared" si="168"/>
        <v>0</v>
      </c>
      <c r="AB147" s="20">
        <f t="shared" si="168"/>
        <v>0</v>
      </c>
      <c r="AC147" s="20">
        <f t="shared" si="168"/>
        <v>0</v>
      </c>
      <c r="AD147" s="20">
        <f t="shared" ref="AD147:AD152" si="169">SUM(Z147:AC147)</f>
        <v>15.93797823303745</v>
      </c>
      <c r="AE147" s="20">
        <f t="shared" ref="AE147:AE152" si="170">E147*$Q147*$S147*10</f>
        <v>591.06396716520703</v>
      </c>
      <c r="AF147" s="20">
        <f t="shared" ref="AF147:AH152" si="171">F147*$Q147*$S147*10</f>
        <v>0</v>
      </c>
      <c r="AG147" s="20">
        <f t="shared" si="171"/>
        <v>0</v>
      </c>
      <c r="AH147" s="20">
        <f t="shared" si="171"/>
        <v>0</v>
      </c>
      <c r="AI147" s="20">
        <f t="shared" ref="AI147:AL152" si="172">AE147*(EXP(1.01-0.34*LN(AI$8))*(1-$U147)+(1*$U147))</f>
        <v>482.44056617495164</v>
      </c>
      <c r="AJ147" s="20">
        <f t="shared" si="172"/>
        <v>0</v>
      </c>
      <c r="AK147" s="20">
        <f t="shared" si="172"/>
        <v>0</v>
      </c>
      <c r="AL147" s="20">
        <f t="shared" si="172"/>
        <v>0</v>
      </c>
      <c r="AM147" s="20">
        <f t="shared" ref="AM147:AM152" si="173">SUM(AI147:AL147)</f>
        <v>482.44056617495164</v>
      </c>
      <c r="AO147">
        <f t="shared" ref="AO147:AR152" si="174">Z147*AO$10</f>
        <v>16.757190314215574</v>
      </c>
      <c r="AP147">
        <f t="shared" si="174"/>
        <v>0</v>
      </c>
      <c r="AQ147">
        <f t="shared" si="174"/>
        <v>0</v>
      </c>
      <c r="AR147">
        <f t="shared" si="174"/>
        <v>0</v>
      </c>
      <c r="AS147">
        <f t="shared" ref="AS147:AS152" si="175">SUM(AO147:AR147)</f>
        <v>16.757190314215574</v>
      </c>
      <c r="AU147">
        <f t="shared" ref="AU147:AX152" si="176">AI147*AU$10</f>
        <v>507.23801127634408</v>
      </c>
      <c r="AV147">
        <f t="shared" si="176"/>
        <v>0</v>
      </c>
      <c r="AW147">
        <f t="shared" si="176"/>
        <v>0</v>
      </c>
      <c r="AX147">
        <f t="shared" si="176"/>
        <v>0</v>
      </c>
      <c r="AY147">
        <f t="shared" ref="AY147:AY152" si="177">SUM(AU147:AX147)</f>
        <v>507.23801127634408</v>
      </c>
    </row>
    <row r="148" spans="1:53" ht="15" x14ac:dyDescent="0.25">
      <c r="A148" s="1"/>
      <c r="B148" s="2"/>
      <c r="C148" s="1" t="s">
        <v>9</v>
      </c>
      <c r="D148">
        <v>0</v>
      </c>
      <c r="E148" s="360">
        <v>8.3310999999999993</v>
      </c>
      <c r="F148">
        <v>0</v>
      </c>
      <c r="G148">
        <v>0</v>
      </c>
      <c r="H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 s="20"/>
      <c r="P148" s="20"/>
      <c r="Q148" s="438">
        <v>0.68444746434184189</v>
      </c>
      <c r="R148" s="197">
        <v>5.6499999999999995E-2</v>
      </c>
      <c r="S148" s="197">
        <v>1.25</v>
      </c>
      <c r="T148" s="197">
        <v>0.50650413159351704</v>
      </c>
      <c r="U148" s="197">
        <v>0.77519673403474398</v>
      </c>
      <c r="V148" s="20">
        <f t="shared" si="167"/>
        <v>3.2217431526507494</v>
      </c>
      <c r="W148" s="20">
        <f t="shared" si="167"/>
        <v>0</v>
      </c>
      <c r="X148" s="20">
        <f t="shared" si="167"/>
        <v>0</v>
      </c>
      <c r="Y148" s="20">
        <f t="shared" si="167"/>
        <v>0</v>
      </c>
      <c r="Z148" s="20">
        <f t="shared" si="168"/>
        <v>1.9219904450950951</v>
      </c>
      <c r="AA148" s="20">
        <f t="shared" si="168"/>
        <v>0</v>
      </c>
      <c r="AB148" s="20">
        <f t="shared" si="168"/>
        <v>0</v>
      </c>
      <c r="AC148" s="20">
        <f t="shared" si="168"/>
        <v>0</v>
      </c>
      <c r="AD148" s="20">
        <f t="shared" si="169"/>
        <v>1.9219904450950951</v>
      </c>
      <c r="AE148" s="20">
        <f t="shared" si="170"/>
        <v>71.277503377228982</v>
      </c>
      <c r="AF148" s="20">
        <f t="shared" si="171"/>
        <v>0</v>
      </c>
      <c r="AG148" s="20">
        <f t="shared" si="171"/>
        <v>0</v>
      </c>
      <c r="AH148" s="20">
        <f t="shared" si="171"/>
        <v>0</v>
      </c>
      <c r="AI148" s="20">
        <f t="shared" si="172"/>
        <v>58.178405375937757</v>
      </c>
      <c r="AJ148" s="20">
        <f t="shared" si="172"/>
        <v>0</v>
      </c>
      <c r="AK148" s="20">
        <f t="shared" si="172"/>
        <v>0</v>
      </c>
      <c r="AL148" s="20">
        <f t="shared" si="172"/>
        <v>0</v>
      </c>
      <c r="AM148" s="20">
        <f t="shared" si="173"/>
        <v>58.178405375937757</v>
      </c>
      <c r="AO148">
        <f t="shared" si="174"/>
        <v>2.020780753972983</v>
      </c>
      <c r="AP148">
        <f t="shared" si="174"/>
        <v>0</v>
      </c>
      <c r="AQ148">
        <f t="shared" si="174"/>
        <v>0</v>
      </c>
      <c r="AR148">
        <f t="shared" si="174"/>
        <v>0</v>
      </c>
      <c r="AS148">
        <f t="shared" si="175"/>
        <v>2.020780753972983</v>
      </c>
      <c r="AU148">
        <f t="shared" si="176"/>
        <v>61.168775412260949</v>
      </c>
      <c r="AV148">
        <f t="shared" si="176"/>
        <v>0</v>
      </c>
      <c r="AW148">
        <f t="shared" si="176"/>
        <v>0</v>
      </c>
      <c r="AX148">
        <f t="shared" si="176"/>
        <v>0</v>
      </c>
      <c r="AY148">
        <f t="shared" si="177"/>
        <v>61.168775412260949</v>
      </c>
    </row>
    <row r="149" spans="1:53" ht="15" x14ac:dyDescent="0.25">
      <c r="A149" s="1"/>
      <c r="B149" s="2"/>
      <c r="C149" s="1" t="s">
        <v>10</v>
      </c>
      <c r="D149">
        <v>0</v>
      </c>
      <c r="E149" s="360">
        <v>0</v>
      </c>
      <c r="F149">
        <v>0</v>
      </c>
      <c r="G149">
        <v>0</v>
      </c>
      <c r="H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 s="20"/>
      <c r="P149" s="20"/>
      <c r="Q149" s="438"/>
      <c r="R149" s="197">
        <v>5.6499999999999995E-2</v>
      </c>
      <c r="S149" s="197">
        <v>1.25</v>
      </c>
      <c r="T149" s="197">
        <v>0.50650413159351704</v>
      </c>
      <c r="U149" s="197">
        <v>0.77519673403474398</v>
      </c>
      <c r="V149" s="20">
        <f t="shared" si="167"/>
        <v>0</v>
      </c>
      <c r="W149" s="20">
        <f t="shared" si="167"/>
        <v>0</v>
      </c>
      <c r="X149" s="20">
        <f t="shared" si="167"/>
        <v>0</v>
      </c>
      <c r="Y149" s="20">
        <f t="shared" si="167"/>
        <v>0</v>
      </c>
      <c r="Z149" s="20">
        <f t="shared" si="168"/>
        <v>0</v>
      </c>
      <c r="AA149" s="20">
        <f t="shared" si="168"/>
        <v>0</v>
      </c>
      <c r="AB149" s="20">
        <f t="shared" si="168"/>
        <v>0</v>
      </c>
      <c r="AC149" s="20">
        <f t="shared" si="168"/>
        <v>0</v>
      </c>
      <c r="AD149" s="20">
        <f t="shared" si="169"/>
        <v>0</v>
      </c>
      <c r="AE149" s="20">
        <f t="shared" si="170"/>
        <v>0</v>
      </c>
      <c r="AF149" s="20">
        <f t="shared" si="171"/>
        <v>0</v>
      </c>
      <c r="AG149" s="20">
        <f t="shared" si="171"/>
        <v>0</v>
      </c>
      <c r="AH149" s="20">
        <f t="shared" si="171"/>
        <v>0</v>
      </c>
      <c r="AI149" s="20">
        <f t="shared" si="172"/>
        <v>0</v>
      </c>
      <c r="AJ149" s="20">
        <f t="shared" si="172"/>
        <v>0</v>
      </c>
      <c r="AK149" s="20">
        <f t="shared" si="172"/>
        <v>0</v>
      </c>
      <c r="AL149" s="20">
        <f t="shared" si="172"/>
        <v>0</v>
      </c>
      <c r="AM149" s="20">
        <f t="shared" si="173"/>
        <v>0</v>
      </c>
      <c r="AO149">
        <f t="shared" si="174"/>
        <v>0</v>
      </c>
      <c r="AP149">
        <f t="shared" si="174"/>
        <v>0</v>
      </c>
      <c r="AQ149">
        <f t="shared" si="174"/>
        <v>0</v>
      </c>
      <c r="AR149">
        <f t="shared" si="174"/>
        <v>0</v>
      </c>
      <c r="AS149">
        <f t="shared" si="175"/>
        <v>0</v>
      </c>
      <c r="AU149">
        <f t="shared" si="176"/>
        <v>0</v>
      </c>
      <c r="AV149">
        <f t="shared" si="176"/>
        <v>0</v>
      </c>
      <c r="AW149">
        <f t="shared" si="176"/>
        <v>0</v>
      </c>
      <c r="AX149">
        <f t="shared" si="176"/>
        <v>0</v>
      </c>
      <c r="AY149">
        <f t="shared" si="177"/>
        <v>0</v>
      </c>
    </row>
    <row r="150" spans="1:53" ht="15" x14ac:dyDescent="0.25">
      <c r="A150" s="1"/>
      <c r="B150" s="2"/>
      <c r="C150" s="1" t="s">
        <v>11</v>
      </c>
      <c r="D150">
        <v>0</v>
      </c>
      <c r="E150" s="360">
        <v>1293.5411999999999</v>
      </c>
      <c r="F150">
        <v>0</v>
      </c>
      <c r="G150">
        <v>0</v>
      </c>
      <c r="H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s="20"/>
      <c r="P150" s="20"/>
      <c r="Q150" s="438">
        <v>0.69389492868368385</v>
      </c>
      <c r="R150" s="197">
        <v>5.6499999999999995E-2</v>
      </c>
      <c r="S150" s="197">
        <v>1.25</v>
      </c>
      <c r="T150" s="197">
        <v>0.50650413159351704</v>
      </c>
      <c r="U150" s="197">
        <v>0.77519673403474398</v>
      </c>
      <c r="V150" s="20">
        <f t="shared" si="167"/>
        <v>507.13364847872475</v>
      </c>
      <c r="W150" s="20">
        <f t="shared" si="167"/>
        <v>0</v>
      </c>
      <c r="X150" s="20">
        <f t="shared" si="167"/>
        <v>0</v>
      </c>
      <c r="Y150" s="20">
        <f t="shared" si="167"/>
        <v>0</v>
      </c>
      <c r="Z150" s="20">
        <f t="shared" si="168"/>
        <v>302.53995448407051</v>
      </c>
      <c r="AA150" s="20">
        <f t="shared" si="168"/>
        <v>0</v>
      </c>
      <c r="AB150" s="20">
        <f t="shared" si="168"/>
        <v>0</v>
      </c>
      <c r="AC150" s="20">
        <f t="shared" si="168"/>
        <v>0</v>
      </c>
      <c r="AD150" s="20">
        <f t="shared" si="169"/>
        <v>302.53995448407051</v>
      </c>
      <c r="AE150" s="20">
        <f t="shared" si="170"/>
        <v>11219.770984042585</v>
      </c>
      <c r="AF150" s="20">
        <f t="shared" si="171"/>
        <v>0</v>
      </c>
      <c r="AG150" s="20">
        <f t="shared" si="171"/>
        <v>0</v>
      </c>
      <c r="AH150" s="20">
        <f t="shared" si="171"/>
        <v>0</v>
      </c>
      <c r="AI150" s="20">
        <f t="shared" si="172"/>
        <v>9157.8457943484464</v>
      </c>
      <c r="AJ150" s="20">
        <f t="shared" si="172"/>
        <v>0</v>
      </c>
      <c r="AK150" s="20">
        <f t="shared" si="172"/>
        <v>0</v>
      </c>
      <c r="AL150" s="20">
        <f t="shared" si="172"/>
        <v>0</v>
      </c>
      <c r="AM150" s="20">
        <f t="shared" si="173"/>
        <v>9157.8457943484464</v>
      </c>
      <c r="AO150">
        <f t="shared" si="174"/>
        <v>318.09050814455168</v>
      </c>
      <c r="AP150">
        <f t="shared" si="174"/>
        <v>0</v>
      </c>
      <c r="AQ150">
        <f t="shared" si="174"/>
        <v>0</v>
      </c>
      <c r="AR150">
        <f t="shared" si="174"/>
        <v>0</v>
      </c>
      <c r="AS150">
        <f t="shared" si="175"/>
        <v>318.09050814455168</v>
      </c>
      <c r="AU150">
        <f t="shared" si="176"/>
        <v>9628.5590681779559</v>
      </c>
      <c r="AV150">
        <f t="shared" si="176"/>
        <v>0</v>
      </c>
      <c r="AW150">
        <f t="shared" si="176"/>
        <v>0</v>
      </c>
      <c r="AX150">
        <f t="shared" si="176"/>
        <v>0</v>
      </c>
      <c r="AY150">
        <f t="shared" si="177"/>
        <v>9628.5590681779559</v>
      </c>
    </row>
    <row r="151" spans="1:53" ht="15" x14ac:dyDescent="0.25">
      <c r="A151" s="1"/>
      <c r="B151" s="2"/>
      <c r="C151" s="1" t="s">
        <v>12</v>
      </c>
      <c r="D151">
        <v>0</v>
      </c>
      <c r="E151" s="360">
        <v>0</v>
      </c>
      <c r="F151">
        <v>0</v>
      </c>
      <c r="G151">
        <v>0</v>
      </c>
      <c r="H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 s="20"/>
      <c r="P151" s="20"/>
      <c r="Q151" s="438"/>
      <c r="R151" s="197">
        <v>5.6499999999999995E-2</v>
      </c>
      <c r="S151" s="197">
        <v>1.25</v>
      </c>
      <c r="T151" s="197">
        <v>0.50650413159351704</v>
      </c>
      <c r="U151" s="197">
        <v>0.77519673403474398</v>
      </c>
      <c r="V151" s="20">
        <f t="shared" si="167"/>
        <v>0</v>
      </c>
      <c r="W151" s="20">
        <f t="shared" si="167"/>
        <v>0</v>
      </c>
      <c r="X151" s="20">
        <f t="shared" si="167"/>
        <v>0</v>
      </c>
      <c r="Y151" s="20">
        <f t="shared" si="167"/>
        <v>0</v>
      </c>
      <c r="Z151" s="20">
        <f t="shared" si="168"/>
        <v>0</v>
      </c>
      <c r="AA151" s="20">
        <f t="shared" si="168"/>
        <v>0</v>
      </c>
      <c r="AB151" s="20">
        <f t="shared" si="168"/>
        <v>0</v>
      </c>
      <c r="AC151" s="20">
        <f t="shared" si="168"/>
        <v>0</v>
      </c>
      <c r="AD151" s="20">
        <f t="shared" si="169"/>
        <v>0</v>
      </c>
      <c r="AE151" s="20">
        <f t="shared" si="170"/>
        <v>0</v>
      </c>
      <c r="AF151" s="20">
        <f t="shared" si="171"/>
        <v>0</v>
      </c>
      <c r="AG151" s="20">
        <f t="shared" si="171"/>
        <v>0</v>
      </c>
      <c r="AH151" s="20">
        <f t="shared" si="171"/>
        <v>0</v>
      </c>
      <c r="AI151" s="20">
        <f t="shared" si="172"/>
        <v>0</v>
      </c>
      <c r="AJ151" s="20">
        <f t="shared" si="172"/>
        <v>0</v>
      </c>
      <c r="AK151" s="20">
        <f t="shared" si="172"/>
        <v>0</v>
      </c>
      <c r="AL151" s="20">
        <f t="shared" si="172"/>
        <v>0</v>
      </c>
      <c r="AM151" s="20">
        <f t="shared" si="173"/>
        <v>0</v>
      </c>
      <c r="AO151">
        <f t="shared" si="174"/>
        <v>0</v>
      </c>
      <c r="AP151">
        <f t="shared" si="174"/>
        <v>0</v>
      </c>
      <c r="AQ151">
        <f t="shared" si="174"/>
        <v>0</v>
      </c>
      <c r="AR151">
        <f t="shared" si="174"/>
        <v>0</v>
      </c>
      <c r="AS151">
        <f t="shared" si="175"/>
        <v>0</v>
      </c>
      <c r="AU151">
        <f t="shared" si="176"/>
        <v>0</v>
      </c>
      <c r="AV151">
        <f t="shared" si="176"/>
        <v>0</v>
      </c>
      <c r="AW151">
        <f t="shared" si="176"/>
        <v>0</v>
      </c>
      <c r="AX151">
        <f t="shared" si="176"/>
        <v>0</v>
      </c>
      <c r="AY151">
        <f t="shared" si="177"/>
        <v>0</v>
      </c>
    </row>
    <row r="152" spans="1:53" ht="15" x14ac:dyDescent="0.25">
      <c r="A152" s="1"/>
      <c r="B152" s="2"/>
      <c r="C152" s="1" t="s">
        <v>13</v>
      </c>
      <c r="D152">
        <v>0</v>
      </c>
      <c r="E152" s="360">
        <v>25.831499999999998</v>
      </c>
      <c r="F152">
        <v>0</v>
      </c>
      <c r="G152">
        <v>0</v>
      </c>
      <c r="H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20"/>
      <c r="P152" s="20"/>
      <c r="Q152" s="438">
        <v>0.69389492868368374</v>
      </c>
      <c r="R152" s="197">
        <v>5.6499999999999995E-2</v>
      </c>
      <c r="S152" s="197">
        <v>1.25</v>
      </c>
      <c r="T152" s="197">
        <v>0.50650413159351704</v>
      </c>
      <c r="U152" s="197">
        <v>0.77519673403474398</v>
      </c>
      <c r="V152" s="20">
        <f t="shared" si="167"/>
        <v>10.127255970415305</v>
      </c>
      <c r="W152" s="20">
        <f t="shared" si="167"/>
        <v>0</v>
      </c>
      <c r="X152" s="20">
        <f t="shared" si="167"/>
        <v>0</v>
      </c>
      <c r="Y152" s="20">
        <f t="shared" si="167"/>
        <v>0</v>
      </c>
      <c r="Z152" s="20">
        <f t="shared" si="168"/>
        <v>6.041601793785361</v>
      </c>
      <c r="AA152" s="20">
        <f t="shared" si="168"/>
        <v>0</v>
      </c>
      <c r="AB152" s="20">
        <f t="shared" si="168"/>
        <v>0</v>
      </c>
      <c r="AC152" s="20">
        <f t="shared" si="168"/>
        <v>0</v>
      </c>
      <c r="AD152" s="20">
        <f t="shared" si="169"/>
        <v>6.041601793785361</v>
      </c>
      <c r="AE152" s="20">
        <f t="shared" si="170"/>
        <v>224.05433562865721</v>
      </c>
      <c r="AF152" s="20">
        <f t="shared" si="171"/>
        <v>0</v>
      </c>
      <c r="AG152" s="20">
        <f t="shared" si="171"/>
        <v>0</v>
      </c>
      <c r="AH152" s="20">
        <f t="shared" si="171"/>
        <v>0</v>
      </c>
      <c r="AI152" s="20">
        <f t="shared" si="172"/>
        <v>182.87851491449354</v>
      </c>
      <c r="AJ152" s="20">
        <f t="shared" si="172"/>
        <v>0</v>
      </c>
      <c r="AK152" s="20">
        <f t="shared" si="172"/>
        <v>0</v>
      </c>
      <c r="AL152" s="20">
        <f t="shared" si="172"/>
        <v>0</v>
      </c>
      <c r="AM152" s="20">
        <f t="shared" si="173"/>
        <v>182.87851491449354</v>
      </c>
      <c r="AO152">
        <f t="shared" si="174"/>
        <v>6.3521401259859278</v>
      </c>
      <c r="AP152">
        <f t="shared" si="174"/>
        <v>0</v>
      </c>
      <c r="AQ152">
        <f t="shared" si="174"/>
        <v>0</v>
      </c>
      <c r="AR152">
        <f t="shared" si="174"/>
        <v>0</v>
      </c>
      <c r="AS152">
        <f t="shared" si="175"/>
        <v>6.3521401259859278</v>
      </c>
      <c r="AU152">
        <f t="shared" si="176"/>
        <v>192.27847058109847</v>
      </c>
      <c r="AV152">
        <f t="shared" si="176"/>
        <v>0</v>
      </c>
      <c r="AW152">
        <f t="shared" si="176"/>
        <v>0</v>
      </c>
      <c r="AX152">
        <f t="shared" si="176"/>
        <v>0</v>
      </c>
      <c r="AY152">
        <f t="shared" si="177"/>
        <v>192.27847058109847</v>
      </c>
    </row>
    <row r="153" spans="1:53" ht="15" x14ac:dyDescent="0.25">
      <c r="A153" s="7"/>
      <c r="B153" s="8" t="s">
        <v>14</v>
      </c>
      <c r="C153" s="7"/>
      <c r="D153" s="357">
        <f t="shared" ref="D153:H153" si="178">SUM(D147:D152)</f>
        <v>0</v>
      </c>
      <c r="E153" s="363">
        <f>SUM(E147:E152)</f>
        <v>1397.269</v>
      </c>
      <c r="F153" s="357">
        <f t="shared" si="178"/>
        <v>0</v>
      </c>
      <c r="G153" s="357">
        <f t="shared" si="178"/>
        <v>0</v>
      </c>
      <c r="H153" s="357">
        <f t="shared" si="178"/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 s="20"/>
      <c r="P153" s="20"/>
      <c r="Q153" s="438">
        <v>0.693133064010648</v>
      </c>
      <c r="R153" s="197"/>
      <c r="S153" s="197"/>
      <c r="T153" s="197"/>
      <c r="U153" s="197"/>
      <c r="BA153" s="319">
        <f>(E153*10000*Q153*AU$10)</f>
        <v>10182739.010584526</v>
      </c>
    </row>
    <row r="154" spans="1:53" ht="15" x14ac:dyDescent="0.25">
      <c r="A154" s="10"/>
      <c r="B154" s="9" t="s">
        <v>15</v>
      </c>
      <c r="C154" s="5"/>
      <c r="E154" s="363">
        <f>SUM(E153)</f>
        <v>1397.269</v>
      </c>
      <c r="H154" s="358">
        <f>SUM(D153:H153)</f>
        <v>1397.269</v>
      </c>
      <c r="K154" s="14"/>
      <c r="N154">
        <v>0</v>
      </c>
      <c r="O154" s="20"/>
      <c r="P154" s="20"/>
      <c r="Q154" s="438"/>
      <c r="R154" s="197"/>
      <c r="S154" s="197"/>
      <c r="T154" s="197"/>
      <c r="U154" s="197"/>
    </row>
    <row r="155" spans="1:53" ht="15.75" x14ac:dyDescent="0.25">
      <c r="A155" s="1"/>
      <c r="B155" s="2"/>
      <c r="C155" s="1"/>
      <c r="E155" s="361"/>
      <c r="K155" s="14"/>
      <c r="O155" s="20"/>
      <c r="P155" s="20"/>
      <c r="Q155" s="439"/>
      <c r="R155" s="197"/>
      <c r="S155" s="197"/>
      <c r="T155" s="197"/>
      <c r="U155" s="197"/>
    </row>
    <row r="156" spans="1:53" ht="15" x14ac:dyDescent="0.25">
      <c r="A156" s="1">
        <v>17</v>
      </c>
      <c r="B156" s="2" t="s">
        <v>31</v>
      </c>
      <c r="C156" s="1" t="s">
        <v>8</v>
      </c>
      <c r="D156">
        <v>0</v>
      </c>
      <c r="E156" s="360"/>
      <c r="F156">
        <v>0</v>
      </c>
      <c r="G156">
        <v>0</v>
      </c>
      <c r="H156">
        <v>0</v>
      </c>
      <c r="J156">
        <v>0</v>
      </c>
      <c r="K156" s="14">
        <v>0</v>
      </c>
      <c r="L156">
        <v>0</v>
      </c>
      <c r="M156">
        <v>0</v>
      </c>
      <c r="N156">
        <v>0</v>
      </c>
      <c r="O156" s="20"/>
      <c r="P156" s="20"/>
      <c r="Q156" s="438"/>
      <c r="R156" s="197"/>
      <c r="S156" s="197"/>
      <c r="T156" s="197"/>
      <c r="U156" s="197"/>
      <c r="V156" s="20">
        <f t="shared" ref="V156:Y161" si="179">IF(K156&gt;0,((E156-K156)*$Q156*$R156*10)+(K156*$O$12*$Q156*$R156*10),(E156*$Q156*$R156*10))</f>
        <v>0</v>
      </c>
      <c r="W156" s="20">
        <f t="shared" si="179"/>
        <v>0</v>
      </c>
      <c r="X156" s="20">
        <f t="shared" si="179"/>
        <v>0</v>
      </c>
      <c r="Y156" s="20">
        <f t="shared" si="179"/>
        <v>0</v>
      </c>
      <c r="Z156" s="20">
        <f t="shared" ref="Z156:AC161" si="180">V156*(EXP(1.01-0.34*LN(Z$8))*(1-$T156)+(1*$T156))</f>
        <v>0</v>
      </c>
      <c r="AA156" s="20">
        <f t="shared" si="180"/>
        <v>0</v>
      </c>
      <c r="AB156" s="20">
        <f t="shared" si="180"/>
        <v>0</v>
      </c>
      <c r="AC156" s="20">
        <f t="shared" si="180"/>
        <v>0</v>
      </c>
      <c r="AD156" s="20">
        <f t="shared" ref="AD156:AD161" si="181">SUM(Z156:AC156)</f>
        <v>0</v>
      </c>
      <c r="AE156" s="20">
        <f t="shared" ref="AE156:AH161" si="182">IF(K156&gt;0,((E156-K156)*$Q156*$S156*10)+(K156*$P$12*$Q156*$S156)*10,(E156*$Q156*$S156*10))</f>
        <v>0</v>
      </c>
      <c r="AF156" s="20">
        <f t="shared" si="182"/>
        <v>0</v>
      </c>
      <c r="AG156" s="20">
        <f t="shared" si="182"/>
        <v>0</v>
      </c>
      <c r="AH156" s="20">
        <f t="shared" si="182"/>
        <v>0</v>
      </c>
      <c r="AI156" s="20">
        <f t="shared" ref="AI156:AL161" si="183">AE156*(EXP(1.01-0.34*LN(AI$8))*(1-$U156)+(1*$U156))</f>
        <v>0</v>
      </c>
      <c r="AJ156" s="20">
        <f t="shared" si="183"/>
        <v>0</v>
      </c>
      <c r="AK156" s="20">
        <f t="shared" si="183"/>
        <v>0</v>
      </c>
      <c r="AL156" s="20">
        <f t="shared" si="183"/>
        <v>0</v>
      </c>
      <c r="AM156" s="20">
        <f t="shared" ref="AM156:AM161" si="184">SUM(AI156:AL156)</f>
        <v>0</v>
      </c>
      <c r="AO156">
        <f t="shared" ref="AO156:AR161" si="185">Z156*AO$10</f>
        <v>0</v>
      </c>
      <c r="AP156">
        <f t="shared" si="185"/>
        <v>0</v>
      </c>
      <c r="AQ156">
        <f t="shared" si="185"/>
        <v>0</v>
      </c>
      <c r="AR156">
        <f t="shared" si="185"/>
        <v>0</v>
      </c>
      <c r="AS156">
        <f t="shared" ref="AS156:AS161" si="186">SUM(AO156:AR156)</f>
        <v>0</v>
      </c>
      <c r="AU156">
        <f t="shared" ref="AU156:AX161" si="187">AI156*AU$10</f>
        <v>0</v>
      </c>
      <c r="AV156">
        <f t="shared" si="187"/>
        <v>0</v>
      </c>
      <c r="AW156">
        <f t="shared" si="187"/>
        <v>0</v>
      </c>
      <c r="AX156">
        <f t="shared" si="187"/>
        <v>0</v>
      </c>
      <c r="AY156">
        <f t="shared" ref="AY156:AY161" si="188">SUM(AU156:AX156)</f>
        <v>0</v>
      </c>
    </row>
    <row r="157" spans="1:53" ht="15" x14ac:dyDescent="0.25">
      <c r="A157" s="1"/>
      <c r="B157" s="2"/>
      <c r="C157" s="1" t="s">
        <v>9</v>
      </c>
      <c r="D157">
        <v>0</v>
      </c>
      <c r="E157" s="360"/>
      <c r="F157">
        <v>0</v>
      </c>
      <c r="G157">
        <v>0</v>
      </c>
      <c r="H157">
        <v>0</v>
      </c>
      <c r="J157">
        <v>0</v>
      </c>
      <c r="K157" s="14">
        <v>0</v>
      </c>
      <c r="L157">
        <v>0</v>
      </c>
      <c r="M157">
        <v>0</v>
      </c>
      <c r="N157">
        <v>0</v>
      </c>
      <c r="O157" s="20"/>
      <c r="P157" s="20"/>
      <c r="Q157" s="438"/>
      <c r="R157" s="197"/>
      <c r="S157" s="197"/>
      <c r="T157" s="197"/>
      <c r="U157" s="197"/>
      <c r="V157" s="20">
        <f t="shared" si="179"/>
        <v>0</v>
      </c>
      <c r="W157" s="20">
        <f t="shared" si="179"/>
        <v>0</v>
      </c>
      <c r="X157" s="20">
        <f t="shared" si="179"/>
        <v>0</v>
      </c>
      <c r="Y157" s="20">
        <f t="shared" si="179"/>
        <v>0</v>
      </c>
      <c r="Z157" s="20">
        <f t="shared" si="180"/>
        <v>0</v>
      </c>
      <c r="AA157" s="20">
        <f t="shared" si="180"/>
        <v>0</v>
      </c>
      <c r="AB157" s="20">
        <f t="shared" si="180"/>
        <v>0</v>
      </c>
      <c r="AC157" s="20">
        <f t="shared" si="180"/>
        <v>0</v>
      </c>
      <c r="AD157" s="20">
        <f t="shared" si="181"/>
        <v>0</v>
      </c>
      <c r="AE157" s="20">
        <f t="shared" si="182"/>
        <v>0</v>
      </c>
      <c r="AF157" s="20">
        <f t="shared" si="182"/>
        <v>0</v>
      </c>
      <c r="AG157" s="20">
        <f t="shared" si="182"/>
        <v>0</v>
      </c>
      <c r="AH157" s="20">
        <f t="shared" si="182"/>
        <v>0</v>
      </c>
      <c r="AI157" s="20">
        <f t="shared" si="183"/>
        <v>0</v>
      </c>
      <c r="AJ157" s="20">
        <f t="shared" si="183"/>
        <v>0</v>
      </c>
      <c r="AK157" s="20">
        <f t="shared" si="183"/>
        <v>0</v>
      </c>
      <c r="AL157" s="20">
        <f t="shared" si="183"/>
        <v>0</v>
      </c>
      <c r="AM157" s="20">
        <f t="shared" si="184"/>
        <v>0</v>
      </c>
      <c r="AO157">
        <f t="shared" si="185"/>
        <v>0</v>
      </c>
      <c r="AP157">
        <f t="shared" si="185"/>
        <v>0</v>
      </c>
      <c r="AQ157">
        <f t="shared" si="185"/>
        <v>0</v>
      </c>
      <c r="AR157">
        <f t="shared" si="185"/>
        <v>0</v>
      </c>
      <c r="AS157">
        <f t="shared" si="186"/>
        <v>0</v>
      </c>
      <c r="AU157">
        <f t="shared" si="187"/>
        <v>0</v>
      </c>
      <c r="AV157">
        <f t="shared" si="187"/>
        <v>0</v>
      </c>
      <c r="AW157">
        <f t="shared" si="187"/>
        <v>0</v>
      </c>
      <c r="AX157">
        <f t="shared" si="187"/>
        <v>0</v>
      </c>
      <c r="AY157">
        <f t="shared" si="188"/>
        <v>0</v>
      </c>
    </row>
    <row r="158" spans="1:53" ht="15" x14ac:dyDescent="0.25">
      <c r="A158" s="1"/>
      <c r="B158" s="2"/>
      <c r="C158" s="1" t="s">
        <v>10</v>
      </c>
      <c r="D158">
        <v>0</v>
      </c>
      <c r="E158" s="360"/>
      <c r="F158">
        <v>0</v>
      </c>
      <c r="G158">
        <v>0</v>
      </c>
      <c r="H158">
        <v>0</v>
      </c>
      <c r="J158">
        <v>0</v>
      </c>
      <c r="K158" s="14">
        <v>0</v>
      </c>
      <c r="L158">
        <v>0</v>
      </c>
      <c r="M158">
        <v>0</v>
      </c>
      <c r="N158">
        <v>0</v>
      </c>
      <c r="O158" s="20"/>
      <c r="P158" s="20"/>
      <c r="Q158" s="438"/>
      <c r="R158" s="197"/>
      <c r="S158" s="197"/>
      <c r="T158" s="197"/>
      <c r="U158" s="197"/>
      <c r="V158" s="20">
        <f t="shared" si="179"/>
        <v>0</v>
      </c>
      <c r="W158" s="20">
        <f t="shared" si="179"/>
        <v>0</v>
      </c>
      <c r="X158" s="20">
        <f t="shared" si="179"/>
        <v>0</v>
      </c>
      <c r="Y158" s="20">
        <f t="shared" si="179"/>
        <v>0</v>
      </c>
      <c r="Z158" s="20">
        <f t="shared" si="180"/>
        <v>0</v>
      </c>
      <c r="AA158" s="20">
        <f t="shared" si="180"/>
        <v>0</v>
      </c>
      <c r="AB158" s="20">
        <f t="shared" si="180"/>
        <v>0</v>
      </c>
      <c r="AC158" s="20">
        <f t="shared" si="180"/>
        <v>0</v>
      </c>
      <c r="AD158" s="20">
        <f t="shared" si="181"/>
        <v>0</v>
      </c>
      <c r="AE158" s="20">
        <f t="shared" si="182"/>
        <v>0</v>
      </c>
      <c r="AF158" s="20">
        <f t="shared" si="182"/>
        <v>0</v>
      </c>
      <c r="AG158" s="20">
        <f t="shared" si="182"/>
        <v>0</v>
      </c>
      <c r="AH158" s="20">
        <f t="shared" si="182"/>
        <v>0</v>
      </c>
      <c r="AI158" s="20">
        <f t="shared" si="183"/>
        <v>0</v>
      </c>
      <c r="AJ158" s="20">
        <f t="shared" si="183"/>
        <v>0</v>
      </c>
      <c r="AK158" s="20">
        <f t="shared" si="183"/>
        <v>0</v>
      </c>
      <c r="AL158" s="20">
        <f t="shared" si="183"/>
        <v>0</v>
      </c>
      <c r="AM158" s="20">
        <f t="shared" si="184"/>
        <v>0</v>
      </c>
      <c r="AO158">
        <f t="shared" si="185"/>
        <v>0</v>
      </c>
      <c r="AP158">
        <f t="shared" si="185"/>
        <v>0</v>
      </c>
      <c r="AQ158">
        <f t="shared" si="185"/>
        <v>0</v>
      </c>
      <c r="AR158">
        <f t="shared" si="185"/>
        <v>0</v>
      </c>
      <c r="AS158">
        <f t="shared" si="186"/>
        <v>0</v>
      </c>
      <c r="AU158">
        <f t="shared" si="187"/>
        <v>0</v>
      </c>
      <c r="AV158">
        <f t="shared" si="187"/>
        <v>0</v>
      </c>
      <c r="AW158">
        <f t="shared" si="187"/>
        <v>0</v>
      </c>
      <c r="AX158">
        <f t="shared" si="187"/>
        <v>0</v>
      </c>
      <c r="AY158">
        <f t="shared" si="188"/>
        <v>0</v>
      </c>
    </row>
    <row r="159" spans="1:53" ht="15" x14ac:dyDescent="0.25">
      <c r="A159" s="1"/>
      <c r="B159" s="2"/>
      <c r="C159" s="1" t="s">
        <v>11</v>
      </c>
      <c r="D159">
        <v>0</v>
      </c>
      <c r="E159" s="360"/>
      <c r="F159">
        <v>0</v>
      </c>
      <c r="G159">
        <v>0</v>
      </c>
      <c r="H159">
        <v>0</v>
      </c>
      <c r="J159">
        <v>0</v>
      </c>
      <c r="K159" s="14">
        <v>0</v>
      </c>
      <c r="L159">
        <v>0</v>
      </c>
      <c r="M159">
        <v>0</v>
      </c>
      <c r="N159">
        <v>0</v>
      </c>
      <c r="O159" s="20"/>
      <c r="P159" s="20"/>
      <c r="Q159" s="438"/>
      <c r="R159" s="197"/>
      <c r="S159" s="197"/>
      <c r="T159" s="197"/>
      <c r="U159" s="197"/>
      <c r="V159" s="20">
        <f t="shared" si="179"/>
        <v>0</v>
      </c>
      <c r="W159" s="20">
        <f t="shared" si="179"/>
        <v>0</v>
      </c>
      <c r="X159" s="20">
        <f t="shared" si="179"/>
        <v>0</v>
      </c>
      <c r="Y159" s="20">
        <f t="shared" si="179"/>
        <v>0</v>
      </c>
      <c r="Z159" s="20">
        <f t="shared" si="180"/>
        <v>0</v>
      </c>
      <c r="AA159" s="20">
        <f t="shared" si="180"/>
        <v>0</v>
      </c>
      <c r="AB159" s="20">
        <f t="shared" si="180"/>
        <v>0</v>
      </c>
      <c r="AC159" s="20">
        <f t="shared" si="180"/>
        <v>0</v>
      </c>
      <c r="AD159" s="20">
        <f t="shared" si="181"/>
        <v>0</v>
      </c>
      <c r="AE159" s="20">
        <f t="shared" si="182"/>
        <v>0</v>
      </c>
      <c r="AF159" s="20">
        <f t="shared" si="182"/>
        <v>0</v>
      </c>
      <c r="AG159" s="20">
        <f t="shared" si="182"/>
        <v>0</v>
      </c>
      <c r="AH159" s="20">
        <f t="shared" si="182"/>
        <v>0</v>
      </c>
      <c r="AI159" s="20">
        <f t="shared" si="183"/>
        <v>0</v>
      </c>
      <c r="AJ159" s="20">
        <f t="shared" si="183"/>
        <v>0</v>
      </c>
      <c r="AK159" s="20">
        <f t="shared" si="183"/>
        <v>0</v>
      </c>
      <c r="AL159" s="20">
        <f t="shared" si="183"/>
        <v>0</v>
      </c>
      <c r="AM159" s="20">
        <f t="shared" si="184"/>
        <v>0</v>
      </c>
      <c r="AO159">
        <f t="shared" si="185"/>
        <v>0</v>
      </c>
      <c r="AP159">
        <f t="shared" si="185"/>
        <v>0</v>
      </c>
      <c r="AQ159">
        <f t="shared" si="185"/>
        <v>0</v>
      </c>
      <c r="AR159">
        <f t="shared" si="185"/>
        <v>0</v>
      </c>
      <c r="AS159">
        <f t="shared" si="186"/>
        <v>0</v>
      </c>
      <c r="AU159">
        <f t="shared" si="187"/>
        <v>0</v>
      </c>
      <c r="AV159">
        <f t="shared" si="187"/>
        <v>0</v>
      </c>
      <c r="AW159">
        <f t="shared" si="187"/>
        <v>0</v>
      </c>
      <c r="AX159">
        <f t="shared" si="187"/>
        <v>0</v>
      </c>
      <c r="AY159">
        <f t="shared" si="188"/>
        <v>0</v>
      </c>
    </row>
    <row r="160" spans="1:53" ht="15" x14ac:dyDescent="0.25">
      <c r="A160" s="1"/>
      <c r="B160" s="2"/>
      <c r="C160" s="1" t="s">
        <v>12</v>
      </c>
      <c r="D160">
        <v>0</v>
      </c>
      <c r="E160" s="360"/>
      <c r="F160">
        <v>0</v>
      </c>
      <c r="G160">
        <v>0</v>
      </c>
      <c r="H160">
        <v>0</v>
      </c>
      <c r="J160">
        <v>0</v>
      </c>
      <c r="K160" s="14">
        <v>0</v>
      </c>
      <c r="L160">
        <v>0</v>
      </c>
      <c r="M160">
        <v>0</v>
      </c>
      <c r="N160">
        <v>0</v>
      </c>
      <c r="O160" s="20"/>
      <c r="P160" s="20"/>
      <c r="Q160" s="438"/>
      <c r="R160" s="197"/>
      <c r="S160" s="197"/>
      <c r="T160" s="197"/>
      <c r="U160" s="197"/>
      <c r="V160" s="20">
        <f t="shared" si="179"/>
        <v>0</v>
      </c>
      <c r="W160" s="20">
        <f t="shared" si="179"/>
        <v>0</v>
      </c>
      <c r="X160" s="20">
        <f t="shared" si="179"/>
        <v>0</v>
      </c>
      <c r="Y160" s="20">
        <f t="shared" si="179"/>
        <v>0</v>
      </c>
      <c r="Z160" s="20">
        <f t="shared" si="180"/>
        <v>0</v>
      </c>
      <c r="AA160" s="20">
        <f t="shared" si="180"/>
        <v>0</v>
      </c>
      <c r="AB160" s="20">
        <f t="shared" si="180"/>
        <v>0</v>
      </c>
      <c r="AC160" s="20">
        <f t="shared" si="180"/>
        <v>0</v>
      </c>
      <c r="AD160" s="20">
        <f t="shared" si="181"/>
        <v>0</v>
      </c>
      <c r="AE160" s="20">
        <f t="shared" si="182"/>
        <v>0</v>
      </c>
      <c r="AF160" s="20">
        <f t="shared" si="182"/>
        <v>0</v>
      </c>
      <c r="AG160" s="20">
        <f t="shared" si="182"/>
        <v>0</v>
      </c>
      <c r="AH160" s="20">
        <f t="shared" si="182"/>
        <v>0</v>
      </c>
      <c r="AI160" s="20">
        <f t="shared" si="183"/>
        <v>0</v>
      </c>
      <c r="AJ160" s="20">
        <f t="shared" si="183"/>
        <v>0</v>
      </c>
      <c r="AK160" s="20">
        <f t="shared" si="183"/>
        <v>0</v>
      </c>
      <c r="AL160" s="20">
        <f t="shared" si="183"/>
        <v>0</v>
      </c>
      <c r="AM160" s="20">
        <f t="shared" si="184"/>
        <v>0</v>
      </c>
      <c r="AO160">
        <f t="shared" si="185"/>
        <v>0</v>
      </c>
      <c r="AP160">
        <f t="shared" si="185"/>
        <v>0</v>
      </c>
      <c r="AQ160">
        <f t="shared" si="185"/>
        <v>0</v>
      </c>
      <c r="AR160">
        <f t="shared" si="185"/>
        <v>0</v>
      </c>
      <c r="AS160">
        <f t="shared" si="186"/>
        <v>0</v>
      </c>
      <c r="AU160">
        <f t="shared" si="187"/>
        <v>0</v>
      </c>
      <c r="AV160">
        <f t="shared" si="187"/>
        <v>0</v>
      </c>
      <c r="AW160">
        <f t="shared" si="187"/>
        <v>0</v>
      </c>
      <c r="AX160">
        <f t="shared" si="187"/>
        <v>0</v>
      </c>
      <c r="AY160">
        <f t="shared" si="188"/>
        <v>0</v>
      </c>
    </row>
    <row r="161" spans="1:53" ht="15" x14ac:dyDescent="0.25">
      <c r="A161" s="1"/>
      <c r="B161" s="2"/>
      <c r="C161" s="1" t="s">
        <v>13</v>
      </c>
      <c r="D161">
        <v>0</v>
      </c>
      <c r="E161" s="360"/>
      <c r="F161">
        <v>0</v>
      </c>
      <c r="G161">
        <v>0</v>
      </c>
      <c r="H161">
        <v>0</v>
      </c>
      <c r="J161">
        <v>0</v>
      </c>
      <c r="K161" s="14">
        <v>0</v>
      </c>
      <c r="L161">
        <v>0</v>
      </c>
      <c r="M161">
        <v>0</v>
      </c>
      <c r="N161">
        <v>0</v>
      </c>
      <c r="O161" s="20"/>
      <c r="P161" s="20"/>
      <c r="Q161" s="438"/>
      <c r="R161" s="197"/>
      <c r="S161" s="197"/>
      <c r="T161" s="197"/>
      <c r="U161" s="197"/>
      <c r="V161" s="20">
        <f t="shared" si="179"/>
        <v>0</v>
      </c>
      <c r="W161" s="20">
        <f t="shared" si="179"/>
        <v>0</v>
      </c>
      <c r="X161" s="20">
        <f t="shared" si="179"/>
        <v>0</v>
      </c>
      <c r="Y161" s="20">
        <f t="shared" si="179"/>
        <v>0</v>
      </c>
      <c r="Z161" s="20">
        <f t="shared" si="180"/>
        <v>0</v>
      </c>
      <c r="AA161" s="20">
        <f t="shared" si="180"/>
        <v>0</v>
      </c>
      <c r="AB161" s="20">
        <f t="shared" si="180"/>
        <v>0</v>
      </c>
      <c r="AC161" s="20">
        <f t="shared" si="180"/>
        <v>0</v>
      </c>
      <c r="AD161" s="20">
        <f t="shared" si="181"/>
        <v>0</v>
      </c>
      <c r="AE161" s="20">
        <f t="shared" si="182"/>
        <v>0</v>
      </c>
      <c r="AF161" s="20">
        <f t="shared" si="182"/>
        <v>0</v>
      </c>
      <c r="AG161" s="20">
        <f t="shared" si="182"/>
        <v>0</v>
      </c>
      <c r="AH161" s="20">
        <f t="shared" si="182"/>
        <v>0</v>
      </c>
      <c r="AI161" s="20">
        <f t="shared" si="183"/>
        <v>0</v>
      </c>
      <c r="AJ161" s="20">
        <f t="shared" si="183"/>
        <v>0</v>
      </c>
      <c r="AK161" s="20">
        <f t="shared" si="183"/>
        <v>0</v>
      </c>
      <c r="AL161" s="20">
        <f t="shared" si="183"/>
        <v>0</v>
      </c>
      <c r="AM161" s="20">
        <f t="shared" si="184"/>
        <v>0</v>
      </c>
      <c r="AO161">
        <f t="shared" si="185"/>
        <v>0</v>
      </c>
      <c r="AP161">
        <f t="shared" si="185"/>
        <v>0</v>
      </c>
      <c r="AQ161">
        <f t="shared" si="185"/>
        <v>0</v>
      </c>
      <c r="AR161">
        <f t="shared" si="185"/>
        <v>0</v>
      </c>
      <c r="AS161">
        <f t="shared" si="186"/>
        <v>0</v>
      </c>
      <c r="AU161">
        <f t="shared" si="187"/>
        <v>0</v>
      </c>
      <c r="AV161">
        <f t="shared" si="187"/>
        <v>0</v>
      </c>
      <c r="AW161">
        <f t="shared" si="187"/>
        <v>0</v>
      </c>
      <c r="AX161">
        <f t="shared" si="187"/>
        <v>0</v>
      </c>
      <c r="AY161">
        <f t="shared" si="188"/>
        <v>0</v>
      </c>
    </row>
    <row r="162" spans="1:53" ht="15" x14ac:dyDescent="0.25">
      <c r="A162" s="7"/>
      <c r="B162" s="8" t="s">
        <v>14</v>
      </c>
      <c r="C162" s="7"/>
      <c r="D162" s="357">
        <f t="shared" ref="D162:H162" si="189">SUM(D156:D161)</f>
        <v>0</v>
      </c>
      <c r="E162" s="363">
        <f>SUM(E156:E161)</f>
        <v>0</v>
      </c>
      <c r="F162" s="357">
        <f t="shared" si="189"/>
        <v>0</v>
      </c>
      <c r="G162" s="357">
        <f t="shared" si="189"/>
        <v>0</v>
      </c>
      <c r="H162" s="357">
        <f t="shared" si="189"/>
        <v>0</v>
      </c>
      <c r="J162">
        <v>0</v>
      </c>
      <c r="K162" s="14">
        <v>0</v>
      </c>
      <c r="L162">
        <v>0</v>
      </c>
      <c r="M162">
        <v>0</v>
      </c>
      <c r="N162">
        <v>0</v>
      </c>
      <c r="O162" s="20"/>
      <c r="P162" s="20"/>
      <c r="Q162" s="438"/>
      <c r="R162" s="197"/>
      <c r="S162" s="197"/>
      <c r="T162" s="197"/>
      <c r="U162" s="197"/>
      <c r="BA162" s="319">
        <f>(E162*10000*Q162*AU$10)</f>
        <v>0</v>
      </c>
    </row>
    <row r="163" spans="1:53" ht="15" x14ac:dyDescent="0.25">
      <c r="A163" s="10"/>
      <c r="B163" s="9" t="s">
        <v>15</v>
      </c>
      <c r="C163" s="5"/>
      <c r="E163" s="363">
        <f>SUM(E162)</f>
        <v>0</v>
      </c>
      <c r="H163" s="358">
        <f>SUM(D162:H162)</f>
        <v>0</v>
      </c>
      <c r="K163" s="14"/>
      <c r="N163">
        <v>0</v>
      </c>
      <c r="O163" s="20"/>
      <c r="P163" s="20"/>
      <c r="Q163" s="438"/>
      <c r="R163" s="197"/>
      <c r="S163" s="197"/>
      <c r="T163" s="197"/>
      <c r="U163" s="197"/>
    </row>
    <row r="164" spans="1:53" ht="15.75" x14ac:dyDescent="0.25">
      <c r="A164" s="1"/>
      <c r="B164" s="2"/>
      <c r="C164" s="1"/>
      <c r="E164" s="361"/>
      <c r="K164" s="14"/>
      <c r="O164" s="20"/>
      <c r="P164" s="20"/>
      <c r="Q164" s="439"/>
      <c r="R164" s="197"/>
      <c r="S164" s="197"/>
      <c r="T164" s="197"/>
      <c r="U164" s="197"/>
    </row>
    <row r="165" spans="1:53" ht="15" x14ac:dyDescent="0.25">
      <c r="A165" s="1">
        <v>18</v>
      </c>
      <c r="B165" s="2" t="s">
        <v>709</v>
      </c>
      <c r="C165" s="1" t="s">
        <v>8</v>
      </c>
      <c r="D165">
        <v>0</v>
      </c>
      <c r="E165" s="360"/>
      <c r="F165">
        <v>0</v>
      </c>
      <c r="G165">
        <v>0</v>
      </c>
      <c r="H165">
        <v>0</v>
      </c>
      <c r="J165">
        <v>0</v>
      </c>
      <c r="K165" s="14">
        <v>0</v>
      </c>
      <c r="L165">
        <v>0</v>
      </c>
      <c r="M165">
        <v>0</v>
      </c>
      <c r="N165">
        <v>0</v>
      </c>
      <c r="O165" s="20"/>
      <c r="P165" s="20"/>
      <c r="Q165" s="438"/>
      <c r="R165" s="197">
        <v>0.66599999999999993</v>
      </c>
      <c r="S165" s="197">
        <v>4.5549999999999997</v>
      </c>
      <c r="T165" s="197">
        <v>0.60039794540960334</v>
      </c>
      <c r="U165" s="197">
        <v>0.90789473684210531</v>
      </c>
      <c r="V165" s="20">
        <f t="shared" ref="V165:Y170" si="190">IF(K165&gt;0,((E165-K165)*$Q165*$R165*10)+(K165*$O$12*$Q165*$R165*10),(E165*$Q165*$R165*10))</f>
        <v>0</v>
      </c>
      <c r="W165" s="20">
        <f t="shared" si="190"/>
        <v>0</v>
      </c>
      <c r="X165" s="20">
        <f t="shared" si="190"/>
        <v>0</v>
      </c>
      <c r="Y165" s="20">
        <f t="shared" si="190"/>
        <v>0</v>
      </c>
      <c r="Z165" s="20">
        <f t="shared" ref="Z165:AC170" si="191">V165*(EXP(1.01-0.34*LN(Z$8))*(1-$T165)+(1*$T165))</f>
        <v>0</v>
      </c>
      <c r="AA165" s="20">
        <f t="shared" si="191"/>
        <v>0</v>
      </c>
      <c r="AB165" s="20">
        <f t="shared" si="191"/>
        <v>0</v>
      </c>
      <c r="AC165" s="20">
        <f t="shared" si="191"/>
        <v>0</v>
      </c>
      <c r="AD165" s="20">
        <f t="shared" ref="AD165:AD170" si="192">SUM(Z165:AC165)</f>
        <v>0</v>
      </c>
      <c r="AE165" s="20">
        <f t="shared" ref="AE165:AH170" si="193">IF(K165&gt;0,((E165-K165)*$Q165*$S165*10)+(K165*$P$12*$Q165*$S165)*10,(E165*$Q165*$S165*10))</f>
        <v>0</v>
      </c>
      <c r="AF165" s="20">
        <f t="shared" si="193"/>
        <v>0</v>
      </c>
      <c r="AG165" s="20">
        <f t="shared" si="193"/>
        <v>0</v>
      </c>
      <c r="AH165" s="20">
        <f t="shared" si="193"/>
        <v>0</v>
      </c>
      <c r="AI165" s="20">
        <f t="shared" ref="AI165:AL170" si="194">AE165*(EXP(1.01-0.34*LN(AI$8))*(1-$U165)+(1*$U165))</f>
        <v>0</v>
      </c>
      <c r="AJ165" s="20">
        <f t="shared" si="194"/>
        <v>0</v>
      </c>
      <c r="AK165" s="20">
        <f t="shared" si="194"/>
        <v>0</v>
      </c>
      <c r="AL165" s="20">
        <f t="shared" si="194"/>
        <v>0</v>
      </c>
      <c r="AM165" s="20">
        <f t="shared" ref="AM165:AM170" si="195">SUM(AI165:AL165)</f>
        <v>0</v>
      </c>
      <c r="AO165">
        <f t="shared" ref="AO165:AR170" si="196">Z165*AO$10</f>
        <v>0</v>
      </c>
      <c r="AP165">
        <f t="shared" si="196"/>
        <v>0</v>
      </c>
      <c r="AQ165">
        <f t="shared" si="196"/>
        <v>0</v>
      </c>
      <c r="AR165">
        <f t="shared" si="196"/>
        <v>0</v>
      </c>
      <c r="AS165">
        <f t="shared" ref="AS165:AS170" si="197">SUM(AO165:AR165)</f>
        <v>0</v>
      </c>
      <c r="AU165">
        <f t="shared" ref="AU165:AX170" si="198">AI165*AU$10</f>
        <v>0</v>
      </c>
      <c r="AV165">
        <f t="shared" si="198"/>
        <v>0</v>
      </c>
      <c r="AW165">
        <f t="shared" si="198"/>
        <v>0</v>
      </c>
      <c r="AX165">
        <f t="shared" si="198"/>
        <v>0</v>
      </c>
      <c r="AY165">
        <f t="shared" ref="AY165:AY170" si="199">SUM(AU165:AX165)</f>
        <v>0</v>
      </c>
    </row>
    <row r="166" spans="1:53" ht="15" x14ac:dyDescent="0.25">
      <c r="A166" s="1"/>
      <c r="B166" s="2"/>
      <c r="C166" s="1" t="s">
        <v>9</v>
      </c>
      <c r="D166">
        <v>0</v>
      </c>
      <c r="E166" s="360"/>
      <c r="F166">
        <v>0</v>
      </c>
      <c r="G166">
        <v>0</v>
      </c>
      <c r="H166">
        <v>0</v>
      </c>
      <c r="J166">
        <v>0</v>
      </c>
      <c r="K166" s="14">
        <v>0</v>
      </c>
      <c r="L166">
        <v>0</v>
      </c>
      <c r="M166">
        <v>0</v>
      </c>
      <c r="N166">
        <v>0</v>
      </c>
      <c r="O166" s="20"/>
      <c r="P166" s="20"/>
      <c r="Q166" s="438"/>
      <c r="R166" s="197">
        <v>0.66599999999999993</v>
      </c>
      <c r="S166" s="197">
        <v>4.5549999999999997</v>
      </c>
      <c r="T166" s="197">
        <v>0.60039794540960334</v>
      </c>
      <c r="U166" s="197">
        <v>0.90789473684210531</v>
      </c>
      <c r="V166" s="20">
        <f t="shared" si="190"/>
        <v>0</v>
      </c>
      <c r="W166" s="20">
        <f t="shared" si="190"/>
        <v>0</v>
      </c>
      <c r="X166" s="20">
        <f t="shared" si="190"/>
        <v>0</v>
      </c>
      <c r="Y166" s="20">
        <f t="shared" si="190"/>
        <v>0</v>
      </c>
      <c r="Z166" s="20">
        <f t="shared" si="191"/>
        <v>0</v>
      </c>
      <c r="AA166" s="20">
        <f t="shared" si="191"/>
        <v>0</v>
      </c>
      <c r="AB166" s="20">
        <f t="shared" si="191"/>
        <v>0</v>
      </c>
      <c r="AC166" s="20">
        <f t="shared" si="191"/>
        <v>0</v>
      </c>
      <c r="AD166" s="20">
        <f t="shared" si="192"/>
        <v>0</v>
      </c>
      <c r="AE166" s="20">
        <f t="shared" si="193"/>
        <v>0</v>
      </c>
      <c r="AF166" s="20">
        <f t="shared" si="193"/>
        <v>0</v>
      </c>
      <c r="AG166" s="20">
        <f t="shared" si="193"/>
        <v>0</v>
      </c>
      <c r="AH166" s="20">
        <f t="shared" si="193"/>
        <v>0</v>
      </c>
      <c r="AI166" s="20">
        <f t="shared" si="194"/>
        <v>0</v>
      </c>
      <c r="AJ166" s="20">
        <f t="shared" si="194"/>
        <v>0</v>
      </c>
      <c r="AK166" s="20">
        <f t="shared" si="194"/>
        <v>0</v>
      </c>
      <c r="AL166" s="20">
        <f t="shared" si="194"/>
        <v>0</v>
      </c>
      <c r="AM166" s="20">
        <f t="shared" si="195"/>
        <v>0</v>
      </c>
      <c r="AO166">
        <f t="shared" si="196"/>
        <v>0</v>
      </c>
      <c r="AP166">
        <f t="shared" si="196"/>
        <v>0</v>
      </c>
      <c r="AQ166">
        <f t="shared" si="196"/>
        <v>0</v>
      </c>
      <c r="AR166">
        <f t="shared" si="196"/>
        <v>0</v>
      </c>
      <c r="AS166">
        <f t="shared" si="197"/>
        <v>0</v>
      </c>
      <c r="AU166">
        <f t="shared" si="198"/>
        <v>0</v>
      </c>
      <c r="AV166">
        <f t="shared" si="198"/>
        <v>0</v>
      </c>
      <c r="AW166">
        <f t="shared" si="198"/>
        <v>0</v>
      </c>
      <c r="AX166">
        <f t="shared" si="198"/>
        <v>0</v>
      </c>
      <c r="AY166">
        <f t="shared" si="199"/>
        <v>0</v>
      </c>
    </row>
    <row r="167" spans="1:53" ht="15" x14ac:dyDescent="0.25">
      <c r="A167" s="1"/>
      <c r="B167" s="2"/>
      <c r="C167" s="1" t="s">
        <v>10</v>
      </c>
      <c r="D167">
        <v>0</v>
      </c>
      <c r="E167" s="360"/>
      <c r="F167">
        <v>0</v>
      </c>
      <c r="G167">
        <v>0</v>
      </c>
      <c r="H167">
        <v>0</v>
      </c>
      <c r="J167">
        <v>0</v>
      </c>
      <c r="K167" s="14">
        <v>0</v>
      </c>
      <c r="L167">
        <v>0</v>
      </c>
      <c r="M167">
        <v>0</v>
      </c>
      <c r="N167">
        <v>0</v>
      </c>
      <c r="O167" s="20"/>
      <c r="P167" s="20"/>
      <c r="Q167" s="438"/>
      <c r="R167" s="197">
        <v>0.66599999999999993</v>
      </c>
      <c r="S167" s="197">
        <v>4.5549999999999997</v>
      </c>
      <c r="T167" s="197">
        <v>0.60039794540960334</v>
      </c>
      <c r="U167" s="197">
        <v>0.90789473684210531</v>
      </c>
      <c r="V167" s="20">
        <f t="shared" si="190"/>
        <v>0</v>
      </c>
      <c r="W167" s="20">
        <f t="shared" si="190"/>
        <v>0</v>
      </c>
      <c r="X167" s="20">
        <f t="shared" si="190"/>
        <v>0</v>
      </c>
      <c r="Y167" s="20">
        <f t="shared" si="190"/>
        <v>0</v>
      </c>
      <c r="Z167" s="20">
        <f t="shared" si="191"/>
        <v>0</v>
      </c>
      <c r="AA167" s="20">
        <f t="shared" si="191"/>
        <v>0</v>
      </c>
      <c r="AB167" s="20">
        <f t="shared" si="191"/>
        <v>0</v>
      </c>
      <c r="AC167" s="20">
        <f t="shared" si="191"/>
        <v>0</v>
      </c>
      <c r="AD167" s="20">
        <f t="shared" si="192"/>
        <v>0</v>
      </c>
      <c r="AE167" s="20">
        <f t="shared" si="193"/>
        <v>0</v>
      </c>
      <c r="AF167" s="20">
        <f t="shared" si="193"/>
        <v>0</v>
      </c>
      <c r="AG167" s="20">
        <f t="shared" si="193"/>
        <v>0</v>
      </c>
      <c r="AH167" s="20">
        <f t="shared" si="193"/>
        <v>0</v>
      </c>
      <c r="AI167" s="20">
        <f t="shared" si="194"/>
        <v>0</v>
      </c>
      <c r="AJ167" s="20">
        <f t="shared" si="194"/>
        <v>0</v>
      </c>
      <c r="AK167" s="20">
        <f t="shared" si="194"/>
        <v>0</v>
      </c>
      <c r="AL167" s="20">
        <f t="shared" si="194"/>
        <v>0</v>
      </c>
      <c r="AM167" s="20">
        <f t="shared" si="195"/>
        <v>0</v>
      </c>
      <c r="AO167">
        <f t="shared" si="196"/>
        <v>0</v>
      </c>
      <c r="AP167">
        <f t="shared" si="196"/>
        <v>0</v>
      </c>
      <c r="AQ167">
        <f t="shared" si="196"/>
        <v>0</v>
      </c>
      <c r="AR167">
        <f t="shared" si="196"/>
        <v>0</v>
      </c>
      <c r="AS167">
        <f t="shared" si="197"/>
        <v>0</v>
      </c>
      <c r="AU167">
        <f t="shared" si="198"/>
        <v>0</v>
      </c>
      <c r="AV167">
        <f t="shared" si="198"/>
        <v>0</v>
      </c>
      <c r="AW167">
        <f t="shared" si="198"/>
        <v>0</v>
      </c>
      <c r="AX167">
        <f t="shared" si="198"/>
        <v>0</v>
      </c>
      <c r="AY167">
        <f t="shared" si="199"/>
        <v>0</v>
      </c>
    </row>
    <row r="168" spans="1:53" ht="15" x14ac:dyDescent="0.25">
      <c r="A168" s="1"/>
      <c r="B168" s="2"/>
      <c r="C168" s="1" t="s">
        <v>11</v>
      </c>
      <c r="D168">
        <v>0</v>
      </c>
      <c r="E168" s="360">
        <v>137.87690000000001</v>
      </c>
      <c r="F168">
        <v>0</v>
      </c>
      <c r="G168">
        <v>0</v>
      </c>
      <c r="H168">
        <v>0</v>
      </c>
      <c r="J168">
        <v>0</v>
      </c>
      <c r="K168" s="14">
        <v>-6.3416431589757849E-4</v>
      </c>
      <c r="L168">
        <v>0</v>
      </c>
      <c r="M168">
        <v>0</v>
      </c>
      <c r="N168">
        <v>0</v>
      </c>
      <c r="O168" s="20"/>
      <c r="P168" s="20"/>
      <c r="Q168" s="438">
        <v>9.2068120440040341E-2</v>
      </c>
      <c r="R168" s="197">
        <v>0.66599999999999993</v>
      </c>
      <c r="S168" s="197">
        <v>4.5549999999999997</v>
      </c>
      <c r="T168" s="197">
        <v>0.60039794540960334</v>
      </c>
      <c r="U168" s="197">
        <v>0.90789473684210531</v>
      </c>
      <c r="V168" s="20">
        <f t="shared" si="190"/>
        <v>84.542486453761981</v>
      </c>
      <c r="W168" s="20">
        <f t="shared" si="190"/>
        <v>0</v>
      </c>
      <c r="X168" s="20">
        <f t="shared" si="190"/>
        <v>0</v>
      </c>
      <c r="Y168" s="20">
        <f t="shared" si="190"/>
        <v>0</v>
      </c>
      <c r="Z168" s="20">
        <f t="shared" si="191"/>
        <v>56.924689987886559</v>
      </c>
      <c r="AA168" s="20">
        <f t="shared" si="191"/>
        <v>0</v>
      </c>
      <c r="AB168" s="20">
        <f t="shared" si="191"/>
        <v>0</v>
      </c>
      <c r="AC168" s="20">
        <f t="shared" si="191"/>
        <v>0</v>
      </c>
      <c r="AD168" s="20">
        <f t="shared" si="192"/>
        <v>56.924689987886559</v>
      </c>
      <c r="AE168" s="20">
        <f t="shared" si="193"/>
        <v>578.21475344877763</v>
      </c>
      <c r="AF168" s="20">
        <f t="shared" si="193"/>
        <v>0</v>
      </c>
      <c r="AG168" s="20">
        <f t="shared" si="193"/>
        <v>0</v>
      </c>
      <c r="AH168" s="20">
        <f t="shared" si="193"/>
        <v>0</v>
      </c>
      <c r="AI168" s="20">
        <f t="shared" si="194"/>
        <v>534.67761188059637</v>
      </c>
      <c r="AJ168" s="20">
        <f t="shared" si="194"/>
        <v>0</v>
      </c>
      <c r="AK168" s="20">
        <f t="shared" si="194"/>
        <v>0</v>
      </c>
      <c r="AL168" s="20">
        <f t="shared" si="194"/>
        <v>0</v>
      </c>
      <c r="AM168" s="20">
        <f t="shared" si="195"/>
        <v>534.67761188059637</v>
      </c>
      <c r="AO168">
        <f t="shared" si="196"/>
        <v>59.85061905326392</v>
      </c>
      <c r="AP168">
        <f t="shared" si="196"/>
        <v>0</v>
      </c>
      <c r="AQ168">
        <f t="shared" si="196"/>
        <v>0</v>
      </c>
      <c r="AR168">
        <f t="shared" si="196"/>
        <v>0</v>
      </c>
      <c r="AS168">
        <f t="shared" si="197"/>
        <v>59.85061905326392</v>
      </c>
      <c r="AU168">
        <f t="shared" si="198"/>
        <v>562.16004113125894</v>
      </c>
      <c r="AV168">
        <f t="shared" si="198"/>
        <v>0</v>
      </c>
      <c r="AW168">
        <f t="shared" si="198"/>
        <v>0</v>
      </c>
      <c r="AX168">
        <f t="shared" si="198"/>
        <v>0</v>
      </c>
      <c r="AY168">
        <f t="shared" si="199"/>
        <v>562.16004113125894</v>
      </c>
    </row>
    <row r="169" spans="1:53" ht="15" x14ac:dyDescent="0.25">
      <c r="A169" s="1"/>
      <c r="B169" s="2"/>
      <c r="C169" s="1" t="s">
        <v>12</v>
      </c>
      <c r="D169">
        <v>0</v>
      </c>
      <c r="E169" s="360"/>
      <c r="F169">
        <v>0</v>
      </c>
      <c r="G169">
        <v>0</v>
      </c>
      <c r="H169">
        <v>0</v>
      </c>
      <c r="J169">
        <v>0</v>
      </c>
      <c r="K169" s="14">
        <v>0</v>
      </c>
      <c r="L169">
        <v>0</v>
      </c>
      <c r="M169">
        <v>0</v>
      </c>
      <c r="N169">
        <v>0</v>
      </c>
      <c r="O169" s="20"/>
      <c r="P169" s="20"/>
      <c r="Q169" s="438"/>
      <c r="R169" s="197">
        <v>0.66599999999999993</v>
      </c>
      <c r="S169" s="197">
        <v>4.5549999999999997</v>
      </c>
      <c r="T169" s="197">
        <v>0.60039794540960334</v>
      </c>
      <c r="U169" s="197">
        <v>0.90789473684210531</v>
      </c>
      <c r="V169" s="20">
        <f t="shared" si="190"/>
        <v>0</v>
      </c>
      <c r="W169" s="20">
        <f t="shared" si="190"/>
        <v>0</v>
      </c>
      <c r="X169" s="20">
        <f t="shared" si="190"/>
        <v>0</v>
      </c>
      <c r="Y169" s="20">
        <f t="shared" si="190"/>
        <v>0</v>
      </c>
      <c r="Z169" s="20">
        <f t="shared" si="191"/>
        <v>0</v>
      </c>
      <c r="AA169" s="20">
        <f t="shared" si="191"/>
        <v>0</v>
      </c>
      <c r="AB169" s="20">
        <f t="shared" si="191"/>
        <v>0</v>
      </c>
      <c r="AC169" s="20">
        <f t="shared" si="191"/>
        <v>0</v>
      </c>
      <c r="AD169" s="20">
        <f t="shared" si="192"/>
        <v>0</v>
      </c>
      <c r="AE169" s="20">
        <f t="shared" si="193"/>
        <v>0</v>
      </c>
      <c r="AF169" s="20">
        <f t="shared" si="193"/>
        <v>0</v>
      </c>
      <c r="AG169" s="20">
        <f t="shared" si="193"/>
        <v>0</v>
      </c>
      <c r="AH169" s="20">
        <f t="shared" si="193"/>
        <v>0</v>
      </c>
      <c r="AI169" s="20">
        <f t="shared" si="194"/>
        <v>0</v>
      </c>
      <c r="AJ169" s="20">
        <f t="shared" si="194"/>
        <v>0</v>
      </c>
      <c r="AK169" s="20">
        <f t="shared" si="194"/>
        <v>0</v>
      </c>
      <c r="AL169" s="20">
        <f t="shared" si="194"/>
        <v>0</v>
      </c>
      <c r="AM169" s="20">
        <f t="shared" si="195"/>
        <v>0</v>
      </c>
      <c r="AO169">
        <f t="shared" si="196"/>
        <v>0</v>
      </c>
      <c r="AP169">
        <f t="shared" si="196"/>
        <v>0</v>
      </c>
      <c r="AQ169">
        <f t="shared" si="196"/>
        <v>0</v>
      </c>
      <c r="AR169">
        <f t="shared" si="196"/>
        <v>0</v>
      </c>
      <c r="AS169">
        <f t="shared" si="197"/>
        <v>0</v>
      </c>
      <c r="AU169">
        <f t="shared" si="198"/>
        <v>0</v>
      </c>
      <c r="AV169">
        <f t="shared" si="198"/>
        <v>0</v>
      </c>
      <c r="AW169">
        <f t="shared" si="198"/>
        <v>0</v>
      </c>
      <c r="AX169">
        <f t="shared" si="198"/>
        <v>0</v>
      </c>
      <c r="AY169">
        <f t="shared" si="199"/>
        <v>0</v>
      </c>
    </row>
    <row r="170" spans="1:53" ht="15" x14ac:dyDescent="0.25">
      <c r="A170" s="1"/>
      <c r="B170" s="2"/>
      <c r="C170" s="1" t="s">
        <v>13</v>
      </c>
      <c r="D170">
        <v>0</v>
      </c>
      <c r="E170" s="360"/>
      <c r="F170">
        <v>0</v>
      </c>
      <c r="G170">
        <v>0</v>
      </c>
      <c r="H170">
        <v>0</v>
      </c>
      <c r="J170">
        <v>0</v>
      </c>
      <c r="K170" s="14">
        <v>0</v>
      </c>
      <c r="L170">
        <v>0</v>
      </c>
      <c r="M170">
        <v>0</v>
      </c>
      <c r="N170">
        <v>0</v>
      </c>
      <c r="O170" s="20"/>
      <c r="P170" s="20"/>
      <c r="Q170" s="438"/>
      <c r="R170" s="197">
        <v>0.66599999999999993</v>
      </c>
      <c r="S170" s="197">
        <v>4.5549999999999997</v>
      </c>
      <c r="T170" s="197">
        <v>0.60039794540960334</v>
      </c>
      <c r="U170" s="197">
        <v>0.90789473684210531</v>
      </c>
      <c r="V170" s="20">
        <f t="shared" si="190"/>
        <v>0</v>
      </c>
      <c r="W170" s="20">
        <f t="shared" si="190"/>
        <v>0</v>
      </c>
      <c r="X170" s="20">
        <f t="shared" si="190"/>
        <v>0</v>
      </c>
      <c r="Y170" s="20">
        <f t="shared" si="190"/>
        <v>0</v>
      </c>
      <c r="Z170" s="20">
        <f t="shared" si="191"/>
        <v>0</v>
      </c>
      <c r="AA170" s="20">
        <f t="shared" si="191"/>
        <v>0</v>
      </c>
      <c r="AB170" s="20">
        <f t="shared" si="191"/>
        <v>0</v>
      </c>
      <c r="AC170" s="20">
        <f t="shared" si="191"/>
        <v>0</v>
      </c>
      <c r="AD170" s="20">
        <f t="shared" si="192"/>
        <v>0</v>
      </c>
      <c r="AE170" s="20">
        <f t="shared" si="193"/>
        <v>0</v>
      </c>
      <c r="AF170" s="20">
        <f t="shared" si="193"/>
        <v>0</v>
      </c>
      <c r="AG170" s="20">
        <f t="shared" si="193"/>
        <v>0</v>
      </c>
      <c r="AH170" s="20">
        <f t="shared" si="193"/>
        <v>0</v>
      </c>
      <c r="AI170" s="20">
        <f t="shared" si="194"/>
        <v>0</v>
      </c>
      <c r="AJ170" s="20">
        <f t="shared" si="194"/>
        <v>0</v>
      </c>
      <c r="AK170" s="20">
        <f t="shared" si="194"/>
        <v>0</v>
      </c>
      <c r="AL170" s="20">
        <f t="shared" si="194"/>
        <v>0</v>
      </c>
      <c r="AM170" s="20">
        <f t="shared" si="195"/>
        <v>0</v>
      </c>
      <c r="AO170">
        <f t="shared" si="196"/>
        <v>0</v>
      </c>
      <c r="AP170">
        <f t="shared" si="196"/>
        <v>0</v>
      </c>
      <c r="AQ170">
        <f t="shared" si="196"/>
        <v>0</v>
      </c>
      <c r="AR170">
        <f t="shared" si="196"/>
        <v>0</v>
      </c>
      <c r="AS170">
        <f t="shared" si="197"/>
        <v>0</v>
      </c>
      <c r="AU170">
        <f t="shared" si="198"/>
        <v>0</v>
      </c>
      <c r="AV170">
        <f t="shared" si="198"/>
        <v>0</v>
      </c>
      <c r="AW170">
        <f t="shared" si="198"/>
        <v>0</v>
      </c>
      <c r="AX170">
        <f t="shared" si="198"/>
        <v>0</v>
      </c>
      <c r="AY170">
        <f t="shared" si="199"/>
        <v>0</v>
      </c>
    </row>
    <row r="171" spans="1:53" ht="15" x14ac:dyDescent="0.25">
      <c r="A171" s="7"/>
      <c r="B171" s="8" t="s">
        <v>14</v>
      </c>
      <c r="C171" s="7"/>
      <c r="D171" s="357">
        <f t="shared" ref="D171:H171" si="200">SUM(D165:D170)</f>
        <v>0</v>
      </c>
      <c r="E171" s="363">
        <f>SUM(E165:E170)</f>
        <v>137.87690000000001</v>
      </c>
      <c r="F171" s="357">
        <f t="shared" si="200"/>
        <v>0</v>
      </c>
      <c r="G171" s="357">
        <f t="shared" si="200"/>
        <v>0</v>
      </c>
      <c r="H171" s="357">
        <f t="shared" si="200"/>
        <v>0</v>
      </c>
      <c r="J171">
        <v>0</v>
      </c>
      <c r="K171" s="14">
        <v>-6.3416431589757849E-4</v>
      </c>
      <c r="L171">
        <v>0</v>
      </c>
      <c r="M171">
        <v>0</v>
      </c>
      <c r="N171">
        <v>0</v>
      </c>
      <c r="O171" s="20"/>
      <c r="P171" s="20"/>
      <c r="Q171" s="438">
        <v>9.2068120440040341E-2</v>
      </c>
      <c r="R171" s="20"/>
      <c r="S171" s="20"/>
      <c r="T171" s="20"/>
      <c r="U171" s="20"/>
      <c r="BA171" s="319">
        <f>(E171*10000*Q171*AU$10)</f>
        <v>133465.42080703506</v>
      </c>
    </row>
    <row r="172" spans="1:53" ht="15" x14ac:dyDescent="0.25">
      <c r="A172" s="1"/>
      <c r="B172" s="9" t="s">
        <v>15</v>
      </c>
      <c r="C172" s="5"/>
      <c r="E172" s="363">
        <f>SUM(E171)</f>
        <v>137.87690000000001</v>
      </c>
      <c r="H172" s="358">
        <f>SUM(D171:H171)</f>
        <v>137.87690000000001</v>
      </c>
      <c r="K172" s="14"/>
      <c r="N172">
        <v>0</v>
      </c>
      <c r="O172" s="20"/>
      <c r="P172" s="20"/>
      <c r="Q172" s="438"/>
      <c r="R172" s="20"/>
      <c r="S172" s="20"/>
      <c r="T172" s="20"/>
      <c r="U172" s="20"/>
    </row>
    <row r="173" spans="1:53" ht="15.75" x14ac:dyDescent="0.25">
      <c r="A173" s="1"/>
      <c r="B173" s="2"/>
      <c r="C173" s="1"/>
      <c r="E173" s="361"/>
      <c r="K173" s="14"/>
      <c r="O173" s="20"/>
      <c r="P173" s="20"/>
      <c r="Q173" s="439"/>
      <c r="R173" s="20"/>
      <c r="S173" s="20"/>
      <c r="T173" s="20"/>
      <c r="U173" s="20"/>
    </row>
    <row r="174" spans="1:53" ht="15" x14ac:dyDescent="0.25">
      <c r="A174" s="1">
        <v>19</v>
      </c>
      <c r="B174" s="154" t="s">
        <v>865</v>
      </c>
      <c r="C174" s="1" t="s">
        <v>8</v>
      </c>
      <c r="D174">
        <v>0</v>
      </c>
      <c r="E174" s="360">
        <v>0</v>
      </c>
      <c r="F174">
        <v>0</v>
      </c>
      <c r="G174">
        <v>0</v>
      </c>
      <c r="H174">
        <v>0</v>
      </c>
      <c r="J174">
        <v>0</v>
      </c>
      <c r="K174" s="14">
        <v>0</v>
      </c>
      <c r="L174">
        <v>0</v>
      </c>
      <c r="M174">
        <v>0</v>
      </c>
      <c r="N174">
        <v>0</v>
      </c>
      <c r="O174" s="20"/>
      <c r="P174" s="20"/>
      <c r="Q174" s="438"/>
      <c r="R174" s="20"/>
      <c r="S174" s="20"/>
      <c r="T174" s="20"/>
      <c r="U174" s="20"/>
    </row>
    <row r="175" spans="1:53" ht="15" x14ac:dyDescent="0.25">
      <c r="A175" s="1"/>
      <c r="B175" s="2"/>
      <c r="C175" s="1" t="s">
        <v>9</v>
      </c>
      <c r="D175">
        <v>0</v>
      </c>
      <c r="E175" s="360">
        <v>0</v>
      </c>
      <c r="F175">
        <v>0</v>
      </c>
      <c r="G175">
        <v>0</v>
      </c>
      <c r="H175">
        <v>0</v>
      </c>
      <c r="J175">
        <v>0</v>
      </c>
      <c r="K175" s="14">
        <v>0</v>
      </c>
      <c r="L175">
        <v>0</v>
      </c>
      <c r="M175">
        <v>0</v>
      </c>
      <c r="N175">
        <v>0</v>
      </c>
      <c r="O175" s="20"/>
      <c r="P175" s="20"/>
      <c r="Q175" s="438"/>
      <c r="R175" s="20"/>
      <c r="S175" s="20"/>
      <c r="T175" s="20"/>
      <c r="U175" s="20"/>
    </row>
    <row r="176" spans="1:53" ht="15" x14ac:dyDescent="0.25">
      <c r="A176" s="1"/>
      <c r="B176" s="2"/>
      <c r="C176" s="1" t="s">
        <v>10</v>
      </c>
      <c r="D176">
        <v>0</v>
      </c>
      <c r="E176" s="360">
        <v>0</v>
      </c>
      <c r="F176">
        <v>0</v>
      </c>
      <c r="G176">
        <v>0</v>
      </c>
      <c r="H176">
        <v>0</v>
      </c>
      <c r="J176">
        <v>0</v>
      </c>
      <c r="K176" s="14">
        <v>0</v>
      </c>
      <c r="L176">
        <v>0</v>
      </c>
      <c r="M176">
        <v>0</v>
      </c>
      <c r="N176">
        <v>0</v>
      </c>
      <c r="O176" s="20"/>
      <c r="P176" s="20"/>
      <c r="Q176" s="438"/>
      <c r="R176" s="20"/>
      <c r="S176" s="20"/>
      <c r="T176" s="20"/>
      <c r="U176" s="20"/>
    </row>
    <row r="177" spans="1:54" ht="15" x14ac:dyDescent="0.25">
      <c r="A177" s="1"/>
      <c r="B177" s="2"/>
      <c r="C177" s="1" t="s">
        <v>11</v>
      </c>
      <c r="D177">
        <v>0</v>
      </c>
      <c r="E177" s="360">
        <v>1.3947290000000001</v>
      </c>
      <c r="F177">
        <v>0</v>
      </c>
      <c r="G177">
        <v>0</v>
      </c>
      <c r="H177">
        <v>0</v>
      </c>
      <c r="J177">
        <v>0</v>
      </c>
      <c r="K177" s="14">
        <v>1.3220211001474524E-6</v>
      </c>
      <c r="L177">
        <v>0</v>
      </c>
      <c r="M177">
        <v>0</v>
      </c>
      <c r="N177">
        <v>0</v>
      </c>
      <c r="O177" s="20"/>
      <c r="P177" s="20"/>
      <c r="Q177" s="438">
        <v>0.90000000000000013</v>
      </c>
      <c r="R177" s="20"/>
      <c r="S177" s="20"/>
      <c r="T177" s="20"/>
      <c r="U177" s="20"/>
    </row>
    <row r="178" spans="1:54" ht="15" x14ac:dyDescent="0.25">
      <c r="A178" s="1"/>
      <c r="B178" s="2"/>
      <c r="C178" s="1" t="s">
        <v>12</v>
      </c>
      <c r="D178">
        <v>0</v>
      </c>
      <c r="E178" s="360">
        <v>0</v>
      </c>
      <c r="F178">
        <v>0</v>
      </c>
      <c r="G178">
        <v>0</v>
      </c>
      <c r="H178">
        <v>0</v>
      </c>
      <c r="J178">
        <v>0</v>
      </c>
      <c r="K178" s="14">
        <v>0</v>
      </c>
      <c r="L178">
        <v>0</v>
      </c>
      <c r="M178">
        <v>0</v>
      </c>
      <c r="N178">
        <v>0</v>
      </c>
      <c r="O178" s="20"/>
      <c r="P178" s="20"/>
      <c r="Q178" s="438"/>
      <c r="R178" s="20"/>
      <c r="S178" s="20"/>
      <c r="T178" s="20"/>
      <c r="U178" s="20"/>
    </row>
    <row r="179" spans="1:54" ht="15" x14ac:dyDescent="0.25">
      <c r="A179" s="1"/>
      <c r="B179" s="2"/>
      <c r="C179" s="1" t="s">
        <v>13</v>
      </c>
      <c r="D179">
        <v>0</v>
      </c>
      <c r="E179" s="360">
        <v>99.678190000000001</v>
      </c>
      <c r="F179">
        <v>0</v>
      </c>
      <c r="G179">
        <v>0</v>
      </c>
      <c r="H179">
        <v>0</v>
      </c>
      <c r="J179">
        <v>0</v>
      </c>
      <c r="K179" s="14">
        <v>8.7469220872549158E-5</v>
      </c>
      <c r="L179">
        <v>0</v>
      </c>
      <c r="M179">
        <v>0</v>
      </c>
      <c r="N179">
        <v>0</v>
      </c>
      <c r="O179" s="20"/>
      <c r="P179" s="20"/>
      <c r="Q179" s="438">
        <v>0.90000000000000013</v>
      </c>
      <c r="R179" s="20"/>
      <c r="S179" s="20"/>
      <c r="T179" s="20"/>
      <c r="U179" s="20"/>
    </row>
    <row r="180" spans="1:54" ht="15" x14ac:dyDescent="0.25">
      <c r="A180" s="7"/>
      <c r="B180" s="8" t="s">
        <v>14</v>
      </c>
      <c r="C180" s="7"/>
      <c r="D180" s="357">
        <f t="shared" ref="D180:H180" si="201">SUM(D174:D179)</f>
        <v>0</v>
      </c>
      <c r="E180" s="363">
        <f>SUM(E174:E179)</f>
        <v>101.072919</v>
      </c>
      <c r="F180" s="357">
        <f t="shared" si="201"/>
        <v>0</v>
      </c>
      <c r="G180" s="357">
        <f t="shared" si="201"/>
        <v>0</v>
      </c>
      <c r="H180" s="357">
        <f t="shared" si="201"/>
        <v>0</v>
      </c>
      <c r="J180">
        <v>0</v>
      </c>
      <c r="K180">
        <v>0</v>
      </c>
      <c r="L180">
        <v>0</v>
      </c>
      <c r="M180">
        <v>0</v>
      </c>
      <c r="N180">
        <v>0</v>
      </c>
      <c r="Q180" s="438">
        <v>0.9</v>
      </c>
      <c r="BA180" s="319">
        <f>(E180*10000*Q180*AU$10)</f>
        <v>956412.60332939983</v>
      </c>
    </row>
    <row r="181" spans="1:54" ht="15" x14ac:dyDescent="0.25">
      <c r="A181" s="5"/>
      <c r="B181" s="9" t="s">
        <v>15</v>
      </c>
      <c r="C181" s="5"/>
      <c r="E181" s="363">
        <f>SUM(E180)</f>
        <v>101.072919</v>
      </c>
      <c r="H181" s="358">
        <f>SUM(D180:H180)</f>
        <v>101.072919</v>
      </c>
      <c r="N181">
        <v>0</v>
      </c>
    </row>
    <row r="182" spans="1:54" s="79" customFormat="1" ht="15" x14ac:dyDescent="0.25">
      <c r="A182" s="199"/>
      <c r="B182" s="198" t="s">
        <v>661</v>
      </c>
      <c r="C182" s="199"/>
      <c r="AY182" s="79">
        <f>SUM(AY12:AY170)</f>
        <v>13136.427582881843</v>
      </c>
    </row>
    <row r="183" spans="1:54" x14ac:dyDescent="0.2">
      <c r="E183" s="14">
        <f>SUM(E180,E171,E162,E153,E144,E135,E126,E117,E108,E99,E90,E81,E72,E63,E54,E45,E36,E27,E18,)</f>
        <v>2788.5485690000005</v>
      </c>
    </row>
    <row r="184" spans="1:54" x14ac:dyDescent="0.2">
      <c r="BA184" s="406">
        <f>SUM(BA171,BA162,BA153,BA144,BA135,BA126,BA117,BA108,BA99,BA90,BA81,BA72,BA63,BA54,BA45,BA36,BA27,BA18,BA180)</f>
        <v>12836034.964464704</v>
      </c>
      <c r="BB184" s="407">
        <f>BA184*0.000001</f>
        <v>12.836034964464703</v>
      </c>
    </row>
    <row r="187" spans="1:54" x14ac:dyDescent="0.2">
      <c r="E187">
        <f>E171*2.471054</f>
        <v>340.70126525260002</v>
      </c>
    </row>
  </sheetData>
  <phoneticPr fontId="0" type="noConversion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BB184"/>
  <sheetViews>
    <sheetView defaultGridColor="0" topLeftCell="A10" colorId="11" zoomScale="75" workbookViewId="0">
      <pane xSplit="3" topLeftCell="D1" activePane="topRight" state="frozen"/>
      <selection activeCell="A12" sqref="A12"/>
      <selection pane="topRight" activeCell="AT36" sqref="AT36"/>
    </sheetView>
  </sheetViews>
  <sheetFormatPr defaultRowHeight="12.75" x14ac:dyDescent="0.2"/>
  <cols>
    <col min="2" max="2" width="26.42578125" bestFit="1" customWidth="1"/>
    <col min="4" max="8" width="13.7109375" customWidth="1"/>
    <col min="10" max="14" width="13.5703125" customWidth="1"/>
    <col min="15" max="15" width="12" bestFit="1" customWidth="1"/>
    <col min="17" max="17" width="15.7109375" style="108" bestFit="1" customWidth="1"/>
    <col min="18" max="19" width="12" bestFit="1" customWidth="1"/>
    <col min="20" max="21" width="12" customWidth="1"/>
    <col min="22" max="25" width="11.5703125" customWidth="1"/>
    <col min="26" max="29" width="10.7109375" customWidth="1"/>
    <col min="30" max="30" width="11.42578125" customWidth="1"/>
    <col min="31" max="34" width="13.42578125" customWidth="1"/>
    <col min="35" max="35" width="12" bestFit="1" customWidth="1"/>
    <col min="36" max="39" width="10.85546875" customWidth="1"/>
    <col min="45" max="45" width="28.140625" customWidth="1"/>
    <col min="51" max="51" width="33.5703125" customWidth="1"/>
    <col min="53" max="53" width="14.42578125" bestFit="1" customWidth="1"/>
    <col min="54" max="54" width="13.28515625" customWidth="1"/>
  </cols>
  <sheetData>
    <row r="1" spans="1:54" ht="15" x14ac:dyDescent="0.25">
      <c r="A1" s="15" t="s">
        <v>32</v>
      </c>
      <c r="B1" s="16"/>
    </row>
    <row r="2" spans="1:54" ht="15" x14ac:dyDescent="0.25">
      <c r="A2" s="15"/>
      <c r="B2" s="16">
        <v>2000</v>
      </c>
      <c r="V2" s="99"/>
      <c r="W2" s="99"/>
      <c r="X2" s="99"/>
      <c r="Y2" s="99"/>
      <c r="Z2" s="26"/>
      <c r="AA2" s="26"/>
      <c r="AB2" s="26"/>
      <c r="AC2" s="26"/>
      <c r="AD2" s="26"/>
      <c r="AE2" s="28"/>
      <c r="AF2" s="28"/>
      <c r="AG2" s="28"/>
      <c r="AH2" s="28"/>
      <c r="AI2" s="124"/>
      <c r="AJ2" s="124"/>
      <c r="AK2" s="124"/>
      <c r="AL2" s="124"/>
      <c r="AM2" s="124"/>
    </row>
    <row r="3" spans="1:54" ht="78.75" x14ac:dyDescent="0.25">
      <c r="B3" s="16"/>
      <c r="D3" s="179" t="s">
        <v>759</v>
      </c>
      <c r="E3" s="179"/>
      <c r="F3" s="179"/>
      <c r="G3" s="179"/>
      <c r="H3" s="179"/>
      <c r="J3" s="181" t="s">
        <v>758</v>
      </c>
      <c r="K3" s="181"/>
      <c r="L3" s="181"/>
      <c r="M3" s="181"/>
      <c r="N3" s="181"/>
      <c r="V3" s="99" t="s">
        <v>534</v>
      </c>
      <c r="W3" s="99"/>
      <c r="X3" s="99"/>
      <c r="Y3" s="99"/>
      <c r="Z3" s="26" t="s">
        <v>535</v>
      </c>
      <c r="AA3" s="26"/>
      <c r="AB3" s="26"/>
      <c r="AC3" s="26"/>
      <c r="AD3" s="125"/>
      <c r="AE3" s="28" t="s">
        <v>536</v>
      </c>
      <c r="AF3" s="28"/>
      <c r="AG3" s="28"/>
      <c r="AH3" s="28"/>
      <c r="AI3" s="124" t="s">
        <v>537</v>
      </c>
      <c r="AJ3" s="131"/>
      <c r="AK3" s="131"/>
      <c r="AL3" s="131"/>
      <c r="AM3" s="131"/>
    </row>
    <row r="4" spans="1:54" ht="15.75" x14ac:dyDescent="0.25">
      <c r="D4" s="180"/>
      <c r="E4" s="180"/>
      <c r="F4" s="180"/>
      <c r="G4" s="180"/>
      <c r="H4" s="180"/>
      <c r="J4" s="182"/>
      <c r="K4" s="182"/>
      <c r="L4" s="182"/>
      <c r="M4" s="182"/>
      <c r="N4" s="182"/>
      <c r="V4" s="101" t="s">
        <v>40</v>
      </c>
      <c r="W4" s="101"/>
      <c r="X4" s="101"/>
      <c r="Y4" s="101"/>
      <c r="Z4" s="27" t="s">
        <v>40</v>
      </c>
      <c r="AA4" s="27"/>
      <c r="AB4" s="27"/>
      <c r="AC4" s="27"/>
      <c r="AD4" s="126"/>
      <c r="AE4" s="30" t="s">
        <v>40</v>
      </c>
      <c r="AF4" s="30"/>
      <c r="AG4" s="30"/>
      <c r="AH4" s="30"/>
      <c r="AI4" s="132" t="s">
        <v>40</v>
      </c>
      <c r="AJ4" s="133"/>
      <c r="AK4" s="133"/>
      <c r="AL4" s="133"/>
      <c r="AM4" s="133"/>
    </row>
    <row r="5" spans="1:54" ht="94.5" x14ac:dyDescent="0.25">
      <c r="A5" s="1"/>
      <c r="B5" s="2"/>
      <c r="C5" s="3"/>
      <c r="D5" s="103"/>
      <c r="E5" s="229"/>
      <c r="F5" s="229"/>
      <c r="G5" s="229"/>
      <c r="H5" s="229"/>
      <c r="J5" s="115"/>
      <c r="K5" s="232"/>
      <c r="L5" s="232"/>
      <c r="M5" s="232"/>
      <c r="N5" s="232"/>
      <c r="V5" s="103"/>
      <c r="W5" s="103"/>
      <c r="X5" s="103"/>
      <c r="Y5" s="103"/>
      <c r="Z5" s="93"/>
      <c r="AA5" s="236"/>
      <c r="AB5" s="236"/>
      <c r="AC5" s="236"/>
      <c r="AD5" s="127"/>
      <c r="AE5" s="90"/>
      <c r="AF5" s="90"/>
      <c r="AG5" s="90"/>
      <c r="AH5" s="90"/>
      <c r="AI5" s="134"/>
      <c r="AJ5" s="135"/>
      <c r="AK5" s="135"/>
      <c r="AL5" s="135"/>
      <c r="AM5" s="135"/>
      <c r="AO5" s="240" t="s">
        <v>727</v>
      </c>
      <c r="AP5" s="241"/>
      <c r="AQ5" s="241"/>
      <c r="AR5" s="241"/>
      <c r="AS5" s="242" t="s">
        <v>727</v>
      </c>
      <c r="AU5" s="244" t="s">
        <v>728</v>
      </c>
      <c r="AV5" s="245"/>
      <c r="AW5" s="245"/>
      <c r="AX5" s="245"/>
      <c r="AY5" s="246" t="s">
        <v>728</v>
      </c>
    </row>
    <row r="6" spans="1:54" ht="39" x14ac:dyDescent="0.25">
      <c r="A6" s="1"/>
      <c r="B6" s="2" t="s">
        <v>0</v>
      </c>
      <c r="C6" s="3"/>
      <c r="D6" s="234"/>
      <c r="E6" s="234" t="s">
        <v>862</v>
      </c>
      <c r="F6" s="234"/>
      <c r="G6" s="234"/>
      <c r="H6" s="234"/>
      <c r="J6" s="117"/>
      <c r="K6" s="117"/>
      <c r="L6" s="117"/>
      <c r="M6" s="117"/>
      <c r="N6" s="117"/>
      <c r="O6" s="17" t="s">
        <v>35</v>
      </c>
      <c r="P6" s="18"/>
      <c r="Q6" s="146">
        <v>2000</v>
      </c>
      <c r="R6" s="22" t="s">
        <v>38</v>
      </c>
      <c r="S6" s="22" t="s">
        <v>39</v>
      </c>
      <c r="T6" s="196" t="s">
        <v>659</v>
      </c>
      <c r="U6" s="196" t="s">
        <v>660</v>
      </c>
      <c r="V6" s="105" t="s">
        <v>862</v>
      </c>
      <c r="W6" s="105"/>
      <c r="X6" s="105"/>
      <c r="Y6" s="105"/>
      <c r="Z6" s="78" t="s">
        <v>862</v>
      </c>
      <c r="AA6" s="78"/>
      <c r="AB6" s="78"/>
      <c r="AC6" s="78"/>
      <c r="AD6" s="128" t="s">
        <v>42</v>
      </c>
      <c r="AE6" s="72" t="s">
        <v>862</v>
      </c>
      <c r="AF6" s="72"/>
      <c r="AG6" s="72"/>
      <c r="AH6" s="72"/>
      <c r="AI6" s="137" t="s">
        <v>862</v>
      </c>
      <c r="AJ6" s="137"/>
      <c r="AK6" s="137"/>
      <c r="AL6" s="137"/>
      <c r="AM6" s="137" t="s">
        <v>42</v>
      </c>
      <c r="AO6" s="106" t="s">
        <v>862</v>
      </c>
      <c r="AP6" s="106"/>
      <c r="AQ6" s="106"/>
      <c r="AR6" s="106"/>
      <c r="AS6" s="129"/>
      <c r="AU6" s="106" t="s">
        <v>862</v>
      </c>
      <c r="AV6" s="106"/>
      <c r="AW6" s="106"/>
      <c r="AX6" s="106"/>
      <c r="AY6" s="247"/>
    </row>
    <row r="7" spans="1:54" ht="26.25" x14ac:dyDescent="0.25">
      <c r="A7" s="1"/>
      <c r="B7" s="2" t="s">
        <v>1</v>
      </c>
      <c r="C7" s="2"/>
      <c r="D7" s="107"/>
      <c r="E7" s="107"/>
      <c r="F7" s="107"/>
      <c r="G7" s="107"/>
      <c r="H7" s="107"/>
      <c r="J7" s="119"/>
      <c r="K7" s="233"/>
      <c r="L7" s="233"/>
      <c r="M7" s="233"/>
      <c r="N7" s="233"/>
      <c r="O7" s="21" t="s">
        <v>36</v>
      </c>
      <c r="P7" s="21" t="s">
        <v>37</v>
      </c>
      <c r="Q7" s="148" t="s">
        <v>538</v>
      </c>
      <c r="R7" s="22"/>
      <c r="S7" s="22"/>
      <c r="T7" s="22"/>
      <c r="U7" s="22"/>
      <c r="V7" s="107"/>
      <c r="W7" s="107"/>
      <c r="X7" s="107"/>
      <c r="Y7" s="107"/>
      <c r="Z7" s="237"/>
      <c r="AA7" s="237"/>
      <c r="AB7" s="237"/>
      <c r="AC7" s="237"/>
      <c r="AD7" s="129"/>
      <c r="AE7" s="91"/>
      <c r="AF7" s="91"/>
      <c r="AG7" s="91"/>
      <c r="AH7" s="91"/>
      <c r="AI7" s="139"/>
      <c r="AJ7" s="139"/>
      <c r="AK7" s="139"/>
      <c r="AL7" s="139"/>
      <c r="AM7" s="139"/>
      <c r="AS7" s="129"/>
      <c r="AY7" s="247"/>
      <c r="BA7" t="s">
        <v>864</v>
      </c>
      <c r="BB7" t="s">
        <v>876</v>
      </c>
    </row>
    <row r="8" spans="1:54" ht="15.75" x14ac:dyDescent="0.25">
      <c r="A8" s="1"/>
      <c r="B8" s="2" t="s">
        <v>4</v>
      </c>
      <c r="C8" s="2"/>
      <c r="D8" s="107"/>
      <c r="E8" s="230"/>
      <c r="F8" s="230"/>
      <c r="G8" s="230"/>
      <c r="H8" s="230"/>
      <c r="J8" s="183"/>
      <c r="K8" s="183"/>
      <c r="L8" s="183"/>
      <c r="M8" s="183"/>
      <c r="N8" s="183"/>
      <c r="O8" s="20"/>
      <c r="P8" s="20"/>
      <c r="Q8" s="145"/>
      <c r="R8" s="20"/>
      <c r="S8" s="20"/>
      <c r="T8" s="20"/>
      <c r="U8" s="20"/>
      <c r="V8" s="107"/>
      <c r="W8" s="107"/>
      <c r="X8" s="107"/>
      <c r="Y8" s="107"/>
      <c r="Z8" s="237">
        <v>2903</v>
      </c>
      <c r="AA8" s="237">
        <v>2903</v>
      </c>
      <c r="AB8" s="237">
        <v>2903</v>
      </c>
      <c r="AC8" s="237">
        <v>2903</v>
      </c>
      <c r="AD8" s="129"/>
      <c r="AE8" s="91"/>
      <c r="AF8" s="91"/>
      <c r="AG8" s="91"/>
      <c r="AH8" s="91"/>
      <c r="AI8" s="237">
        <v>2903</v>
      </c>
      <c r="AJ8" s="237">
        <v>2903</v>
      </c>
      <c r="AK8" s="237">
        <v>2903</v>
      </c>
      <c r="AL8" s="237">
        <v>2903</v>
      </c>
      <c r="AM8" s="139"/>
      <c r="AS8" s="129"/>
      <c r="AY8" s="247"/>
    </row>
    <row r="9" spans="1:54" ht="15.75" x14ac:dyDescent="0.25">
      <c r="A9" s="1"/>
      <c r="B9" s="15" t="s">
        <v>558</v>
      </c>
      <c r="C9" s="2"/>
      <c r="D9" s="109"/>
      <c r="E9" s="231"/>
      <c r="F9" s="231"/>
      <c r="G9" s="231"/>
      <c r="H9" s="231"/>
      <c r="J9" s="119"/>
      <c r="K9" s="233"/>
      <c r="L9" s="233"/>
      <c r="M9" s="233"/>
      <c r="N9" s="233"/>
      <c r="O9" s="21"/>
      <c r="P9" s="21"/>
      <c r="Q9" s="145"/>
      <c r="R9" s="20"/>
      <c r="S9" s="20"/>
      <c r="T9" s="20"/>
      <c r="U9" s="20"/>
      <c r="V9" s="109"/>
      <c r="W9" s="109"/>
      <c r="X9" s="109"/>
      <c r="Y9" s="109"/>
      <c r="Z9" s="238"/>
      <c r="AA9" s="238"/>
      <c r="AB9" s="238"/>
      <c r="AC9" s="238"/>
      <c r="AD9" s="129"/>
      <c r="AE9" s="92"/>
      <c r="AF9" s="92"/>
      <c r="AG9" s="92"/>
      <c r="AH9" s="92"/>
      <c r="AI9" s="139"/>
      <c r="AJ9" s="139"/>
      <c r="AK9" s="139"/>
      <c r="AL9" s="139"/>
      <c r="AM9" s="139"/>
      <c r="AO9" s="239">
        <v>2000</v>
      </c>
      <c r="AP9" s="239">
        <v>2000</v>
      </c>
      <c r="AQ9" s="239">
        <v>2000</v>
      </c>
      <c r="AR9" s="239">
        <v>2000</v>
      </c>
      <c r="AS9" s="243">
        <v>2000</v>
      </c>
      <c r="AU9" s="239">
        <v>2000</v>
      </c>
      <c r="AV9" s="239">
        <v>2000</v>
      </c>
      <c r="AW9" s="239">
        <v>2000</v>
      </c>
      <c r="AX9" s="239">
        <v>2000</v>
      </c>
      <c r="AY9" s="248">
        <v>2000</v>
      </c>
    </row>
    <row r="10" spans="1:54" ht="15" x14ac:dyDescent="0.2">
      <c r="B10" s="15" t="s">
        <v>726</v>
      </c>
      <c r="AO10" s="239">
        <v>0.66959999999999997</v>
      </c>
      <c r="AP10" s="239">
        <v>0.66959999999999997</v>
      </c>
      <c r="AQ10" s="239">
        <v>0.66959999999999997</v>
      </c>
      <c r="AR10" s="239">
        <v>0.66959999999999997</v>
      </c>
      <c r="AU10" s="239">
        <v>0.66959999999999997</v>
      </c>
      <c r="AV10" s="239">
        <v>0.66959999999999997</v>
      </c>
      <c r="AW10" s="239">
        <v>0.66959999999999997</v>
      </c>
      <c r="AX10" s="239">
        <v>0.66959999999999997</v>
      </c>
    </row>
    <row r="11" spans="1:54" ht="27" x14ac:dyDescent="0.25">
      <c r="A11" s="1"/>
      <c r="B11" s="2" t="s">
        <v>5</v>
      </c>
      <c r="C11" s="4" t="s">
        <v>6</v>
      </c>
      <c r="D11" s="107"/>
      <c r="E11" s="230"/>
      <c r="F11" s="230"/>
      <c r="G11" s="230"/>
      <c r="H11" s="230"/>
      <c r="J11" s="183"/>
      <c r="K11" s="183"/>
      <c r="L11" s="183"/>
      <c r="M11" s="183"/>
      <c r="N11" s="183"/>
      <c r="O11" s="20"/>
      <c r="P11" s="20"/>
      <c r="Q11" s="147"/>
      <c r="R11" s="20"/>
      <c r="S11" s="20"/>
      <c r="T11" s="20"/>
      <c r="U11" s="20"/>
      <c r="V11" s="230"/>
      <c r="W11" s="230"/>
      <c r="X11" s="230"/>
      <c r="Y11" s="230"/>
      <c r="Z11" s="130"/>
      <c r="AA11" s="130"/>
      <c r="AB11" s="130"/>
      <c r="AC11" s="130"/>
      <c r="AD11" s="129"/>
      <c r="AE11" s="91"/>
      <c r="AF11" s="91"/>
      <c r="AG11" s="91"/>
      <c r="AH11" s="91"/>
      <c r="AI11" s="139"/>
      <c r="AJ11" s="139"/>
      <c r="AK11" s="139"/>
      <c r="AL11" s="139"/>
      <c r="AM11" s="139"/>
    </row>
    <row r="12" spans="1:54" ht="15" x14ac:dyDescent="0.25">
      <c r="A12" s="1">
        <v>1</v>
      </c>
      <c r="B12" s="2" t="s">
        <v>7</v>
      </c>
      <c r="C12" s="3" t="s">
        <v>8</v>
      </c>
      <c r="D12">
        <v>0</v>
      </c>
      <c r="E12" s="360">
        <v>49.05538</v>
      </c>
      <c r="F12">
        <v>0</v>
      </c>
      <c r="G12">
        <v>0</v>
      </c>
      <c r="H12">
        <v>0</v>
      </c>
      <c r="J12">
        <v>0</v>
      </c>
      <c r="K12" s="14">
        <v>39.279498939624276</v>
      </c>
      <c r="L12">
        <v>0</v>
      </c>
      <c r="M12">
        <v>0</v>
      </c>
      <c r="N12">
        <v>0</v>
      </c>
      <c r="O12" s="20">
        <v>0.36775204520040022</v>
      </c>
      <c r="P12" s="20">
        <v>0.57913019816794442</v>
      </c>
      <c r="Q12" s="438">
        <v>4.8784075860435615E-2</v>
      </c>
      <c r="R12" s="197">
        <v>0.17699999999999999</v>
      </c>
      <c r="S12" s="197">
        <v>1.77</v>
      </c>
      <c r="T12" s="197">
        <v>0.50078889239507718</v>
      </c>
      <c r="U12" s="197">
        <v>0.75268470790377973</v>
      </c>
      <c r="V12" s="20">
        <f>IF(K12&gt;0,((E12-K12)*$Q12*$R12*10)+(K12*$O$12*$Q12*$R12*10),(E12*$Q12*$R12*10))</f>
        <v>2.0914301616761364</v>
      </c>
      <c r="W12" s="20">
        <f t="shared" ref="V12:Y17" si="0">IF(L12&gt;0,((F12-L12)*$Q12*$R12*10)+(L12*$O$12*$Q12*$R12*10),(F12*$Q12*$R12*10))</f>
        <v>0</v>
      </c>
      <c r="X12" s="20">
        <f t="shared" si="0"/>
        <v>0</v>
      </c>
      <c r="Y12" s="20">
        <f t="shared" si="0"/>
        <v>0</v>
      </c>
      <c r="Z12" s="20">
        <f>V12*(EXP(1.01-0.34*LN(Z$8))*(1-$T12)+(1*$T12))</f>
        <v>1.2379097679246842</v>
      </c>
      <c r="AA12" s="20">
        <f t="shared" ref="Z12:AC17" si="1">W12*(EXP(1.01-0.34*LN(AA$8))*(1-$T12)+(1*$T12))</f>
        <v>0</v>
      </c>
      <c r="AB12" s="20">
        <f t="shared" si="1"/>
        <v>0</v>
      </c>
      <c r="AC12" s="20">
        <f t="shared" si="1"/>
        <v>0</v>
      </c>
      <c r="AD12" s="20">
        <f t="shared" ref="AD12:AD17" si="2">SUM(Z12:AC12)</f>
        <v>1.2379097679246842</v>
      </c>
      <c r="AE12" s="20">
        <f t="shared" ref="AE12:AH17" si="3">IF(K12&gt;0,((E12-K12)*$Q12*$S12*10)+(K12*$P$12*$Q12*$S12)*10,(E12*$Q12*$S12*10))</f>
        <v>28.08361206178035</v>
      </c>
      <c r="AF12" s="20">
        <f t="shared" si="3"/>
        <v>0</v>
      </c>
      <c r="AG12" s="20">
        <f t="shared" si="3"/>
        <v>0</v>
      </c>
      <c r="AH12" s="20">
        <f t="shared" si="3"/>
        <v>0</v>
      </c>
      <c r="AI12" s="20">
        <f>AE12*(EXP(1.01-0.34*LN(AI$8))*(1-$U12)+(1*$U12))</f>
        <v>22.405679481319719</v>
      </c>
      <c r="AJ12" s="20">
        <f>AF12*(EXP(1.01-0.34*LN(AJ$8))*(1-$U12)+(1*$U12))</f>
        <v>0</v>
      </c>
      <c r="AK12" s="20">
        <f>AG12*(EXP(1.01-0.34*LN(AK$8))*(1-$U12)+(1*$U12))</f>
        <v>0</v>
      </c>
      <c r="AL12" s="20">
        <f>AH12*(EXP(1.01-0.34*LN(AL$8))*(1-$U12)+(1*$U12))</f>
        <v>0</v>
      </c>
      <c r="AM12" s="20">
        <f t="shared" ref="AM12:AM17" si="4">SUM(AI12:AL12)</f>
        <v>22.405679481319719</v>
      </c>
      <c r="AO12">
        <f>Z12*AO$10</f>
        <v>0.82890438060236848</v>
      </c>
      <c r="AP12">
        <f t="shared" ref="AO12:AR17" si="5">AA12*AP$10</f>
        <v>0</v>
      </c>
      <c r="AQ12">
        <f t="shared" si="5"/>
        <v>0</v>
      </c>
      <c r="AR12">
        <f t="shared" si="5"/>
        <v>0</v>
      </c>
      <c r="AS12">
        <f t="shared" ref="AS12:AS17" si="6">SUM(AO12:AR12)</f>
        <v>0.82890438060236848</v>
      </c>
      <c r="AU12">
        <f>AI12*AU$10</f>
        <v>15.002842980691684</v>
      </c>
      <c r="AV12">
        <f t="shared" ref="AU12:AX17" si="7">AJ12*AV$10</f>
        <v>0</v>
      </c>
      <c r="AW12">
        <f t="shared" si="7"/>
        <v>0</v>
      </c>
      <c r="AX12">
        <f t="shared" si="7"/>
        <v>0</v>
      </c>
      <c r="AY12">
        <f t="shared" ref="AY12:AY17" si="8">SUM(AU12:AX12)</f>
        <v>15.002842980691684</v>
      </c>
    </row>
    <row r="13" spans="1:54" ht="15" x14ac:dyDescent="0.25">
      <c r="A13" s="1"/>
      <c r="B13" s="2"/>
      <c r="C13" s="1" t="s">
        <v>9</v>
      </c>
      <c r="D13">
        <v>0</v>
      </c>
      <c r="E13" s="360">
        <v>6.3624999999999998</v>
      </c>
      <c r="F13">
        <v>0</v>
      </c>
      <c r="G13">
        <v>0</v>
      </c>
      <c r="H13">
        <v>0</v>
      </c>
      <c r="J13">
        <v>0</v>
      </c>
      <c r="K13" s="14">
        <v>4.7318476998009995</v>
      </c>
      <c r="L13">
        <v>0</v>
      </c>
      <c r="M13">
        <v>0</v>
      </c>
      <c r="N13">
        <v>0</v>
      </c>
      <c r="O13" s="20"/>
      <c r="P13" s="20"/>
      <c r="Q13" s="438">
        <v>5.2568151720871231E-2</v>
      </c>
      <c r="R13" s="197">
        <v>0.17699999999999999</v>
      </c>
      <c r="S13" s="197">
        <v>1.77</v>
      </c>
      <c r="T13" s="197">
        <v>0.50078889239507718</v>
      </c>
      <c r="U13" s="197">
        <v>0.75268470790377973</v>
      </c>
      <c r="V13" s="20">
        <f t="shared" si="0"/>
        <v>0.31363810880775511</v>
      </c>
      <c r="W13" s="20">
        <f t="shared" si="0"/>
        <v>0</v>
      </c>
      <c r="X13" s="20">
        <f t="shared" si="0"/>
        <v>0</v>
      </c>
      <c r="Y13" s="20">
        <f t="shared" si="0"/>
        <v>0</v>
      </c>
      <c r="Z13" s="20">
        <f t="shared" si="1"/>
        <v>0.18564123517057102</v>
      </c>
      <c r="AA13" s="20">
        <f t="shared" si="1"/>
        <v>0</v>
      </c>
      <c r="AB13" s="20">
        <f t="shared" si="1"/>
        <v>0</v>
      </c>
      <c r="AC13" s="20">
        <f t="shared" si="1"/>
        <v>0</v>
      </c>
      <c r="AD13" s="20">
        <f t="shared" si="2"/>
        <v>0.18564123517057102</v>
      </c>
      <c r="AE13" s="20">
        <f t="shared" si="3"/>
        <v>4.0670320500282893</v>
      </c>
      <c r="AF13" s="20">
        <f t="shared" si="3"/>
        <v>0</v>
      </c>
      <c r="AG13" s="20">
        <f t="shared" si="3"/>
        <v>0</v>
      </c>
      <c r="AH13" s="20">
        <f t="shared" si="3"/>
        <v>0</v>
      </c>
      <c r="AI13" s="20">
        <f t="shared" ref="AI13:AI17" si="9">AE13*(EXP(1.01-0.34*LN(AI$8))*(1-$U13)+(1*$U13))</f>
        <v>3.2447612633562248</v>
      </c>
      <c r="AJ13" s="20">
        <f t="shared" ref="AJ13:AJ17" si="10">AF13*(EXP(1.01-0.34*LN(AJ$8))*(1-$U13)+(1*$U13))</f>
        <v>0</v>
      </c>
      <c r="AK13" s="20">
        <f t="shared" ref="AK13:AK17" si="11">AG13*(EXP(1.01-0.34*LN(AK$8))*(1-$U13)+(1*$U13))</f>
        <v>0</v>
      </c>
      <c r="AL13" s="20">
        <f t="shared" ref="AL13:AL17" si="12">AH13*(EXP(1.01-0.34*LN(AL$8))*(1-$U13)+(1*$U13))</f>
        <v>0</v>
      </c>
      <c r="AM13" s="20">
        <f t="shared" si="4"/>
        <v>3.2447612633562248</v>
      </c>
      <c r="AO13">
        <f t="shared" si="5"/>
        <v>0.12430537107021435</v>
      </c>
      <c r="AP13">
        <f t="shared" si="5"/>
        <v>0</v>
      </c>
      <c r="AQ13">
        <f t="shared" si="5"/>
        <v>0</v>
      </c>
      <c r="AR13">
        <f t="shared" si="5"/>
        <v>0</v>
      </c>
      <c r="AS13">
        <f t="shared" si="6"/>
        <v>0.12430537107021435</v>
      </c>
      <c r="AU13">
        <f t="shared" si="7"/>
        <v>2.1726921419433283</v>
      </c>
      <c r="AV13">
        <f t="shared" si="7"/>
        <v>0</v>
      </c>
      <c r="AW13">
        <f t="shared" si="7"/>
        <v>0</v>
      </c>
      <c r="AX13">
        <f t="shared" si="7"/>
        <v>0</v>
      </c>
      <c r="AY13">
        <f t="shared" si="8"/>
        <v>2.1726921419433283</v>
      </c>
    </row>
    <row r="14" spans="1:54" ht="15" x14ac:dyDescent="0.25">
      <c r="A14" s="1"/>
      <c r="B14" s="2"/>
      <c r="C14" s="1" t="s">
        <v>10</v>
      </c>
      <c r="D14">
        <v>0</v>
      </c>
      <c r="E14" s="360">
        <v>1.1967000000000001</v>
      </c>
      <c r="F14">
        <v>0</v>
      </c>
      <c r="G14">
        <v>0</v>
      </c>
      <c r="H14">
        <v>0</v>
      </c>
      <c r="J14">
        <v>0</v>
      </c>
      <c r="K14" s="14">
        <v>-0.89230754213099961</v>
      </c>
      <c r="L14">
        <v>0</v>
      </c>
      <c r="M14">
        <v>0</v>
      </c>
      <c r="N14">
        <v>0</v>
      </c>
      <c r="O14" s="20"/>
      <c r="P14" s="20"/>
      <c r="Q14" s="438">
        <v>5.6352227581306827E-2</v>
      </c>
      <c r="R14" s="197">
        <v>0.17699999999999999</v>
      </c>
      <c r="S14" s="197">
        <v>1.77</v>
      </c>
      <c r="T14" s="197">
        <v>0.50078889239507718</v>
      </c>
      <c r="U14" s="197">
        <v>0.75268470790377973</v>
      </c>
      <c r="V14" s="20">
        <f t="shared" si="0"/>
        <v>0.11936297802139328</v>
      </c>
      <c r="W14" s="20">
        <f t="shared" si="0"/>
        <v>0</v>
      </c>
      <c r="X14" s="20">
        <f t="shared" si="0"/>
        <v>0</v>
      </c>
      <c r="Y14" s="20">
        <f t="shared" si="0"/>
        <v>0</v>
      </c>
      <c r="Z14" s="20">
        <f t="shared" si="1"/>
        <v>7.0650504678024861E-2</v>
      </c>
      <c r="AA14" s="20">
        <f t="shared" si="1"/>
        <v>0</v>
      </c>
      <c r="AB14" s="20">
        <f t="shared" si="1"/>
        <v>0</v>
      </c>
      <c r="AC14" s="20">
        <f t="shared" si="1"/>
        <v>0</v>
      </c>
      <c r="AD14" s="20">
        <f t="shared" si="2"/>
        <v>7.0650504678024861E-2</v>
      </c>
      <c r="AE14" s="20">
        <f t="shared" si="3"/>
        <v>1.1936297802139331</v>
      </c>
      <c r="AF14" s="20">
        <f t="shared" si="3"/>
        <v>0</v>
      </c>
      <c r="AG14" s="20">
        <f t="shared" si="3"/>
        <v>0</v>
      </c>
      <c r="AH14" s="20">
        <f t="shared" si="3"/>
        <v>0</v>
      </c>
      <c r="AI14" s="20">
        <f t="shared" si="9"/>
        <v>0.95230222579623747</v>
      </c>
      <c r="AJ14" s="20">
        <f t="shared" si="10"/>
        <v>0</v>
      </c>
      <c r="AK14" s="20">
        <f t="shared" si="11"/>
        <v>0</v>
      </c>
      <c r="AL14" s="20">
        <f t="shared" si="12"/>
        <v>0</v>
      </c>
      <c r="AM14" s="20">
        <f t="shared" si="4"/>
        <v>0.95230222579623747</v>
      </c>
      <c r="AO14">
        <f t="shared" si="5"/>
        <v>4.7307577932405448E-2</v>
      </c>
      <c r="AP14">
        <f t="shared" si="5"/>
        <v>0</v>
      </c>
      <c r="AQ14">
        <f t="shared" si="5"/>
        <v>0</v>
      </c>
      <c r="AR14">
        <f t="shared" si="5"/>
        <v>0</v>
      </c>
      <c r="AS14">
        <f t="shared" si="6"/>
        <v>4.7307577932405448E-2</v>
      </c>
      <c r="AU14">
        <f t="shared" si="7"/>
        <v>0.63766157039316063</v>
      </c>
      <c r="AV14">
        <f t="shared" si="7"/>
        <v>0</v>
      </c>
      <c r="AW14">
        <f t="shared" si="7"/>
        <v>0</v>
      </c>
      <c r="AX14">
        <f t="shared" si="7"/>
        <v>0</v>
      </c>
      <c r="AY14">
        <f t="shared" si="8"/>
        <v>0.63766157039316063</v>
      </c>
    </row>
    <row r="15" spans="1:54" ht="15" x14ac:dyDescent="0.25">
      <c r="A15" s="1"/>
      <c r="B15" s="2"/>
      <c r="C15" s="1" t="s">
        <v>11</v>
      </c>
      <c r="D15">
        <v>0</v>
      </c>
      <c r="E15" s="360">
        <v>16.971299999999999</v>
      </c>
      <c r="F15">
        <v>0</v>
      </c>
      <c r="G15">
        <v>0</v>
      </c>
      <c r="H15">
        <v>0</v>
      </c>
      <c r="J15">
        <v>0</v>
      </c>
      <c r="K15" s="14">
        <v>5.2454741905186246</v>
      </c>
      <c r="L15">
        <v>0</v>
      </c>
      <c r="M15">
        <v>0</v>
      </c>
      <c r="N15">
        <v>0</v>
      </c>
      <c r="O15" s="20"/>
      <c r="P15" s="20"/>
      <c r="Q15" s="438">
        <v>6.0136303441742443E-2</v>
      </c>
      <c r="R15" s="197">
        <v>0.17699999999999999</v>
      </c>
      <c r="S15" s="197">
        <v>1.77</v>
      </c>
      <c r="T15" s="197">
        <v>0.50078889239507718</v>
      </c>
      <c r="U15" s="197">
        <v>0.75268470790377973</v>
      </c>
      <c r="V15" s="20">
        <f t="shared" si="0"/>
        <v>1.4534404288041454</v>
      </c>
      <c r="W15" s="20">
        <f t="shared" si="0"/>
        <v>0</v>
      </c>
      <c r="X15" s="20">
        <f t="shared" si="0"/>
        <v>0</v>
      </c>
      <c r="Y15" s="20">
        <f t="shared" si="0"/>
        <v>0</v>
      </c>
      <c r="Z15" s="20">
        <f t="shared" si="1"/>
        <v>0.86028600757643114</v>
      </c>
      <c r="AA15" s="20">
        <f t="shared" si="1"/>
        <v>0</v>
      </c>
      <c r="AB15" s="20">
        <f t="shared" si="1"/>
        <v>0</v>
      </c>
      <c r="AC15" s="20">
        <f t="shared" si="1"/>
        <v>0</v>
      </c>
      <c r="AD15" s="20">
        <f t="shared" si="2"/>
        <v>0.86028600757643114</v>
      </c>
      <c r="AE15" s="20">
        <f t="shared" si="3"/>
        <v>15.714602217030075</v>
      </c>
      <c r="AF15" s="20">
        <f t="shared" si="3"/>
        <v>0</v>
      </c>
      <c r="AG15" s="20">
        <f t="shared" si="3"/>
        <v>0</v>
      </c>
      <c r="AH15" s="20">
        <f t="shared" si="3"/>
        <v>0</v>
      </c>
      <c r="AI15" s="20">
        <f t="shared" si="9"/>
        <v>12.537430714989414</v>
      </c>
      <c r="AJ15" s="20">
        <f t="shared" si="10"/>
        <v>0</v>
      </c>
      <c r="AK15" s="20">
        <f t="shared" si="11"/>
        <v>0</v>
      </c>
      <c r="AL15" s="20">
        <f t="shared" si="12"/>
        <v>0</v>
      </c>
      <c r="AM15" s="20">
        <f t="shared" si="4"/>
        <v>12.537430714989414</v>
      </c>
      <c r="AO15">
        <f t="shared" si="5"/>
        <v>0.57604751067317828</v>
      </c>
      <c r="AP15">
        <f t="shared" si="5"/>
        <v>0</v>
      </c>
      <c r="AQ15">
        <f t="shared" si="5"/>
        <v>0</v>
      </c>
      <c r="AR15">
        <f t="shared" si="5"/>
        <v>0</v>
      </c>
      <c r="AS15">
        <f t="shared" si="6"/>
        <v>0.57604751067317828</v>
      </c>
      <c r="AU15">
        <f t="shared" si="7"/>
        <v>8.3950636067569118</v>
      </c>
      <c r="AV15">
        <f t="shared" si="7"/>
        <v>0</v>
      </c>
      <c r="AW15">
        <f t="shared" si="7"/>
        <v>0</v>
      </c>
      <c r="AX15">
        <f t="shared" si="7"/>
        <v>0</v>
      </c>
      <c r="AY15">
        <f t="shared" si="8"/>
        <v>8.3950636067569118</v>
      </c>
    </row>
    <row r="16" spans="1:54" ht="15" x14ac:dyDescent="0.25">
      <c r="A16" s="5"/>
      <c r="B16" s="6"/>
      <c r="C16" s="5" t="s">
        <v>12</v>
      </c>
      <c r="D16">
        <v>0</v>
      </c>
      <c r="E16" s="360">
        <v>0</v>
      </c>
      <c r="F16">
        <v>0</v>
      </c>
      <c r="G16">
        <v>0</v>
      </c>
      <c r="H16">
        <v>0</v>
      </c>
      <c r="J16">
        <v>0</v>
      </c>
      <c r="K16" s="14">
        <v>0</v>
      </c>
      <c r="L16">
        <v>0</v>
      </c>
      <c r="M16">
        <v>0</v>
      </c>
      <c r="N16">
        <v>0</v>
      </c>
      <c r="O16" s="20"/>
      <c r="P16" s="20"/>
      <c r="Q16" s="438"/>
      <c r="R16" s="197">
        <v>0.17699999999999999</v>
      </c>
      <c r="S16" s="197">
        <v>1.77</v>
      </c>
      <c r="T16" s="197">
        <v>0.50078889239507718</v>
      </c>
      <c r="U16" s="197">
        <v>0.75268470790377973</v>
      </c>
      <c r="V16" s="20">
        <f t="shared" si="0"/>
        <v>0</v>
      </c>
      <c r="W16" s="20">
        <f t="shared" si="0"/>
        <v>0</v>
      </c>
      <c r="X16" s="20">
        <f t="shared" si="0"/>
        <v>0</v>
      </c>
      <c r="Y16" s="20">
        <f t="shared" si="0"/>
        <v>0</v>
      </c>
      <c r="Z16" s="20">
        <f t="shared" si="1"/>
        <v>0</v>
      </c>
      <c r="AA16" s="20">
        <f t="shared" si="1"/>
        <v>0</v>
      </c>
      <c r="AB16" s="20">
        <f t="shared" si="1"/>
        <v>0</v>
      </c>
      <c r="AC16" s="20">
        <f t="shared" si="1"/>
        <v>0</v>
      </c>
      <c r="AD16" s="20">
        <f t="shared" si="2"/>
        <v>0</v>
      </c>
      <c r="AE16" s="20">
        <f t="shared" si="3"/>
        <v>0</v>
      </c>
      <c r="AF16" s="20">
        <f t="shared" si="3"/>
        <v>0</v>
      </c>
      <c r="AG16" s="20">
        <f t="shared" si="3"/>
        <v>0</v>
      </c>
      <c r="AH16" s="20">
        <f t="shared" si="3"/>
        <v>0</v>
      </c>
      <c r="AI16" s="20">
        <f t="shared" si="9"/>
        <v>0</v>
      </c>
      <c r="AJ16" s="20">
        <f t="shared" si="10"/>
        <v>0</v>
      </c>
      <c r="AK16" s="20">
        <f t="shared" si="11"/>
        <v>0</v>
      </c>
      <c r="AL16" s="20">
        <f t="shared" si="12"/>
        <v>0</v>
      </c>
      <c r="AM16" s="20">
        <f t="shared" si="4"/>
        <v>0</v>
      </c>
      <c r="AO16">
        <f t="shared" si="5"/>
        <v>0</v>
      </c>
      <c r="AP16">
        <f t="shared" si="5"/>
        <v>0</v>
      </c>
      <c r="AQ16">
        <f t="shared" si="5"/>
        <v>0</v>
      </c>
      <c r="AR16">
        <f t="shared" si="5"/>
        <v>0</v>
      </c>
      <c r="AS16">
        <f t="shared" si="6"/>
        <v>0</v>
      </c>
      <c r="AU16">
        <f t="shared" si="7"/>
        <v>0</v>
      </c>
      <c r="AV16">
        <f t="shared" si="7"/>
        <v>0</v>
      </c>
      <c r="AW16">
        <f t="shared" si="7"/>
        <v>0</v>
      </c>
      <c r="AX16">
        <f t="shared" si="7"/>
        <v>0</v>
      </c>
      <c r="AY16">
        <f t="shared" si="8"/>
        <v>0</v>
      </c>
    </row>
    <row r="17" spans="1:53" ht="15" x14ac:dyDescent="0.25">
      <c r="A17" s="5"/>
      <c r="B17" s="6"/>
      <c r="C17" s="5" t="s">
        <v>13</v>
      </c>
      <c r="D17">
        <v>0</v>
      </c>
      <c r="E17" s="360">
        <v>3.8789999999999998E-2</v>
      </c>
      <c r="F17">
        <v>0</v>
      </c>
      <c r="G17">
        <v>0</v>
      </c>
      <c r="H17">
        <v>0</v>
      </c>
      <c r="J17">
        <v>0</v>
      </c>
      <c r="K17" s="14">
        <v>3.8789999999999998E-2</v>
      </c>
      <c r="L17">
        <v>0</v>
      </c>
      <c r="M17">
        <v>0</v>
      </c>
      <c r="N17">
        <v>0</v>
      </c>
      <c r="O17" s="20"/>
      <c r="P17" s="20"/>
      <c r="Q17" s="438">
        <v>6.0136303441742443E-2</v>
      </c>
      <c r="R17" s="197">
        <v>0.17699999999999999</v>
      </c>
      <c r="S17" s="197">
        <v>1.77</v>
      </c>
      <c r="T17" s="197">
        <v>0.50078889239507718</v>
      </c>
      <c r="U17" s="197">
        <v>0.75268470790377973</v>
      </c>
      <c r="V17" s="20">
        <f t="shared" si="0"/>
        <v>1.5183953716826968E-3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1"/>
        <v>8.9873259773170892E-4</v>
      </c>
      <c r="AA17" s="20">
        <f t="shared" si="1"/>
        <v>0</v>
      </c>
      <c r="AB17" s="20">
        <f t="shared" si="1"/>
        <v>0</v>
      </c>
      <c r="AC17" s="20">
        <f t="shared" si="1"/>
        <v>0</v>
      </c>
      <c r="AD17" s="20">
        <f t="shared" si="2"/>
        <v>8.9873259773170892E-4</v>
      </c>
      <c r="AE17" s="20">
        <f t="shared" si="3"/>
        <v>2.3911454034761487E-2</v>
      </c>
      <c r="AF17" s="20">
        <f t="shared" si="3"/>
        <v>0</v>
      </c>
      <c r="AG17" s="20">
        <f t="shared" si="3"/>
        <v>0</v>
      </c>
      <c r="AH17" s="20">
        <f t="shared" si="3"/>
        <v>0</v>
      </c>
      <c r="AI17" s="20">
        <f t="shared" si="9"/>
        <v>1.9077046565683521E-2</v>
      </c>
      <c r="AJ17" s="20">
        <f t="shared" si="10"/>
        <v>0</v>
      </c>
      <c r="AK17" s="20">
        <f t="shared" si="11"/>
        <v>0</v>
      </c>
      <c r="AL17" s="20">
        <f t="shared" si="12"/>
        <v>0</v>
      </c>
      <c r="AM17" s="20">
        <f t="shared" si="4"/>
        <v>1.9077046565683521E-2</v>
      </c>
      <c r="AO17">
        <f t="shared" si="5"/>
        <v>6.017913474411523E-4</v>
      </c>
      <c r="AP17">
        <f t="shared" si="5"/>
        <v>0</v>
      </c>
      <c r="AQ17">
        <f t="shared" si="5"/>
        <v>0</v>
      </c>
      <c r="AR17">
        <f t="shared" si="5"/>
        <v>0</v>
      </c>
      <c r="AS17">
        <f t="shared" si="6"/>
        <v>6.017913474411523E-4</v>
      </c>
      <c r="AU17">
        <f t="shared" si="7"/>
        <v>1.2773990380381685E-2</v>
      </c>
      <c r="AV17">
        <f t="shared" si="7"/>
        <v>0</v>
      </c>
      <c r="AW17">
        <f t="shared" si="7"/>
        <v>0</v>
      </c>
      <c r="AX17">
        <f t="shared" si="7"/>
        <v>0</v>
      </c>
      <c r="AY17">
        <f t="shared" si="8"/>
        <v>1.2773990380381685E-2</v>
      </c>
    </row>
    <row r="18" spans="1:53" ht="15" x14ac:dyDescent="0.25">
      <c r="A18" s="7"/>
      <c r="B18" s="8" t="s">
        <v>14</v>
      </c>
      <c r="C18" s="7"/>
      <c r="D18" s="357">
        <f t="shared" ref="D18:H18" si="13">SUM(D12:D17)</f>
        <v>0</v>
      </c>
      <c r="E18" s="363">
        <f>SUM(E12:E17)</f>
        <v>73.624670000000009</v>
      </c>
      <c r="F18" s="357">
        <f t="shared" si="13"/>
        <v>0</v>
      </c>
      <c r="G18" s="357">
        <f t="shared" si="13"/>
        <v>0</v>
      </c>
      <c r="H18" s="357">
        <f t="shared" si="13"/>
        <v>0</v>
      </c>
      <c r="J18">
        <v>0</v>
      </c>
      <c r="K18" s="14">
        <v>48.403303287812918</v>
      </c>
      <c r="L18">
        <v>0</v>
      </c>
      <c r="M18">
        <v>0</v>
      </c>
      <c r="N18">
        <v>0</v>
      </c>
      <c r="O18" s="20"/>
      <c r="P18" s="20"/>
      <c r="Q18" s="438">
        <v>5.1856896460988372E-2</v>
      </c>
      <c r="R18" s="197"/>
      <c r="S18" s="197"/>
      <c r="T18" s="197"/>
      <c r="U18" s="197"/>
      <c r="AT18" s="424">
        <f>SUM(AS12:AS17)</f>
        <v>1.5771666316256077</v>
      </c>
      <c r="AZ18">
        <f>SUM(AY12:AY17)</f>
        <v>26.221034290165463</v>
      </c>
      <c r="BA18" s="319">
        <f>(E18*10000*Q18*AU$10)</f>
        <v>25564.972369845069</v>
      </c>
    </row>
    <row r="19" spans="1:53" ht="15" x14ac:dyDescent="0.25">
      <c r="A19" s="5"/>
      <c r="B19" s="9" t="s">
        <v>15</v>
      </c>
      <c r="C19" s="5"/>
      <c r="E19" s="363">
        <f>SUM(E18)</f>
        <v>73.624670000000009</v>
      </c>
      <c r="H19" s="358">
        <f>SUM(D18:H18)</f>
        <v>73.624670000000009</v>
      </c>
      <c r="K19" s="14"/>
      <c r="N19">
        <v>0</v>
      </c>
      <c r="O19" s="20"/>
      <c r="P19" s="20"/>
      <c r="Q19" s="438"/>
      <c r="R19" s="197"/>
      <c r="S19" s="197"/>
      <c r="T19" s="197"/>
      <c r="U19" s="197"/>
    </row>
    <row r="20" spans="1:53" ht="15.75" x14ac:dyDescent="0.25">
      <c r="A20" s="1"/>
      <c r="B20" s="2"/>
      <c r="C20" s="1"/>
      <c r="E20" s="361"/>
      <c r="K20" s="14"/>
      <c r="O20" s="20"/>
      <c r="P20" s="20"/>
      <c r="Q20" s="439"/>
      <c r="R20" s="197"/>
      <c r="S20" s="197"/>
      <c r="T20" s="197"/>
      <c r="U20" s="197"/>
    </row>
    <row r="21" spans="1:53" ht="15" x14ac:dyDescent="0.25">
      <c r="A21" s="1">
        <v>2</v>
      </c>
      <c r="B21" s="2" t="s">
        <v>16</v>
      </c>
      <c r="C21" s="1" t="s">
        <v>8</v>
      </c>
      <c r="D21">
        <v>0</v>
      </c>
      <c r="E21" s="360">
        <v>16.384799999999998</v>
      </c>
      <c r="F21">
        <v>0</v>
      </c>
      <c r="G21">
        <v>0</v>
      </c>
      <c r="H21">
        <v>0</v>
      </c>
      <c r="J21">
        <v>0</v>
      </c>
      <c r="K21" s="14">
        <v>-39.910024524594213</v>
      </c>
      <c r="L21">
        <v>0</v>
      </c>
      <c r="M21">
        <v>0</v>
      </c>
      <c r="N21">
        <v>0</v>
      </c>
      <c r="O21" s="20"/>
      <c r="P21" s="20"/>
      <c r="Q21" s="438">
        <v>0.1383857520856529</v>
      </c>
      <c r="R21" s="197">
        <v>0.3</v>
      </c>
      <c r="S21" s="197">
        <v>2.29</v>
      </c>
      <c r="T21" s="197">
        <v>0.50078889239507718</v>
      </c>
      <c r="U21" s="197">
        <v>0.75268470790377973</v>
      </c>
      <c r="V21" s="20">
        <f t="shared" ref="V21:Y26" si="14">IF(K21&gt;0,((E21-K21)*$Q21*$R21*10)+(K21*$O$12*$Q21*$R21*10),(E21*$Q21*$R21*10))</f>
        <v>6.8022686123190166</v>
      </c>
      <c r="W21" s="20">
        <f t="shared" si="14"/>
        <v>0</v>
      </c>
      <c r="X21" s="20">
        <f t="shared" si="14"/>
        <v>0</v>
      </c>
      <c r="Y21" s="20">
        <f t="shared" si="14"/>
        <v>0</v>
      </c>
      <c r="Z21" s="20">
        <f t="shared" ref="Z21:AC26" si="15">V21*(EXP(1.01-0.34*LN(Z$8))*(1-$T21)+(1*$T21))</f>
        <v>4.026237602162472</v>
      </c>
      <c r="AA21" s="20">
        <f t="shared" si="15"/>
        <v>0</v>
      </c>
      <c r="AB21" s="20">
        <f t="shared" si="15"/>
        <v>0</v>
      </c>
      <c r="AC21" s="20">
        <f t="shared" si="15"/>
        <v>0</v>
      </c>
      <c r="AD21" s="20">
        <f t="shared" ref="AD21:AD26" si="16">SUM(Z21:AC21)</f>
        <v>4.026237602162472</v>
      </c>
      <c r="AE21" s="20">
        <f t="shared" ref="AE21:AH26" si="17">IF(K21&gt;0,((E21-K21)*$Q21*$S21*10)+(K21*$P$12*$Q21*$S21)*10,(E21*$Q21*$S21*10))</f>
        <v>51.923983740701829</v>
      </c>
      <c r="AF21" s="20">
        <f t="shared" si="17"/>
        <v>0</v>
      </c>
      <c r="AG21" s="20">
        <f t="shared" si="17"/>
        <v>0</v>
      </c>
      <c r="AH21" s="20">
        <f t="shared" si="17"/>
        <v>0</v>
      </c>
      <c r="AI21" s="20">
        <f t="shared" ref="AI21:AI26" si="18">AE21*(EXP(1.01-0.34*LN(AI$8))*(1-$U21)+(1*$U21))</f>
        <v>41.426015091225018</v>
      </c>
      <c r="AJ21" s="20">
        <f t="shared" ref="AJ21:AJ26" si="19">AF21*(EXP(1.01-0.34*LN(AJ$8))*(1-$U21)+(1*$U21))</f>
        <v>0</v>
      </c>
      <c r="AK21" s="20">
        <f t="shared" ref="AK21:AK26" si="20">AG21*(EXP(1.01-0.34*LN(AK$8))*(1-$U21)+(1*$U21))</f>
        <v>0</v>
      </c>
      <c r="AL21" s="20">
        <f t="shared" ref="AL21:AL26" si="21">AH21*(EXP(1.01-0.34*LN(AL$8))*(1-$U21)+(1*$U21))</f>
        <v>0</v>
      </c>
      <c r="AM21" s="20">
        <f t="shared" ref="AM21:AM26" si="22">SUM(AI21:AL21)</f>
        <v>41.426015091225018</v>
      </c>
      <c r="AO21">
        <f t="shared" ref="AO21:AR26" si="23">Z21*AO$10</f>
        <v>2.6959686984079911</v>
      </c>
      <c r="AP21">
        <f t="shared" si="23"/>
        <v>0</v>
      </c>
      <c r="AQ21">
        <f t="shared" si="23"/>
        <v>0</v>
      </c>
      <c r="AR21">
        <f t="shared" si="23"/>
        <v>0</v>
      </c>
      <c r="AS21">
        <f t="shared" ref="AS21:AS26" si="24">SUM(AO21:AR21)</f>
        <v>2.6959686984079911</v>
      </c>
      <c r="AU21">
        <f t="shared" ref="AU21:AX26" si="25">AI21*AU$10</f>
        <v>27.73885970508427</v>
      </c>
      <c r="AV21">
        <f t="shared" si="25"/>
        <v>0</v>
      </c>
      <c r="AW21">
        <f t="shared" si="25"/>
        <v>0</v>
      </c>
      <c r="AX21">
        <f t="shared" si="25"/>
        <v>0</v>
      </c>
      <c r="AY21">
        <f t="shared" ref="AY21:AY26" si="26">SUM(AU21:AX21)</f>
        <v>27.73885970508427</v>
      </c>
    </row>
    <row r="22" spans="1:53" ht="15" x14ac:dyDescent="0.25">
      <c r="A22" s="1"/>
      <c r="B22" s="2"/>
      <c r="C22" s="1" t="s">
        <v>9</v>
      </c>
      <c r="D22">
        <v>0</v>
      </c>
      <c r="E22" s="360">
        <v>2.0095999999999998</v>
      </c>
      <c r="F22">
        <v>0</v>
      </c>
      <c r="G22">
        <v>0</v>
      </c>
      <c r="H22">
        <v>0</v>
      </c>
      <c r="J22">
        <v>0</v>
      </c>
      <c r="K22" s="14">
        <v>-0.49104187160940027</v>
      </c>
      <c r="L22">
        <v>0</v>
      </c>
      <c r="M22">
        <v>0</v>
      </c>
      <c r="N22">
        <v>0</v>
      </c>
      <c r="O22" s="20"/>
      <c r="P22" s="20"/>
      <c r="Q22" s="438">
        <v>0.14177150417130585</v>
      </c>
      <c r="R22" s="197">
        <v>0.3</v>
      </c>
      <c r="S22" s="197">
        <v>2.29</v>
      </c>
      <c r="T22" s="197">
        <v>0.50078889239507718</v>
      </c>
      <c r="U22" s="197">
        <v>0.75268470790377973</v>
      </c>
      <c r="V22" s="20">
        <f t="shared" si="14"/>
        <v>0.85471204434796855</v>
      </c>
      <c r="W22" s="20">
        <f t="shared" si="14"/>
        <v>0</v>
      </c>
      <c r="X22" s="20">
        <f t="shared" si="14"/>
        <v>0</v>
      </c>
      <c r="Y22" s="20">
        <f t="shared" si="14"/>
        <v>0</v>
      </c>
      <c r="Z22" s="20">
        <f t="shared" si="15"/>
        <v>0.50590089396686688</v>
      </c>
      <c r="AA22" s="20">
        <f t="shared" si="15"/>
        <v>0</v>
      </c>
      <c r="AB22" s="20">
        <f t="shared" si="15"/>
        <v>0</v>
      </c>
      <c r="AC22" s="20">
        <f t="shared" si="15"/>
        <v>0</v>
      </c>
      <c r="AD22" s="20">
        <f t="shared" si="16"/>
        <v>0.50590089396686688</v>
      </c>
      <c r="AE22" s="20">
        <f t="shared" si="17"/>
        <v>6.5243019385228269</v>
      </c>
      <c r="AF22" s="20">
        <f t="shared" si="17"/>
        <v>0</v>
      </c>
      <c r="AG22" s="20">
        <f t="shared" si="17"/>
        <v>0</v>
      </c>
      <c r="AH22" s="20">
        <f t="shared" si="17"/>
        <v>0</v>
      </c>
      <c r="AI22" s="20">
        <f t="shared" si="18"/>
        <v>5.2052213850666709</v>
      </c>
      <c r="AJ22" s="20">
        <f t="shared" si="19"/>
        <v>0</v>
      </c>
      <c r="AK22" s="20">
        <f t="shared" si="20"/>
        <v>0</v>
      </c>
      <c r="AL22" s="20">
        <f t="shared" si="21"/>
        <v>0</v>
      </c>
      <c r="AM22" s="20">
        <f t="shared" si="22"/>
        <v>5.2052213850666709</v>
      </c>
      <c r="AO22">
        <f t="shared" si="23"/>
        <v>0.33875123860021406</v>
      </c>
      <c r="AP22">
        <f t="shared" si="23"/>
        <v>0</v>
      </c>
      <c r="AQ22">
        <f t="shared" si="23"/>
        <v>0</v>
      </c>
      <c r="AR22">
        <f t="shared" si="23"/>
        <v>0</v>
      </c>
      <c r="AS22">
        <f t="shared" si="24"/>
        <v>0.33875123860021406</v>
      </c>
      <c r="AU22">
        <f t="shared" si="25"/>
        <v>3.4854162394406427</v>
      </c>
      <c r="AV22">
        <f t="shared" si="25"/>
        <v>0</v>
      </c>
      <c r="AW22">
        <f t="shared" si="25"/>
        <v>0</v>
      </c>
      <c r="AX22">
        <f t="shared" si="25"/>
        <v>0</v>
      </c>
      <c r="AY22">
        <f t="shared" si="26"/>
        <v>3.4854162394406427</v>
      </c>
    </row>
    <row r="23" spans="1:53" ht="15" x14ac:dyDescent="0.25">
      <c r="A23" s="1"/>
      <c r="B23" s="2"/>
      <c r="C23" s="1" t="s">
        <v>10</v>
      </c>
      <c r="D23">
        <v>0</v>
      </c>
      <c r="E23" s="360">
        <v>0</v>
      </c>
      <c r="F23">
        <v>0</v>
      </c>
      <c r="G23">
        <v>0</v>
      </c>
      <c r="H23">
        <v>0</v>
      </c>
      <c r="J23">
        <v>0</v>
      </c>
      <c r="K23" s="14">
        <v>0</v>
      </c>
      <c r="L23">
        <v>0</v>
      </c>
      <c r="M23">
        <v>0</v>
      </c>
      <c r="N23">
        <v>0</v>
      </c>
      <c r="O23" s="20"/>
      <c r="P23" s="20"/>
      <c r="Q23" s="438"/>
      <c r="R23" s="197">
        <v>0.3</v>
      </c>
      <c r="S23" s="197">
        <v>2.29</v>
      </c>
      <c r="T23" s="197">
        <v>0.50078889239507718</v>
      </c>
      <c r="U23" s="197">
        <v>0.75268470790377973</v>
      </c>
      <c r="V23" s="20">
        <f t="shared" si="14"/>
        <v>0</v>
      </c>
      <c r="W23" s="20">
        <f t="shared" si="14"/>
        <v>0</v>
      </c>
      <c r="X23" s="20">
        <f t="shared" si="14"/>
        <v>0</v>
      </c>
      <c r="Y23" s="20">
        <f t="shared" si="14"/>
        <v>0</v>
      </c>
      <c r="Z23" s="20">
        <f t="shared" si="15"/>
        <v>0</v>
      </c>
      <c r="AA23" s="20">
        <f t="shared" si="15"/>
        <v>0</v>
      </c>
      <c r="AB23" s="20">
        <f t="shared" si="15"/>
        <v>0</v>
      </c>
      <c r="AC23" s="20">
        <f t="shared" si="15"/>
        <v>0</v>
      </c>
      <c r="AD23" s="20">
        <f t="shared" si="16"/>
        <v>0</v>
      </c>
      <c r="AE23" s="20">
        <f t="shared" si="17"/>
        <v>0</v>
      </c>
      <c r="AF23" s="20">
        <f t="shared" si="17"/>
        <v>0</v>
      </c>
      <c r="AG23" s="20">
        <f t="shared" si="17"/>
        <v>0</v>
      </c>
      <c r="AH23" s="20">
        <f t="shared" si="17"/>
        <v>0</v>
      </c>
      <c r="AI23" s="20">
        <f t="shared" si="18"/>
        <v>0</v>
      </c>
      <c r="AJ23" s="20">
        <f t="shared" si="19"/>
        <v>0</v>
      </c>
      <c r="AK23" s="20">
        <f t="shared" si="20"/>
        <v>0</v>
      </c>
      <c r="AL23" s="20">
        <f t="shared" si="21"/>
        <v>0</v>
      </c>
      <c r="AM23" s="20">
        <f t="shared" si="22"/>
        <v>0</v>
      </c>
      <c r="AO23">
        <f t="shared" si="23"/>
        <v>0</v>
      </c>
      <c r="AP23">
        <f t="shared" si="23"/>
        <v>0</v>
      </c>
      <c r="AQ23">
        <f t="shared" si="23"/>
        <v>0</v>
      </c>
      <c r="AR23">
        <f t="shared" si="23"/>
        <v>0</v>
      </c>
      <c r="AS23">
        <f t="shared" si="24"/>
        <v>0</v>
      </c>
      <c r="AU23">
        <f t="shared" si="25"/>
        <v>0</v>
      </c>
      <c r="AV23">
        <f t="shared" si="25"/>
        <v>0</v>
      </c>
      <c r="AW23">
        <f t="shared" si="25"/>
        <v>0</v>
      </c>
      <c r="AX23">
        <f t="shared" si="25"/>
        <v>0</v>
      </c>
      <c r="AY23">
        <f t="shared" si="26"/>
        <v>0</v>
      </c>
    </row>
    <row r="24" spans="1:53" ht="15" x14ac:dyDescent="0.25">
      <c r="A24" s="1"/>
      <c r="B24" s="2"/>
      <c r="C24" s="1" t="s">
        <v>11</v>
      </c>
      <c r="D24">
        <v>0</v>
      </c>
      <c r="E24" s="360">
        <v>0.63349999999999995</v>
      </c>
      <c r="F24">
        <v>0</v>
      </c>
      <c r="G24">
        <v>0</v>
      </c>
      <c r="H24">
        <v>0</v>
      </c>
      <c r="J24">
        <v>0</v>
      </c>
      <c r="K24" s="14">
        <v>-9.2556332118376989</v>
      </c>
      <c r="L24">
        <v>0</v>
      </c>
      <c r="M24">
        <v>0</v>
      </c>
      <c r="N24">
        <v>0</v>
      </c>
      <c r="O24" s="20"/>
      <c r="P24" s="20"/>
      <c r="Q24" s="438">
        <v>0.14854300834261164</v>
      </c>
      <c r="R24" s="197">
        <v>0.3</v>
      </c>
      <c r="S24" s="197">
        <v>2.29</v>
      </c>
      <c r="T24" s="197">
        <v>0.50078889239507718</v>
      </c>
      <c r="U24" s="197">
        <v>0.75268470790377973</v>
      </c>
      <c r="V24" s="20">
        <f t="shared" si="14"/>
        <v>0.2823059873551334</v>
      </c>
      <c r="W24" s="20">
        <f t="shared" si="14"/>
        <v>0</v>
      </c>
      <c r="X24" s="20">
        <f t="shared" si="14"/>
        <v>0</v>
      </c>
      <c r="Y24" s="20">
        <f t="shared" si="14"/>
        <v>0</v>
      </c>
      <c r="Z24" s="20">
        <f t="shared" si="15"/>
        <v>0.1670958685086891</v>
      </c>
      <c r="AA24" s="20">
        <f t="shared" si="15"/>
        <v>0</v>
      </c>
      <c r="AB24" s="20">
        <f t="shared" si="15"/>
        <v>0</v>
      </c>
      <c r="AC24" s="20">
        <f t="shared" si="15"/>
        <v>0</v>
      </c>
      <c r="AD24" s="20">
        <f t="shared" si="16"/>
        <v>0.1670958685086891</v>
      </c>
      <c r="AE24" s="20">
        <f t="shared" si="17"/>
        <v>2.1549357034775181</v>
      </c>
      <c r="AF24" s="20">
        <f t="shared" si="17"/>
        <v>0</v>
      </c>
      <c r="AG24" s="20">
        <f t="shared" si="17"/>
        <v>0</v>
      </c>
      <c r="AH24" s="20">
        <f t="shared" si="17"/>
        <v>0</v>
      </c>
      <c r="AI24" s="20">
        <f t="shared" si="18"/>
        <v>1.7192517318909524</v>
      </c>
      <c r="AJ24" s="20">
        <f t="shared" si="19"/>
        <v>0</v>
      </c>
      <c r="AK24" s="20">
        <f t="shared" si="20"/>
        <v>0</v>
      </c>
      <c r="AL24" s="20">
        <f t="shared" si="21"/>
        <v>0</v>
      </c>
      <c r="AM24" s="20">
        <f t="shared" si="22"/>
        <v>1.7192517318909524</v>
      </c>
      <c r="AO24">
        <f t="shared" si="23"/>
        <v>0.11188739355341822</v>
      </c>
      <c r="AP24">
        <f t="shared" si="23"/>
        <v>0</v>
      </c>
      <c r="AQ24">
        <f t="shared" si="23"/>
        <v>0</v>
      </c>
      <c r="AR24">
        <f t="shared" si="23"/>
        <v>0</v>
      </c>
      <c r="AS24">
        <f t="shared" si="24"/>
        <v>0.11188739355341822</v>
      </c>
      <c r="AU24">
        <f t="shared" si="25"/>
        <v>1.1512109596741817</v>
      </c>
      <c r="AV24">
        <f t="shared" si="25"/>
        <v>0</v>
      </c>
      <c r="AW24">
        <f t="shared" si="25"/>
        <v>0</v>
      </c>
      <c r="AX24">
        <f t="shared" si="25"/>
        <v>0</v>
      </c>
      <c r="AY24">
        <f t="shared" si="26"/>
        <v>1.1512109596741817</v>
      </c>
    </row>
    <row r="25" spans="1:53" ht="15" x14ac:dyDescent="0.25">
      <c r="A25" s="1"/>
      <c r="B25" s="2"/>
      <c r="C25" s="1" t="s">
        <v>12</v>
      </c>
      <c r="D25">
        <v>0</v>
      </c>
      <c r="E25" s="360">
        <v>0</v>
      </c>
      <c r="F25">
        <v>0</v>
      </c>
      <c r="G25">
        <v>0</v>
      </c>
      <c r="H25">
        <v>0</v>
      </c>
      <c r="J25">
        <v>0</v>
      </c>
      <c r="K25" s="14">
        <v>0</v>
      </c>
      <c r="L25">
        <v>0</v>
      </c>
      <c r="M25">
        <v>0</v>
      </c>
      <c r="N25">
        <v>0</v>
      </c>
      <c r="O25" s="20"/>
      <c r="P25" s="20"/>
      <c r="Q25" s="438"/>
      <c r="R25" s="197">
        <v>0.3</v>
      </c>
      <c r="S25" s="197">
        <v>2.29</v>
      </c>
      <c r="T25" s="197">
        <v>0.50078889239507718</v>
      </c>
      <c r="U25" s="197">
        <v>0.75268470790377973</v>
      </c>
      <c r="V25" s="20">
        <f t="shared" si="14"/>
        <v>0</v>
      </c>
      <c r="W25" s="20">
        <f t="shared" si="14"/>
        <v>0</v>
      </c>
      <c r="X25" s="20">
        <f t="shared" si="14"/>
        <v>0</v>
      </c>
      <c r="Y25" s="20">
        <f t="shared" si="14"/>
        <v>0</v>
      </c>
      <c r="Z25" s="20">
        <f t="shared" si="15"/>
        <v>0</v>
      </c>
      <c r="AA25" s="20">
        <f t="shared" si="15"/>
        <v>0</v>
      </c>
      <c r="AB25" s="20">
        <f t="shared" si="15"/>
        <v>0</v>
      </c>
      <c r="AC25" s="20">
        <f t="shared" si="15"/>
        <v>0</v>
      </c>
      <c r="AD25" s="20">
        <f t="shared" si="16"/>
        <v>0</v>
      </c>
      <c r="AE25" s="20">
        <f t="shared" si="17"/>
        <v>0</v>
      </c>
      <c r="AF25" s="20">
        <f t="shared" si="17"/>
        <v>0</v>
      </c>
      <c r="AG25" s="20">
        <f t="shared" si="17"/>
        <v>0</v>
      </c>
      <c r="AH25" s="20">
        <f t="shared" si="17"/>
        <v>0</v>
      </c>
      <c r="AI25" s="20">
        <f t="shared" si="18"/>
        <v>0</v>
      </c>
      <c r="AJ25" s="20">
        <f t="shared" si="19"/>
        <v>0</v>
      </c>
      <c r="AK25" s="20">
        <f t="shared" si="20"/>
        <v>0</v>
      </c>
      <c r="AL25" s="20">
        <f t="shared" si="21"/>
        <v>0</v>
      </c>
      <c r="AM25" s="20">
        <f t="shared" si="22"/>
        <v>0</v>
      </c>
      <c r="AO25">
        <f t="shared" si="23"/>
        <v>0</v>
      </c>
      <c r="AP25">
        <f t="shared" si="23"/>
        <v>0</v>
      </c>
      <c r="AQ25">
        <f t="shared" si="23"/>
        <v>0</v>
      </c>
      <c r="AR25">
        <f t="shared" si="23"/>
        <v>0</v>
      </c>
      <c r="AS25">
        <f t="shared" si="24"/>
        <v>0</v>
      </c>
      <c r="AU25">
        <f t="shared" si="25"/>
        <v>0</v>
      </c>
      <c r="AV25">
        <f t="shared" si="25"/>
        <v>0</v>
      </c>
      <c r="AW25">
        <f t="shared" si="25"/>
        <v>0</v>
      </c>
      <c r="AX25">
        <f t="shared" si="25"/>
        <v>0</v>
      </c>
      <c r="AY25">
        <f t="shared" si="26"/>
        <v>0</v>
      </c>
    </row>
    <row r="26" spans="1:53" ht="15" x14ac:dyDescent="0.25">
      <c r="A26" s="1"/>
      <c r="B26" s="2"/>
      <c r="C26" s="1" t="s">
        <v>13</v>
      </c>
      <c r="D26">
        <v>0</v>
      </c>
      <c r="E26" s="360">
        <v>3.5499999999999997E-2</v>
      </c>
      <c r="F26">
        <v>0</v>
      </c>
      <c r="G26">
        <v>0</v>
      </c>
      <c r="H26">
        <v>0</v>
      </c>
      <c r="J26">
        <v>0</v>
      </c>
      <c r="K26" s="14">
        <v>-1.4578033836145998</v>
      </c>
      <c r="L26">
        <v>0</v>
      </c>
      <c r="M26">
        <v>0</v>
      </c>
      <c r="N26">
        <v>0</v>
      </c>
      <c r="O26" s="20"/>
      <c r="P26" s="20"/>
      <c r="Q26" s="438">
        <v>0.14854300834261164</v>
      </c>
      <c r="R26" s="197">
        <v>0.3</v>
      </c>
      <c r="S26" s="197">
        <v>2.29</v>
      </c>
      <c r="T26" s="197">
        <v>0.50078889239507718</v>
      </c>
      <c r="U26" s="197">
        <v>0.75268470790377973</v>
      </c>
      <c r="V26" s="20">
        <f t="shared" si="14"/>
        <v>1.5819830388488137E-2</v>
      </c>
      <c r="W26" s="20">
        <f t="shared" si="14"/>
        <v>0</v>
      </c>
      <c r="X26" s="20">
        <f t="shared" si="14"/>
        <v>0</v>
      </c>
      <c r="Y26" s="20">
        <f t="shared" si="14"/>
        <v>0</v>
      </c>
      <c r="Z26" s="20">
        <f t="shared" si="15"/>
        <v>9.3636990245595294E-3</v>
      </c>
      <c r="AA26" s="20">
        <f t="shared" si="15"/>
        <v>0</v>
      </c>
      <c r="AB26" s="20">
        <f t="shared" si="15"/>
        <v>0</v>
      </c>
      <c r="AC26" s="20">
        <f t="shared" si="15"/>
        <v>0</v>
      </c>
      <c r="AD26" s="20">
        <f t="shared" si="16"/>
        <v>9.3636990245595294E-3</v>
      </c>
      <c r="AE26" s="20">
        <f t="shared" si="17"/>
        <v>0.12075803863212611</v>
      </c>
      <c r="AF26" s="20">
        <f t="shared" si="17"/>
        <v>0</v>
      </c>
      <c r="AG26" s="20">
        <f t="shared" si="17"/>
        <v>0</v>
      </c>
      <c r="AH26" s="20">
        <f t="shared" si="17"/>
        <v>0</v>
      </c>
      <c r="AI26" s="20">
        <f t="shared" si="18"/>
        <v>9.6343230437456684E-2</v>
      </c>
      <c r="AJ26" s="20">
        <f t="shared" si="19"/>
        <v>0</v>
      </c>
      <c r="AK26" s="20">
        <f t="shared" si="20"/>
        <v>0</v>
      </c>
      <c r="AL26" s="20">
        <f t="shared" si="21"/>
        <v>0</v>
      </c>
      <c r="AM26" s="20">
        <f t="shared" si="22"/>
        <v>9.6343230437456684E-2</v>
      </c>
      <c r="AO26">
        <f t="shared" si="23"/>
        <v>6.2699328668450608E-3</v>
      </c>
      <c r="AP26">
        <f t="shared" si="23"/>
        <v>0</v>
      </c>
      <c r="AQ26">
        <f t="shared" si="23"/>
        <v>0</v>
      </c>
      <c r="AR26">
        <f t="shared" si="23"/>
        <v>0</v>
      </c>
      <c r="AS26">
        <f t="shared" si="24"/>
        <v>6.2699328668450608E-3</v>
      </c>
      <c r="AU26">
        <f t="shared" si="25"/>
        <v>6.451142710092099E-2</v>
      </c>
      <c r="AV26">
        <f t="shared" si="25"/>
        <v>0</v>
      </c>
      <c r="AW26">
        <f t="shared" si="25"/>
        <v>0</v>
      </c>
      <c r="AX26">
        <f t="shared" si="25"/>
        <v>0</v>
      </c>
      <c r="AY26">
        <f t="shared" si="26"/>
        <v>6.451142710092099E-2</v>
      </c>
    </row>
    <row r="27" spans="1:53" ht="15" x14ac:dyDescent="0.25">
      <c r="A27" s="7"/>
      <c r="B27" s="8" t="s">
        <v>14</v>
      </c>
      <c r="C27" s="7"/>
      <c r="D27" s="357">
        <f t="shared" ref="D27:H27" si="27">SUM(D21:D26)</f>
        <v>0</v>
      </c>
      <c r="E27" s="363">
        <f>SUM(E21:E26)</f>
        <v>19.063399999999998</v>
      </c>
      <c r="F27" s="357">
        <f t="shared" si="27"/>
        <v>0</v>
      </c>
      <c r="G27" s="357">
        <f t="shared" si="27"/>
        <v>0</v>
      </c>
      <c r="H27" s="357">
        <f t="shared" si="27"/>
        <v>0</v>
      </c>
      <c r="J27">
        <v>0</v>
      </c>
      <c r="K27" s="14">
        <v>-51.114502991655911</v>
      </c>
      <c r="L27">
        <v>0</v>
      </c>
      <c r="M27">
        <v>0</v>
      </c>
      <c r="N27">
        <v>0</v>
      </c>
      <c r="O27" s="20"/>
      <c r="P27" s="20"/>
      <c r="Q27" s="438">
        <v>0.13909911968152949</v>
      </c>
      <c r="R27" s="197"/>
      <c r="S27" s="197"/>
      <c r="T27" s="197"/>
      <c r="U27" s="197"/>
      <c r="AT27" s="424">
        <f>SUM(AS21:AS26)</f>
        <v>3.1528772634284685</v>
      </c>
      <c r="AZ27">
        <f>SUM(AY21:AY26)</f>
        <v>32.439998331300011</v>
      </c>
      <c r="BA27" s="319">
        <f>(E27*10000*Q27*AU$10)</f>
        <v>17755.797650884473</v>
      </c>
    </row>
    <row r="28" spans="1:53" ht="15" x14ac:dyDescent="0.25">
      <c r="A28" s="5"/>
      <c r="B28" s="9" t="s">
        <v>15</v>
      </c>
      <c r="C28" s="5"/>
      <c r="E28" s="363">
        <f>SUM(E27)</f>
        <v>19.063399999999998</v>
      </c>
      <c r="H28" s="358">
        <f>SUM(D27:H27)</f>
        <v>19.063399999999998</v>
      </c>
      <c r="K28" s="14"/>
      <c r="N28">
        <v>0</v>
      </c>
      <c r="O28" s="20"/>
      <c r="P28" s="20"/>
      <c r="Q28" s="438"/>
      <c r="R28" s="197"/>
      <c r="S28" s="197"/>
      <c r="T28" s="197"/>
      <c r="U28" s="197"/>
    </row>
    <row r="29" spans="1:53" ht="15.75" x14ac:dyDescent="0.25">
      <c r="A29" s="1"/>
      <c r="B29" s="2"/>
      <c r="C29" s="1"/>
      <c r="E29" s="361"/>
      <c r="K29" s="14"/>
      <c r="O29" s="20"/>
      <c r="P29" s="20"/>
      <c r="Q29" s="439"/>
      <c r="R29" s="197"/>
      <c r="S29" s="197"/>
      <c r="T29" s="197"/>
      <c r="U29" s="197"/>
    </row>
    <row r="30" spans="1:53" ht="15" x14ac:dyDescent="0.25">
      <c r="A30" s="1">
        <v>3</v>
      </c>
      <c r="B30" s="2" t="s">
        <v>17</v>
      </c>
      <c r="C30" s="1" t="s">
        <v>8</v>
      </c>
      <c r="D30">
        <v>0</v>
      </c>
      <c r="E30" s="360">
        <v>23.123049999999999</v>
      </c>
      <c r="F30">
        <v>0</v>
      </c>
      <c r="G30">
        <v>0</v>
      </c>
      <c r="H30">
        <v>0</v>
      </c>
      <c r="J30">
        <v>0</v>
      </c>
      <c r="K30" s="14">
        <v>3.4634967865729998</v>
      </c>
      <c r="L30">
        <v>0</v>
      </c>
      <c r="M30">
        <v>0</v>
      </c>
      <c r="N30">
        <v>0</v>
      </c>
      <c r="O30" s="20"/>
      <c r="P30" s="20"/>
      <c r="Q30" s="438">
        <v>0.22798742831087024</v>
      </c>
      <c r="R30" s="197">
        <v>0.49</v>
      </c>
      <c r="S30" s="197">
        <v>2.42</v>
      </c>
      <c r="T30" s="197">
        <v>0.50078889239507718</v>
      </c>
      <c r="U30" s="197">
        <v>0.75268470790377973</v>
      </c>
      <c r="V30" s="20">
        <f t="shared" ref="V30:Y35" si="28">IF(K30&gt;0,((E30-K30)*$Q30*$R30*10)+(K30*$O$12*$Q30*$R30*10),(E30*$Q30*$R30*10))</f>
        <v>23.385349941971043</v>
      </c>
      <c r="W30" s="20">
        <f t="shared" si="28"/>
        <v>0</v>
      </c>
      <c r="X30" s="20">
        <f t="shared" si="28"/>
        <v>0</v>
      </c>
      <c r="Y30" s="20">
        <f t="shared" si="28"/>
        <v>0</v>
      </c>
      <c r="Z30" s="20">
        <f t="shared" ref="Z30:AC35" si="29">V30*(EXP(1.01-0.34*LN(Z$8))*(1-$T30)+(1*$T30))</f>
        <v>13.841702032403665</v>
      </c>
      <c r="AA30" s="20">
        <f t="shared" si="29"/>
        <v>0</v>
      </c>
      <c r="AB30" s="20">
        <f t="shared" si="29"/>
        <v>0</v>
      </c>
      <c r="AC30" s="20">
        <f t="shared" si="29"/>
        <v>0</v>
      </c>
      <c r="AD30" s="20">
        <f t="shared" ref="AD30:AD35" si="30">SUM(Z30:AC30)</f>
        <v>13.841702032403665</v>
      </c>
      <c r="AE30" s="20">
        <f t="shared" ref="AE30:AH35" si="31">IF(K30&gt;0,((E30-K30)*$Q30*$S30*10)+(K30*$P$12*$Q30*$S30)*10,(E30*$Q30*$S30*10))</f>
        <v>119.53424749580168</v>
      </c>
      <c r="AF30" s="20">
        <f t="shared" si="31"/>
        <v>0</v>
      </c>
      <c r="AG30" s="20">
        <f t="shared" si="31"/>
        <v>0</v>
      </c>
      <c r="AH30" s="20">
        <f t="shared" si="31"/>
        <v>0</v>
      </c>
      <c r="AI30" s="20">
        <f t="shared" ref="AI30:AI35" si="32">AE30*(EXP(1.01-0.34*LN(AI$8))*(1-$U30)+(1*$U30))</f>
        <v>95.366864865526509</v>
      </c>
      <c r="AJ30" s="20">
        <f t="shared" ref="AJ30:AJ35" si="33">AF30*(EXP(1.01-0.34*LN(AJ$8))*(1-$U30)+(1*$U30))</f>
        <v>0</v>
      </c>
      <c r="AK30" s="20">
        <f t="shared" ref="AK30:AK35" si="34">AG30*(EXP(1.01-0.34*LN(AK$8))*(1-$U30)+(1*$U30))</f>
        <v>0</v>
      </c>
      <c r="AL30" s="20">
        <f t="shared" ref="AL30:AL35" si="35">AH30*(EXP(1.01-0.34*LN(AL$8))*(1-$U30)+(1*$U30))</f>
        <v>0</v>
      </c>
      <c r="AM30" s="20">
        <f t="shared" ref="AM30:AM35" si="36">SUM(AI30:AL30)</f>
        <v>95.366864865526509</v>
      </c>
      <c r="AO30">
        <f t="shared" ref="AO30:AR35" si="37">Z30*AO$10</f>
        <v>9.2684036808974941</v>
      </c>
      <c r="AP30">
        <f t="shared" si="37"/>
        <v>0</v>
      </c>
      <c r="AQ30">
        <f t="shared" si="37"/>
        <v>0</v>
      </c>
      <c r="AR30">
        <f t="shared" si="37"/>
        <v>0</v>
      </c>
      <c r="AS30">
        <f t="shared" ref="AS30:AS35" si="38">SUM(AO30:AR30)</f>
        <v>9.2684036808974941</v>
      </c>
      <c r="AU30">
        <f t="shared" ref="AU30:AX35" si="39">AI30*AU$10</f>
        <v>63.857652713956547</v>
      </c>
      <c r="AV30">
        <f t="shared" si="39"/>
        <v>0</v>
      </c>
      <c r="AW30">
        <f t="shared" si="39"/>
        <v>0</v>
      </c>
      <c r="AX30">
        <f t="shared" si="39"/>
        <v>0</v>
      </c>
      <c r="AY30">
        <f t="shared" ref="AY30:AY35" si="40">SUM(AU30:AX30)</f>
        <v>63.857652713956547</v>
      </c>
    </row>
    <row r="31" spans="1:53" ht="15" x14ac:dyDescent="0.25">
      <c r="A31" s="1"/>
      <c r="B31" s="2"/>
      <c r="C31" s="1" t="s">
        <v>9</v>
      </c>
      <c r="D31">
        <v>0</v>
      </c>
      <c r="E31" s="360">
        <v>3.0118</v>
      </c>
      <c r="F31">
        <v>0</v>
      </c>
      <c r="G31">
        <v>0</v>
      </c>
      <c r="H31">
        <v>0</v>
      </c>
      <c r="J31">
        <v>0</v>
      </c>
      <c r="K31" s="14">
        <v>3.0118</v>
      </c>
      <c r="L31">
        <v>0</v>
      </c>
      <c r="M31">
        <v>0</v>
      </c>
      <c r="N31">
        <v>0</v>
      </c>
      <c r="O31" s="20"/>
      <c r="P31" s="20"/>
      <c r="Q31" s="438">
        <v>0.23097485662174042</v>
      </c>
      <c r="R31" s="197">
        <v>0.49</v>
      </c>
      <c r="S31" s="197">
        <v>2.42</v>
      </c>
      <c r="T31" s="197">
        <v>0.50078889239507718</v>
      </c>
      <c r="U31" s="197">
        <v>0.75268470790377973</v>
      </c>
      <c r="V31" s="20">
        <f t="shared" si="28"/>
        <v>1.2535510120512208</v>
      </c>
      <c r="W31" s="20">
        <f t="shared" si="28"/>
        <v>0</v>
      </c>
      <c r="X31" s="20">
        <f t="shared" si="28"/>
        <v>0</v>
      </c>
      <c r="Y31" s="20">
        <f t="shared" si="28"/>
        <v>0</v>
      </c>
      <c r="Z31" s="20">
        <f t="shared" si="29"/>
        <v>0.74197220201052916</v>
      </c>
      <c r="AA31" s="20">
        <f t="shared" si="29"/>
        <v>0</v>
      </c>
      <c r="AB31" s="20">
        <f t="shared" si="29"/>
        <v>0</v>
      </c>
      <c r="AC31" s="20">
        <f t="shared" si="29"/>
        <v>0</v>
      </c>
      <c r="AD31" s="20">
        <f t="shared" si="30"/>
        <v>0.74197220201052916</v>
      </c>
      <c r="AE31" s="20">
        <f t="shared" si="31"/>
        <v>9.7495015465248471</v>
      </c>
      <c r="AF31" s="20">
        <f t="shared" si="31"/>
        <v>0</v>
      </c>
      <c r="AG31" s="20">
        <f t="shared" si="31"/>
        <v>0</v>
      </c>
      <c r="AH31" s="20">
        <f t="shared" si="31"/>
        <v>0</v>
      </c>
      <c r="AI31" s="20">
        <f t="shared" si="32"/>
        <v>7.7783515266311678</v>
      </c>
      <c r="AJ31" s="20">
        <f t="shared" si="33"/>
        <v>0</v>
      </c>
      <c r="AK31" s="20">
        <f t="shared" si="34"/>
        <v>0</v>
      </c>
      <c r="AL31" s="20">
        <f t="shared" si="35"/>
        <v>0</v>
      </c>
      <c r="AM31" s="20">
        <f t="shared" si="36"/>
        <v>7.7783515266311678</v>
      </c>
      <c r="AO31">
        <f t="shared" si="37"/>
        <v>0.49682458646625033</v>
      </c>
      <c r="AP31">
        <f t="shared" si="37"/>
        <v>0</v>
      </c>
      <c r="AQ31">
        <f t="shared" si="37"/>
        <v>0</v>
      </c>
      <c r="AR31">
        <f t="shared" si="37"/>
        <v>0</v>
      </c>
      <c r="AS31">
        <f t="shared" si="38"/>
        <v>0.49682458646625033</v>
      </c>
      <c r="AU31">
        <f t="shared" si="39"/>
        <v>5.2083841822322299</v>
      </c>
      <c r="AV31">
        <f t="shared" si="39"/>
        <v>0</v>
      </c>
      <c r="AW31">
        <f t="shared" si="39"/>
        <v>0</v>
      </c>
      <c r="AX31">
        <f t="shared" si="39"/>
        <v>0</v>
      </c>
      <c r="AY31">
        <f t="shared" si="40"/>
        <v>5.2083841822322299</v>
      </c>
    </row>
    <row r="32" spans="1:53" ht="15" x14ac:dyDescent="0.25">
      <c r="A32" s="1"/>
      <c r="B32" s="2"/>
      <c r="C32" s="1" t="s">
        <v>10</v>
      </c>
      <c r="D32">
        <v>0</v>
      </c>
      <c r="E32" s="360">
        <v>1.19706</v>
      </c>
      <c r="F32">
        <v>0</v>
      </c>
      <c r="G32">
        <v>0</v>
      </c>
      <c r="H32">
        <v>0</v>
      </c>
      <c r="J32">
        <v>0</v>
      </c>
      <c r="K32" s="14">
        <v>2.7851047800000472E-3</v>
      </c>
      <c r="L32">
        <v>0</v>
      </c>
      <c r="M32">
        <v>0</v>
      </c>
      <c r="N32">
        <v>0</v>
      </c>
      <c r="O32" s="20"/>
      <c r="P32" s="20"/>
      <c r="Q32" s="438">
        <v>0.23396228493261068</v>
      </c>
      <c r="R32" s="197">
        <v>0.49</v>
      </c>
      <c r="S32" s="197">
        <v>2.42</v>
      </c>
      <c r="T32" s="197">
        <v>0.50078889239507718</v>
      </c>
      <c r="U32" s="197">
        <v>0.75268470790377973</v>
      </c>
      <c r="V32" s="20">
        <f t="shared" si="28"/>
        <v>1.3703090788036962</v>
      </c>
      <c r="W32" s="20">
        <f t="shared" si="28"/>
        <v>0</v>
      </c>
      <c r="X32" s="20">
        <f t="shared" si="28"/>
        <v>0</v>
      </c>
      <c r="Y32" s="20">
        <f t="shared" si="28"/>
        <v>0</v>
      </c>
      <c r="Z32" s="20">
        <f t="shared" si="29"/>
        <v>0.8110808693547239</v>
      </c>
      <c r="AA32" s="20">
        <f t="shared" si="29"/>
        <v>0</v>
      </c>
      <c r="AB32" s="20">
        <f t="shared" si="29"/>
        <v>0</v>
      </c>
      <c r="AC32" s="20">
        <f t="shared" si="29"/>
        <v>0</v>
      </c>
      <c r="AD32" s="20">
        <f t="shared" si="30"/>
        <v>0.8110808693547239</v>
      </c>
      <c r="AE32" s="20">
        <f t="shared" si="31"/>
        <v>6.770982131198112</v>
      </c>
      <c r="AF32" s="20">
        <f t="shared" si="31"/>
        <v>0</v>
      </c>
      <c r="AG32" s="20">
        <f t="shared" si="31"/>
        <v>0</v>
      </c>
      <c r="AH32" s="20">
        <f t="shared" si="31"/>
        <v>0</v>
      </c>
      <c r="AI32" s="20">
        <f t="shared" si="32"/>
        <v>5.4020278827249442</v>
      </c>
      <c r="AJ32" s="20">
        <f t="shared" si="33"/>
        <v>0</v>
      </c>
      <c r="AK32" s="20">
        <f t="shared" si="34"/>
        <v>0</v>
      </c>
      <c r="AL32" s="20">
        <f t="shared" si="35"/>
        <v>0</v>
      </c>
      <c r="AM32" s="20">
        <f t="shared" si="36"/>
        <v>5.4020278827249442</v>
      </c>
      <c r="AO32">
        <f t="shared" si="37"/>
        <v>0.54309975011992306</v>
      </c>
      <c r="AP32">
        <f t="shared" si="37"/>
        <v>0</v>
      </c>
      <c r="AQ32">
        <f t="shared" si="37"/>
        <v>0</v>
      </c>
      <c r="AR32">
        <f t="shared" si="37"/>
        <v>0</v>
      </c>
      <c r="AS32">
        <f t="shared" si="38"/>
        <v>0.54309975011992306</v>
      </c>
      <c r="AU32">
        <f t="shared" si="39"/>
        <v>3.6171978702726224</v>
      </c>
      <c r="AV32">
        <f t="shared" si="39"/>
        <v>0</v>
      </c>
      <c r="AW32">
        <f t="shared" si="39"/>
        <v>0</v>
      </c>
      <c r="AX32">
        <f t="shared" si="39"/>
        <v>0</v>
      </c>
      <c r="AY32">
        <f t="shared" si="40"/>
        <v>3.6171978702726224</v>
      </c>
    </row>
    <row r="33" spans="1:53" ht="15" x14ac:dyDescent="0.25">
      <c r="A33" s="1"/>
      <c r="B33" s="2"/>
      <c r="C33" s="1" t="s">
        <v>11</v>
      </c>
      <c r="D33">
        <v>0</v>
      </c>
      <c r="E33" s="360">
        <v>6.4028799999999997</v>
      </c>
      <c r="F33">
        <v>0</v>
      </c>
      <c r="G33">
        <v>0</v>
      </c>
      <c r="H33">
        <v>0</v>
      </c>
      <c r="J33">
        <v>0</v>
      </c>
      <c r="K33" s="14">
        <v>6.2604168422762765</v>
      </c>
      <c r="L33">
        <v>0</v>
      </c>
      <c r="M33">
        <v>0</v>
      </c>
      <c r="N33">
        <v>0</v>
      </c>
      <c r="O33" s="20"/>
      <c r="P33" s="20"/>
      <c r="Q33" s="438">
        <v>0.23694971324348088</v>
      </c>
      <c r="R33" s="197">
        <v>0.49</v>
      </c>
      <c r="S33" s="197">
        <v>2.42</v>
      </c>
      <c r="T33" s="197">
        <v>0.50078889239507718</v>
      </c>
      <c r="U33" s="197">
        <v>0.75268470790377973</v>
      </c>
      <c r="V33" s="20">
        <f t="shared" si="28"/>
        <v>2.8384791061845021</v>
      </c>
      <c r="W33" s="20">
        <f t="shared" si="28"/>
        <v>0</v>
      </c>
      <c r="X33" s="20">
        <f t="shared" si="28"/>
        <v>0</v>
      </c>
      <c r="Y33" s="20">
        <f t="shared" si="28"/>
        <v>0</v>
      </c>
      <c r="Z33" s="20">
        <f t="shared" si="29"/>
        <v>1.6800852717835293</v>
      </c>
      <c r="AA33" s="20">
        <f t="shared" si="29"/>
        <v>0</v>
      </c>
      <c r="AB33" s="20">
        <f t="shared" si="29"/>
        <v>0</v>
      </c>
      <c r="AC33" s="20">
        <f t="shared" si="29"/>
        <v>0</v>
      </c>
      <c r="AD33" s="20">
        <f t="shared" si="30"/>
        <v>1.6800852717835293</v>
      </c>
      <c r="AE33" s="20">
        <f t="shared" si="31"/>
        <v>21.606743553358083</v>
      </c>
      <c r="AF33" s="20">
        <f t="shared" si="31"/>
        <v>0</v>
      </c>
      <c r="AG33" s="20">
        <f t="shared" si="31"/>
        <v>0</v>
      </c>
      <c r="AH33" s="20">
        <f t="shared" si="31"/>
        <v>0</v>
      </c>
      <c r="AI33" s="20">
        <f t="shared" si="32"/>
        <v>17.238301455903322</v>
      </c>
      <c r="AJ33" s="20">
        <f t="shared" si="33"/>
        <v>0</v>
      </c>
      <c r="AK33" s="20">
        <f t="shared" si="34"/>
        <v>0</v>
      </c>
      <c r="AL33" s="20">
        <f t="shared" si="35"/>
        <v>0</v>
      </c>
      <c r="AM33" s="20">
        <f t="shared" si="36"/>
        <v>17.238301455903322</v>
      </c>
      <c r="AO33">
        <f t="shared" si="37"/>
        <v>1.1249850979862512</v>
      </c>
      <c r="AP33">
        <f t="shared" si="37"/>
        <v>0</v>
      </c>
      <c r="AQ33">
        <f t="shared" si="37"/>
        <v>0</v>
      </c>
      <c r="AR33">
        <f t="shared" si="37"/>
        <v>0</v>
      </c>
      <c r="AS33">
        <f t="shared" si="38"/>
        <v>1.1249850979862512</v>
      </c>
      <c r="AU33">
        <f t="shared" si="39"/>
        <v>11.542766654872864</v>
      </c>
      <c r="AV33">
        <f t="shared" si="39"/>
        <v>0</v>
      </c>
      <c r="AW33">
        <f t="shared" si="39"/>
        <v>0</v>
      </c>
      <c r="AX33">
        <f t="shared" si="39"/>
        <v>0</v>
      </c>
      <c r="AY33">
        <f t="shared" si="40"/>
        <v>11.542766654872864</v>
      </c>
    </row>
    <row r="34" spans="1:53" ht="15" x14ac:dyDescent="0.25">
      <c r="A34" s="1"/>
      <c r="B34" s="2"/>
      <c r="C34" s="1" t="s">
        <v>12</v>
      </c>
      <c r="D34">
        <v>0</v>
      </c>
      <c r="E34" s="360">
        <v>0</v>
      </c>
      <c r="F34">
        <v>0</v>
      </c>
      <c r="G34">
        <v>0</v>
      </c>
      <c r="H34">
        <v>0</v>
      </c>
      <c r="J34">
        <v>0</v>
      </c>
      <c r="K34" s="14">
        <v>0</v>
      </c>
      <c r="L34">
        <v>0</v>
      </c>
      <c r="M34">
        <v>0</v>
      </c>
      <c r="N34">
        <v>0</v>
      </c>
      <c r="O34" s="20"/>
      <c r="P34" s="20"/>
      <c r="Q34" s="438"/>
      <c r="R34" s="197">
        <v>0.49</v>
      </c>
      <c r="S34" s="197">
        <v>2.42</v>
      </c>
      <c r="T34" s="197">
        <v>0.50078889239507718</v>
      </c>
      <c r="U34" s="197">
        <v>0.75268470790377973</v>
      </c>
      <c r="V34" s="20">
        <f t="shared" si="28"/>
        <v>0</v>
      </c>
      <c r="W34" s="20">
        <f t="shared" si="28"/>
        <v>0</v>
      </c>
      <c r="X34" s="20">
        <f t="shared" si="28"/>
        <v>0</v>
      </c>
      <c r="Y34" s="20">
        <f t="shared" si="28"/>
        <v>0</v>
      </c>
      <c r="Z34" s="20">
        <f t="shared" si="29"/>
        <v>0</v>
      </c>
      <c r="AA34" s="20">
        <f t="shared" si="29"/>
        <v>0</v>
      </c>
      <c r="AB34" s="20">
        <f t="shared" si="29"/>
        <v>0</v>
      </c>
      <c r="AC34" s="20">
        <f t="shared" si="29"/>
        <v>0</v>
      </c>
      <c r="AD34" s="20">
        <f t="shared" si="30"/>
        <v>0</v>
      </c>
      <c r="AE34" s="20">
        <f t="shared" si="31"/>
        <v>0</v>
      </c>
      <c r="AF34" s="20">
        <f t="shared" si="31"/>
        <v>0</v>
      </c>
      <c r="AG34" s="20">
        <f t="shared" si="31"/>
        <v>0</v>
      </c>
      <c r="AH34" s="20">
        <f t="shared" si="31"/>
        <v>0</v>
      </c>
      <c r="AI34" s="20">
        <f t="shared" si="32"/>
        <v>0</v>
      </c>
      <c r="AJ34" s="20">
        <f t="shared" si="33"/>
        <v>0</v>
      </c>
      <c r="AK34" s="20">
        <f t="shared" si="34"/>
        <v>0</v>
      </c>
      <c r="AL34" s="20">
        <f t="shared" si="35"/>
        <v>0</v>
      </c>
      <c r="AM34" s="20">
        <f t="shared" si="36"/>
        <v>0</v>
      </c>
      <c r="AO34">
        <f t="shared" si="37"/>
        <v>0</v>
      </c>
      <c r="AP34">
        <f t="shared" si="37"/>
        <v>0</v>
      </c>
      <c r="AQ34">
        <f t="shared" si="37"/>
        <v>0</v>
      </c>
      <c r="AR34">
        <f t="shared" si="37"/>
        <v>0</v>
      </c>
      <c r="AS34">
        <f t="shared" si="38"/>
        <v>0</v>
      </c>
      <c r="AU34">
        <f t="shared" si="39"/>
        <v>0</v>
      </c>
      <c r="AV34">
        <f t="shared" si="39"/>
        <v>0</v>
      </c>
      <c r="AW34">
        <f t="shared" si="39"/>
        <v>0</v>
      </c>
      <c r="AX34">
        <f t="shared" si="39"/>
        <v>0</v>
      </c>
      <c r="AY34">
        <f t="shared" si="40"/>
        <v>0</v>
      </c>
    </row>
    <row r="35" spans="1:53" ht="15" x14ac:dyDescent="0.25">
      <c r="A35" s="1"/>
      <c r="B35" s="2"/>
      <c r="C35" s="1" t="s">
        <v>13</v>
      </c>
      <c r="D35">
        <v>0</v>
      </c>
      <c r="E35" s="360">
        <v>4.8399999999999999E-2</v>
      </c>
      <c r="F35">
        <v>0</v>
      </c>
      <c r="G35">
        <v>0</v>
      </c>
      <c r="H35">
        <v>0</v>
      </c>
      <c r="J35">
        <v>0</v>
      </c>
      <c r="K35" s="14">
        <v>-0.1467011429</v>
      </c>
      <c r="L35">
        <v>0</v>
      </c>
      <c r="M35">
        <v>0</v>
      </c>
      <c r="N35">
        <v>0</v>
      </c>
      <c r="O35" s="20"/>
      <c r="P35" s="20"/>
      <c r="Q35" s="438">
        <v>0.23694971324348088</v>
      </c>
      <c r="R35" s="197">
        <v>0.49</v>
      </c>
      <c r="S35" s="197">
        <v>2.42</v>
      </c>
      <c r="T35" s="197">
        <v>0.50078889239507718</v>
      </c>
      <c r="U35" s="197">
        <v>0.75268470790377973</v>
      </c>
      <c r="V35" s="20">
        <f t="shared" si="28"/>
        <v>5.6194993992823926E-2</v>
      </c>
      <c r="W35" s="20">
        <f t="shared" si="28"/>
        <v>0</v>
      </c>
      <c r="X35" s="20">
        <f t="shared" si="28"/>
        <v>0</v>
      </c>
      <c r="Y35" s="20">
        <f t="shared" si="28"/>
        <v>0</v>
      </c>
      <c r="Z35" s="20">
        <f t="shared" si="29"/>
        <v>3.3261608848767249E-2</v>
      </c>
      <c r="AA35" s="20">
        <f t="shared" si="29"/>
        <v>0</v>
      </c>
      <c r="AB35" s="20">
        <f t="shared" si="29"/>
        <v>0</v>
      </c>
      <c r="AC35" s="20">
        <f t="shared" si="29"/>
        <v>0</v>
      </c>
      <c r="AD35" s="20">
        <f t="shared" si="30"/>
        <v>3.3261608848767249E-2</v>
      </c>
      <c r="AE35" s="20">
        <f t="shared" si="31"/>
        <v>0.27753446012782429</v>
      </c>
      <c r="AF35" s="20">
        <f t="shared" si="31"/>
        <v>0</v>
      </c>
      <c r="AG35" s="20">
        <f t="shared" si="31"/>
        <v>0</v>
      </c>
      <c r="AH35" s="20">
        <f t="shared" si="31"/>
        <v>0</v>
      </c>
      <c r="AI35" s="20">
        <f t="shared" si="32"/>
        <v>0.22142266261781315</v>
      </c>
      <c r="AJ35" s="20">
        <f t="shared" si="33"/>
        <v>0</v>
      </c>
      <c r="AK35" s="20">
        <f t="shared" si="34"/>
        <v>0</v>
      </c>
      <c r="AL35" s="20">
        <f t="shared" si="35"/>
        <v>0</v>
      </c>
      <c r="AM35" s="20">
        <f t="shared" si="36"/>
        <v>0.22142266261781315</v>
      </c>
      <c r="AO35">
        <f t="shared" si="37"/>
        <v>2.2271973285134548E-2</v>
      </c>
      <c r="AP35">
        <f t="shared" si="37"/>
        <v>0</v>
      </c>
      <c r="AQ35">
        <f t="shared" si="37"/>
        <v>0</v>
      </c>
      <c r="AR35">
        <f t="shared" si="37"/>
        <v>0</v>
      </c>
      <c r="AS35">
        <f t="shared" si="38"/>
        <v>2.2271973285134548E-2</v>
      </c>
      <c r="AU35">
        <f t="shared" si="39"/>
        <v>0.14826461488888767</v>
      </c>
      <c r="AV35">
        <f t="shared" si="39"/>
        <v>0</v>
      </c>
      <c r="AW35">
        <f t="shared" si="39"/>
        <v>0</v>
      </c>
      <c r="AX35">
        <f t="shared" si="39"/>
        <v>0</v>
      </c>
      <c r="AY35">
        <f t="shared" si="40"/>
        <v>0.14826461488888767</v>
      </c>
    </row>
    <row r="36" spans="1:53" ht="15" x14ac:dyDescent="0.25">
      <c r="A36" s="7"/>
      <c r="B36" s="8" t="s">
        <v>14</v>
      </c>
      <c r="C36" s="7"/>
      <c r="D36" s="357">
        <f t="shared" ref="D36:H36" si="41">SUM(D30:D35)</f>
        <v>0</v>
      </c>
      <c r="E36" s="363">
        <f>SUM(E30:E35)</f>
        <v>33.783190000000005</v>
      </c>
      <c r="F36" s="357">
        <f t="shared" si="41"/>
        <v>0</v>
      </c>
      <c r="G36" s="357">
        <f t="shared" si="41"/>
        <v>0</v>
      </c>
      <c r="H36" s="357">
        <f t="shared" si="41"/>
        <v>0</v>
      </c>
      <c r="J36">
        <v>0</v>
      </c>
      <c r="K36" s="14">
        <v>12.591797590729282</v>
      </c>
      <c r="L36">
        <v>0</v>
      </c>
      <c r="M36">
        <v>0</v>
      </c>
      <c r="N36">
        <v>0</v>
      </c>
      <c r="O36" s="20"/>
      <c r="P36" s="20"/>
      <c r="Q36" s="438">
        <v>0.23017691983000593</v>
      </c>
      <c r="R36" s="197"/>
      <c r="S36" s="197"/>
      <c r="T36" s="197"/>
      <c r="U36" s="197"/>
      <c r="AT36" s="424">
        <f>SUM(AS30:AS35)</f>
        <v>11.455585088755052</v>
      </c>
      <c r="BA36" s="319">
        <f>(E36*10000*Q36*AU$10)</f>
        <v>52068.836686288523</v>
      </c>
    </row>
    <row r="37" spans="1:53" ht="15" x14ac:dyDescent="0.25">
      <c r="A37" s="5"/>
      <c r="B37" s="9" t="s">
        <v>15</v>
      </c>
      <c r="C37" s="5"/>
      <c r="E37" s="363">
        <f>SUM(E36)</f>
        <v>33.783190000000005</v>
      </c>
      <c r="H37" s="358">
        <f>SUM(D36:H36)</f>
        <v>33.783190000000005</v>
      </c>
      <c r="K37" s="14"/>
      <c r="N37">
        <v>0</v>
      </c>
      <c r="O37" s="20"/>
      <c r="P37" s="20"/>
      <c r="Q37" s="438"/>
      <c r="R37" s="197"/>
      <c r="S37" s="197"/>
      <c r="T37" s="197"/>
      <c r="U37" s="197"/>
    </row>
    <row r="38" spans="1:53" ht="15.75" x14ac:dyDescent="0.25">
      <c r="A38" s="1"/>
      <c r="B38" s="2"/>
      <c r="C38" s="1"/>
      <c r="E38" s="362"/>
      <c r="K38" s="14"/>
      <c r="O38" s="20"/>
      <c r="P38" s="20"/>
      <c r="Q38" s="439"/>
      <c r="R38" s="197"/>
      <c r="S38" s="197"/>
      <c r="T38" s="197"/>
      <c r="U38" s="197"/>
    </row>
    <row r="39" spans="1:53" ht="15" x14ac:dyDescent="0.25">
      <c r="A39" s="1">
        <v>4</v>
      </c>
      <c r="B39" s="2" t="s">
        <v>18</v>
      </c>
      <c r="C39" s="1" t="s">
        <v>8</v>
      </c>
      <c r="D39">
        <v>0</v>
      </c>
      <c r="E39" s="360">
        <v>45.117100000000001</v>
      </c>
      <c r="F39">
        <v>0</v>
      </c>
      <c r="G39">
        <v>0</v>
      </c>
      <c r="H39">
        <v>0</v>
      </c>
      <c r="J39">
        <v>0</v>
      </c>
      <c r="K39" s="14">
        <v>42.497645392392101</v>
      </c>
      <c r="L39">
        <v>0</v>
      </c>
      <c r="M39">
        <v>0</v>
      </c>
      <c r="N39">
        <v>0</v>
      </c>
      <c r="O39" s="20"/>
      <c r="P39" s="20"/>
      <c r="Q39" s="438">
        <v>0.36238994264869623</v>
      </c>
      <c r="R39" s="197">
        <v>0.19500000000000001</v>
      </c>
      <c r="S39" s="197">
        <v>1.22</v>
      </c>
      <c r="T39" s="197">
        <v>0.4144562334217507</v>
      </c>
      <c r="U39" s="197">
        <v>0.6566321730950142</v>
      </c>
      <c r="V39" s="20">
        <f t="shared" ref="V39:Y44" si="42">IF(K39&gt;0,((E39-K39)*$Q39*$R39*10)+(K39*$O$12*$Q39*$R39*10),(E39*$Q39*$R39*10))</f>
        <v>12.895174532165115</v>
      </c>
      <c r="W39" s="20">
        <f t="shared" si="42"/>
        <v>0</v>
      </c>
      <c r="X39" s="20">
        <f t="shared" si="42"/>
        <v>0</v>
      </c>
      <c r="Y39" s="20">
        <f t="shared" si="42"/>
        <v>0</v>
      </c>
      <c r="Z39" s="20">
        <f t="shared" ref="Z39:AC44" si="43">V39*(EXP(1.01-0.34*LN(Z$8))*(1-$T39)+(1*$T39))</f>
        <v>6.7225070535438594</v>
      </c>
      <c r="AA39" s="20">
        <f t="shared" si="43"/>
        <v>0</v>
      </c>
      <c r="AB39" s="20">
        <f t="shared" si="43"/>
        <v>0</v>
      </c>
      <c r="AC39" s="20">
        <f t="shared" si="43"/>
        <v>0</v>
      </c>
      <c r="AD39" s="20">
        <f t="shared" ref="AD39:AD44" si="44">SUM(Z39:AC39)</f>
        <v>6.7225070535438594</v>
      </c>
      <c r="AE39" s="20">
        <f t="shared" ref="AE39:AH44" si="45">IF(K39&gt;0,((E39-K39)*$Q39*$S39*10)+(K39*$P$12*$Q39*$S39)*10,(E39*$Q39*$S39*10))</f>
        <v>120.3930844605848</v>
      </c>
      <c r="AF39" s="20">
        <f t="shared" si="45"/>
        <v>0</v>
      </c>
      <c r="AG39" s="20">
        <f t="shared" si="45"/>
        <v>0</v>
      </c>
      <c r="AH39" s="20">
        <f t="shared" si="45"/>
        <v>0</v>
      </c>
      <c r="AI39" s="20">
        <f t="shared" ref="AI39:AI44" si="46">AE39*(EXP(1.01-0.34*LN(AI$8))*(1-$U39)+(1*$U39))</f>
        <v>86.598474634201992</v>
      </c>
      <c r="AJ39" s="20">
        <f t="shared" ref="AJ39:AJ44" si="47">AF39*(EXP(1.01-0.34*LN(AJ$8))*(1-$U39)+(1*$U39))</f>
        <v>0</v>
      </c>
      <c r="AK39" s="20">
        <f t="shared" ref="AK39:AK44" si="48">AG39*(EXP(1.01-0.34*LN(AK$8))*(1-$U39)+(1*$U39))</f>
        <v>0</v>
      </c>
      <c r="AL39" s="20">
        <f t="shared" ref="AL39:AL44" si="49">AH39*(EXP(1.01-0.34*LN(AL$8))*(1-$U39)+(1*$U39))</f>
        <v>0</v>
      </c>
      <c r="AM39" s="20">
        <f t="shared" ref="AM39:AM44" si="50">SUM(AI39:AL39)</f>
        <v>86.598474634201992</v>
      </c>
      <c r="AO39">
        <f t="shared" ref="AO39:AR44" si="51">Z39*AO$10</f>
        <v>4.5013907230529684</v>
      </c>
      <c r="AP39">
        <f t="shared" si="51"/>
        <v>0</v>
      </c>
      <c r="AQ39">
        <f t="shared" si="51"/>
        <v>0</v>
      </c>
      <c r="AR39">
        <f t="shared" si="51"/>
        <v>0</v>
      </c>
      <c r="AS39">
        <f t="shared" ref="AS39:AS44" si="52">SUM(AO39:AR39)</f>
        <v>4.5013907230529684</v>
      </c>
      <c r="AU39">
        <f t="shared" ref="AU39:AX44" si="53">AI39*AU$10</f>
        <v>57.986338615061655</v>
      </c>
      <c r="AV39">
        <f t="shared" si="53"/>
        <v>0</v>
      </c>
      <c r="AW39">
        <f t="shared" si="53"/>
        <v>0</v>
      </c>
      <c r="AX39">
        <f t="shared" si="53"/>
        <v>0</v>
      </c>
      <c r="AY39">
        <f t="shared" ref="AY39:AY44" si="54">SUM(AU39:AX39)</f>
        <v>57.986338615061655</v>
      </c>
    </row>
    <row r="40" spans="1:53" ht="15" x14ac:dyDescent="0.25">
      <c r="A40" s="1"/>
      <c r="B40" s="2"/>
      <c r="C40" s="1" t="s">
        <v>9</v>
      </c>
      <c r="D40">
        <v>0</v>
      </c>
      <c r="E40" s="360">
        <v>26.16705</v>
      </c>
      <c r="F40">
        <v>0</v>
      </c>
      <c r="G40">
        <v>0</v>
      </c>
      <c r="H40">
        <v>0</v>
      </c>
      <c r="J40">
        <v>0</v>
      </c>
      <c r="K40" s="14">
        <v>26.16705</v>
      </c>
      <c r="L40">
        <v>0</v>
      </c>
      <c r="M40">
        <v>0</v>
      </c>
      <c r="N40">
        <v>0</v>
      </c>
      <c r="O40" s="20"/>
      <c r="P40" s="20"/>
      <c r="Q40" s="438">
        <v>0.3647798852973923</v>
      </c>
      <c r="R40" s="197">
        <v>0.19500000000000001</v>
      </c>
      <c r="S40" s="197">
        <v>1.22</v>
      </c>
      <c r="T40" s="197">
        <v>0.4144562334217507</v>
      </c>
      <c r="U40" s="197">
        <v>0.6566321730950142</v>
      </c>
      <c r="V40" s="20">
        <f t="shared" si="42"/>
        <v>6.8450299819321847</v>
      </c>
      <c r="W40" s="20">
        <f t="shared" si="42"/>
        <v>0</v>
      </c>
      <c r="X40" s="20">
        <f t="shared" si="42"/>
        <v>0</v>
      </c>
      <c r="Y40" s="20">
        <f t="shared" si="42"/>
        <v>0</v>
      </c>
      <c r="Z40" s="20">
        <f t="shared" si="43"/>
        <v>3.5684481990126433</v>
      </c>
      <c r="AA40" s="20">
        <f t="shared" si="43"/>
        <v>0</v>
      </c>
      <c r="AB40" s="20">
        <f t="shared" si="43"/>
        <v>0</v>
      </c>
      <c r="AC40" s="20">
        <f t="shared" si="43"/>
        <v>0</v>
      </c>
      <c r="AD40" s="20">
        <f t="shared" si="44"/>
        <v>3.5684481990126433</v>
      </c>
      <c r="AE40" s="20">
        <f t="shared" si="45"/>
        <v>67.440640889725216</v>
      </c>
      <c r="AF40" s="20">
        <f t="shared" si="45"/>
        <v>0</v>
      </c>
      <c r="AG40" s="20">
        <f t="shared" si="45"/>
        <v>0</v>
      </c>
      <c r="AH40" s="20">
        <f t="shared" si="45"/>
        <v>0</v>
      </c>
      <c r="AI40" s="20">
        <f t="shared" si="46"/>
        <v>48.50990117555483</v>
      </c>
      <c r="AJ40" s="20">
        <f t="shared" si="47"/>
        <v>0</v>
      </c>
      <c r="AK40" s="20">
        <f t="shared" si="48"/>
        <v>0</v>
      </c>
      <c r="AL40" s="20">
        <f t="shared" si="49"/>
        <v>0</v>
      </c>
      <c r="AM40" s="20">
        <f t="shared" si="50"/>
        <v>48.50990117555483</v>
      </c>
      <c r="AO40">
        <f t="shared" si="51"/>
        <v>2.3894329140588657</v>
      </c>
      <c r="AP40">
        <f t="shared" si="51"/>
        <v>0</v>
      </c>
      <c r="AQ40">
        <f t="shared" si="51"/>
        <v>0</v>
      </c>
      <c r="AR40">
        <f t="shared" si="51"/>
        <v>0</v>
      </c>
      <c r="AS40">
        <f t="shared" si="52"/>
        <v>2.3894329140588657</v>
      </c>
      <c r="AU40">
        <f t="shared" si="53"/>
        <v>32.482229827151514</v>
      </c>
      <c r="AV40">
        <f t="shared" si="53"/>
        <v>0</v>
      </c>
      <c r="AW40">
        <f t="shared" si="53"/>
        <v>0</v>
      </c>
      <c r="AX40">
        <f t="shared" si="53"/>
        <v>0</v>
      </c>
      <c r="AY40">
        <f t="shared" si="54"/>
        <v>32.482229827151514</v>
      </c>
    </row>
    <row r="41" spans="1:53" ht="15" x14ac:dyDescent="0.25">
      <c r="A41" s="1"/>
      <c r="B41" s="2"/>
      <c r="C41" s="1" t="s">
        <v>10</v>
      </c>
      <c r="D41">
        <v>0</v>
      </c>
      <c r="E41" s="360">
        <v>0</v>
      </c>
      <c r="F41">
        <v>0</v>
      </c>
      <c r="G41">
        <v>0</v>
      </c>
      <c r="H41">
        <v>0</v>
      </c>
      <c r="J41">
        <v>0</v>
      </c>
      <c r="K41" s="14">
        <v>0</v>
      </c>
      <c r="L41">
        <v>0</v>
      </c>
      <c r="M41">
        <v>0</v>
      </c>
      <c r="N41">
        <v>0</v>
      </c>
      <c r="O41" s="20"/>
      <c r="P41" s="20"/>
      <c r="Q41" s="438"/>
      <c r="R41" s="197">
        <v>0.19500000000000001</v>
      </c>
      <c r="S41" s="197">
        <v>1.22</v>
      </c>
      <c r="T41" s="197">
        <v>0.4144562334217507</v>
      </c>
      <c r="U41" s="197">
        <v>0.6566321730950142</v>
      </c>
      <c r="V41" s="20">
        <f t="shared" si="42"/>
        <v>0</v>
      </c>
      <c r="W41" s="20">
        <f t="shared" si="42"/>
        <v>0</v>
      </c>
      <c r="X41" s="20">
        <f t="shared" si="42"/>
        <v>0</v>
      </c>
      <c r="Y41" s="20">
        <f t="shared" si="42"/>
        <v>0</v>
      </c>
      <c r="Z41" s="20">
        <f t="shared" si="43"/>
        <v>0</v>
      </c>
      <c r="AA41" s="20">
        <f t="shared" si="43"/>
        <v>0</v>
      </c>
      <c r="AB41" s="20">
        <f t="shared" si="43"/>
        <v>0</v>
      </c>
      <c r="AC41" s="20">
        <f t="shared" si="43"/>
        <v>0</v>
      </c>
      <c r="AD41" s="20">
        <f t="shared" si="44"/>
        <v>0</v>
      </c>
      <c r="AE41" s="20">
        <f t="shared" si="45"/>
        <v>0</v>
      </c>
      <c r="AF41" s="20">
        <f t="shared" si="45"/>
        <v>0</v>
      </c>
      <c r="AG41" s="20">
        <f t="shared" si="45"/>
        <v>0</v>
      </c>
      <c r="AH41" s="20">
        <f t="shared" si="45"/>
        <v>0</v>
      </c>
      <c r="AI41" s="20">
        <f t="shared" si="46"/>
        <v>0</v>
      </c>
      <c r="AJ41" s="20">
        <f t="shared" si="47"/>
        <v>0</v>
      </c>
      <c r="AK41" s="20">
        <f t="shared" si="48"/>
        <v>0</v>
      </c>
      <c r="AL41" s="20">
        <f t="shared" si="49"/>
        <v>0</v>
      </c>
      <c r="AM41" s="20">
        <f t="shared" si="50"/>
        <v>0</v>
      </c>
      <c r="AO41">
        <f t="shared" si="51"/>
        <v>0</v>
      </c>
      <c r="AP41">
        <f t="shared" si="51"/>
        <v>0</v>
      </c>
      <c r="AQ41">
        <f t="shared" si="51"/>
        <v>0</v>
      </c>
      <c r="AR41">
        <f t="shared" si="51"/>
        <v>0</v>
      </c>
      <c r="AS41">
        <f t="shared" si="52"/>
        <v>0</v>
      </c>
      <c r="AU41">
        <f t="shared" si="53"/>
        <v>0</v>
      </c>
      <c r="AV41">
        <f t="shared" si="53"/>
        <v>0</v>
      </c>
      <c r="AW41">
        <f t="shared" si="53"/>
        <v>0</v>
      </c>
      <c r="AX41">
        <f t="shared" si="53"/>
        <v>0</v>
      </c>
      <c r="AY41">
        <f t="shared" si="54"/>
        <v>0</v>
      </c>
    </row>
    <row r="42" spans="1:53" ht="15" x14ac:dyDescent="0.25">
      <c r="A42" s="1"/>
      <c r="B42" s="2"/>
      <c r="C42" s="1" t="s">
        <v>11</v>
      </c>
      <c r="D42">
        <v>0</v>
      </c>
      <c r="E42" s="360">
        <v>3.6983999999999999</v>
      </c>
      <c r="F42">
        <v>0</v>
      </c>
      <c r="G42">
        <v>0</v>
      </c>
      <c r="H42">
        <v>0</v>
      </c>
      <c r="J42">
        <v>0</v>
      </c>
      <c r="K42" s="14">
        <v>3.6943102895907001</v>
      </c>
      <c r="L42">
        <v>0</v>
      </c>
      <c r="M42">
        <v>0</v>
      </c>
      <c r="N42">
        <v>0</v>
      </c>
      <c r="O42" s="20"/>
      <c r="P42" s="20"/>
      <c r="Q42" s="438">
        <v>0.36955977059478473</v>
      </c>
      <c r="R42" s="197">
        <v>0.19500000000000001</v>
      </c>
      <c r="S42" s="197">
        <v>1.22</v>
      </c>
      <c r="T42" s="197">
        <v>0.4144562334217507</v>
      </c>
      <c r="U42" s="197">
        <v>0.6566321730950142</v>
      </c>
      <c r="V42" s="20">
        <f t="shared" si="42"/>
        <v>0.98200374090634757</v>
      </c>
      <c r="W42" s="20">
        <f t="shared" si="42"/>
        <v>0</v>
      </c>
      <c r="X42" s="20">
        <f t="shared" si="42"/>
        <v>0</v>
      </c>
      <c r="Y42" s="20">
        <f t="shared" si="42"/>
        <v>0</v>
      </c>
      <c r="Z42" s="20">
        <f t="shared" si="43"/>
        <v>0.51193778404339085</v>
      </c>
      <c r="AA42" s="20">
        <f t="shared" si="43"/>
        <v>0</v>
      </c>
      <c r="AB42" s="20">
        <f t="shared" si="43"/>
        <v>0</v>
      </c>
      <c r="AC42" s="20">
        <f t="shared" si="43"/>
        <v>0</v>
      </c>
      <c r="AD42" s="20">
        <f t="shared" si="44"/>
        <v>0.51193778404339085</v>
      </c>
      <c r="AE42" s="20">
        <f t="shared" si="45"/>
        <v>9.6645909741355496</v>
      </c>
      <c r="AF42" s="20">
        <f t="shared" si="45"/>
        <v>0</v>
      </c>
      <c r="AG42" s="20">
        <f t="shared" si="45"/>
        <v>0</v>
      </c>
      <c r="AH42" s="20">
        <f t="shared" si="45"/>
        <v>0</v>
      </c>
      <c r="AI42" s="20">
        <f t="shared" si="46"/>
        <v>6.9517185316206289</v>
      </c>
      <c r="AJ42" s="20">
        <f t="shared" si="47"/>
        <v>0</v>
      </c>
      <c r="AK42" s="20">
        <f t="shared" si="48"/>
        <v>0</v>
      </c>
      <c r="AL42" s="20">
        <f t="shared" si="49"/>
        <v>0</v>
      </c>
      <c r="AM42" s="20">
        <f t="shared" si="50"/>
        <v>6.9517185316206289</v>
      </c>
      <c r="AO42">
        <f t="shared" si="51"/>
        <v>0.34279354019545449</v>
      </c>
      <c r="AP42">
        <f t="shared" si="51"/>
        <v>0</v>
      </c>
      <c r="AQ42">
        <f t="shared" si="51"/>
        <v>0</v>
      </c>
      <c r="AR42">
        <f t="shared" si="51"/>
        <v>0</v>
      </c>
      <c r="AS42">
        <f t="shared" si="52"/>
        <v>0.34279354019545449</v>
      </c>
      <c r="AU42">
        <f t="shared" si="53"/>
        <v>4.6548707287731732</v>
      </c>
      <c r="AV42">
        <f t="shared" si="53"/>
        <v>0</v>
      </c>
      <c r="AW42">
        <f t="shared" si="53"/>
        <v>0</v>
      </c>
      <c r="AX42">
        <f t="shared" si="53"/>
        <v>0</v>
      </c>
      <c r="AY42">
        <f t="shared" si="54"/>
        <v>4.6548707287731732</v>
      </c>
    </row>
    <row r="43" spans="1:53" ht="15" x14ac:dyDescent="0.25">
      <c r="A43" s="1"/>
      <c r="B43" s="2"/>
      <c r="C43" s="1" t="s">
        <v>12</v>
      </c>
      <c r="D43">
        <v>0</v>
      </c>
      <c r="E43" s="360">
        <v>0</v>
      </c>
      <c r="F43">
        <v>0</v>
      </c>
      <c r="G43">
        <v>0</v>
      </c>
      <c r="H43">
        <v>0</v>
      </c>
      <c r="J43">
        <v>0</v>
      </c>
      <c r="K43" s="14">
        <v>0</v>
      </c>
      <c r="L43">
        <v>0</v>
      </c>
      <c r="M43">
        <v>0</v>
      </c>
      <c r="N43">
        <v>0</v>
      </c>
      <c r="O43" s="20"/>
      <c r="P43" s="20"/>
      <c r="Q43" s="438"/>
      <c r="R43" s="197">
        <v>0.19500000000000001</v>
      </c>
      <c r="S43" s="197">
        <v>1.22</v>
      </c>
      <c r="T43" s="197">
        <v>0.4144562334217507</v>
      </c>
      <c r="U43" s="197">
        <v>0.6566321730950142</v>
      </c>
      <c r="V43" s="20">
        <f t="shared" si="42"/>
        <v>0</v>
      </c>
      <c r="W43" s="20">
        <f t="shared" si="42"/>
        <v>0</v>
      </c>
      <c r="X43" s="20">
        <f t="shared" si="42"/>
        <v>0</v>
      </c>
      <c r="Y43" s="20">
        <f t="shared" si="42"/>
        <v>0</v>
      </c>
      <c r="Z43" s="20">
        <f t="shared" si="43"/>
        <v>0</v>
      </c>
      <c r="AA43" s="20">
        <f t="shared" si="43"/>
        <v>0</v>
      </c>
      <c r="AB43" s="20">
        <f t="shared" si="43"/>
        <v>0</v>
      </c>
      <c r="AC43" s="20">
        <f t="shared" si="43"/>
        <v>0</v>
      </c>
      <c r="AD43" s="20">
        <f t="shared" si="44"/>
        <v>0</v>
      </c>
      <c r="AE43" s="20">
        <f t="shared" si="45"/>
        <v>0</v>
      </c>
      <c r="AF43" s="20">
        <f t="shared" si="45"/>
        <v>0</v>
      </c>
      <c r="AG43" s="20">
        <f t="shared" si="45"/>
        <v>0</v>
      </c>
      <c r="AH43" s="20">
        <f t="shared" si="45"/>
        <v>0</v>
      </c>
      <c r="AI43" s="20">
        <f t="shared" si="46"/>
        <v>0</v>
      </c>
      <c r="AJ43" s="20">
        <f t="shared" si="47"/>
        <v>0</v>
      </c>
      <c r="AK43" s="20">
        <f t="shared" si="48"/>
        <v>0</v>
      </c>
      <c r="AL43" s="20">
        <f t="shared" si="49"/>
        <v>0</v>
      </c>
      <c r="AM43" s="20">
        <f t="shared" si="50"/>
        <v>0</v>
      </c>
      <c r="AO43">
        <f t="shared" si="51"/>
        <v>0</v>
      </c>
      <c r="AP43">
        <f t="shared" si="51"/>
        <v>0</v>
      </c>
      <c r="AQ43">
        <f t="shared" si="51"/>
        <v>0</v>
      </c>
      <c r="AR43">
        <f t="shared" si="51"/>
        <v>0</v>
      </c>
      <c r="AS43">
        <f t="shared" si="52"/>
        <v>0</v>
      </c>
      <c r="AU43">
        <f t="shared" si="53"/>
        <v>0</v>
      </c>
      <c r="AV43">
        <f t="shared" si="53"/>
        <v>0</v>
      </c>
      <c r="AW43">
        <f t="shared" si="53"/>
        <v>0</v>
      </c>
      <c r="AX43">
        <f t="shared" si="53"/>
        <v>0</v>
      </c>
      <c r="AY43">
        <f t="shared" si="54"/>
        <v>0</v>
      </c>
    </row>
    <row r="44" spans="1:53" ht="15" x14ac:dyDescent="0.25">
      <c r="A44" s="1"/>
      <c r="B44" s="2"/>
      <c r="C44" s="1" t="s">
        <v>13</v>
      </c>
      <c r="D44">
        <v>0</v>
      </c>
      <c r="E44" s="360">
        <v>2.7449999999999999E-2</v>
      </c>
      <c r="F44">
        <v>0</v>
      </c>
      <c r="G44">
        <v>0</v>
      </c>
      <c r="H44">
        <v>0</v>
      </c>
      <c r="J44">
        <v>0</v>
      </c>
      <c r="K44" s="14">
        <v>2.7449999999999999E-2</v>
      </c>
      <c r="L44">
        <v>0</v>
      </c>
      <c r="M44">
        <v>0</v>
      </c>
      <c r="N44">
        <v>0</v>
      </c>
      <c r="O44" s="20"/>
      <c r="P44" s="20"/>
      <c r="Q44" s="438">
        <v>0.36955977059478473</v>
      </c>
      <c r="R44" s="197">
        <v>0.19500000000000001</v>
      </c>
      <c r="S44" s="197">
        <v>1.22</v>
      </c>
      <c r="T44" s="197">
        <v>0.4144562334217507</v>
      </c>
      <c r="U44" s="197">
        <v>0.6566321730950142</v>
      </c>
      <c r="V44" s="20">
        <f t="shared" si="42"/>
        <v>7.274727763051372E-3</v>
      </c>
      <c r="W44" s="20">
        <f t="shared" si="42"/>
        <v>0</v>
      </c>
      <c r="X44" s="20">
        <f t="shared" si="42"/>
        <v>0</v>
      </c>
      <c r="Y44" s="20">
        <f t="shared" si="42"/>
        <v>0</v>
      </c>
      <c r="Z44" s="20">
        <f t="shared" si="43"/>
        <v>3.792458068538688E-3</v>
      </c>
      <c r="AA44" s="20">
        <f t="shared" si="43"/>
        <v>0</v>
      </c>
      <c r="AB44" s="20">
        <f t="shared" si="43"/>
        <v>0</v>
      </c>
      <c r="AC44" s="20">
        <f t="shared" si="43"/>
        <v>0</v>
      </c>
      <c r="AD44" s="20">
        <f t="shared" si="44"/>
        <v>3.792458068538688E-3</v>
      </c>
      <c r="AE44" s="20">
        <f t="shared" si="45"/>
        <v>7.1674237210568606E-2</v>
      </c>
      <c r="AF44" s="20">
        <f t="shared" si="45"/>
        <v>0</v>
      </c>
      <c r="AG44" s="20">
        <f t="shared" si="45"/>
        <v>0</v>
      </c>
      <c r="AH44" s="20">
        <f t="shared" si="45"/>
        <v>0</v>
      </c>
      <c r="AI44" s="20">
        <f t="shared" si="46"/>
        <v>5.1555117478838723E-2</v>
      </c>
      <c r="AJ44" s="20">
        <f t="shared" si="47"/>
        <v>0</v>
      </c>
      <c r="AK44" s="20">
        <f t="shared" si="48"/>
        <v>0</v>
      </c>
      <c r="AL44" s="20">
        <f t="shared" si="49"/>
        <v>0</v>
      </c>
      <c r="AM44" s="20">
        <f t="shared" si="50"/>
        <v>5.1555117478838723E-2</v>
      </c>
      <c r="AO44">
        <f t="shared" si="51"/>
        <v>2.5394299226935055E-3</v>
      </c>
      <c r="AP44">
        <f t="shared" si="51"/>
        <v>0</v>
      </c>
      <c r="AQ44">
        <f t="shared" si="51"/>
        <v>0</v>
      </c>
      <c r="AR44">
        <f t="shared" si="51"/>
        <v>0</v>
      </c>
      <c r="AS44">
        <f t="shared" si="52"/>
        <v>2.5394299226935055E-3</v>
      </c>
      <c r="AU44">
        <f t="shared" si="53"/>
        <v>3.4521306663830409E-2</v>
      </c>
      <c r="AV44">
        <f t="shared" si="53"/>
        <v>0</v>
      </c>
      <c r="AW44">
        <f t="shared" si="53"/>
        <v>0</v>
      </c>
      <c r="AX44">
        <f t="shared" si="53"/>
        <v>0</v>
      </c>
      <c r="AY44">
        <f t="shared" si="54"/>
        <v>3.4521306663830409E-2</v>
      </c>
    </row>
    <row r="45" spans="1:53" ht="15" x14ac:dyDescent="0.25">
      <c r="A45" s="7"/>
      <c r="B45" s="8" t="s">
        <v>14</v>
      </c>
      <c r="C45" s="7"/>
      <c r="D45" s="357">
        <f t="shared" ref="D45:H45" si="55">SUM(D39:D44)</f>
        <v>0</v>
      </c>
      <c r="E45" s="363">
        <f>SUM(E39:E44)</f>
        <v>75.010000000000005</v>
      </c>
      <c r="F45" s="357">
        <f t="shared" si="55"/>
        <v>0</v>
      </c>
      <c r="G45" s="357">
        <f t="shared" si="55"/>
        <v>0</v>
      </c>
      <c r="H45" s="357">
        <f t="shared" si="55"/>
        <v>0</v>
      </c>
      <c r="J45">
        <v>0</v>
      </c>
      <c r="K45" s="14">
        <v>72.38645568198281</v>
      </c>
      <c r="L45">
        <v>0</v>
      </c>
      <c r="M45">
        <v>0</v>
      </c>
      <c r="N45">
        <v>0</v>
      </c>
      <c r="O45" s="20"/>
      <c r="P45" s="20"/>
      <c r="Q45" s="438">
        <v>0.36357980336378087</v>
      </c>
      <c r="R45" s="197"/>
      <c r="S45" s="197"/>
      <c r="T45" s="197"/>
      <c r="U45" s="197"/>
      <c r="BA45" s="319">
        <f>(E45*10000*Q45*AU$10)</f>
        <v>182614.12255292397</v>
      </c>
    </row>
    <row r="46" spans="1:53" ht="15" x14ac:dyDescent="0.25">
      <c r="A46" s="10"/>
      <c r="B46" s="9" t="s">
        <v>15</v>
      </c>
      <c r="C46" s="5"/>
      <c r="E46" s="363">
        <f>SUM(E45)</f>
        <v>75.010000000000005</v>
      </c>
      <c r="H46" s="358">
        <f>SUM(D45:H45)</f>
        <v>75.010000000000005</v>
      </c>
      <c r="K46" s="14"/>
      <c r="N46">
        <v>0</v>
      </c>
      <c r="O46" s="20"/>
      <c r="P46" s="20"/>
      <c r="Q46" s="438"/>
      <c r="R46" s="197"/>
      <c r="S46" s="197"/>
      <c r="T46" s="197"/>
      <c r="U46" s="197"/>
    </row>
    <row r="47" spans="1:53" ht="15.75" x14ac:dyDescent="0.25">
      <c r="A47" s="1"/>
      <c r="B47" s="2"/>
      <c r="C47" s="1"/>
      <c r="E47" s="361"/>
      <c r="K47" s="14"/>
      <c r="O47" s="20"/>
      <c r="P47" s="20"/>
      <c r="Q47" s="439"/>
      <c r="R47" s="197"/>
      <c r="S47" s="197"/>
      <c r="T47" s="197"/>
      <c r="U47" s="197"/>
    </row>
    <row r="48" spans="1:53" ht="15" x14ac:dyDescent="0.25">
      <c r="A48" s="1">
        <v>5</v>
      </c>
      <c r="B48" s="2" t="s">
        <v>19</v>
      </c>
      <c r="C48" s="1" t="s">
        <v>8</v>
      </c>
      <c r="D48">
        <v>0</v>
      </c>
      <c r="E48" s="360">
        <v>38.547699999999999</v>
      </c>
      <c r="F48">
        <v>0</v>
      </c>
      <c r="G48">
        <v>0</v>
      </c>
      <c r="H48">
        <v>0</v>
      </c>
      <c r="J48">
        <v>0</v>
      </c>
      <c r="K48" s="14">
        <v>26.9039327586814</v>
      </c>
      <c r="L48">
        <v>0</v>
      </c>
      <c r="M48">
        <v>0</v>
      </c>
      <c r="N48">
        <v>0</v>
      </c>
      <c r="O48" s="20"/>
      <c r="P48" s="20"/>
      <c r="Q48" s="438">
        <v>0.40719078076130477</v>
      </c>
      <c r="R48" s="197">
        <v>0.43</v>
      </c>
      <c r="S48" s="197">
        <v>2.83</v>
      </c>
      <c r="T48" s="197">
        <v>0.76744186046511631</v>
      </c>
      <c r="U48" s="197">
        <v>0.76744186046511631</v>
      </c>
      <c r="V48" s="20">
        <f t="shared" ref="V48:Y53" si="56">IF(K48&gt;0,((E48-K48)*$Q48*$R48*10)+(K48*$O$12*$Q48*$R48*10),(E48*$Q48*$R48*10))</f>
        <v>37.7108736091227</v>
      </c>
      <c r="W48" s="20">
        <f t="shared" si="56"/>
        <v>0</v>
      </c>
      <c r="X48" s="20">
        <f t="shared" si="56"/>
        <v>0</v>
      </c>
      <c r="Y48" s="20">
        <f t="shared" si="56"/>
        <v>0</v>
      </c>
      <c r="Z48" s="20">
        <f t="shared" ref="Z48:AC53" si="57">V48*(EXP(1.01-0.34*LN(Z$8))*(1-$T48)+(1*$T48))</f>
        <v>30.541446835230808</v>
      </c>
      <c r="AA48" s="20">
        <f t="shared" si="57"/>
        <v>0</v>
      </c>
      <c r="AB48" s="20">
        <f t="shared" si="57"/>
        <v>0</v>
      </c>
      <c r="AC48" s="20">
        <f t="shared" si="57"/>
        <v>0</v>
      </c>
      <c r="AD48" s="20">
        <f t="shared" ref="AD48:AD53" si="58">SUM(Z48:AC48)</f>
        <v>30.541446835230808</v>
      </c>
      <c r="AE48" s="20">
        <f t="shared" ref="AE48:AH53" si="59">IF(K48&gt;0,((E48-K48)*$Q48*$S48*10)+(K48*$P$12*$Q48*$S48)*10,(E48*$Q48*$S48*10))</f>
        <v>313.72319682512079</v>
      </c>
      <c r="AF48" s="20">
        <f t="shared" si="59"/>
        <v>0</v>
      </c>
      <c r="AG48" s="20">
        <f t="shared" si="59"/>
        <v>0</v>
      </c>
      <c r="AH48" s="20">
        <f t="shared" si="59"/>
        <v>0</v>
      </c>
      <c r="AI48" s="20">
        <f t="shared" ref="AI48:AI53" si="60">AE48*(EXP(1.01-0.34*LN(AI$8))*(1-$U48)+(1*$U48))</f>
        <v>254.07951128703593</v>
      </c>
      <c r="AJ48" s="20">
        <f t="shared" ref="AJ48:AJ53" si="61">AF48*(EXP(1.01-0.34*LN(AJ$8))*(1-$U48)+(1*$U48))</f>
        <v>0</v>
      </c>
      <c r="AK48" s="20">
        <f t="shared" ref="AK48:AK53" si="62">AG48*(EXP(1.01-0.34*LN(AK$8))*(1-$U48)+(1*$U48))</f>
        <v>0</v>
      </c>
      <c r="AL48" s="20">
        <f t="shared" ref="AL48:AL53" si="63">AH48*(EXP(1.01-0.34*LN(AL$8))*(1-$U48)+(1*$U48))</f>
        <v>0</v>
      </c>
      <c r="AM48" s="20">
        <f t="shared" ref="AM48:AM53" si="64">SUM(AI48:AL48)</f>
        <v>254.07951128703593</v>
      </c>
      <c r="AO48">
        <f t="shared" ref="AO48:AR53" si="65">Z48*AO$10</f>
        <v>20.450552800870547</v>
      </c>
      <c r="AP48">
        <f t="shared" si="65"/>
        <v>0</v>
      </c>
      <c r="AQ48">
        <f t="shared" si="65"/>
        <v>0</v>
      </c>
      <c r="AR48">
        <f t="shared" si="65"/>
        <v>0</v>
      </c>
      <c r="AS48">
        <f t="shared" ref="AS48:AS53" si="66">SUM(AO48:AR48)</f>
        <v>20.450552800870547</v>
      </c>
      <c r="AU48">
        <f t="shared" ref="AU48:AX53" si="67">AI48*AU$10</f>
        <v>170.13164075779926</v>
      </c>
      <c r="AV48">
        <f t="shared" si="67"/>
        <v>0</v>
      </c>
      <c r="AW48">
        <f t="shared" si="67"/>
        <v>0</v>
      </c>
      <c r="AX48">
        <f t="shared" si="67"/>
        <v>0</v>
      </c>
      <c r="AY48">
        <f t="shared" ref="AY48:AY53" si="68">SUM(AU48:AX48)</f>
        <v>170.13164075779926</v>
      </c>
    </row>
    <row r="49" spans="1:53" ht="15" x14ac:dyDescent="0.25">
      <c r="A49" s="1"/>
      <c r="B49" s="2"/>
      <c r="C49" s="1" t="s">
        <v>9</v>
      </c>
      <c r="D49">
        <v>0</v>
      </c>
      <c r="E49" s="360">
        <v>14.5405</v>
      </c>
      <c r="F49">
        <v>0</v>
      </c>
      <c r="G49">
        <v>0</v>
      </c>
      <c r="H49">
        <v>0</v>
      </c>
      <c r="J49">
        <v>0</v>
      </c>
      <c r="K49" s="14">
        <v>2.7821109557028958</v>
      </c>
      <c r="L49">
        <v>0</v>
      </c>
      <c r="M49">
        <v>0</v>
      </c>
      <c r="N49">
        <v>0</v>
      </c>
      <c r="O49" s="20"/>
      <c r="P49" s="20"/>
      <c r="Q49" s="438">
        <v>0.40938156152260963</v>
      </c>
      <c r="R49" s="197">
        <v>0.43</v>
      </c>
      <c r="S49" s="197">
        <v>2.83</v>
      </c>
      <c r="T49" s="197">
        <v>0.76744186046511631</v>
      </c>
      <c r="U49" s="197">
        <v>0.76744186046511631</v>
      </c>
      <c r="V49" s="20">
        <f t="shared" si="56"/>
        <v>22.499823075736824</v>
      </c>
      <c r="W49" s="20">
        <f t="shared" si="56"/>
        <v>0</v>
      </c>
      <c r="X49" s="20">
        <f t="shared" si="56"/>
        <v>0</v>
      </c>
      <c r="Y49" s="20">
        <f t="shared" si="56"/>
        <v>0</v>
      </c>
      <c r="Z49" s="20">
        <f t="shared" si="57"/>
        <v>18.222254869838903</v>
      </c>
      <c r="AA49" s="20">
        <f t="shared" si="57"/>
        <v>0</v>
      </c>
      <c r="AB49" s="20">
        <f t="shared" si="57"/>
        <v>0</v>
      </c>
      <c r="AC49" s="20">
        <f t="shared" si="57"/>
        <v>0</v>
      </c>
      <c r="AD49" s="20">
        <f t="shared" si="58"/>
        <v>18.222254869838903</v>
      </c>
      <c r="AE49" s="20">
        <f t="shared" si="59"/>
        <v>154.89340146508533</v>
      </c>
      <c r="AF49" s="20">
        <f t="shared" si="59"/>
        <v>0</v>
      </c>
      <c r="AG49" s="20">
        <f t="shared" si="59"/>
        <v>0</v>
      </c>
      <c r="AH49" s="20">
        <f t="shared" si="59"/>
        <v>0</v>
      </c>
      <c r="AI49" s="20">
        <f t="shared" si="60"/>
        <v>125.44574371328171</v>
      </c>
      <c r="AJ49" s="20">
        <f t="shared" si="61"/>
        <v>0</v>
      </c>
      <c r="AK49" s="20">
        <f t="shared" si="62"/>
        <v>0</v>
      </c>
      <c r="AL49" s="20">
        <f t="shared" si="63"/>
        <v>0</v>
      </c>
      <c r="AM49" s="20">
        <f t="shared" si="64"/>
        <v>125.44574371328171</v>
      </c>
      <c r="AO49">
        <f t="shared" si="65"/>
        <v>12.20162186084413</v>
      </c>
      <c r="AP49">
        <f t="shared" si="65"/>
        <v>0</v>
      </c>
      <c r="AQ49">
        <f t="shared" si="65"/>
        <v>0</v>
      </c>
      <c r="AR49">
        <f t="shared" si="65"/>
        <v>0</v>
      </c>
      <c r="AS49">
        <f t="shared" si="66"/>
        <v>12.20162186084413</v>
      </c>
      <c r="AU49">
        <f t="shared" si="67"/>
        <v>83.998469990413426</v>
      </c>
      <c r="AV49">
        <f t="shared" si="67"/>
        <v>0</v>
      </c>
      <c r="AW49">
        <f t="shared" si="67"/>
        <v>0</v>
      </c>
      <c r="AX49">
        <f t="shared" si="67"/>
        <v>0</v>
      </c>
      <c r="AY49">
        <f t="shared" si="68"/>
        <v>83.998469990413426</v>
      </c>
    </row>
    <row r="50" spans="1:53" ht="15" x14ac:dyDescent="0.25">
      <c r="A50" s="1"/>
      <c r="B50" s="2"/>
      <c r="C50" s="1" t="s">
        <v>10</v>
      </c>
      <c r="D50">
        <v>0</v>
      </c>
      <c r="E50" s="360">
        <v>1.9340999999999999</v>
      </c>
      <c r="F50">
        <v>0</v>
      </c>
      <c r="G50">
        <v>0</v>
      </c>
      <c r="H50">
        <v>0</v>
      </c>
      <c r="J50">
        <v>0</v>
      </c>
      <c r="K50" s="14">
        <v>0.76237952362999994</v>
      </c>
      <c r="L50">
        <v>0</v>
      </c>
      <c r="M50">
        <v>0</v>
      </c>
      <c r="N50">
        <v>0</v>
      </c>
      <c r="O50" s="20"/>
      <c r="P50" s="20"/>
      <c r="Q50" s="438">
        <v>0.41157234228391454</v>
      </c>
      <c r="R50" s="197">
        <v>0.43</v>
      </c>
      <c r="S50" s="197">
        <v>2.83</v>
      </c>
      <c r="T50" s="197">
        <v>0.76744186046511631</v>
      </c>
      <c r="U50" s="197">
        <v>0.76744186046511631</v>
      </c>
      <c r="V50" s="20">
        <f t="shared" si="56"/>
        <v>2.5698472320367092</v>
      </c>
      <c r="W50" s="20">
        <f t="shared" si="56"/>
        <v>0</v>
      </c>
      <c r="X50" s="20">
        <f t="shared" si="56"/>
        <v>0</v>
      </c>
      <c r="Y50" s="20">
        <f t="shared" si="56"/>
        <v>0</v>
      </c>
      <c r="Z50" s="20">
        <f t="shared" si="57"/>
        <v>2.081279087444087</v>
      </c>
      <c r="AA50" s="20">
        <f t="shared" si="57"/>
        <v>0</v>
      </c>
      <c r="AB50" s="20">
        <f t="shared" si="57"/>
        <v>0</v>
      </c>
      <c r="AC50" s="20">
        <f t="shared" si="57"/>
        <v>0</v>
      </c>
      <c r="AD50" s="20">
        <f t="shared" si="58"/>
        <v>2.081279087444087</v>
      </c>
      <c r="AE50" s="20">
        <f t="shared" si="59"/>
        <v>18.790179182284248</v>
      </c>
      <c r="AF50" s="20">
        <f t="shared" si="59"/>
        <v>0</v>
      </c>
      <c r="AG50" s="20">
        <f t="shared" si="59"/>
        <v>0</v>
      </c>
      <c r="AH50" s="20">
        <f t="shared" si="59"/>
        <v>0</v>
      </c>
      <c r="AI50" s="20">
        <f t="shared" si="60"/>
        <v>15.217872289794075</v>
      </c>
      <c r="AJ50" s="20">
        <f t="shared" si="61"/>
        <v>0</v>
      </c>
      <c r="AK50" s="20">
        <f t="shared" si="62"/>
        <v>0</v>
      </c>
      <c r="AL50" s="20">
        <f t="shared" si="63"/>
        <v>0</v>
      </c>
      <c r="AM50" s="20">
        <f t="shared" si="64"/>
        <v>15.217872289794075</v>
      </c>
      <c r="AO50">
        <f t="shared" si="65"/>
        <v>1.3936244769525605</v>
      </c>
      <c r="AP50">
        <f t="shared" si="65"/>
        <v>0</v>
      </c>
      <c r="AQ50">
        <f t="shared" si="65"/>
        <v>0</v>
      </c>
      <c r="AR50">
        <f t="shared" si="65"/>
        <v>0</v>
      </c>
      <c r="AS50">
        <f t="shared" si="66"/>
        <v>1.3936244769525605</v>
      </c>
      <c r="AU50">
        <f t="shared" si="67"/>
        <v>10.189887285246112</v>
      </c>
      <c r="AV50">
        <f t="shared" si="67"/>
        <v>0</v>
      </c>
      <c r="AW50">
        <f t="shared" si="67"/>
        <v>0</v>
      </c>
      <c r="AX50">
        <f t="shared" si="67"/>
        <v>0</v>
      </c>
      <c r="AY50">
        <f t="shared" si="68"/>
        <v>10.189887285246112</v>
      </c>
    </row>
    <row r="51" spans="1:53" ht="15" x14ac:dyDescent="0.25">
      <c r="A51" s="1"/>
      <c r="B51" s="2"/>
      <c r="C51" s="1" t="s">
        <v>11</v>
      </c>
      <c r="D51">
        <v>0</v>
      </c>
      <c r="E51" s="360">
        <v>31.224499999999999</v>
      </c>
      <c r="F51">
        <v>0</v>
      </c>
      <c r="G51">
        <v>0</v>
      </c>
      <c r="H51">
        <v>0</v>
      </c>
      <c r="J51">
        <v>0</v>
      </c>
      <c r="K51" s="14">
        <v>23.721428580574699</v>
      </c>
      <c r="L51">
        <v>0</v>
      </c>
      <c r="M51">
        <v>0</v>
      </c>
      <c r="N51">
        <v>0</v>
      </c>
      <c r="O51" s="20"/>
      <c r="P51" s="20"/>
      <c r="Q51" s="438">
        <v>0.41376312304521928</v>
      </c>
      <c r="R51" s="197">
        <v>0.43</v>
      </c>
      <c r="S51" s="197">
        <v>2.83</v>
      </c>
      <c r="T51" s="197">
        <v>0.76744186046511631</v>
      </c>
      <c r="U51" s="197">
        <v>0.76744186046511631</v>
      </c>
      <c r="V51" s="20">
        <f t="shared" si="56"/>
        <v>28.87019934082182</v>
      </c>
      <c r="W51" s="20">
        <f t="shared" si="56"/>
        <v>0</v>
      </c>
      <c r="X51" s="20">
        <f t="shared" si="56"/>
        <v>0</v>
      </c>
      <c r="Y51" s="20">
        <f t="shared" si="56"/>
        <v>0</v>
      </c>
      <c r="Z51" s="20">
        <f t="shared" si="57"/>
        <v>23.381522990677215</v>
      </c>
      <c r="AA51" s="20">
        <f t="shared" si="57"/>
        <v>0</v>
      </c>
      <c r="AB51" s="20">
        <f t="shared" si="57"/>
        <v>0</v>
      </c>
      <c r="AC51" s="20">
        <f t="shared" si="57"/>
        <v>0</v>
      </c>
      <c r="AD51" s="20">
        <f t="shared" si="58"/>
        <v>23.381522990677215</v>
      </c>
      <c r="AE51" s="20">
        <f t="shared" si="59"/>
        <v>248.71985592458137</v>
      </c>
      <c r="AF51" s="20">
        <f t="shared" si="59"/>
        <v>0</v>
      </c>
      <c r="AG51" s="20">
        <f t="shared" si="59"/>
        <v>0</v>
      </c>
      <c r="AH51" s="20">
        <f t="shared" si="59"/>
        <v>0</v>
      </c>
      <c r="AI51" s="20">
        <f t="shared" si="60"/>
        <v>201.43432197628121</v>
      </c>
      <c r="AJ51" s="20">
        <f t="shared" si="61"/>
        <v>0</v>
      </c>
      <c r="AK51" s="20">
        <f t="shared" si="62"/>
        <v>0</v>
      </c>
      <c r="AL51" s="20">
        <f t="shared" si="63"/>
        <v>0</v>
      </c>
      <c r="AM51" s="20">
        <f t="shared" si="64"/>
        <v>201.43432197628121</v>
      </c>
      <c r="AO51">
        <f t="shared" si="65"/>
        <v>15.656267794557463</v>
      </c>
      <c r="AP51">
        <f t="shared" si="65"/>
        <v>0</v>
      </c>
      <c r="AQ51">
        <f t="shared" si="65"/>
        <v>0</v>
      </c>
      <c r="AR51">
        <f t="shared" si="65"/>
        <v>0</v>
      </c>
      <c r="AS51">
        <f t="shared" si="66"/>
        <v>15.656267794557463</v>
      </c>
      <c r="AU51">
        <f t="shared" si="67"/>
        <v>134.8804219953179</v>
      </c>
      <c r="AV51">
        <f t="shared" si="67"/>
        <v>0</v>
      </c>
      <c r="AW51">
        <f t="shared" si="67"/>
        <v>0</v>
      </c>
      <c r="AX51">
        <f t="shared" si="67"/>
        <v>0</v>
      </c>
      <c r="AY51">
        <f t="shared" si="68"/>
        <v>134.8804219953179</v>
      </c>
    </row>
    <row r="52" spans="1:53" ht="15" x14ac:dyDescent="0.25">
      <c r="A52" s="1"/>
      <c r="B52" s="2"/>
      <c r="C52" s="1" t="s">
        <v>12</v>
      </c>
      <c r="D52">
        <v>0</v>
      </c>
      <c r="E52" s="360">
        <v>0</v>
      </c>
      <c r="F52">
        <v>0</v>
      </c>
      <c r="G52">
        <v>0</v>
      </c>
      <c r="H52">
        <v>0</v>
      </c>
      <c r="J52">
        <v>0</v>
      </c>
      <c r="K52" s="14">
        <v>0</v>
      </c>
      <c r="L52">
        <v>0</v>
      </c>
      <c r="M52">
        <v>0</v>
      </c>
      <c r="N52">
        <v>0</v>
      </c>
      <c r="O52" s="20"/>
      <c r="P52" s="20"/>
      <c r="Q52" s="438"/>
      <c r="R52" s="197">
        <v>0.43</v>
      </c>
      <c r="S52" s="197">
        <v>2.83</v>
      </c>
      <c r="T52" s="197">
        <v>0.76744186046511631</v>
      </c>
      <c r="U52" s="197">
        <v>0.76744186046511631</v>
      </c>
      <c r="V52" s="20">
        <f t="shared" si="56"/>
        <v>0</v>
      </c>
      <c r="W52" s="20">
        <f t="shared" si="56"/>
        <v>0</v>
      </c>
      <c r="X52" s="20">
        <f t="shared" si="56"/>
        <v>0</v>
      </c>
      <c r="Y52" s="20">
        <f t="shared" si="56"/>
        <v>0</v>
      </c>
      <c r="Z52" s="20">
        <f t="shared" si="57"/>
        <v>0</v>
      </c>
      <c r="AA52" s="20">
        <f t="shared" si="57"/>
        <v>0</v>
      </c>
      <c r="AB52" s="20">
        <f t="shared" si="57"/>
        <v>0</v>
      </c>
      <c r="AC52" s="20">
        <f t="shared" si="57"/>
        <v>0</v>
      </c>
      <c r="AD52" s="20">
        <f t="shared" si="58"/>
        <v>0</v>
      </c>
      <c r="AE52" s="20">
        <f t="shared" si="59"/>
        <v>0</v>
      </c>
      <c r="AF52" s="20">
        <f t="shared" si="59"/>
        <v>0</v>
      </c>
      <c r="AG52" s="20">
        <f t="shared" si="59"/>
        <v>0</v>
      </c>
      <c r="AH52" s="20">
        <f t="shared" si="59"/>
        <v>0</v>
      </c>
      <c r="AI52" s="20">
        <f t="shared" si="60"/>
        <v>0</v>
      </c>
      <c r="AJ52" s="20">
        <f t="shared" si="61"/>
        <v>0</v>
      </c>
      <c r="AK52" s="20">
        <f t="shared" si="62"/>
        <v>0</v>
      </c>
      <c r="AL52" s="20">
        <f t="shared" si="63"/>
        <v>0</v>
      </c>
      <c r="AM52" s="20">
        <f t="shared" si="64"/>
        <v>0</v>
      </c>
      <c r="AO52">
        <f t="shared" si="65"/>
        <v>0</v>
      </c>
      <c r="AP52">
        <f t="shared" si="65"/>
        <v>0</v>
      </c>
      <c r="AQ52">
        <f t="shared" si="65"/>
        <v>0</v>
      </c>
      <c r="AR52">
        <f t="shared" si="65"/>
        <v>0</v>
      </c>
      <c r="AS52">
        <f t="shared" si="66"/>
        <v>0</v>
      </c>
      <c r="AU52">
        <f t="shared" si="67"/>
        <v>0</v>
      </c>
      <c r="AV52">
        <f t="shared" si="67"/>
        <v>0</v>
      </c>
      <c r="AW52">
        <f t="shared" si="67"/>
        <v>0</v>
      </c>
      <c r="AX52">
        <f t="shared" si="67"/>
        <v>0</v>
      </c>
      <c r="AY52">
        <f t="shared" si="68"/>
        <v>0</v>
      </c>
    </row>
    <row r="53" spans="1:53" ht="15" x14ac:dyDescent="0.25">
      <c r="A53" s="1"/>
      <c r="B53" s="2"/>
      <c r="C53" s="1" t="s">
        <v>13</v>
      </c>
      <c r="D53">
        <v>0</v>
      </c>
      <c r="E53" s="360">
        <v>7.3499999999999996E-2</v>
      </c>
      <c r="F53">
        <v>0</v>
      </c>
      <c r="G53">
        <v>0</v>
      </c>
      <c r="H53">
        <v>0</v>
      </c>
      <c r="J53">
        <v>0</v>
      </c>
      <c r="K53" s="14">
        <v>5.4110147222699995E-2</v>
      </c>
      <c r="L53">
        <v>0</v>
      </c>
      <c r="M53">
        <v>0</v>
      </c>
      <c r="N53">
        <v>0</v>
      </c>
      <c r="O53" s="20"/>
      <c r="P53" s="20"/>
      <c r="Q53" s="438">
        <v>0.41376312304521934</v>
      </c>
      <c r="R53" s="197">
        <v>0.43</v>
      </c>
      <c r="S53" s="197">
        <v>2.83</v>
      </c>
      <c r="T53" s="197">
        <v>0.76744186046511631</v>
      </c>
      <c r="U53" s="197">
        <v>0.76744186046511631</v>
      </c>
      <c r="V53" s="20">
        <f t="shared" si="56"/>
        <v>6.9902205942665468E-2</v>
      </c>
      <c r="W53" s="20">
        <f t="shared" si="56"/>
        <v>0</v>
      </c>
      <c r="X53" s="20">
        <f t="shared" si="56"/>
        <v>0</v>
      </c>
      <c r="Y53" s="20">
        <f t="shared" si="56"/>
        <v>0</v>
      </c>
      <c r="Z53" s="20">
        <f t="shared" si="57"/>
        <v>5.6612703502758731E-2</v>
      </c>
      <c r="AA53" s="20">
        <f t="shared" si="57"/>
        <v>0</v>
      </c>
      <c r="AB53" s="20">
        <f t="shared" si="57"/>
        <v>0</v>
      </c>
      <c r="AC53" s="20">
        <f t="shared" si="57"/>
        <v>0</v>
      </c>
      <c r="AD53" s="20">
        <f t="shared" si="58"/>
        <v>5.6612703502758731E-2</v>
      </c>
      <c r="AE53" s="20">
        <f t="shared" si="59"/>
        <v>0.59398379469105822</v>
      </c>
      <c r="AF53" s="20">
        <f t="shared" si="59"/>
        <v>0</v>
      </c>
      <c r="AG53" s="20">
        <f t="shared" si="59"/>
        <v>0</v>
      </c>
      <c r="AH53" s="20">
        <f t="shared" si="59"/>
        <v>0</v>
      </c>
      <c r="AI53" s="20">
        <f t="shared" si="60"/>
        <v>0.48105818694576874</v>
      </c>
      <c r="AJ53" s="20">
        <f t="shared" si="61"/>
        <v>0</v>
      </c>
      <c r="AK53" s="20">
        <f t="shared" si="62"/>
        <v>0</v>
      </c>
      <c r="AL53" s="20">
        <f t="shared" si="63"/>
        <v>0</v>
      </c>
      <c r="AM53" s="20">
        <f t="shared" si="64"/>
        <v>0.48105818694576874</v>
      </c>
      <c r="AO53">
        <f t="shared" si="65"/>
        <v>3.7907866265447246E-2</v>
      </c>
      <c r="AP53">
        <f t="shared" si="65"/>
        <v>0</v>
      </c>
      <c r="AQ53">
        <f t="shared" si="65"/>
        <v>0</v>
      </c>
      <c r="AR53">
        <f t="shared" si="65"/>
        <v>0</v>
      </c>
      <c r="AS53">
        <f t="shared" si="66"/>
        <v>3.7907866265447246E-2</v>
      </c>
      <c r="AU53">
        <f t="shared" si="67"/>
        <v>0.32211656197888672</v>
      </c>
      <c r="AV53">
        <f t="shared" si="67"/>
        <v>0</v>
      </c>
      <c r="AW53">
        <f t="shared" si="67"/>
        <v>0</v>
      </c>
      <c r="AX53">
        <f t="shared" si="67"/>
        <v>0</v>
      </c>
      <c r="AY53">
        <f t="shared" si="68"/>
        <v>0.32211656197888672</v>
      </c>
    </row>
    <row r="54" spans="1:53" ht="15" x14ac:dyDescent="0.25">
      <c r="A54" s="7"/>
      <c r="B54" s="8" t="s">
        <v>14</v>
      </c>
      <c r="C54" s="7"/>
      <c r="D54" s="357">
        <f t="shared" ref="D54:H54" si="69">SUM(D48:D53)</f>
        <v>0</v>
      </c>
      <c r="E54" s="363">
        <f>SUM(E48:E53)</f>
        <v>86.320300000000003</v>
      </c>
      <c r="F54" s="357">
        <f t="shared" si="69"/>
        <v>0</v>
      </c>
      <c r="G54" s="357">
        <f t="shared" si="69"/>
        <v>0</v>
      </c>
      <c r="H54" s="357">
        <f t="shared" si="69"/>
        <v>0</v>
      </c>
      <c r="J54">
        <v>0</v>
      </c>
      <c r="K54" s="14">
        <v>54.223961965811704</v>
      </c>
      <c r="L54">
        <v>0</v>
      </c>
      <c r="M54">
        <v>0</v>
      </c>
      <c r="N54">
        <v>0</v>
      </c>
      <c r="O54" s="20"/>
      <c r="P54" s="20"/>
      <c r="Q54" s="438">
        <v>0.41004098627035174</v>
      </c>
      <c r="R54" s="197"/>
      <c r="S54" s="197"/>
      <c r="T54" s="197"/>
      <c r="U54" s="197"/>
      <c r="BA54" s="319">
        <f>(E54*10000*Q54*AU$10)</f>
        <v>237003.98890213406</v>
      </c>
    </row>
    <row r="55" spans="1:53" ht="15" x14ac:dyDescent="0.25">
      <c r="A55" s="10"/>
      <c r="B55" s="9" t="s">
        <v>15</v>
      </c>
      <c r="C55" s="5"/>
      <c r="E55" s="363">
        <f>SUM(E54)</f>
        <v>86.320300000000003</v>
      </c>
      <c r="H55" s="358">
        <f>SUM(D54:H54)</f>
        <v>86.320300000000003</v>
      </c>
      <c r="K55" s="14">
        <v>54.223961965811704</v>
      </c>
      <c r="N55">
        <v>0</v>
      </c>
      <c r="O55" s="20"/>
      <c r="P55" s="20"/>
      <c r="Q55" s="438"/>
      <c r="R55" s="197"/>
      <c r="S55" s="197"/>
      <c r="T55" s="197"/>
      <c r="U55" s="197"/>
    </row>
    <row r="56" spans="1:53" ht="15.75" x14ac:dyDescent="0.25">
      <c r="A56" s="1"/>
      <c r="B56" s="2"/>
      <c r="C56" s="1"/>
      <c r="E56" s="361"/>
      <c r="K56" s="14"/>
      <c r="O56" s="20"/>
      <c r="P56" s="20"/>
      <c r="Q56" s="439"/>
      <c r="R56" s="197"/>
      <c r="S56" s="197"/>
      <c r="T56" s="197"/>
      <c r="U56" s="197"/>
    </row>
    <row r="57" spans="1:53" ht="15" x14ac:dyDescent="0.25">
      <c r="A57" s="1">
        <v>6</v>
      </c>
      <c r="B57" s="2" t="s">
        <v>20</v>
      </c>
      <c r="C57" s="1" t="s">
        <v>8</v>
      </c>
      <c r="D57">
        <v>0</v>
      </c>
      <c r="E57" s="360">
        <v>11.9978</v>
      </c>
      <c r="F57">
        <v>0</v>
      </c>
      <c r="G57">
        <v>0</v>
      </c>
      <c r="H57">
        <v>0</v>
      </c>
      <c r="J57">
        <v>0</v>
      </c>
      <c r="K57" s="14">
        <v>11.908647118760999</v>
      </c>
      <c r="L57">
        <v>0</v>
      </c>
      <c r="M57">
        <v>0</v>
      </c>
      <c r="N57">
        <v>0</v>
      </c>
      <c r="O57" s="20"/>
      <c r="P57" s="20"/>
      <c r="Q57" s="438">
        <v>0.45199161887391343</v>
      </c>
      <c r="R57" s="197">
        <v>0.33900000000000002</v>
      </c>
      <c r="S57" s="197">
        <v>1.9830000000000001</v>
      </c>
      <c r="T57" s="197">
        <v>0.76146788990825687</v>
      </c>
      <c r="U57" s="197">
        <v>0.76146788990825687</v>
      </c>
      <c r="V57" s="20">
        <f t="shared" ref="V57:Y62" si="70">IF(K57&gt;0,((E57-K57)*$Q57*$R57*10)+(K57*$O$12*$Q57*$R57*10),(E57*$Q57*$R57*10))</f>
        <v>6.846992194555618</v>
      </c>
      <c r="W57" s="20">
        <f t="shared" si="70"/>
        <v>0</v>
      </c>
      <c r="X57" s="20">
        <f t="shared" si="70"/>
        <v>0</v>
      </c>
      <c r="Y57" s="20">
        <f t="shared" si="70"/>
        <v>0</v>
      </c>
      <c r="Z57" s="20">
        <f t="shared" ref="Z57:AC62" si="71">V57*(EXP(1.01-0.34*LN(Z$8))*(1-$T57)+(1*$T57))</f>
        <v>5.5118332228401545</v>
      </c>
      <c r="AA57" s="20">
        <f t="shared" si="71"/>
        <v>0</v>
      </c>
      <c r="AB57" s="20">
        <f t="shared" si="71"/>
        <v>0</v>
      </c>
      <c r="AC57" s="20">
        <f t="shared" si="71"/>
        <v>0</v>
      </c>
      <c r="AD57" s="20">
        <f t="shared" ref="AD57:AD62" si="72">SUM(Z57:AC57)</f>
        <v>5.5118332228401545</v>
      </c>
      <c r="AE57" s="20">
        <f t="shared" ref="AE57:AH62" si="73">IF(K57&gt;0,((E57-K57)*$Q57*$S57*10)+(K57*$P$12*$Q57*$S57)*10,(E57*$Q57*$S57*10))</f>
        <v>62.613772155445588</v>
      </c>
      <c r="AF57" s="20">
        <f t="shared" si="73"/>
        <v>0</v>
      </c>
      <c r="AG57" s="20">
        <f t="shared" si="73"/>
        <v>0</v>
      </c>
      <c r="AH57" s="20">
        <f t="shared" si="73"/>
        <v>0</v>
      </c>
      <c r="AI57" s="20">
        <f t="shared" ref="AI57:AI62" si="74">AE57*(EXP(1.01-0.34*LN(AI$8))*(1-$U57)+(1*$U57))</f>
        <v>50.40412779324447</v>
      </c>
      <c r="AJ57" s="20">
        <f t="shared" ref="AJ57:AJ62" si="75">AF57*(EXP(1.01-0.34*LN(AJ$8))*(1-$U57)+(1*$U57))</f>
        <v>0</v>
      </c>
      <c r="AK57" s="20">
        <f t="shared" ref="AK57:AK62" si="76">AG57*(EXP(1.01-0.34*LN(AK$8))*(1-$U57)+(1*$U57))</f>
        <v>0</v>
      </c>
      <c r="AL57" s="20">
        <f t="shared" ref="AL57:AL62" si="77">AH57*(EXP(1.01-0.34*LN(AL$8))*(1-$U57)+(1*$U57))</f>
        <v>0</v>
      </c>
      <c r="AM57" s="20">
        <f t="shared" ref="AM57:AM62" si="78">SUM(AI57:AL57)</f>
        <v>50.40412779324447</v>
      </c>
      <c r="AO57">
        <f t="shared" ref="AO57:AR62" si="79">Z57*AO$10</f>
        <v>3.6907235260137674</v>
      </c>
      <c r="AP57">
        <f t="shared" si="79"/>
        <v>0</v>
      </c>
      <c r="AQ57">
        <f t="shared" si="79"/>
        <v>0</v>
      </c>
      <c r="AR57">
        <f t="shared" si="79"/>
        <v>0</v>
      </c>
      <c r="AS57">
        <f t="shared" ref="AS57:AS62" si="80">SUM(AO57:AR57)</f>
        <v>3.6907235260137674</v>
      </c>
      <c r="AU57">
        <f t="shared" ref="AU57:AX62" si="81">AI57*AU$10</f>
        <v>33.750603970356494</v>
      </c>
      <c r="AV57">
        <f t="shared" si="81"/>
        <v>0</v>
      </c>
      <c r="AW57">
        <f t="shared" si="81"/>
        <v>0</v>
      </c>
      <c r="AX57">
        <f t="shared" si="81"/>
        <v>0</v>
      </c>
      <c r="AY57">
        <f t="shared" ref="AY57:AY62" si="82">SUM(AU57:AX57)</f>
        <v>33.750603970356494</v>
      </c>
    </row>
    <row r="58" spans="1:53" ht="15" x14ac:dyDescent="0.25">
      <c r="A58" s="1"/>
      <c r="B58" s="2"/>
      <c r="C58" s="1" t="s">
        <v>9</v>
      </c>
      <c r="D58">
        <v>0</v>
      </c>
      <c r="E58" s="360">
        <v>3.8092000000000001</v>
      </c>
      <c r="F58">
        <v>0</v>
      </c>
      <c r="G58">
        <v>0</v>
      </c>
      <c r="H58">
        <v>0</v>
      </c>
      <c r="J58">
        <v>0</v>
      </c>
      <c r="K58" s="14">
        <v>2.2897921524700005</v>
      </c>
      <c r="L58">
        <v>0</v>
      </c>
      <c r="M58">
        <v>0</v>
      </c>
      <c r="N58">
        <v>0</v>
      </c>
      <c r="O58" s="20"/>
      <c r="P58" s="20"/>
      <c r="Q58" s="438">
        <v>0.45398323774782695</v>
      </c>
      <c r="R58" s="197">
        <v>0.33900000000000002</v>
      </c>
      <c r="S58" s="197">
        <v>1.9830000000000001</v>
      </c>
      <c r="T58" s="197">
        <v>0.76146788990825687</v>
      </c>
      <c r="U58" s="197">
        <v>0.76146788990825687</v>
      </c>
      <c r="V58" s="20">
        <f t="shared" si="70"/>
        <v>3.6343307522092658</v>
      </c>
      <c r="W58" s="20">
        <f t="shared" si="70"/>
        <v>0</v>
      </c>
      <c r="X58" s="20">
        <f t="shared" si="70"/>
        <v>0</v>
      </c>
      <c r="Y58" s="20">
        <f t="shared" si="70"/>
        <v>0</v>
      </c>
      <c r="Z58" s="20">
        <f t="shared" si="71"/>
        <v>2.9256386473968781</v>
      </c>
      <c r="AA58" s="20">
        <f t="shared" si="71"/>
        <v>0</v>
      </c>
      <c r="AB58" s="20">
        <f t="shared" si="71"/>
        <v>0</v>
      </c>
      <c r="AC58" s="20">
        <f t="shared" si="71"/>
        <v>0</v>
      </c>
      <c r="AD58" s="20">
        <f t="shared" si="72"/>
        <v>2.9256386473968781</v>
      </c>
      <c r="AE58" s="20">
        <f t="shared" si="73"/>
        <v>25.616539142827627</v>
      </c>
      <c r="AF58" s="20">
        <f t="shared" si="73"/>
        <v>0</v>
      </c>
      <c r="AG58" s="20">
        <f t="shared" si="73"/>
        <v>0</v>
      </c>
      <c r="AH58" s="20">
        <f t="shared" si="73"/>
        <v>0</v>
      </c>
      <c r="AI58" s="20">
        <f t="shared" si="74"/>
        <v>20.621330869033699</v>
      </c>
      <c r="AJ58" s="20">
        <f t="shared" si="75"/>
        <v>0</v>
      </c>
      <c r="AK58" s="20">
        <f t="shared" si="76"/>
        <v>0</v>
      </c>
      <c r="AL58" s="20">
        <f t="shared" si="77"/>
        <v>0</v>
      </c>
      <c r="AM58" s="20">
        <f t="shared" si="78"/>
        <v>20.621330869033699</v>
      </c>
      <c r="AO58">
        <f t="shared" si="79"/>
        <v>1.9590076382969495</v>
      </c>
      <c r="AP58">
        <f t="shared" si="79"/>
        <v>0</v>
      </c>
      <c r="AQ58">
        <f t="shared" si="79"/>
        <v>0</v>
      </c>
      <c r="AR58">
        <f t="shared" si="79"/>
        <v>0</v>
      </c>
      <c r="AS58">
        <f t="shared" si="80"/>
        <v>1.9590076382969495</v>
      </c>
      <c r="AU58">
        <f t="shared" si="81"/>
        <v>13.808043149904965</v>
      </c>
      <c r="AV58">
        <f t="shared" si="81"/>
        <v>0</v>
      </c>
      <c r="AW58">
        <f t="shared" si="81"/>
        <v>0</v>
      </c>
      <c r="AX58">
        <f t="shared" si="81"/>
        <v>0</v>
      </c>
      <c r="AY58">
        <f t="shared" si="82"/>
        <v>13.808043149904965</v>
      </c>
    </row>
    <row r="59" spans="1:53" ht="15" x14ac:dyDescent="0.25">
      <c r="A59" s="1"/>
      <c r="B59" s="2"/>
      <c r="C59" s="1" t="s">
        <v>10</v>
      </c>
      <c r="D59">
        <v>0</v>
      </c>
      <c r="E59" s="360">
        <v>0.1384</v>
      </c>
      <c r="F59">
        <v>0</v>
      </c>
      <c r="G59">
        <v>0</v>
      </c>
      <c r="H59">
        <v>0</v>
      </c>
      <c r="J59">
        <v>0</v>
      </c>
      <c r="K59" s="14">
        <v>-8.809080921500001E-2</v>
      </c>
      <c r="L59">
        <v>0</v>
      </c>
      <c r="M59">
        <v>0</v>
      </c>
      <c r="N59">
        <v>0</v>
      </c>
      <c r="O59" s="20"/>
      <c r="P59" s="20"/>
      <c r="Q59" s="438">
        <v>0.45597485662174048</v>
      </c>
      <c r="R59" s="197">
        <v>0.33900000000000002</v>
      </c>
      <c r="S59" s="197">
        <v>1.9830000000000001</v>
      </c>
      <c r="T59" s="197">
        <v>0.76146788990825687</v>
      </c>
      <c r="U59" s="197">
        <v>0.76146788990825687</v>
      </c>
      <c r="V59" s="20">
        <f t="shared" si="70"/>
        <v>0.2139324593303617</v>
      </c>
      <c r="W59" s="20">
        <f t="shared" si="70"/>
        <v>0</v>
      </c>
      <c r="X59" s="20">
        <f t="shared" si="70"/>
        <v>0</v>
      </c>
      <c r="Y59" s="20">
        <f t="shared" si="70"/>
        <v>0</v>
      </c>
      <c r="Z59" s="20">
        <f t="shared" si="71"/>
        <v>0.17221577055668272</v>
      </c>
      <c r="AA59" s="20">
        <f t="shared" si="71"/>
        <v>0</v>
      </c>
      <c r="AB59" s="20">
        <f t="shared" si="71"/>
        <v>0</v>
      </c>
      <c r="AC59" s="20">
        <f t="shared" si="71"/>
        <v>0</v>
      </c>
      <c r="AD59" s="20">
        <f t="shared" si="72"/>
        <v>0.17221577055668272</v>
      </c>
      <c r="AE59" s="20">
        <f t="shared" si="73"/>
        <v>1.2514102267023812</v>
      </c>
      <c r="AF59" s="20">
        <f t="shared" si="73"/>
        <v>0</v>
      </c>
      <c r="AG59" s="20">
        <f t="shared" si="73"/>
        <v>0</v>
      </c>
      <c r="AH59" s="20">
        <f t="shared" si="73"/>
        <v>0</v>
      </c>
      <c r="AI59" s="20">
        <f t="shared" si="74"/>
        <v>1.007386056088206</v>
      </c>
      <c r="AJ59" s="20">
        <f t="shared" si="75"/>
        <v>0</v>
      </c>
      <c r="AK59" s="20">
        <f t="shared" si="76"/>
        <v>0</v>
      </c>
      <c r="AL59" s="20">
        <f t="shared" si="77"/>
        <v>0</v>
      </c>
      <c r="AM59" s="20">
        <f t="shared" si="78"/>
        <v>1.007386056088206</v>
      </c>
      <c r="AO59">
        <f t="shared" si="79"/>
        <v>0.11531567996475474</v>
      </c>
      <c r="AP59">
        <f t="shared" si="79"/>
        <v>0</v>
      </c>
      <c r="AQ59">
        <f t="shared" si="79"/>
        <v>0</v>
      </c>
      <c r="AR59">
        <f t="shared" si="79"/>
        <v>0</v>
      </c>
      <c r="AS59">
        <f t="shared" si="80"/>
        <v>0.11531567996475474</v>
      </c>
      <c r="AU59">
        <f t="shared" si="81"/>
        <v>0.67454570315666273</v>
      </c>
      <c r="AV59">
        <f t="shared" si="81"/>
        <v>0</v>
      </c>
      <c r="AW59">
        <f t="shared" si="81"/>
        <v>0</v>
      </c>
      <c r="AX59">
        <f t="shared" si="81"/>
        <v>0</v>
      </c>
      <c r="AY59">
        <f t="shared" si="82"/>
        <v>0.67454570315666273</v>
      </c>
    </row>
    <row r="60" spans="1:53" ht="15" x14ac:dyDescent="0.25">
      <c r="A60" s="1"/>
      <c r="B60" s="2"/>
      <c r="C60" s="1" t="s">
        <v>11</v>
      </c>
      <c r="D60">
        <v>0</v>
      </c>
      <c r="E60" s="360">
        <v>2.6183000000000001</v>
      </c>
      <c r="F60">
        <v>0</v>
      </c>
      <c r="G60">
        <v>0</v>
      </c>
      <c r="H60">
        <v>0</v>
      </c>
      <c r="J60">
        <v>0</v>
      </c>
      <c r="K60" s="14">
        <v>2.1201244640930001</v>
      </c>
      <c r="L60">
        <v>0</v>
      </c>
      <c r="M60">
        <v>0</v>
      </c>
      <c r="N60">
        <v>0</v>
      </c>
      <c r="O60" s="20"/>
      <c r="P60" s="20"/>
      <c r="Q60" s="438">
        <v>0.457966475495654</v>
      </c>
      <c r="R60" s="197">
        <v>0.33900000000000002</v>
      </c>
      <c r="S60" s="197">
        <v>1.9830000000000001</v>
      </c>
      <c r="T60" s="197">
        <v>0.76146788990825687</v>
      </c>
      <c r="U60" s="197">
        <v>0.76146788990825687</v>
      </c>
      <c r="V60" s="20">
        <f t="shared" si="70"/>
        <v>1.9838790036268166</v>
      </c>
      <c r="W60" s="20">
        <f t="shared" si="70"/>
        <v>0</v>
      </c>
      <c r="X60" s="20">
        <f t="shared" si="70"/>
        <v>0</v>
      </c>
      <c r="Y60" s="20">
        <f t="shared" si="70"/>
        <v>0</v>
      </c>
      <c r="Z60" s="20">
        <f t="shared" si="71"/>
        <v>1.5970239035733265</v>
      </c>
      <c r="AA60" s="20">
        <f t="shared" si="71"/>
        <v>0</v>
      </c>
      <c r="AB60" s="20">
        <f t="shared" si="71"/>
        <v>0</v>
      </c>
      <c r="AC60" s="20">
        <f t="shared" si="71"/>
        <v>0</v>
      </c>
      <c r="AD60" s="20">
        <f t="shared" si="72"/>
        <v>1.5970239035733265</v>
      </c>
      <c r="AE60" s="20">
        <f t="shared" si="73"/>
        <v>15.674659239631293</v>
      </c>
      <c r="AF60" s="20">
        <f t="shared" si="73"/>
        <v>0</v>
      </c>
      <c r="AG60" s="20">
        <f t="shared" si="73"/>
        <v>0</v>
      </c>
      <c r="AH60" s="20">
        <f t="shared" si="73"/>
        <v>0</v>
      </c>
      <c r="AI60" s="20">
        <f t="shared" si="74"/>
        <v>12.618111003893938</v>
      </c>
      <c r="AJ60" s="20">
        <f t="shared" si="75"/>
        <v>0</v>
      </c>
      <c r="AK60" s="20">
        <f t="shared" si="76"/>
        <v>0</v>
      </c>
      <c r="AL60" s="20">
        <f t="shared" si="77"/>
        <v>0</v>
      </c>
      <c r="AM60" s="20">
        <f t="shared" si="78"/>
        <v>12.618111003893938</v>
      </c>
      <c r="AO60">
        <f t="shared" si="79"/>
        <v>1.0693672058326993</v>
      </c>
      <c r="AP60">
        <f t="shared" si="79"/>
        <v>0</v>
      </c>
      <c r="AQ60">
        <f t="shared" si="79"/>
        <v>0</v>
      </c>
      <c r="AR60">
        <f t="shared" si="79"/>
        <v>0</v>
      </c>
      <c r="AS60">
        <f t="shared" si="80"/>
        <v>1.0693672058326993</v>
      </c>
      <c r="AU60">
        <f t="shared" si="81"/>
        <v>8.4490871282073812</v>
      </c>
      <c r="AV60">
        <f t="shared" si="81"/>
        <v>0</v>
      </c>
      <c r="AW60">
        <f t="shared" si="81"/>
        <v>0</v>
      </c>
      <c r="AX60">
        <f t="shared" si="81"/>
        <v>0</v>
      </c>
      <c r="AY60">
        <f t="shared" si="82"/>
        <v>8.4490871282073812</v>
      </c>
    </row>
    <row r="61" spans="1:53" ht="15" x14ac:dyDescent="0.25">
      <c r="A61" s="1"/>
      <c r="B61" s="2"/>
      <c r="C61" s="1" t="s">
        <v>12</v>
      </c>
      <c r="D61">
        <v>0</v>
      </c>
      <c r="E61" s="360">
        <v>0</v>
      </c>
      <c r="F61">
        <v>0</v>
      </c>
      <c r="G61">
        <v>0</v>
      </c>
      <c r="H61">
        <v>0</v>
      </c>
      <c r="J61">
        <v>0</v>
      </c>
      <c r="K61" s="14">
        <v>0</v>
      </c>
      <c r="L61">
        <v>0</v>
      </c>
      <c r="M61">
        <v>0</v>
      </c>
      <c r="N61">
        <v>0</v>
      </c>
      <c r="O61" s="20"/>
      <c r="P61" s="20"/>
      <c r="Q61" s="438"/>
      <c r="R61" s="197">
        <v>0.33900000000000002</v>
      </c>
      <c r="S61" s="197">
        <v>1.9830000000000001</v>
      </c>
      <c r="T61" s="197">
        <v>0.76146788990825687</v>
      </c>
      <c r="U61" s="197">
        <v>0.76146788990825687</v>
      </c>
      <c r="V61" s="20">
        <f t="shared" si="70"/>
        <v>0</v>
      </c>
      <c r="W61" s="20">
        <f t="shared" si="70"/>
        <v>0</v>
      </c>
      <c r="X61" s="20">
        <f t="shared" si="70"/>
        <v>0</v>
      </c>
      <c r="Y61" s="20">
        <f t="shared" si="70"/>
        <v>0</v>
      </c>
      <c r="Z61" s="20">
        <f t="shared" si="71"/>
        <v>0</v>
      </c>
      <c r="AA61" s="20">
        <f t="shared" si="71"/>
        <v>0</v>
      </c>
      <c r="AB61" s="20">
        <f t="shared" si="71"/>
        <v>0</v>
      </c>
      <c r="AC61" s="20">
        <f t="shared" si="71"/>
        <v>0</v>
      </c>
      <c r="AD61" s="20">
        <f t="shared" si="72"/>
        <v>0</v>
      </c>
      <c r="AE61" s="20">
        <f t="shared" si="73"/>
        <v>0</v>
      </c>
      <c r="AF61" s="20">
        <f t="shared" si="73"/>
        <v>0</v>
      </c>
      <c r="AG61" s="20">
        <f t="shared" si="73"/>
        <v>0</v>
      </c>
      <c r="AH61" s="20">
        <f t="shared" si="73"/>
        <v>0</v>
      </c>
      <c r="AI61" s="20">
        <f t="shared" si="74"/>
        <v>0</v>
      </c>
      <c r="AJ61" s="20">
        <f t="shared" si="75"/>
        <v>0</v>
      </c>
      <c r="AK61" s="20">
        <f t="shared" si="76"/>
        <v>0</v>
      </c>
      <c r="AL61" s="20">
        <f t="shared" si="77"/>
        <v>0</v>
      </c>
      <c r="AM61" s="20">
        <f t="shared" si="78"/>
        <v>0</v>
      </c>
      <c r="AO61">
        <f t="shared" si="79"/>
        <v>0</v>
      </c>
      <c r="AP61">
        <f t="shared" si="79"/>
        <v>0</v>
      </c>
      <c r="AQ61">
        <f t="shared" si="79"/>
        <v>0</v>
      </c>
      <c r="AR61">
        <f t="shared" si="79"/>
        <v>0</v>
      </c>
      <c r="AS61">
        <f t="shared" si="80"/>
        <v>0</v>
      </c>
      <c r="AU61">
        <f t="shared" si="81"/>
        <v>0</v>
      </c>
      <c r="AV61">
        <f t="shared" si="81"/>
        <v>0</v>
      </c>
      <c r="AW61">
        <f t="shared" si="81"/>
        <v>0</v>
      </c>
      <c r="AX61">
        <f t="shared" si="81"/>
        <v>0</v>
      </c>
      <c r="AY61">
        <f t="shared" si="82"/>
        <v>0</v>
      </c>
    </row>
    <row r="62" spans="1:53" ht="15" x14ac:dyDescent="0.25">
      <c r="A62" s="1"/>
      <c r="B62" s="2"/>
      <c r="C62" s="1" t="s">
        <v>13</v>
      </c>
      <c r="D62">
        <v>0</v>
      </c>
      <c r="E62" s="360">
        <v>1.4E-3</v>
      </c>
      <c r="F62">
        <v>0</v>
      </c>
      <c r="G62">
        <v>0</v>
      </c>
      <c r="H62">
        <v>0</v>
      </c>
      <c r="J62">
        <v>0</v>
      </c>
      <c r="K62" s="14">
        <v>1.4E-3</v>
      </c>
      <c r="L62">
        <v>0</v>
      </c>
      <c r="M62">
        <v>0</v>
      </c>
      <c r="N62">
        <v>0</v>
      </c>
      <c r="O62" s="20"/>
      <c r="P62" s="20"/>
      <c r="Q62" s="438">
        <v>0.45796647549565389</v>
      </c>
      <c r="R62" s="197">
        <v>0.33900000000000002</v>
      </c>
      <c r="S62" s="197">
        <v>1.9830000000000001</v>
      </c>
      <c r="T62" s="197">
        <v>0.76146788990825687</v>
      </c>
      <c r="U62" s="197">
        <v>0.76146788990825687</v>
      </c>
      <c r="V62" s="20">
        <f t="shared" si="70"/>
        <v>7.9931234055255517E-4</v>
      </c>
      <c r="W62" s="20">
        <f t="shared" si="70"/>
        <v>0</v>
      </c>
      <c r="X62" s="20">
        <f t="shared" si="70"/>
        <v>0</v>
      </c>
      <c r="Y62" s="20">
        <f t="shared" si="70"/>
        <v>0</v>
      </c>
      <c r="Z62" s="20">
        <f t="shared" si="71"/>
        <v>6.4344696019762778E-4</v>
      </c>
      <c r="AA62" s="20">
        <f t="shared" si="71"/>
        <v>0</v>
      </c>
      <c r="AB62" s="20">
        <f t="shared" si="71"/>
        <v>0</v>
      </c>
      <c r="AC62" s="20">
        <f t="shared" si="71"/>
        <v>0</v>
      </c>
      <c r="AD62" s="20">
        <f t="shared" si="72"/>
        <v>6.4344696019762778E-4</v>
      </c>
      <c r="AE62" s="20">
        <f t="shared" si="73"/>
        <v>7.3630991524875258E-3</v>
      </c>
      <c r="AF62" s="20">
        <f t="shared" si="73"/>
        <v>0</v>
      </c>
      <c r="AG62" s="20">
        <f t="shared" si="73"/>
        <v>0</v>
      </c>
      <c r="AH62" s="20">
        <f t="shared" si="73"/>
        <v>0</v>
      </c>
      <c r="AI62" s="20">
        <f t="shared" si="74"/>
        <v>5.9272996636417098E-3</v>
      </c>
      <c r="AJ62" s="20">
        <f t="shared" si="75"/>
        <v>0</v>
      </c>
      <c r="AK62" s="20">
        <f t="shared" si="76"/>
        <v>0</v>
      </c>
      <c r="AL62" s="20">
        <f t="shared" si="77"/>
        <v>0</v>
      </c>
      <c r="AM62" s="20">
        <f t="shared" si="78"/>
        <v>5.9272996636417098E-3</v>
      </c>
      <c r="AO62">
        <f t="shared" si="79"/>
        <v>4.3085208454833157E-4</v>
      </c>
      <c r="AP62">
        <f t="shared" si="79"/>
        <v>0</v>
      </c>
      <c r="AQ62">
        <f t="shared" si="79"/>
        <v>0</v>
      </c>
      <c r="AR62">
        <f t="shared" si="79"/>
        <v>0</v>
      </c>
      <c r="AS62">
        <f t="shared" si="80"/>
        <v>4.3085208454833157E-4</v>
      </c>
      <c r="AU62">
        <f t="shared" si="81"/>
        <v>3.9689198547744886E-3</v>
      </c>
      <c r="AV62">
        <f t="shared" si="81"/>
        <v>0</v>
      </c>
      <c r="AW62">
        <f t="shared" si="81"/>
        <v>0</v>
      </c>
      <c r="AX62">
        <f t="shared" si="81"/>
        <v>0</v>
      </c>
      <c r="AY62">
        <f t="shared" si="82"/>
        <v>3.9689198547744886E-3</v>
      </c>
    </row>
    <row r="63" spans="1:53" ht="15" x14ac:dyDescent="0.25">
      <c r="A63" s="7"/>
      <c r="B63" s="8" t="s">
        <v>14</v>
      </c>
      <c r="C63" s="7"/>
      <c r="D63" s="357">
        <f t="shared" ref="D63:H63" si="83">SUM(D57:D62)</f>
        <v>0</v>
      </c>
      <c r="E63" s="363">
        <f>SUM(E57:E62)</f>
        <v>18.565100000000001</v>
      </c>
      <c r="F63" s="357">
        <f t="shared" si="83"/>
        <v>0</v>
      </c>
      <c r="G63" s="357">
        <f t="shared" si="83"/>
        <v>0</v>
      </c>
      <c r="H63" s="357">
        <f t="shared" si="83"/>
        <v>0</v>
      </c>
      <c r="J63">
        <v>0</v>
      </c>
      <c r="K63" s="14">
        <v>16.231872926109002</v>
      </c>
      <c r="L63">
        <v>0</v>
      </c>
      <c r="M63">
        <v>0</v>
      </c>
      <c r="N63">
        <v>0</v>
      </c>
      <c r="O63" s="20"/>
      <c r="P63" s="20"/>
      <c r="Q63" s="438">
        <v>0.45327306021335051</v>
      </c>
      <c r="R63" s="197"/>
      <c r="S63" s="197"/>
      <c r="T63" s="197"/>
      <c r="U63" s="197"/>
      <c r="BA63" s="319">
        <f>(E63*10000*Q63*AU$10)</f>
        <v>56347.239685357381</v>
      </c>
    </row>
    <row r="64" spans="1:53" ht="15" x14ac:dyDescent="0.25">
      <c r="A64" s="10"/>
      <c r="B64" s="9" t="s">
        <v>15</v>
      </c>
      <c r="C64" s="5"/>
      <c r="E64" s="363">
        <f>SUM(E63)</f>
        <v>18.565100000000001</v>
      </c>
      <c r="H64" s="358">
        <f>SUM(D63:H63)</f>
        <v>18.565100000000001</v>
      </c>
      <c r="K64" s="14"/>
      <c r="N64">
        <v>0</v>
      </c>
      <c r="O64" s="20"/>
      <c r="P64" s="20"/>
      <c r="Q64" s="438"/>
      <c r="R64" s="197"/>
      <c r="S64" s="197"/>
      <c r="T64" s="197"/>
      <c r="U64" s="197"/>
    </row>
    <row r="65" spans="1:53" ht="15.75" x14ac:dyDescent="0.25">
      <c r="A65" s="3"/>
      <c r="B65" s="11"/>
      <c r="C65" s="3"/>
      <c r="E65" s="361"/>
      <c r="K65" s="14"/>
      <c r="O65" s="20"/>
      <c r="P65" s="20"/>
      <c r="Q65" s="439"/>
      <c r="R65" s="197"/>
      <c r="S65" s="197"/>
      <c r="T65" s="197"/>
      <c r="U65" s="197"/>
    </row>
    <row r="66" spans="1:53" ht="15" x14ac:dyDescent="0.25">
      <c r="A66" s="3">
        <v>7</v>
      </c>
      <c r="B66" s="11" t="s">
        <v>21</v>
      </c>
      <c r="C66" s="3" t="s">
        <v>8</v>
      </c>
      <c r="D66">
        <v>0</v>
      </c>
      <c r="E66" s="360">
        <v>3.6787999999999998</v>
      </c>
      <c r="F66">
        <v>0</v>
      </c>
      <c r="G66">
        <v>0</v>
      </c>
      <c r="H66">
        <v>0</v>
      </c>
      <c r="J66">
        <v>0</v>
      </c>
      <c r="K66" s="14">
        <v>0.48486916860059948</v>
      </c>
      <c r="L66">
        <v>0</v>
      </c>
      <c r="M66">
        <v>0</v>
      </c>
      <c r="N66">
        <v>0</v>
      </c>
      <c r="O66" s="20"/>
      <c r="P66" s="20"/>
      <c r="Q66" s="438">
        <v>1.2943405370348689E-2</v>
      </c>
      <c r="R66" s="197">
        <v>0.15</v>
      </c>
      <c r="S66" s="197">
        <v>1.18</v>
      </c>
      <c r="T66" s="197">
        <v>0.46666666666666673</v>
      </c>
      <c r="U66" s="197">
        <v>0.6566321730950142</v>
      </c>
      <c r="V66" s="20">
        <f t="shared" ref="V66:Y71" si="84">IF(K66&gt;0,((E66-K66)*$Q66*$R66*10)+(K66*$O$12*$Q66*$R66*10),(E66*$Q66*$R66*10))</f>
        <v>6.5472451746573526E-2</v>
      </c>
      <c r="W66" s="20">
        <f t="shared" si="84"/>
        <v>0</v>
      </c>
      <c r="X66" s="20">
        <f t="shared" si="84"/>
        <v>0</v>
      </c>
      <c r="Y66" s="20">
        <f t="shared" si="84"/>
        <v>0</v>
      </c>
      <c r="Z66" s="20">
        <f t="shared" ref="Z66:AC71" si="85">V66*(EXP(1.01-0.34*LN(Z$8))*(1-$T66)+(1*$T66))</f>
        <v>3.692655912876678E-2</v>
      </c>
      <c r="AA66" s="20">
        <f t="shared" si="85"/>
        <v>0</v>
      </c>
      <c r="AB66" s="20">
        <f t="shared" si="85"/>
        <v>0</v>
      </c>
      <c r="AC66" s="20">
        <f t="shared" si="85"/>
        <v>0</v>
      </c>
      <c r="AD66" s="20">
        <f t="shared" ref="AD66:AD71" si="86">SUM(Z66:AC66)</f>
        <v>3.692655912876678E-2</v>
      </c>
      <c r="AE66" s="20">
        <f t="shared" ref="AE66:AH71" si="87">IF(K66&gt;0,((E66-K66)*$Q66*$S66*10)+(K66*$P$12*$Q66*$S66)*10,(E66*$Q66*$S66*10))</f>
        <v>0.53070358965396724</v>
      </c>
      <c r="AF66" s="20">
        <f t="shared" si="87"/>
        <v>0</v>
      </c>
      <c r="AG66" s="20">
        <f t="shared" si="87"/>
        <v>0</v>
      </c>
      <c r="AH66" s="20">
        <f t="shared" si="87"/>
        <v>0</v>
      </c>
      <c r="AI66" s="20">
        <f t="shared" ref="AI66:AI71" si="88">AE66*(EXP(1.01-0.34*LN(AI$8))*(1-$U66)+(1*$U66))</f>
        <v>0.38173389736496988</v>
      </c>
      <c r="AJ66" s="20">
        <f t="shared" ref="AJ66:AJ71" si="89">AF66*(EXP(1.01-0.34*LN(AJ$8))*(1-$U66)+(1*$U66))</f>
        <v>0</v>
      </c>
      <c r="AK66" s="20">
        <f t="shared" ref="AK66:AK71" si="90">AG66*(EXP(1.01-0.34*LN(AK$8))*(1-$U66)+(1*$U66))</f>
        <v>0</v>
      </c>
      <c r="AL66" s="20">
        <f t="shared" ref="AL66:AL71" si="91">AH66*(EXP(1.01-0.34*LN(AL$8))*(1-$U66)+(1*$U66))</f>
        <v>0</v>
      </c>
      <c r="AM66" s="20">
        <f t="shared" ref="AM66:AM71" si="92">SUM(AI66:AL66)</f>
        <v>0.38173389736496988</v>
      </c>
      <c r="AO66">
        <f t="shared" ref="AO66:AR71" si="93">Z66*AO$10</f>
        <v>2.4726023992622234E-2</v>
      </c>
      <c r="AP66">
        <f t="shared" si="93"/>
        <v>0</v>
      </c>
      <c r="AQ66">
        <f t="shared" si="93"/>
        <v>0</v>
      </c>
      <c r="AR66">
        <f t="shared" si="93"/>
        <v>0</v>
      </c>
      <c r="AS66">
        <f t="shared" ref="AS66:AS71" si="94">SUM(AO66:AR66)</f>
        <v>2.4726023992622234E-2</v>
      </c>
      <c r="AU66">
        <f t="shared" ref="AU66:AX71" si="95">AI66*AU$10</f>
        <v>0.25560901767558381</v>
      </c>
      <c r="AV66">
        <f t="shared" si="95"/>
        <v>0</v>
      </c>
      <c r="AW66">
        <f t="shared" si="95"/>
        <v>0</v>
      </c>
      <c r="AX66">
        <f t="shared" si="95"/>
        <v>0</v>
      </c>
      <c r="AY66">
        <f t="shared" ref="AY66:AY71" si="96">SUM(AU66:AX66)</f>
        <v>0.25560901767558381</v>
      </c>
    </row>
    <row r="67" spans="1:53" ht="15" x14ac:dyDescent="0.25">
      <c r="A67" s="3"/>
      <c r="B67" s="11"/>
      <c r="C67" s="3" t="s">
        <v>9</v>
      </c>
      <c r="D67">
        <v>0</v>
      </c>
      <c r="E67" s="360">
        <v>4.2149000000000001</v>
      </c>
      <c r="F67">
        <v>0</v>
      </c>
      <c r="G67">
        <v>0</v>
      </c>
      <c r="H67">
        <v>0</v>
      </c>
      <c r="J67">
        <v>0</v>
      </c>
      <c r="K67" s="14">
        <v>-24.0944119095</v>
      </c>
      <c r="L67">
        <v>0</v>
      </c>
      <c r="M67">
        <v>0</v>
      </c>
      <c r="N67">
        <v>0</v>
      </c>
      <c r="O67" s="20"/>
      <c r="P67" s="20"/>
      <c r="Q67" s="438">
        <v>1.6886810740697377E-2</v>
      </c>
      <c r="R67" s="197">
        <v>0.15</v>
      </c>
      <c r="S67" s="197">
        <v>1.18</v>
      </c>
      <c r="T67" s="197">
        <v>0.46666666666666673</v>
      </c>
      <c r="U67" s="197">
        <v>0.6566321730950142</v>
      </c>
      <c r="V67" s="20">
        <f t="shared" si="84"/>
        <v>0.10676432788644805</v>
      </c>
      <c r="W67" s="20">
        <f t="shared" si="84"/>
        <v>0</v>
      </c>
      <c r="X67" s="20">
        <f t="shared" si="84"/>
        <v>0</v>
      </c>
      <c r="Y67" s="20">
        <f t="shared" si="84"/>
        <v>0</v>
      </c>
      <c r="Z67" s="20">
        <f t="shared" si="85"/>
        <v>6.021523803327395E-2</v>
      </c>
      <c r="AA67" s="20">
        <f t="shared" si="85"/>
        <v>0</v>
      </c>
      <c r="AB67" s="20">
        <f t="shared" si="85"/>
        <v>0</v>
      </c>
      <c r="AC67" s="20">
        <f t="shared" si="85"/>
        <v>0</v>
      </c>
      <c r="AD67" s="20">
        <f t="shared" si="86"/>
        <v>6.021523803327395E-2</v>
      </c>
      <c r="AE67" s="20">
        <f t="shared" si="87"/>
        <v>0.83987937937339141</v>
      </c>
      <c r="AF67" s="20">
        <f t="shared" si="87"/>
        <v>0</v>
      </c>
      <c r="AG67" s="20">
        <f t="shared" si="87"/>
        <v>0</v>
      </c>
      <c r="AH67" s="20">
        <f t="shared" si="87"/>
        <v>0</v>
      </c>
      <c r="AI67" s="20">
        <f t="shared" si="88"/>
        <v>0.60412334692087399</v>
      </c>
      <c r="AJ67" s="20">
        <f t="shared" si="89"/>
        <v>0</v>
      </c>
      <c r="AK67" s="20">
        <f t="shared" si="90"/>
        <v>0</v>
      </c>
      <c r="AL67" s="20">
        <f t="shared" si="91"/>
        <v>0</v>
      </c>
      <c r="AM67" s="20">
        <f t="shared" si="92"/>
        <v>0.60412334692087399</v>
      </c>
      <c r="AO67">
        <f t="shared" si="93"/>
        <v>4.0320123387080235E-2</v>
      </c>
      <c r="AP67">
        <f t="shared" si="93"/>
        <v>0</v>
      </c>
      <c r="AQ67">
        <f t="shared" si="93"/>
        <v>0</v>
      </c>
      <c r="AR67">
        <f t="shared" si="93"/>
        <v>0</v>
      </c>
      <c r="AS67">
        <f t="shared" si="94"/>
        <v>4.0320123387080235E-2</v>
      </c>
      <c r="AU67">
        <f t="shared" si="95"/>
        <v>0.40452099309821721</v>
      </c>
      <c r="AV67">
        <f t="shared" si="95"/>
        <v>0</v>
      </c>
      <c r="AW67">
        <f t="shared" si="95"/>
        <v>0</v>
      </c>
      <c r="AX67">
        <f t="shared" si="95"/>
        <v>0</v>
      </c>
      <c r="AY67">
        <f t="shared" si="96"/>
        <v>0.40452099309821721</v>
      </c>
    </row>
    <row r="68" spans="1:53" ht="15" x14ac:dyDescent="0.25">
      <c r="A68" s="3"/>
      <c r="B68" s="11"/>
      <c r="C68" s="3" t="s">
        <v>10</v>
      </c>
      <c r="D68">
        <v>0</v>
      </c>
      <c r="E68" s="360">
        <v>0</v>
      </c>
      <c r="F68">
        <v>0</v>
      </c>
      <c r="G68">
        <v>0</v>
      </c>
      <c r="H68">
        <v>0</v>
      </c>
      <c r="J68">
        <v>0</v>
      </c>
      <c r="K68" s="14">
        <v>0</v>
      </c>
      <c r="L68">
        <v>0</v>
      </c>
      <c r="M68">
        <v>0</v>
      </c>
      <c r="N68">
        <v>0</v>
      </c>
      <c r="O68" s="20"/>
      <c r="P68" s="20"/>
      <c r="Q68" s="438"/>
      <c r="R68" s="197">
        <v>0.15</v>
      </c>
      <c r="S68" s="197">
        <v>1.18</v>
      </c>
      <c r="T68" s="197">
        <v>0.46666666666666673</v>
      </c>
      <c r="U68" s="197">
        <v>0.6566321730950142</v>
      </c>
      <c r="V68" s="20">
        <f t="shared" si="84"/>
        <v>0</v>
      </c>
      <c r="W68" s="20">
        <f t="shared" si="84"/>
        <v>0</v>
      </c>
      <c r="X68" s="20">
        <f t="shared" si="84"/>
        <v>0</v>
      </c>
      <c r="Y68" s="20">
        <f t="shared" si="84"/>
        <v>0</v>
      </c>
      <c r="Z68" s="20">
        <f t="shared" si="85"/>
        <v>0</v>
      </c>
      <c r="AA68" s="20">
        <f t="shared" si="85"/>
        <v>0</v>
      </c>
      <c r="AB68" s="20">
        <f t="shared" si="85"/>
        <v>0</v>
      </c>
      <c r="AC68" s="20">
        <f t="shared" si="85"/>
        <v>0</v>
      </c>
      <c r="AD68" s="20">
        <f t="shared" si="86"/>
        <v>0</v>
      </c>
      <c r="AE68" s="20">
        <f t="shared" si="87"/>
        <v>0</v>
      </c>
      <c r="AF68" s="20">
        <f t="shared" si="87"/>
        <v>0</v>
      </c>
      <c r="AG68" s="20">
        <f t="shared" si="87"/>
        <v>0</v>
      </c>
      <c r="AH68" s="20">
        <f t="shared" si="87"/>
        <v>0</v>
      </c>
      <c r="AI68" s="20">
        <f t="shared" si="88"/>
        <v>0</v>
      </c>
      <c r="AJ68" s="20">
        <f t="shared" si="89"/>
        <v>0</v>
      </c>
      <c r="AK68" s="20">
        <f t="shared" si="90"/>
        <v>0</v>
      </c>
      <c r="AL68" s="20">
        <f t="shared" si="91"/>
        <v>0</v>
      </c>
      <c r="AM68" s="20">
        <f t="shared" si="92"/>
        <v>0</v>
      </c>
      <c r="AO68">
        <f t="shared" si="93"/>
        <v>0</v>
      </c>
      <c r="AP68">
        <f t="shared" si="93"/>
        <v>0</v>
      </c>
      <c r="AQ68">
        <f t="shared" si="93"/>
        <v>0</v>
      </c>
      <c r="AR68">
        <f t="shared" si="93"/>
        <v>0</v>
      </c>
      <c r="AS68">
        <f t="shared" si="94"/>
        <v>0</v>
      </c>
      <c r="AU68">
        <f t="shared" si="95"/>
        <v>0</v>
      </c>
      <c r="AV68">
        <f t="shared" si="95"/>
        <v>0</v>
      </c>
      <c r="AW68">
        <f t="shared" si="95"/>
        <v>0</v>
      </c>
      <c r="AX68">
        <f t="shared" si="95"/>
        <v>0</v>
      </c>
      <c r="AY68">
        <f t="shared" si="96"/>
        <v>0</v>
      </c>
    </row>
    <row r="69" spans="1:53" ht="15" x14ac:dyDescent="0.25">
      <c r="A69" s="3"/>
      <c r="B69" s="11"/>
      <c r="C69" s="3" t="s">
        <v>11</v>
      </c>
      <c r="D69">
        <v>0</v>
      </c>
      <c r="E69" s="360">
        <v>0.18565999999999999</v>
      </c>
      <c r="F69">
        <v>0</v>
      </c>
      <c r="G69">
        <v>0</v>
      </c>
      <c r="H69">
        <v>0</v>
      </c>
      <c r="J69">
        <v>0</v>
      </c>
      <c r="K69" s="14">
        <v>-0.24479512371430001</v>
      </c>
      <c r="L69">
        <v>0</v>
      </c>
      <c r="M69">
        <v>0</v>
      </c>
      <c r="N69">
        <v>0</v>
      </c>
      <c r="O69" s="20"/>
      <c r="P69" s="20"/>
      <c r="Q69" s="438">
        <v>2.4773621481394753E-2</v>
      </c>
      <c r="R69" s="197">
        <v>0.15</v>
      </c>
      <c r="S69" s="197">
        <v>1.18</v>
      </c>
      <c r="T69" s="197">
        <v>0.46666666666666673</v>
      </c>
      <c r="U69" s="197">
        <v>0.6566321730950142</v>
      </c>
      <c r="V69" s="20">
        <f t="shared" si="84"/>
        <v>6.8992058463536246E-3</v>
      </c>
      <c r="W69" s="20">
        <f t="shared" si="84"/>
        <v>0</v>
      </c>
      <c r="X69" s="20">
        <f t="shared" si="84"/>
        <v>0</v>
      </c>
      <c r="Y69" s="20">
        <f t="shared" si="84"/>
        <v>0</v>
      </c>
      <c r="Z69" s="20">
        <f t="shared" si="85"/>
        <v>3.8911622496288073E-3</v>
      </c>
      <c r="AA69" s="20">
        <f t="shared" si="85"/>
        <v>0</v>
      </c>
      <c r="AB69" s="20">
        <f t="shared" si="85"/>
        <v>0</v>
      </c>
      <c r="AC69" s="20">
        <f t="shared" si="85"/>
        <v>0</v>
      </c>
      <c r="AD69" s="20">
        <f t="shared" si="86"/>
        <v>3.8911622496288073E-3</v>
      </c>
      <c r="AE69" s="20">
        <f t="shared" si="87"/>
        <v>5.4273752657981844E-2</v>
      </c>
      <c r="AF69" s="20">
        <f t="shared" si="87"/>
        <v>0</v>
      </c>
      <c r="AG69" s="20">
        <f t="shared" si="87"/>
        <v>0</v>
      </c>
      <c r="AH69" s="20">
        <f t="shared" si="87"/>
        <v>0</v>
      </c>
      <c r="AI69" s="20">
        <f t="shared" si="88"/>
        <v>3.9038988110599686E-2</v>
      </c>
      <c r="AJ69" s="20">
        <f t="shared" si="89"/>
        <v>0</v>
      </c>
      <c r="AK69" s="20">
        <f t="shared" si="90"/>
        <v>0</v>
      </c>
      <c r="AL69" s="20">
        <f t="shared" si="91"/>
        <v>0</v>
      </c>
      <c r="AM69" s="20">
        <f t="shared" si="92"/>
        <v>3.9038988110599686E-2</v>
      </c>
      <c r="AO69">
        <f t="shared" si="93"/>
        <v>2.6055222423514491E-3</v>
      </c>
      <c r="AP69">
        <f t="shared" si="93"/>
        <v>0</v>
      </c>
      <c r="AQ69">
        <f t="shared" si="93"/>
        <v>0</v>
      </c>
      <c r="AR69">
        <f t="shared" si="93"/>
        <v>0</v>
      </c>
      <c r="AS69">
        <f t="shared" si="94"/>
        <v>2.6055222423514491E-3</v>
      </c>
      <c r="AU69">
        <f t="shared" si="95"/>
        <v>2.6140506438857548E-2</v>
      </c>
      <c r="AV69">
        <f t="shared" si="95"/>
        <v>0</v>
      </c>
      <c r="AW69">
        <f t="shared" si="95"/>
        <v>0</v>
      </c>
      <c r="AX69">
        <f t="shared" si="95"/>
        <v>0</v>
      </c>
      <c r="AY69">
        <f t="shared" si="96"/>
        <v>2.6140506438857548E-2</v>
      </c>
    </row>
    <row r="70" spans="1:53" ht="15" x14ac:dyDescent="0.25">
      <c r="A70" s="3"/>
      <c r="B70" s="12"/>
      <c r="C70" s="3" t="s">
        <v>12</v>
      </c>
      <c r="D70">
        <v>0</v>
      </c>
      <c r="E70" s="360">
        <v>0</v>
      </c>
      <c r="F70">
        <v>0</v>
      </c>
      <c r="G70">
        <v>0</v>
      </c>
      <c r="H70">
        <v>0</v>
      </c>
      <c r="J70">
        <v>0</v>
      </c>
      <c r="K70" s="14">
        <v>0</v>
      </c>
      <c r="L70">
        <v>0</v>
      </c>
      <c r="M70">
        <v>0</v>
      </c>
      <c r="N70">
        <v>0</v>
      </c>
      <c r="O70" s="20"/>
      <c r="P70" s="20"/>
      <c r="Q70" s="438"/>
      <c r="R70" s="197">
        <v>0.15</v>
      </c>
      <c r="S70" s="197">
        <v>1.18</v>
      </c>
      <c r="T70" s="197">
        <v>0.46666666666666673</v>
      </c>
      <c r="U70" s="197">
        <v>0.6566321730950142</v>
      </c>
      <c r="V70" s="20">
        <f t="shared" si="84"/>
        <v>0</v>
      </c>
      <c r="W70" s="20">
        <f t="shared" si="84"/>
        <v>0</v>
      </c>
      <c r="X70" s="20">
        <f t="shared" si="84"/>
        <v>0</v>
      </c>
      <c r="Y70" s="20">
        <f t="shared" si="84"/>
        <v>0</v>
      </c>
      <c r="Z70" s="20">
        <f t="shared" si="85"/>
        <v>0</v>
      </c>
      <c r="AA70" s="20">
        <f t="shared" si="85"/>
        <v>0</v>
      </c>
      <c r="AB70" s="20">
        <f t="shared" si="85"/>
        <v>0</v>
      </c>
      <c r="AC70" s="20">
        <f t="shared" si="85"/>
        <v>0</v>
      </c>
      <c r="AD70" s="20">
        <f t="shared" si="86"/>
        <v>0</v>
      </c>
      <c r="AE70" s="20">
        <f t="shared" si="87"/>
        <v>0</v>
      </c>
      <c r="AF70" s="20">
        <f t="shared" si="87"/>
        <v>0</v>
      </c>
      <c r="AG70" s="20">
        <f t="shared" si="87"/>
        <v>0</v>
      </c>
      <c r="AH70" s="20">
        <f t="shared" si="87"/>
        <v>0</v>
      </c>
      <c r="AI70" s="20">
        <f t="shared" si="88"/>
        <v>0</v>
      </c>
      <c r="AJ70" s="20">
        <f t="shared" si="89"/>
        <v>0</v>
      </c>
      <c r="AK70" s="20">
        <f t="shared" si="90"/>
        <v>0</v>
      </c>
      <c r="AL70" s="20">
        <f t="shared" si="91"/>
        <v>0</v>
      </c>
      <c r="AM70" s="20">
        <f t="shared" si="92"/>
        <v>0</v>
      </c>
      <c r="AO70">
        <f t="shared" si="93"/>
        <v>0</v>
      </c>
      <c r="AP70">
        <f t="shared" si="93"/>
        <v>0</v>
      </c>
      <c r="AQ70">
        <f t="shared" si="93"/>
        <v>0</v>
      </c>
      <c r="AR70">
        <f t="shared" si="93"/>
        <v>0</v>
      </c>
      <c r="AS70">
        <f t="shared" si="94"/>
        <v>0</v>
      </c>
      <c r="AU70">
        <f t="shared" si="95"/>
        <v>0</v>
      </c>
      <c r="AV70">
        <f t="shared" si="95"/>
        <v>0</v>
      </c>
      <c r="AW70">
        <f t="shared" si="95"/>
        <v>0</v>
      </c>
      <c r="AX70">
        <f t="shared" si="95"/>
        <v>0</v>
      </c>
      <c r="AY70">
        <f t="shared" si="96"/>
        <v>0</v>
      </c>
    </row>
    <row r="71" spans="1:53" ht="15" x14ac:dyDescent="0.25">
      <c r="A71" s="3"/>
      <c r="B71" s="12"/>
      <c r="C71" s="3" t="s">
        <v>13</v>
      </c>
      <c r="D71">
        <v>0</v>
      </c>
      <c r="E71" s="360">
        <v>0</v>
      </c>
      <c r="F71">
        <v>0</v>
      </c>
      <c r="G71">
        <v>0</v>
      </c>
      <c r="H71">
        <v>0</v>
      </c>
      <c r="J71">
        <v>0</v>
      </c>
      <c r="K71" s="14">
        <v>-3.8476341248699999</v>
      </c>
      <c r="L71">
        <v>0</v>
      </c>
      <c r="M71">
        <v>0</v>
      </c>
      <c r="N71">
        <v>0</v>
      </c>
      <c r="O71" s="20"/>
      <c r="P71" s="20"/>
      <c r="Q71" s="438"/>
      <c r="R71" s="197">
        <v>0.15</v>
      </c>
      <c r="S71" s="197">
        <v>1.18</v>
      </c>
      <c r="T71" s="197">
        <v>0.46666666666666673</v>
      </c>
      <c r="U71" s="197">
        <v>0.6566321730950142</v>
      </c>
      <c r="V71" s="20">
        <f t="shared" si="84"/>
        <v>0</v>
      </c>
      <c r="W71" s="20">
        <f t="shared" si="84"/>
        <v>0</v>
      </c>
      <c r="X71" s="20">
        <f t="shared" si="84"/>
        <v>0</v>
      </c>
      <c r="Y71" s="20">
        <f t="shared" si="84"/>
        <v>0</v>
      </c>
      <c r="Z71" s="20">
        <f t="shared" si="85"/>
        <v>0</v>
      </c>
      <c r="AA71" s="20">
        <f t="shared" si="85"/>
        <v>0</v>
      </c>
      <c r="AB71" s="20">
        <f t="shared" si="85"/>
        <v>0</v>
      </c>
      <c r="AC71" s="20">
        <f t="shared" si="85"/>
        <v>0</v>
      </c>
      <c r="AD71" s="20">
        <f t="shared" si="86"/>
        <v>0</v>
      </c>
      <c r="AE71" s="20">
        <f t="shared" si="87"/>
        <v>0</v>
      </c>
      <c r="AF71" s="20">
        <f t="shared" si="87"/>
        <v>0</v>
      </c>
      <c r="AG71" s="20">
        <f t="shared" si="87"/>
        <v>0</v>
      </c>
      <c r="AH71" s="20">
        <f t="shared" si="87"/>
        <v>0</v>
      </c>
      <c r="AI71" s="20">
        <f t="shared" si="88"/>
        <v>0</v>
      </c>
      <c r="AJ71" s="20">
        <f t="shared" si="89"/>
        <v>0</v>
      </c>
      <c r="AK71" s="20">
        <f t="shared" si="90"/>
        <v>0</v>
      </c>
      <c r="AL71" s="20">
        <f t="shared" si="91"/>
        <v>0</v>
      </c>
      <c r="AM71" s="20">
        <f t="shared" si="92"/>
        <v>0</v>
      </c>
      <c r="AO71">
        <f t="shared" si="93"/>
        <v>0</v>
      </c>
      <c r="AP71">
        <f t="shared" si="93"/>
        <v>0</v>
      </c>
      <c r="AQ71">
        <f t="shared" si="93"/>
        <v>0</v>
      </c>
      <c r="AR71">
        <f t="shared" si="93"/>
        <v>0</v>
      </c>
      <c r="AS71">
        <f t="shared" si="94"/>
        <v>0</v>
      </c>
      <c r="AU71">
        <f t="shared" si="95"/>
        <v>0</v>
      </c>
      <c r="AV71">
        <f t="shared" si="95"/>
        <v>0</v>
      </c>
      <c r="AW71">
        <f t="shared" si="95"/>
        <v>0</v>
      </c>
      <c r="AX71">
        <f t="shared" si="95"/>
        <v>0</v>
      </c>
      <c r="AY71">
        <f t="shared" si="96"/>
        <v>0</v>
      </c>
    </row>
    <row r="72" spans="1:53" ht="15" x14ac:dyDescent="0.25">
      <c r="A72" s="7"/>
      <c r="B72" s="8" t="s">
        <v>14</v>
      </c>
      <c r="C72" s="7"/>
      <c r="D72" s="357">
        <f t="shared" ref="D72:H72" si="97">SUM(D66:D71)</f>
        <v>0</v>
      </c>
      <c r="E72" s="363">
        <f>SUM(E66:E71)</f>
        <v>8.0793599999999994</v>
      </c>
      <c r="F72" s="357">
        <f t="shared" si="97"/>
        <v>0</v>
      </c>
      <c r="G72" s="357">
        <f t="shared" si="97"/>
        <v>0</v>
      </c>
      <c r="H72" s="357">
        <f t="shared" si="97"/>
        <v>0</v>
      </c>
      <c r="J72">
        <v>0</v>
      </c>
      <c r="K72" s="14">
        <v>-27.701971989483695</v>
      </c>
      <c r="L72">
        <v>0</v>
      </c>
      <c r="M72">
        <v>0</v>
      </c>
      <c r="N72">
        <v>0</v>
      </c>
      <c r="O72" s="20"/>
      <c r="P72" s="20"/>
      <c r="Q72" s="438">
        <v>1.5272483071881917E-2</v>
      </c>
      <c r="R72" s="197"/>
      <c r="S72" s="197"/>
      <c r="T72" s="197"/>
      <c r="U72" s="197"/>
      <c r="BA72" s="319">
        <f>(E72*10000*Q72*AU$10)</f>
        <v>826.23208761666058</v>
      </c>
    </row>
    <row r="73" spans="1:53" ht="15" x14ac:dyDescent="0.25">
      <c r="A73" s="10"/>
      <c r="B73" s="9" t="s">
        <v>15</v>
      </c>
      <c r="C73" s="5"/>
      <c r="E73" s="363">
        <f>SUM(E72)</f>
        <v>8.0793599999999994</v>
      </c>
      <c r="H73" s="358">
        <f>SUM(D72:H72)</f>
        <v>8.0793599999999994</v>
      </c>
      <c r="K73" s="14"/>
      <c r="N73">
        <v>0</v>
      </c>
      <c r="O73" s="20"/>
      <c r="P73" s="20"/>
      <c r="Q73" s="438"/>
      <c r="R73" s="197"/>
      <c r="S73" s="197"/>
      <c r="T73" s="197"/>
      <c r="U73" s="197"/>
    </row>
    <row r="74" spans="1:53" ht="15.75" x14ac:dyDescent="0.25">
      <c r="A74" s="1"/>
      <c r="B74" s="2"/>
      <c r="C74" s="1"/>
      <c r="E74" s="361"/>
      <c r="K74" s="14"/>
      <c r="O74" s="20"/>
      <c r="P74" s="20"/>
      <c r="Q74" s="439"/>
      <c r="R74" s="197"/>
      <c r="S74" s="197"/>
      <c r="T74" s="197"/>
      <c r="U74" s="197"/>
    </row>
    <row r="75" spans="1:53" ht="15" x14ac:dyDescent="0.25">
      <c r="A75" s="1">
        <v>8</v>
      </c>
      <c r="B75" s="2" t="s">
        <v>22</v>
      </c>
      <c r="C75" s="1" t="s">
        <v>8</v>
      </c>
      <c r="D75">
        <v>0</v>
      </c>
      <c r="E75" s="360">
        <v>0</v>
      </c>
      <c r="F75">
        <v>0</v>
      </c>
      <c r="G75">
        <v>0</v>
      </c>
      <c r="H75">
        <v>0</v>
      </c>
      <c r="J75">
        <v>0</v>
      </c>
      <c r="K75">
        <v>0</v>
      </c>
      <c r="L75">
        <v>0</v>
      </c>
      <c r="M75">
        <v>0</v>
      </c>
      <c r="N75">
        <v>0</v>
      </c>
      <c r="O75" s="20"/>
      <c r="P75" s="20"/>
      <c r="Q75" s="438"/>
      <c r="R75" s="197">
        <v>5.6499999999999995E-2</v>
      </c>
      <c r="S75" s="197">
        <v>1.25</v>
      </c>
      <c r="T75" s="197">
        <v>0.50078889239507718</v>
      </c>
      <c r="U75" s="197">
        <v>0.75268470790377973</v>
      </c>
      <c r="V75" s="20">
        <f t="shared" ref="V75:Y80" si="98">IF(K75&gt;0,((E75-K75)*$Q75*$R75*10)+(K75*$O$12*$Q75*$R75*10),(E75*$Q75*$R75*10))</f>
        <v>0</v>
      </c>
      <c r="W75" s="20">
        <f t="shared" si="98"/>
        <v>0</v>
      </c>
      <c r="X75" s="20">
        <f t="shared" si="98"/>
        <v>0</v>
      </c>
      <c r="Y75" s="20">
        <f t="shared" si="98"/>
        <v>0</v>
      </c>
      <c r="Z75" s="20">
        <f t="shared" ref="Z75:AC80" si="99">V75*(EXP(1.01-0.34*LN(Z$8))*(1-$T75)+(1*$T75))</f>
        <v>0</v>
      </c>
      <c r="AA75" s="20">
        <f t="shared" si="99"/>
        <v>0</v>
      </c>
      <c r="AB75" s="20">
        <f t="shared" si="99"/>
        <v>0</v>
      </c>
      <c r="AC75" s="20">
        <f t="shared" si="99"/>
        <v>0</v>
      </c>
      <c r="AD75" s="20">
        <f t="shared" ref="AD75:AD80" si="100">SUM(Z75:AC75)</f>
        <v>0</v>
      </c>
      <c r="AE75" s="20">
        <f t="shared" ref="AE75:AH80" si="101">IF(K75&gt;0,((E75-K75)*$Q75*$S75*10)+(K75*$P$12*$Q75*$S75)*10,(E75*$Q75*$S75*10))</f>
        <v>0</v>
      </c>
      <c r="AF75" s="20">
        <f t="shared" si="101"/>
        <v>0</v>
      </c>
      <c r="AG75" s="20">
        <f t="shared" si="101"/>
        <v>0</v>
      </c>
      <c r="AH75" s="20">
        <f t="shared" si="101"/>
        <v>0</v>
      </c>
      <c r="AI75" s="20">
        <f t="shared" ref="AI75:AI80" si="102">AE75*(EXP(1.01-0.34*LN(AI$8))*(1-$U75)+(1*$U75))</f>
        <v>0</v>
      </c>
      <c r="AJ75" s="20">
        <f t="shared" ref="AJ75:AJ80" si="103">AF75*(EXP(1.01-0.34*LN(AJ$8))*(1-$U75)+(1*$U75))</f>
        <v>0</v>
      </c>
      <c r="AK75" s="20">
        <f t="shared" ref="AK75:AK80" si="104">AG75*(EXP(1.01-0.34*LN(AK$8))*(1-$U75)+(1*$U75))</f>
        <v>0</v>
      </c>
      <c r="AL75" s="20">
        <f t="shared" ref="AL75:AL80" si="105">AH75*(EXP(1.01-0.34*LN(AL$8))*(1-$U75)+(1*$U75))</f>
        <v>0</v>
      </c>
      <c r="AM75" s="20">
        <f t="shared" ref="AM75:AM80" si="106">SUM(AI75:AL75)</f>
        <v>0</v>
      </c>
      <c r="AO75">
        <f t="shared" ref="AO75:AR80" si="107">Z75*AO$10</f>
        <v>0</v>
      </c>
      <c r="AP75">
        <f t="shared" si="107"/>
        <v>0</v>
      </c>
      <c r="AQ75">
        <f t="shared" si="107"/>
        <v>0</v>
      </c>
      <c r="AR75">
        <f t="shared" si="107"/>
        <v>0</v>
      </c>
      <c r="AS75">
        <f t="shared" ref="AS75:AS80" si="108">SUM(AO75:AR75)</f>
        <v>0</v>
      </c>
      <c r="AU75">
        <f t="shared" ref="AU75:AX80" si="109">AI75*AU$10</f>
        <v>0</v>
      </c>
      <c r="AV75">
        <f t="shared" si="109"/>
        <v>0</v>
      </c>
      <c r="AW75">
        <f t="shared" si="109"/>
        <v>0</v>
      </c>
      <c r="AX75">
        <f t="shared" si="109"/>
        <v>0</v>
      </c>
      <c r="AY75">
        <f t="shared" ref="AY75:AY80" si="110">SUM(AU75:AX75)</f>
        <v>0</v>
      </c>
    </row>
    <row r="76" spans="1:53" ht="15" x14ac:dyDescent="0.25">
      <c r="A76" s="1"/>
      <c r="B76" s="2"/>
      <c r="C76" s="1" t="s">
        <v>9</v>
      </c>
      <c r="D76">
        <v>0</v>
      </c>
      <c r="E76" s="360">
        <v>0</v>
      </c>
      <c r="F76">
        <v>0</v>
      </c>
      <c r="G76">
        <v>0</v>
      </c>
      <c r="H76">
        <v>0</v>
      </c>
      <c r="J76">
        <v>0</v>
      </c>
      <c r="K76">
        <v>0</v>
      </c>
      <c r="L76">
        <v>0</v>
      </c>
      <c r="M76">
        <v>0</v>
      </c>
      <c r="N76">
        <v>0</v>
      </c>
      <c r="O76" s="20"/>
      <c r="P76" s="20"/>
      <c r="Q76" s="438"/>
      <c r="R76" s="197">
        <v>5.6499999999999995E-2</v>
      </c>
      <c r="S76" s="197">
        <v>1.25</v>
      </c>
      <c r="T76" s="197">
        <v>0.50078889239507718</v>
      </c>
      <c r="U76" s="197">
        <v>0.75268470790377973</v>
      </c>
      <c r="V76" s="20">
        <f t="shared" si="98"/>
        <v>0</v>
      </c>
      <c r="W76" s="20">
        <f t="shared" si="98"/>
        <v>0</v>
      </c>
      <c r="X76" s="20">
        <f t="shared" si="98"/>
        <v>0</v>
      </c>
      <c r="Y76" s="20">
        <f t="shared" si="98"/>
        <v>0</v>
      </c>
      <c r="Z76" s="20">
        <f t="shared" si="99"/>
        <v>0</v>
      </c>
      <c r="AA76" s="20">
        <f t="shared" si="99"/>
        <v>0</v>
      </c>
      <c r="AB76" s="20">
        <f t="shared" si="99"/>
        <v>0</v>
      </c>
      <c r="AC76" s="20">
        <f t="shared" si="99"/>
        <v>0</v>
      </c>
      <c r="AD76" s="20">
        <f t="shared" si="100"/>
        <v>0</v>
      </c>
      <c r="AE76" s="20">
        <f t="shared" si="101"/>
        <v>0</v>
      </c>
      <c r="AF76" s="20">
        <f t="shared" si="101"/>
        <v>0</v>
      </c>
      <c r="AG76" s="20">
        <f t="shared" si="101"/>
        <v>0</v>
      </c>
      <c r="AH76" s="20">
        <f t="shared" si="101"/>
        <v>0</v>
      </c>
      <c r="AI76" s="20">
        <f t="shared" si="102"/>
        <v>0</v>
      </c>
      <c r="AJ76" s="20">
        <f t="shared" si="103"/>
        <v>0</v>
      </c>
      <c r="AK76" s="20">
        <f t="shared" si="104"/>
        <v>0</v>
      </c>
      <c r="AL76" s="20">
        <f t="shared" si="105"/>
        <v>0</v>
      </c>
      <c r="AM76" s="20">
        <f t="shared" si="106"/>
        <v>0</v>
      </c>
      <c r="AO76">
        <f t="shared" si="107"/>
        <v>0</v>
      </c>
      <c r="AP76">
        <f t="shared" si="107"/>
        <v>0</v>
      </c>
      <c r="AQ76">
        <f t="shared" si="107"/>
        <v>0</v>
      </c>
      <c r="AR76">
        <f t="shared" si="107"/>
        <v>0</v>
      </c>
      <c r="AS76">
        <f t="shared" si="108"/>
        <v>0</v>
      </c>
      <c r="AU76">
        <f t="shared" si="109"/>
        <v>0</v>
      </c>
      <c r="AV76">
        <f t="shared" si="109"/>
        <v>0</v>
      </c>
      <c r="AW76">
        <f t="shared" si="109"/>
        <v>0</v>
      </c>
      <c r="AX76">
        <f t="shared" si="109"/>
        <v>0</v>
      </c>
      <c r="AY76">
        <f t="shared" si="110"/>
        <v>0</v>
      </c>
    </row>
    <row r="77" spans="1:53" ht="15" x14ac:dyDescent="0.25">
      <c r="A77" s="1"/>
      <c r="B77" s="2"/>
      <c r="C77" s="1" t="s">
        <v>10</v>
      </c>
      <c r="D77">
        <v>0</v>
      </c>
      <c r="E77" s="360">
        <v>0</v>
      </c>
      <c r="F77">
        <v>0</v>
      </c>
      <c r="G77">
        <v>0</v>
      </c>
      <c r="H77">
        <v>0</v>
      </c>
      <c r="J77">
        <v>0</v>
      </c>
      <c r="K77">
        <v>0</v>
      </c>
      <c r="L77">
        <v>0</v>
      </c>
      <c r="M77">
        <v>0</v>
      </c>
      <c r="N77">
        <v>0</v>
      </c>
      <c r="O77" s="20"/>
      <c r="P77" s="20"/>
      <c r="Q77" s="438"/>
      <c r="R77" s="197">
        <v>5.6499999999999995E-2</v>
      </c>
      <c r="S77" s="197">
        <v>1.25</v>
      </c>
      <c r="T77" s="197">
        <v>0.50078889239507718</v>
      </c>
      <c r="U77" s="197">
        <v>0.75268470790377973</v>
      </c>
      <c r="V77" s="20">
        <f t="shared" si="98"/>
        <v>0</v>
      </c>
      <c r="W77" s="20">
        <f t="shared" si="98"/>
        <v>0</v>
      </c>
      <c r="X77" s="20">
        <f t="shared" si="98"/>
        <v>0</v>
      </c>
      <c r="Y77" s="20">
        <f t="shared" si="98"/>
        <v>0</v>
      </c>
      <c r="Z77" s="20">
        <f t="shared" si="99"/>
        <v>0</v>
      </c>
      <c r="AA77" s="20">
        <f t="shared" si="99"/>
        <v>0</v>
      </c>
      <c r="AB77" s="20">
        <f t="shared" si="99"/>
        <v>0</v>
      </c>
      <c r="AC77" s="20">
        <f t="shared" si="99"/>
        <v>0</v>
      </c>
      <c r="AD77" s="20">
        <f t="shared" si="100"/>
        <v>0</v>
      </c>
      <c r="AE77" s="20">
        <f t="shared" si="101"/>
        <v>0</v>
      </c>
      <c r="AF77" s="20">
        <f t="shared" si="101"/>
        <v>0</v>
      </c>
      <c r="AG77" s="20">
        <f t="shared" si="101"/>
        <v>0</v>
      </c>
      <c r="AH77" s="20">
        <f t="shared" si="101"/>
        <v>0</v>
      </c>
      <c r="AI77" s="20">
        <f t="shared" si="102"/>
        <v>0</v>
      </c>
      <c r="AJ77" s="20">
        <f t="shared" si="103"/>
        <v>0</v>
      </c>
      <c r="AK77" s="20">
        <f t="shared" si="104"/>
        <v>0</v>
      </c>
      <c r="AL77" s="20">
        <f t="shared" si="105"/>
        <v>0</v>
      </c>
      <c r="AM77" s="20">
        <f t="shared" si="106"/>
        <v>0</v>
      </c>
      <c r="AO77">
        <f t="shared" si="107"/>
        <v>0</v>
      </c>
      <c r="AP77">
        <f t="shared" si="107"/>
        <v>0</v>
      </c>
      <c r="AQ77">
        <f t="shared" si="107"/>
        <v>0</v>
      </c>
      <c r="AR77">
        <f t="shared" si="107"/>
        <v>0</v>
      </c>
      <c r="AS77">
        <f t="shared" si="108"/>
        <v>0</v>
      </c>
      <c r="AU77">
        <f t="shared" si="109"/>
        <v>0</v>
      </c>
      <c r="AV77">
        <f t="shared" si="109"/>
        <v>0</v>
      </c>
      <c r="AW77">
        <f t="shared" si="109"/>
        <v>0</v>
      </c>
      <c r="AX77">
        <f t="shared" si="109"/>
        <v>0</v>
      </c>
      <c r="AY77">
        <f t="shared" si="110"/>
        <v>0</v>
      </c>
    </row>
    <row r="78" spans="1:53" ht="15" x14ac:dyDescent="0.25">
      <c r="A78" s="1"/>
      <c r="B78" s="2"/>
      <c r="C78" s="1" t="s">
        <v>11</v>
      </c>
      <c r="D78">
        <v>0</v>
      </c>
      <c r="E78" s="360">
        <v>0</v>
      </c>
      <c r="F78">
        <v>0</v>
      </c>
      <c r="G78">
        <v>0</v>
      </c>
      <c r="H78">
        <v>0</v>
      </c>
      <c r="J78">
        <v>0</v>
      </c>
      <c r="K78">
        <v>0</v>
      </c>
      <c r="L78">
        <v>0</v>
      </c>
      <c r="M78">
        <v>0</v>
      </c>
      <c r="N78">
        <v>0</v>
      </c>
      <c r="O78" s="20"/>
      <c r="P78" s="20"/>
      <c r="Q78" s="438"/>
      <c r="R78" s="197">
        <v>5.6499999999999995E-2</v>
      </c>
      <c r="S78" s="197">
        <v>1.25</v>
      </c>
      <c r="T78" s="197">
        <v>0.50078889239507718</v>
      </c>
      <c r="U78" s="197">
        <v>0.75268470790377973</v>
      </c>
      <c r="V78" s="20">
        <f t="shared" si="98"/>
        <v>0</v>
      </c>
      <c r="W78" s="20">
        <f t="shared" si="98"/>
        <v>0</v>
      </c>
      <c r="X78" s="20">
        <f t="shared" si="98"/>
        <v>0</v>
      </c>
      <c r="Y78" s="20">
        <f t="shared" si="98"/>
        <v>0</v>
      </c>
      <c r="Z78" s="20">
        <f t="shared" si="99"/>
        <v>0</v>
      </c>
      <c r="AA78" s="20">
        <f t="shared" si="99"/>
        <v>0</v>
      </c>
      <c r="AB78" s="20">
        <f t="shared" si="99"/>
        <v>0</v>
      </c>
      <c r="AC78" s="20">
        <f t="shared" si="99"/>
        <v>0</v>
      </c>
      <c r="AD78" s="20">
        <f t="shared" si="100"/>
        <v>0</v>
      </c>
      <c r="AE78" s="20">
        <f t="shared" si="101"/>
        <v>0</v>
      </c>
      <c r="AF78" s="20">
        <f t="shared" si="101"/>
        <v>0</v>
      </c>
      <c r="AG78" s="20">
        <f t="shared" si="101"/>
        <v>0</v>
      </c>
      <c r="AH78" s="20">
        <f t="shared" si="101"/>
        <v>0</v>
      </c>
      <c r="AI78" s="20">
        <f t="shared" si="102"/>
        <v>0</v>
      </c>
      <c r="AJ78" s="20">
        <f t="shared" si="103"/>
        <v>0</v>
      </c>
      <c r="AK78" s="20">
        <f t="shared" si="104"/>
        <v>0</v>
      </c>
      <c r="AL78" s="20">
        <f t="shared" si="105"/>
        <v>0</v>
      </c>
      <c r="AM78" s="20">
        <f t="shared" si="106"/>
        <v>0</v>
      </c>
      <c r="AO78">
        <f t="shared" si="107"/>
        <v>0</v>
      </c>
      <c r="AP78">
        <f t="shared" si="107"/>
        <v>0</v>
      </c>
      <c r="AQ78">
        <f t="shared" si="107"/>
        <v>0</v>
      </c>
      <c r="AR78">
        <f t="shared" si="107"/>
        <v>0</v>
      </c>
      <c r="AS78">
        <f t="shared" si="108"/>
        <v>0</v>
      </c>
      <c r="AU78">
        <f t="shared" si="109"/>
        <v>0</v>
      </c>
      <c r="AV78">
        <f t="shared" si="109"/>
        <v>0</v>
      </c>
      <c r="AW78">
        <f t="shared" si="109"/>
        <v>0</v>
      </c>
      <c r="AX78">
        <f t="shared" si="109"/>
        <v>0</v>
      </c>
      <c r="AY78">
        <f t="shared" si="110"/>
        <v>0</v>
      </c>
    </row>
    <row r="79" spans="1:53" ht="15" x14ac:dyDescent="0.25">
      <c r="A79" s="1"/>
      <c r="B79" s="13"/>
      <c r="C79" s="1" t="s">
        <v>12</v>
      </c>
      <c r="D79">
        <v>0</v>
      </c>
      <c r="E79" s="360">
        <v>0</v>
      </c>
      <c r="F79">
        <v>0</v>
      </c>
      <c r="G79">
        <v>0</v>
      </c>
      <c r="H79">
        <v>0</v>
      </c>
      <c r="J79">
        <v>0</v>
      </c>
      <c r="K79">
        <v>0</v>
      </c>
      <c r="L79">
        <v>0</v>
      </c>
      <c r="M79">
        <v>0</v>
      </c>
      <c r="N79">
        <v>0</v>
      </c>
      <c r="O79" s="20"/>
      <c r="P79" s="20"/>
      <c r="Q79" s="438"/>
      <c r="R79" s="197">
        <v>5.6499999999999995E-2</v>
      </c>
      <c r="S79" s="197">
        <v>1.25</v>
      </c>
      <c r="T79" s="197">
        <v>0.50078889239507718</v>
      </c>
      <c r="U79" s="197">
        <v>0.75268470790377973</v>
      </c>
      <c r="V79" s="20">
        <f t="shared" si="98"/>
        <v>0</v>
      </c>
      <c r="W79" s="20">
        <f t="shared" si="98"/>
        <v>0</v>
      </c>
      <c r="X79" s="20">
        <f t="shared" si="98"/>
        <v>0</v>
      </c>
      <c r="Y79" s="20">
        <f t="shared" si="98"/>
        <v>0</v>
      </c>
      <c r="Z79" s="20">
        <f t="shared" si="99"/>
        <v>0</v>
      </c>
      <c r="AA79" s="20">
        <f t="shared" si="99"/>
        <v>0</v>
      </c>
      <c r="AB79" s="20">
        <f t="shared" si="99"/>
        <v>0</v>
      </c>
      <c r="AC79" s="20">
        <f t="shared" si="99"/>
        <v>0</v>
      </c>
      <c r="AD79" s="20">
        <f t="shared" si="100"/>
        <v>0</v>
      </c>
      <c r="AE79" s="20">
        <f t="shared" si="101"/>
        <v>0</v>
      </c>
      <c r="AF79" s="20">
        <f t="shared" si="101"/>
        <v>0</v>
      </c>
      <c r="AG79" s="20">
        <f t="shared" si="101"/>
        <v>0</v>
      </c>
      <c r="AH79" s="20">
        <f t="shared" si="101"/>
        <v>0</v>
      </c>
      <c r="AI79" s="20">
        <f t="shared" si="102"/>
        <v>0</v>
      </c>
      <c r="AJ79" s="20">
        <f t="shared" si="103"/>
        <v>0</v>
      </c>
      <c r="AK79" s="20">
        <f t="shared" si="104"/>
        <v>0</v>
      </c>
      <c r="AL79" s="20">
        <f t="shared" si="105"/>
        <v>0</v>
      </c>
      <c r="AM79" s="20">
        <f t="shared" si="106"/>
        <v>0</v>
      </c>
      <c r="AO79">
        <f t="shared" si="107"/>
        <v>0</v>
      </c>
      <c r="AP79">
        <f t="shared" si="107"/>
        <v>0</v>
      </c>
      <c r="AQ79">
        <f t="shared" si="107"/>
        <v>0</v>
      </c>
      <c r="AR79">
        <f t="shared" si="107"/>
        <v>0</v>
      </c>
      <c r="AS79">
        <f t="shared" si="108"/>
        <v>0</v>
      </c>
      <c r="AU79">
        <f t="shared" si="109"/>
        <v>0</v>
      </c>
      <c r="AV79">
        <f t="shared" si="109"/>
        <v>0</v>
      </c>
      <c r="AW79">
        <f t="shared" si="109"/>
        <v>0</v>
      </c>
      <c r="AX79">
        <f t="shared" si="109"/>
        <v>0</v>
      </c>
      <c r="AY79">
        <f t="shared" si="110"/>
        <v>0</v>
      </c>
    </row>
    <row r="80" spans="1:53" ht="15" x14ac:dyDescent="0.25">
      <c r="A80" s="1"/>
      <c r="B80" s="13"/>
      <c r="C80" s="1" t="s">
        <v>13</v>
      </c>
      <c r="D80">
        <v>0</v>
      </c>
      <c r="E80" s="360">
        <v>0</v>
      </c>
      <c r="F80">
        <v>0</v>
      </c>
      <c r="G80">
        <v>0</v>
      </c>
      <c r="H80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20"/>
      <c r="P80" s="20"/>
      <c r="Q80" s="438"/>
      <c r="R80" s="197">
        <v>5.6499999999999995E-2</v>
      </c>
      <c r="S80" s="197">
        <v>1.25</v>
      </c>
      <c r="T80" s="197">
        <v>0.50078889239507718</v>
      </c>
      <c r="U80" s="197">
        <v>0.75268470790377973</v>
      </c>
      <c r="V80" s="20">
        <f t="shared" si="98"/>
        <v>0</v>
      </c>
      <c r="W80" s="20">
        <f t="shared" si="98"/>
        <v>0</v>
      </c>
      <c r="X80" s="20">
        <f t="shared" si="98"/>
        <v>0</v>
      </c>
      <c r="Y80" s="20">
        <f t="shared" si="98"/>
        <v>0</v>
      </c>
      <c r="Z80" s="20">
        <f t="shared" si="99"/>
        <v>0</v>
      </c>
      <c r="AA80" s="20">
        <f t="shared" si="99"/>
        <v>0</v>
      </c>
      <c r="AB80" s="20">
        <f t="shared" si="99"/>
        <v>0</v>
      </c>
      <c r="AC80" s="20">
        <f t="shared" si="99"/>
        <v>0</v>
      </c>
      <c r="AD80" s="20">
        <f t="shared" si="100"/>
        <v>0</v>
      </c>
      <c r="AE80" s="20">
        <f t="shared" si="101"/>
        <v>0</v>
      </c>
      <c r="AF80" s="20">
        <f t="shared" si="101"/>
        <v>0</v>
      </c>
      <c r="AG80" s="20">
        <f t="shared" si="101"/>
        <v>0</v>
      </c>
      <c r="AH80" s="20">
        <f t="shared" si="101"/>
        <v>0</v>
      </c>
      <c r="AI80" s="20">
        <f t="shared" si="102"/>
        <v>0</v>
      </c>
      <c r="AJ80" s="20">
        <f t="shared" si="103"/>
        <v>0</v>
      </c>
      <c r="AK80" s="20">
        <f t="shared" si="104"/>
        <v>0</v>
      </c>
      <c r="AL80" s="20">
        <f t="shared" si="105"/>
        <v>0</v>
      </c>
      <c r="AM80" s="20">
        <f t="shared" si="106"/>
        <v>0</v>
      </c>
      <c r="AO80">
        <f t="shared" si="107"/>
        <v>0</v>
      </c>
      <c r="AP80">
        <f t="shared" si="107"/>
        <v>0</v>
      </c>
      <c r="AQ80">
        <f t="shared" si="107"/>
        <v>0</v>
      </c>
      <c r="AR80">
        <f t="shared" si="107"/>
        <v>0</v>
      </c>
      <c r="AS80">
        <f t="shared" si="108"/>
        <v>0</v>
      </c>
      <c r="AU80">
        <f t="shared" si="109"/>
        <v>0</v>
      </c>
      <c r="AV80">
        <f t="shared" si="109"/>
        <v>0</v>
      </c>
      <c r="AW80">
        <f t="shared" si="109"/>
        <v>0</v>
      </c>
      <c r="AX80">
        <f t="shared" si="109"/>
        <v>0</v>
      </c>
      <c r="AY80">
        <f t="shared" si="110"/>
        <v>0</v>
      </c>
    </row>
    <row r="81" spans="1:53" ht="15" x14ac:dyDescent="0.25">
      <c r="A81" s="7"/>
      <c r="B81" s="8" t="s">
        <v>14</v>
      </c>
      <c r="C81" s="7"/>
      <c r="D81" s="357">
        <f t="shared" ref="D81:H81" si="111">SUM(D75:D80)</f>
        <v>0</v>
      </c>
      <c r="E81" s="363">
        <f>SUM(E75:E80)</f>
        <v>0</v>
      </c>
      <c r="F81" s="357">
        <f t="shared" si="111"/>
        <v>0</v>
      </c>
      <c r="G81" s="357">
        <f t="shared" si="111"/>
        <v>0</v>
      </c>
      <c r="H81" s="357">
        <f t="shared" si="111"/>
        <v>0</v>
      </c>
      <c r="J81">
        <v>0</v>
      </c>
      <c r="K81">
        <v>0</v>
      </c>
      <c r="L81">
        <v>0</v>
      </c>
      <c r="M81">
        <v>0</v>
      </c>
      <c r="N81">
        <v>0</v>
      </c>
      <c r="O81" s="20"/>
      <c r="P81" s="20"/>
      <c r="Q81" s="438"/>
      <c r="R81" s="197"/>
      <c r="S81" s="197"/>
      <c r="T81" s="197"/>
      <c r="U81" s="197"/>
      <c r="BA81" s="319">
        <f>(E81*10000*Q81*AU$10)</f>
        <v>0</v>
      </c>
    </row>
    <row r="82" spans="1:53" ht="15" x14ac:dyDescent="0.25">
      <c r="A82" s="10"/>
      <c r="B82" s="9" t="s">
        <v>15</v>
      </c>
      <c r="C82" s="5"/>
      <c r="E82" s="363">
        <f>SUM(E81)</f>
        <v>0</v>
      </c>
      <c r="H82" s="358">
        <f>SUM(D81:H81)</f>
        <v>0</v>
      </c>
      <c r="K82" s="14"/>
      <c r="N82">
        <v>0</v>
      </c>
      <c r="O82" s="20"/>
      <c r="P82" s="20"/>
      <c r="Q82" s="438"/>
      <c r="R82" s="197"/>
      <c r="S82" s="197"/>
      <c r="T82" s="197"/>
      <c r="U82" s="197"/>
    </row>
    <row r="83" spans="1:53" ht="15.75" x14ac:dyDescent="0.25">
      <c r="A83" s="1"/>
      <c r="B83" s="2"/>
      <c r="C83" s="1"/>
      <c r="E83" s="361"/>
      <c r="K83" s="14"/>
      <c r="O83" s="20"/>
      <c r="P83" s="20"/>
      <c r="Q83" s="439"/>
      <c r="R83" s="197"/>
      <c r="S83" s="197"/>
      <c r="T83" s="197"/>
      <c r="U83" s="197"/>
    </row>
    <row r="84" spans="1:53" ht="15" x14ac:dyDescent="0.25">
      <c r="A84" s="1">
        <v>9</v>
      </c>
      <c r="B84" s="2" t="s">
        <v>23</v>
      </c>
      <c r="C84" s="1" t="s">
        <v>8</v>
      </c>
      <c r="D84">
        <v>0</v>
      </c>
      <c r="E84" s="360">
        <v>81.6173</v>
      </c>
      <c r="F84">
        <v>0</v>
      </c>
      <c r="G84">
        <v>0</v>
      </c>
      <c r="H84">
        <v>0</v>
      </c>
      <c r="J84">
        <v>0</v>
      </c>
      <c r="K84">
        <v>0</v>
      </c>
      <c r="L84">
        <v>0</v>
      </c>
      <c r="M84">
        <v>0</v>
      </c>
      <c r="N84">
        <v>0</v>
      </c>
      <c r="O84" s="20"/>
      <c r="P84" s="20"/>
      <c r="Q84" s="438">
        <v>1.2943405370348687E-2</v>
      </c>
      <c r="R84" s="197">
        <v>0.38700000000000001</v>
      </c>
      <c r="S84" s="197">
        <v>2.48</v>
      </c>
      <c r="T84" s="197">
        <v>0.72182006204756977</v>
      </c>
      <c r="U84" s="197">
        <v>0.90789473684210531</v>
      </c>
      <c r="V84" s="20">
        <f t="shared" ref="V84:Y89" si="112">IF(K84&gt;0,((E84-K84)*$Q84*$R84*10)+(K84*$O$12*$Q84*$R84*10),(E84*$Q84*$R84*10))</f>
        <v>4.0882904426461035</v>
      </c>
      <c r="W84" s="20">
        <f t="shared" si="112"/>
        <v>0</v>
      </c>
      <c r="X84" s="20">
        <f t="shared" si="112"/>
        <v>0</v>
      </c>
      <c r="Y84" s="20">
        <f t="shared" si="112"/>
        <v>0</v>
      </c>
      <c r="Z84" s="20">
        <f t="shared" ref="Z84:AC89" si="113">V84*(EXP(1.01-0.34*LN(Z$8))*(1-$T84)+(1*$T84))</f>
        <v>3.1585668684932737</v>
      </c>
      <c r="AA84" s="20">
        <f t="shared" si="113"/>
        <v>0</v>
      </c>
      <c r="AB84" s="20">
        <f t="shared" si="113"/>
        <v>0</v>
      </c>
      <c r="AC84" s="20">
        <f t="shared" si="113"/>
        <v>0</v>
      </c>
      <c r="AD84" s="20">
        <f t="shared" ref="AD84:AD89" si="114">SUM(Z84:AC84)</f>
        <v>3.1585668684932737</v>
      </c>
      <c r="AE84" s="20">
        <f t="shared" ref="AE84:AH89" si="115">IF(K84&gt;0,((E84-K84)*$Q84*$S84*10)+(K84*$P$12*$Q84*$S84)*10,(E84*$Q84*$S84*10))</f>
        <v>26.198863818507327</v>
      </c>
      <c r="AF84" s="20">
        <f t="shared" si="115"/>
        <v>0</v>
      </c>
      <c r="AG84" s="20">
        <f t="shared" si="115"/>
        <v>0</v>
      </c>
      <c r="AH84" s="20">
        <f t="shared" si="115"/>
        <v>0</v>
      </c>
      <c r="AI84" s="20">
        <f t="shared" ref="AI84:AI89" si="116">AE84*(EXP(1.01-0.34*LN(AI$8))*(1-$U84)+(1*$U84))</f>
        <v>24.226199447374327</v>
      </c>
      <c r="AJ84" s="20">
        <f t="shared" ref="AJ84:AJ89" si="117">AF84*(EXP(1.01-0.34*LN(AJ$8))*(1-$U84)+(1*$U84))</f>
        <v>0</v>
      </c>
      <c r="AK84" s="20">
        <f t="shared" ref="AK84:AK89" si="118">AG84*(EXP(1.01-0.34*LN(AK$8))*(1-$U84)+(1*$U84))</f>
        <v>0</v>
      </c>
      <c r="AL84" s="20">
        <f t="shared" ref="AL84:AL89" si="119">AH84*(EXP(1.01-0.34*LN(AL$8))*(1-$U84)+(1*$U84))</f>
        <v>0</v>
      </c>
      <c r="AM84" s="20">
        <f t="shared" ref="AM84:AM89" si="120">SUM(AI84:AL84)</f>
        <v>24.226199447374327</v>
      </c>
      <c r="AO84">
        <f t="shared" ref="AO84:AR89" si="121">Z84*AO$10</f>
        <v>2.1149763751430961</v>
      </c>
      <c r="AP84">
        <f t="shared" si="121"/>
        <v>0</v>
      </c>
      <c r="AQ84">
        <f t="shared" si="121"/>
        <v>0</v>
      </c>
      <c r="AR84">
        <f t="shared" si="121"/>
        <v>0</v>
      </c>
      <c r="AS84">
        <f t="shared" ref="AS84:AS89" si="122">SUM(AO84:AR84)</f>
        <v>2.1149763751430961</v>
      </c>
      <c r="AU84">
        <f t="shared" ref="AU84:AX89" si="123">AI84*AU$10</f>
        <v>16.221863149961848</v>
      </c>
      <c r="AV84">
        <f t="shared" si="123"/>
        <v>0</v>
      </c>
      <c r="AW84">
        <f t="shared" si="123"/>
        <v>0</v>
      </c>
      <c r="AX84">
        <f t="shared" si="123"/>
        <v>0</v>
      </c>
      <c r="AY84">
        <f t="shared" ref="AY84:AY89" si="124">SUM(AU84:AX84)</f>
        <v>16.221863149961848</v>
      </c>
    </row>
    <row r="85" spans="1:53" ht="15" x14ac:dyDescent="0.25">
      <c r="A85" s="1"/>
      <c r="B85" s="2"/>
      <c r="C85" s="1" t="s">
        <v>9</v>
      </c>
      <c r="D85">
        <v>0</v>
      </c>
      <c r="E85" s="360">
        <v>7.3124000000000002</v>
      </c>
      <c r="F85">
        <v>0</v>
      </c>
      <c r="G85">
        <v>0</v>
      </c>
      <c r="H85">
        <v>0</v>
      </c>
      <c r="J85">
        <v>0</v>
      </c>
      <c r="K85">
        <v>0</v>
      </c>
      <c r="L85">
        <v>0</v>
      </c>
      <c r="M85">
        <v>0</v>
      </c>
      <c r="N85">
        <v>0</v>
      </c>
      <c r="O85" s="20"/>
      <c r="P85" s="20"/>
      <c r="Q85" s="438">
        <v>1.6886810740697381E-2</v>
      </c>
      <c r="R85" s="197">
        <v>0.38700000000000001</v>
      </c>
      <c r="S85" s="197">
        <v>2.48</v>
      </c>
      <c r="T85" s="197">
        <v>0.72182006204756977</v>
      </c>
      <c r="U85" s="197">
        <v>0.90789473684210531</v>
      </c>
      <c r="V85" s="20">
        <f t="shared" si="112"/>
        <v>0.47787965450926628</v>
      </c>
      <c r="W85" s="20">
        <f t="shared" si="112"/>
        <v>0</v>
      </c>
      <c r="X85" s="20">
        <f t="shared" si="112"/>
        <v>0</v>
      </c>
      <c r="Y85" s="20">
        <f t="shared" si="112"/>
        <v>0</v>
      </c>
      <c r="Z85" s="20">
        <f t="shared" si="113"/>
        <v>0.36920440585992897</v>
      </c>
      <c r="AA85" s="20">
        <f t="shared" si="113"/>
        <v>0</v>
      </c>
      <c r="AB85" s="20">
        <f t="shared" si="113"/>
        <v>0</v>
      </c>
      <c r="AC85" s="20">
        <f t="shared" si="113"/>
        <v>0</v>
      </c>
      <c r="AD85" s="20">
        <f t="shared" si="114"/>
        <v>0.36920440585992897</v>
      </c>
      <c r="AE85" s="20">
        <f t="shared" si="115"/>
        <v>3.062381248534833</v>
      </c>
      <c r="AF85" s="20">
        <f t="shared" si="115"/>
        <v>0</v>
      </c>
      <c r="AG85" s="20">
        <f t="shared" si="115"/>
        <v>0</v>
      </c>
      <c r="AH85" s="20">
        <f t="shared" si="115"/>
        <v>0</v>
      </c>
      <c r="AI85" s="20">
        <f t="shared" si="116"/>
        <v>2.8317968071002793</v>
      </c>
      <c r="AJ85" s="20">
        <f t="shared" si="117"/>
        <v>0</v>
      </c>
      <c r="AK85" s="20">
        <f t="shared" si="118"/>
        <v>0</v>
      </c>
      <c r="AL85" s="20">
        <f t="shared" si="119"/>
        <v>0</v>
      </c>
      <c r="AM85" s="20">
        <f t="shared" si="120"/>
        <v>2.8317968071002793</v>
      </c>
      <c r="AO85">
        <f t="shared" si="121"/>
        <v>0.24721927016380843</v>
      </c>
      <c r="AP85">
        <f t="shared" si="121"/>
        <v>0</v>
      </c>
      <c r="AQ85">
        <f t="shared" si="121"/>
        <v>0</v>
      </c>
      <c r="AR85">
        <f t="shared" si="121"/>
        <v>0</v>
      </c>
      <c r="AS85">
        <f t="shared" si="122"/>
        <v>0.24721927016380843</v>
      </c>
      <c r="AU85">
        <f t="shared" si="123"/>
        <v>1.896171142034347</v>
      </c>
      <c r="AV85">
        <f t="shared" si="123"/>
        <v>0</v>
      </c>
      <c r="AW85">
        <f t="shared" si="123"/>
        <v>0</v>
      </c>
      <c r="AX85">
        <f t="shared" si="123"/>
        <v>0</v>
      </c>
      <c r="AY85">
        <f t="shared" si="124"/>
        <v>1.896171142034347</v>
      </c>
    </row>
    <row r="86" spans="1:53" ht="15" x14ac:dyDescent="0.25">
      <c r="A86" s="1"/>
      <c r="B86" s="2"/>
      <c r="C86" s="1" t="s">
        <v>10</v>
      </c>
      <c r="D86">
        <v>0</v>
      </c>
      <c r="E86" s="360">
        <v>0.68179999999999996</v>
      </c>
      <c r="F86">
        <v>0</v>
      </c>
      <c r="G86">
        <v>0</v>
      </c>
      <c r="H86">
        <v>0</v>
      </c>
      <c r="J86">
        <v>0</v>
      </c>
      <c r="K86">
        <v>0</v>
      </c>
      <c r="L86">
        <v>0</v>
      </c>
      <c r="M86">
        <v>0</v>
      </c>
      <c r="N86">
        <v>0</v>
      </c>
      <c r="O86" s="20"/>
      <c r="P86" s="20"/>
      <c r="Q86" s="438">
        <v>2.0830216111046067E-2</v>
      </c>
      <c r="R86" s="197">
        <v>0.38700000000000001</v>
      </c>
      <c r="S86" s="197">
        <v>2.48</v>
      </c>
      <c r="T86" s="197">
        <v>0.72182006204756977</v>
      </c>
      <c r="U86" s="197">
        <v>0.90789473684210531</v>
      </c>
      <c r="V86" s="20">
        <f t="shared" si="112"/>
        <v>5.4961900003258381E-2</v>
      </c>
      <c r="W86" s="20">
        <f t="shared" si="112"/>
        <v>0</v>
      </c>
      <c r="X86" s="20">
        <f t="shared" si="112"/>
        <v>0</v>
      </c>
      <c r="Y86" s="20">
        <f t="shared" si="112"/>
        <v>0</v>
      </c>
      <c r="Z86" s="20">
        <f t="shared" si="113"/>
        <v>4.2462941127874208E-2</v>
      </c>
      <c r="AA86" s="20">
        <f t="shared" si="113"/>
        <v>0</v>
      </c>
      <c r="AB86" s="20">
        <f t="shared" si="113"/>
        <v>0</v>
      </c>
      <c r="AC86" s="20">
        <f t="shared" si="113"/>
        <v>0</v>
      </c>
      <c r="AD86" s="20">
        <f t="shared" si="114"/>
        <v>4.2462941127874208E-2</v>
      </c>
      <c r="AE86" s="20">
        <f t="shared" si="115"/>
        <v>0.35221062534387793</v>
      </c>
      <c r="AF86" s="20">
        <f t="shared" si="115"/>
        <v>0</v>
      </c>
      <c r="AG86" s="20">
        <f t="shared" si="115"/>
        <v>0</v>
      </c>
      <c r="AH86" s="20">
        <f t="shared" si="115"/>
        <v>0</v>
      </c>
      <c r="AI86" s="20">
        <f t="shared" si="116"/>
        <v>0.32569064506673601</v>
      </c>
      <c r="AJ86" s="20">
        <f t="shared" si="117"/>
        <v>0</v>
      </c>
      <c r="AK86" s="20">
        <f t="shared" si="118"/>
        <v>0</v>
      </c>
      <c r="AL86" s="20">
        <f t="shared" si="119"/>
        <v>0</v>
      </c>
      <c r="AM86" s="20">
        <f t="shared" si="120"/>
        <v>0.32569064506673601</v>
      </c>
      <c r="AO86">
        <f t="shared" si="121"/>
        <v>2.8433185379224568E-2</v>
      </c>
      <c r="AP86">
        <f t="shared" si="121"/>
        <v>0</v>
      </c>
      <c r="AQ86">
        <f t="shared" si="121"/>
        <v>0</v>
      </c>
      <c r="AR86">
        <f t="shared" si="121"/>
        <v>0</v>
      </c>
      <c r="AS86">
        <f t="shared" si="122"/>
        <v>2.8433185379224568E-2</v>
      </c>
      <c r="AU86">
        <f t="shared" si="123"/>
        <v>0.21808245593668643</v>
      </c>
      <c r="AV86">
        <f t="shared" si="123"/>
        <v>0</v>
      </c>
      <c r="AW86">
        <f t="shared" si="123"/>
        <v>0</v>
      </c>
      <c r="AX86">
        <f t="shared" si="123"/>
        <v>0</v>
      </c>
      <c r="AY86">
        <f t="shared" si="124"/>
        <v>0.21808245593668643</v>
      </c>
    </row>
    <row r="87" spans="1:53" ht="15" x14ac:dyDescent="0.25">
      <c r="A87" s="1"/>
      <c r="B87" s="2"/>
      <c r="C87" s="1" t="s">
        <v>11</v>
      </c>
      <c r="D87">
        <v>0</v>
      </c>
      <c r="E87" s="360">
        <v>34.516599999999997</v>
      </c>
      <c r="F87">
        <v>0</v>
      </c>
      <c r="G87">
        <v>0</v>
      </c>
      <c r="H87">
        <v>0</v>
      </c>
      <c r="J87">
        <v>0</v>
      </c>
      <c r="K87">
        <v>0</v>
      </c>
      <c r="L87">
        <v>0</v>
      </c>
      <c r="M87">
        <v>0</v>
      </c>
      <c r="N87">
        <v>0</v>
      </c>
      <c r="O87" s="20"/>
      <c r="P87" s="20"/>
      <c r="Q87" s="438">
        <v>2.4773621481394753E-2</v>
      </c>
      <c r="R87" s="197">
        <v>0.38700000000000001</v>
      </c>
      <c r="S87" s="197">
        <v>2.48</v>
      </c>
      <c r="T87" s="197">
        <v>0.72182006204756977</v>
      </c>
      <c r="U87" s="197">
        <v>0.90789473684210531</v>
      </c>
      <c r="V87" s="20">
        <f t="shared" si="112"/>
        <v>3.3092415790796279</v>
      </c>
      <c r="W87" s="20">
        <f t="shared" si="112"/>
        <v>0</v>
      </c>
      <c r="X87" s="20">
        <f t="shared" si="112"/>
        <v>0</v>
      </c>
      <c r="Y87" s="20">
        <f t="shared" si="112"/>
        <v>0</v>
      </c>
      <c r="Z87" s="20">
        <f t="shared" si="113"/>
        <v>2.5566825444906578</v>
      </c>
      <c r="AA87" s="20">
        <f t="shared" si="113"/>
        <v>0</v>
      </c>
      <c r="AB87" s="20">
        <f t="shared" si="113"/>
        <v>0</v>
      </c>
      <c r="AC87" s="20">
        <f t="shared" si="113"/>
        <v>0</v>
      </c>
      <c r="AD87" s="20">
        <f t="shared" si="114"/>
        <v>2.5566825444906578</v>
      </c>
      <c r="AE87" s="20">
        <f t="shared" si="115"/>
        <v>21.206509343972808</v>
      </c>
      <c r="AF87" s="20">
        <f t="shared" si="115"/>
        <v>0</v>
      </c>
      <c r="AG87" s="20">
        <f t="shared" si="115"/>
        <v>0</v>
      </c>
      <c r="AH87" s="20">
        <f t="shared" si="115"/>
        <v>0</v>
      </c>
      <c r="AI87" s="20">
        <f t="shared" si="116"/>
        <v>19.609748289418892</v>
      </c>
      <c r="AJ87" s="20">
        <f t="shared" si="117"/>
        <v>0</v>
      </c>
      <c r="AK87" s="20">
        <f t="shared" si="118"/>
        <v>0</v>
      </c>
      <c r="AL87" s="20">
        <f t="shared" si="119"/>
        <v>0</v>
      </c>
      <c r="AM87" s="20">
        <f t="shared" si="120"/>
        <v>19.609748289418892</v>
      </c>
      <c r="AO87">
        <f t="shared" si="121"/>
        <v>1.7119546317909444</v>
      </c>
      <c r="AP87">
        <f t="shared" si="121"/>
        <v>0</v>
      </c>
      <c r="AQ87">
        <f t="shared" si="121"/>
        <v>0</v>
      </c>
      <c r="AR87">
        <f t="shared" si="121"/>
        <v>0</v>
      </c>
      <c r="AS87">
        <f t="shared" si="122"/>
        <v>1.7119546317909444</v>
      </c>
      <c r="AU87">
        <f t="shared" si="123"/>
        <v>13.13068745459489</v>
      </c>
      <c r="AV87">
        <f t="shared" si="123"/>
        <v>0</v>
      </c>
      <c r="AW87">
        <f t="shared" si="123"/>
        <v>0</v>
      </c>
      <c r="AX87">
        <f t="shared" si="123"/>
        <v>0</v>
      </c>
      <c r="AY87">
        <f t="shared" si="124"/>
        <v>13.13068745459489</v>
      </c>
    </row>
    <row r="88" spans="1:53" ht="15" x14ac:dyDescent="0.25">
      <c r="A88" s="1"/>
      <c r="B88" s="2"/>
      <c r="C88" s="1" t="s">
        <v>12</v>
      </c>
      <c r="D88">
        <v>0</v>
      </c>
      <c r="E88" s="360">
        <v>0</v>
      </c>
      <c r="F88">
        <v>0</v>
      </c>
      <c r="G88">
        <v>0</v>
      </c>
      <c r="H88">
        <v>0</v>
      </c>
      <c r="J88">
        <v>0</v>
      </c>
      <c r="K88">
        <v>0</v>
      </c>
      <c r="L88">
        <v>0</v>
      </c>
      <c r="M88">
        <v>0</v>
      </c>
      <c r="N88">
        <v>0</v>
      </c>
      <c r="O88" s="20"/>
      <c r="P88" s="20"/>
      <c r="Q88" s="438"/>
      <c r="R88" s="197">
        <v>0.38700000000000001</v>
      </c>
      <c r="S88" s="197">
        <v>2.48</v>
      </c>
      <c r="T88" s="197">
        <v>0.72182006204756977</v>
      </c>
      <c r="U88" s="197">
        <v>0.90789473684210531</v>
      </c>
      <c r="V88" s="20">
        <f t="shared" si="112"/>
        <v>0</v>
      </c>
      <c r="W88" s="20">
        <f t="shared" si="112"/>
        <v>0</v>
      </c>
      <c r="X88" s="20">
        <f t="shared" si="112"/>
        <v>0</v>
      </c>
      <c r="Y88" s="20">
        <f t="shared" si="112"/>
        <v>0</v>
      </c>
      <c r="Z88" s="20">
        <f t="shared" si="113"/>
        <v>0</v>
      </c>
      <c r="AA88" s="20">
        <f t="shared" si="113"/>
        <v>0</v>
      </c>
      <c r="AB88" s="20">
        <f t="shared" si="113"/>
        <v>0</v>
      </c>
      <c r="AC88" s="20">
        <f t="shared" si="113"/>
        <v>0</v>
      </c>
      <c r="AD88" s="20">
        <f t="shared" si="114"/>
        <v>0</v>
      </c>
      <c r="AE88" s="20">
        <f t="shared" si="115"/>
        <v>0</v>
      </c>
      <c r="AF88" s="20">
        <f t="shared" si="115"/>
        <v>0</v>
      </c>
      <c r="AG88" s="20">
        <f t="shared" si="115"/>
        <v>0</v>
      </c>
      <c r="AH88" s="20">
        <f t="shared" si="115"/>
        <v>0</v>
      </c>
      <c r="AI88" s="20">
        <f t="shared" si="116"/>
        <v>0</v>
      </c>
      <c r="AJ88" s="20">
        <f t="shared" si="117"/>
        <v>0</v>
      </c>
      <c r="AK88" s="20">
        <f t="shared" si="118"/>
        <v>0</v>
      </c>
      <c r="AL88" s="20">
        <f t="shared" si="119"/>
        <v>0</v>
      </c>
      <c r="AM88" s="20">
        <f t="shared" si="120"/>
        <v>0</v>
      </c>
      <c r="AO88">
        <f t="shared" si="121"/>
        <v>0</v>
      </c>
      <c r="AP88">
        <f t="shared" si="121"/>
        <v>0</v>
      </c>
      <c r="AQ88">
        <f t="shared" si="121"/>
        <v>0</v>
      </c>
      <c r="AR88">
        <f t="shared" si="121"/>
        <v>0</v>
      </c>
      <c r="AS88">
        <f t="shared" si="122"/>
        <v>0</v>
      </c>
      <c r="AU88">
        <f t="shared" si="123"/>
        <v>0</v>
      </c>
      <c r="AV88">
        <f t="shared" si="123"/>
        <v>0</v>
      </c>
      <c r="AW88">
        <f t="shared" si="123"/>
        <v>0</v>
      </c>
      <c r="AX88">
        <f t="shared" si="123"/>
        <v>0</v>
      </c>
      <c r="AY88">
        <f t="shared" si="124"/>
        <v>0</v>
      </c>
    </row>
    <row r="89" spans="1:53" ht="15" x14ac:dyDescent="0.25">
      <c r="A89" s="1"/>
      <c r="B89" s="2"/>
      <c r="C89" s="1" t="s">
        <v>13</v>
      </c>
      <c r="D89">
        <v>0</v>
      </c>
      <c r="E89" s="360">
        <v>0.19370000000000001</v>
      </c>
      <c r="F89">
        <v>0</v>
      </c>
      <c r="G89">
        <v>0</v>
      </c>
      <c r="H89">
        <v>0</v>
      </c>
      <c r="J89">
        <v>0</v>
      </c>
      <c r="K89">
        <v>0</v>
      </c>
      <c r="L89">
        <v>0</v>
      </c>
      <c r="M89">
        <v>0</v>
      </c>
      <c r="N89">
        <v>0</v>
      </c>
      <c r="O89" s="20"/>
      <c r="P89" s="20"/>
      <c r="Q89" s="438">
        <v>2.4773621481394757E-2</v>
      </c>
      <c r="R89" s="197">
        <v>0.38700000000000001</v>
      </c>
      <c r="S89" s="197">
        <v>2.48</v>
      </c>
      <c r="T89" s="197">
        <v>0.72182006204756977</v>
      </c>
      <c r="U89" s="197">
        <v>0.90789473684210531</v>
      </c>
      <c r="V89" s="20">
        <f t="shared" si="112"/>
        <v>1.857077736126166E-2</v>
      </c>
      <c r="W89" s="20">
        <f t="shared" si="112"/>
        <v>0</v>
      </c>
      <c r="X89" s="20">
        <f t="shared" si="112"/>
        <v>0</v>
      </c>
      <c r="Y89" s="20">
        <f t="shared" si="112"/>
        <v>0</v>
      </c>
      <c r="Z89" s="20">
        <f t="shared" si="113"/>
        <v>1.4347572149859504E-2</v>
      </c>
      <c r="AA89" s="20">
        <f t="shared" si="113"/>
        <v>0</v>
      </c>
      <c r="AB89" s="20">
        <f t="shared" si="113"/>
        <v>0</v>
      </c>
      <c r="AC89" s="20">
        <f t="shared" si="113"/>
        <v>0</v>
      </c>
      <c r="AD89" s="20">
        <f t="shared" si="114"/>
        <v>1.4347572149859504E-2</v>
      </c>
      <c r="AE89" s="20">
        <f t="shared" si="115"/>
        <v>0.11900653192746488</v>
      </c>
      <c r="AF89" s="20">
        <f t="shared" si="115"/>
        <v>0</v>
      </c>
      <c r="AG89" s="20">
        <f t="shared" si="115"/>
        <v>0</v>
      </c>
      <c r="AH89" s="20">
        <f t="shared" si="115"/>
        <v>0</v>
      </c>
      <c r="AI89" s="20">
        <f t="shared" si="116"/>
        <v>0.11004584007869955</v>
      </c>
      <c r="AJ89" s="20">
        <f t="shared" si="117"/>
        <v>0</v>
      </c>
      <c r="AK89" s="20">
        <f t="shared" si="118"/>
        <v>0</v>
      </c>
      <c r="AL89" s="20">
        <f t="shared" si="119"/>
        <v>0</v>
      </c>
      <c r="AM89" s="20">
        <f t="shared" si="120"/>
        <v>0.11004584007869955</v>
      </c>
      <c r="AO89">
        <f t="shared" si="121"/>
        <v>9.6071343115459243E-3</v>
      </c>
      <c r="AP89">
        <f t="shared" si="121"/>
        <v>0</v>
      </c>
      <c r="AQ89">
        <f t="shared" si="121"/>
        <v>0</v>
      </c>
      <c r="AR89">
        <f t="shared" si="121"/>
        <v>0</v>
      </c>
      <c r="AS89">
        <f t="shared" si="122"/>
        <v>9.6071343115459243E-3</v>
      </c>
      <c r="AU89">
        <f t="shared" si="123"/>
        <v>7.3686694516697224E-2</v>
      </c>
      <c r="AV89">
        <f t="shared" si="123"/>
        <v>0</v>
      </c>
      <c r="AW89">
        <f t="shared" si="123"/>
        <v>0</v>
      </c>
      <c r="AX89">
        <f t="shared" si="123"/>
        <v>0</v>
      </c>
      <c r="AY89">
        <f t="shared" si="124"/>
        <v>7.3686694516697224E-2</v>
      </c>
    </row>
    <row r="90" spans="1:53" ht="15" x14ac:dyDescent="0.25">
      <c r="A90" s="7"/>
      <c r="B90" s="8" t="s">
        <v>14</v>
      </c>
      <c r="C90" s="7"/>
      <c r="D90" s="357">
        <f t="shared" ref="D90:H90" si="125">SUM(D84:D89)</f>
        <v>0</v>
      </c>
      <c r="E90" s="363">
        <f>SUM(E84:E89)</f>
        <v>124.3218</v>
      </c>
      <c r="F90" s="357">
        <f t="shared" si="125"/>
        <v>0</v>
      </c>
      <c r="G90" s="357">
        <f t="shared" si="125"/>
        <v>0</v>
      </c>
      <c r="H90" s="357">
        <f t="shared" si="125"/>
        <v>0</v>
      </c>
      <c r="J90">
        <v>0</v>
      </c>
      <c r="K90">
        <v>0</v>
      </c>
      <c r="L90">
        <v>0</v>
      </c>
      <c r="M90">
        <v>0</v>
      </c>
      <c r="N90">
        <v>0</v>
      </c>
      <c r="O90" s="20"/>
      <c r="P90" s="20"/>
      <c r="Q90" s="438">
        <v>1.6521565719317153E-2</v>
      </c>
      <c r="R90" s="197"/>
      <c r="S90" s="197"/>
      <c r="T90" s="197"/>
      <c r="U90" s="197"/>
      <c r="BA90" s="319">
        <f>(E90*10000*Q90*AU$10)</f>
        <v>13753.522323437306</v>
      </c>
    </row>
    <row r="91" spans="1:53" ht="15" x14ac:dyDescent="0.25">
      <c r="A91" s="10"/>
      <c r="B91" s="9" t="s">
        <v>15</v>
      </c>
      <c r="C91" s="5"/>
      <c r="E91" s="363">
        <f>SUM(E90)</f>
        <v>124.3218</v>
      </c>
      <c r="H91" s="358">
        <f>SUM(D90:H90)</f>
        <v>124.3218</v>
      </c>
      <c r="K91" s="14"/>
      <c r="N91">
        <v>0</v>
      </c>
      <c r="O91" s="20"/>
      <c r="P91" s="20"/>
      <c r="Q91" s="438"/>
      <c r="R91" s="197"/>
      <c r="S91" s="197"/>
      <c r="T91" s="197"/>
      <c r="U91" s="197"/>
    </row>
    <row r="92" spans="1:53" ht="15.75" x14ac:dyDescent="0.25">
      <c r="A92" s="1"/>
      <c r="B92" s="2"/>
      <c r="C92" s="1"/>
      <c r="E92" s="361"/>
      <c r="K92" s="14"/>
      <c r="O92" s="20"/>
      <c r="P92" s="20"/>
      <c r="Q92" s="439"/>
      <c r="R92" s="197"/>
      <c r="S92" s="197"/>
      <c r="T92" s="197"/>
      <c r="U92" s="197"/>
    </row>
    <row r="93" spans="1:53" ht="15" x14ac:dyDescent="0.25">
      <c r="A93" s="1">
        <v>10</v>
      </c>
      <c r="B93" s="2" t="s">
        <v>24</v>
      </c>
      <c r="C93" s="1" t="s">
        <v>8</v>
      </c>
      <c r="D93">
        <v>0</v>
      </c>
      <c r="E93" s="360">
        <v>148.16669999999999</v>
      </c>
      <c r="F93">
        <v>0</v>
      </c>
      <c r="G93">
        <v>0</v>
      </c>
      <c r="H93">
        <v>0</v>
      </c>
      <c r="J93">
        <v>0</v>
      </c>
      <c r="K93">
        <v>0</v>
      </c>
      <c r="L93">
        <v>0</v>
      </c>
      <c r="M93">
        <v>0</v>
      </c>
      <c r="N93">
        <v>0</v>
      </c>
      <c r="O93" s="20"/>
      <c r="P93" s="20"/>
      <c r="Q93" s="438">
        <v>1.2943405370348689E-2</v>
      </c>
      <c r="R93" s="197">
        <v>0.66599999999999993</v>
      </c>
      <c r="S93" s="197">
        <v>4.5549999999999997</v>
      </c>
      <c r="T93" s="197">
        <v>0.60039794540960334</v>
      </c>
      <c r="U93" s="197">
        <v>0.90789473684210531</v>
      </c>
      <c r="V93" s="20">
        <f t="shared" ref="V93:Y98" si="126">IF(K93&gt;0,((E93-K93)*$Q93*$R93*10)+(K93*$O$12*$Q93*$R93*10),(E93*$Q93*$R93*10))</f>
        <v>12.772425858842373</v>
      </c>
      <c r="W93" s="20">
        <f t="shared" si="126"/>
        <v>0</v>
      </c>
      <c r="X93" s="20">
        <f t="shared" si="126"/>
        <v>0</v>
      </c>
      <c r="Y93" s="20">
        <f t="shared" si="126"/>
        <v>0</v>
      </c>
      <c r="Z93" s="20">
        <f t="shared" ref="Z93:AC98" si="127">V93*(EXP(1.01-0.34*LN(Z$8))*(1-$T93)+(1*$T93))</f>
        <v>8.6000118154262637</v>
      </c>
      <c r="AA93" s="20">
        <f t="shared" si="127"/>
        <v>0</v>
      </c>
      <c r="AB93" s="20">
        <f t="shared" si="127"/>
        <v>0</v>
      </c>
      <c r="AC93" s="20">
        <f t="shared" si="127"/>
        <v>0</v>
      </c>
      <c r="AD93" s="20">
        <f t="shared" ref="AD93:AD98" si="128">SUM(Z93:AC93)</f>
        <v>8.6000118154262637</v>
      </c>
      <c r="AE93" s="20">
        <f t="shared" ref="AE93:AH98" si="129">IF(K93&gt;0,((E93-K93)*$Q93*$S93*10)+(K93*$P$12*$Q93*$S93)*10,(E93*$Q93*$S93*10))</f>
        <v>87.354954635175687</v>
      </c>
      <c r="AF93" s="20">
        <f t="shared" si="129"/>
        <v>0</v>
      </c>
      <c r="AG93" s="20">
        <f t="shared" si="129"/>
        <v>0</v>
      </c>
      <c r="AH93" s="20">
        <f t="shared" si="129"/>
        <v>0</v>
      </c>
      <c r="AI93" s="20">
        <f t="shared" ref="AI93:AI98" si="130">AE93*(EXP(1.01-0.34*LN(AI$8))*(1-$U93)+(1*$U93))</f>
        <v>80.777493572569639</v>
      </c>
      <c r="AJ93" s="20">
        <f t="shared" ref="AJ93:AJ98" si="131">AF93*(EXP(1.01-0.34*LN(AJ$8))*(1-$U93)+(1*$U93))</f>
        <v>0</v>
      </c>
      <c r="AK93" s="20">
        <f t="shared" ref="AK93:AK98" si="132">AG93*(EXP(1.01-0.34*LN(AK$8))*(1-$U93)+(1*$U93))</f>
        <v>0</v>
      </c>
      <c r="AL93" s="20">
        <f t="shared" ref="AL93:AL98" si="133">AH93*(EXP(1.01-0.34*LN(AL$8))*(1-$U93)+(1*$U93))</f>
        <v>0</v>
      </c>
      <c r="AM93" s="20">
        <f t="shared" ref="AM93:AM98" si="134">SUM(AI93:AL93)</f>
        <v>80.777493572569639</v>
      </c>
      <c r="AO93">
        <f t="shared" ref="AO93:AR98" si="135">Z93*AO$10</f>
        <v>5.7585679116094255</v>
      </c>
      <c r="AP93">
        <f t="shared" si="135"/>
        <v>0</v>
      </c>
      <c r="AQ93">
        <f t="shared" si="135"/>
        <v>0</v>
      </c>
      <c r="AR93">
        <f t="shared" si="135"/>
        <v>0</v>
      </c>
      <c r="AS93">
        <f t="shared" ref="AS93:AS98" si="136">SUM(AO93:AR93)</f>
        <v>5.7585679116094255</v>
      </c>
      <c r="AU93">
        <f t="shared" ref="AU93:AX98" si="137">AI93*AU$10</f>
        <v>54.088609696192627</v>
      </c>
      <c r="AV93">
        <f t="shared" si="137"/>
        <v>0</v>
      </c>
      <c r="AW93">
        <f t="shared" si="137"/>
        <v>0</v>
      </c>
      <c r="AX93">
        <f t="shared" si="137"/>
        <v>0</v>
      </c>
      <c r="AY93">
        <f t="shared" ref="AY93:AY98" si="138">SUM(AU93:AX93)</f>
        <v>54.088609696192627</v>
      </c>
    </row>
    <row r="94" spans="1:53" ht="15" x14ac:dyDescent="0.25">
      <c r="A94" s="1"/>
      <c r="B94" s="2"/>
      <c r="C94" s="1" t="s">
        <v>9</v>
      </c>
      <c r="D94">
        <v>0</v>
      </c>
      <c r="E94" s="360">
        <v>16.532399999999999</v>
      </c>
      <c r="F94">
        <v>0</v>
      </c>
      <c r="G94">
        <v>0</v>
      </c>
      <c r="H94">
        <v>0</v>
      </c>
      <c r="J94">
        <v>0</v>
      </c>
      <c r="K94">
        <v>0</v>
      </c>
      <c r="L94">
        <v>0</v>
      </c>
      <c r="M94">
        <v>0</v>
      </c>
      <c r="N94">
        <v>0</v>
      </c>
      <c r="O94" s="20"/>
      <c r="P94" s="20"/>
      <c r="Q94" s="438">
        <v>1.6886810740697377E-2</v>
      </c>
      <c r="R94" s="197">
        <v>0.66599999999999993</v>
      </c>
      <c r="S94" s="197">
        <v>4.5549999999999997</v>
      </c>
      <c r="T94" s="197">
        <v>0.60039794540960334</v>
      </c>
      <c r="U94" s="197">
        <v>0.90789473684210531</v>
      </c>
      <c r="V94" s="20">
        <f t="shared" si="126"/>
        <v>1.859335535864105</v>
      </c>
      <c r="W94" s="20">
        <f t="shared" si="126"/>
        <v>0</v>
      </c>
      <c r="X94" s="20">
        <f t="shared" si="126"/>
        <v>0</v>
      </c>
      <c r="Y94" s="20">
        <f t="shared" si="126"/>
        <v>0</v>
      </c>
      <c r="Z94" s="20">
        <f t="shared" si="127"/>
        <v>1.2519397453540988</v>
      </c>
      <c r="AA94" s="20">
        <f t="shared" si="127"/>
        <v>0</v>
      </c>
      <c r="AB94" s="20">
        <f t="shared" si="127"/>
        <v>0</v>
      </c>
      <c r="AC94" s="20">
        <f t="shared" si="127"/>
        <v>0</v>
      </c>
      <c r="AD94" s="20">
        <f t="shared" si="128"/>
        <v>1.2519397453540988</v>
      </c>
      <c r="AE94" s="20">
        <f t="shared" si="129"/>
        <v>12.716626675466964</v>
      </c>
      <c r="AF94" s="20">
        <f t="shared" si="129"/>
        <v>0</v>
      </c>
      <c r="AG94" s="20">
        <f t="shared" si="129"/>
        <v>0</v>
      </c>
      <c r="AH94" s="20">
        <f t="shared" si="129"/>
        <v>0</v>
      </c>
      <c r="AI94" s="20">
        <f t="shared" si="130"/>
        <v>11.759118115650251</v>
      </c>
      <c r="AJ94" s="20">
        <f t="shared" si="131"/>
        <v>0</v>
      </c>
      <c r="AK94" s="20">
        <f t="shared" si="132"/>
        <v>0</v>
      </c>
      <c r="AL94" s="20">
        <f t="shared" si="133"/>
        <v>0</v>
      </c>
      <c r="AM94" s="20">
        <f t="shared" si="134"/>
        <v>11.759118115650251</v>
      </c>
      <c r="AO94">
        <f t="shared" si="135"/>
        <v>0.83829885348910449</v>
      </c>
      <c r="AP94">
        <f t="shared" si="135"/>
        <v>0</v>
      </c>
      <c r="AQ94">
        <f t="shared" si="135"/>
        <v>0</v>
      </c>
      <c r="AR94">
        <f t="shared" si="135"/>
        <v>0</v>
      </c>
      <c r="AS94">
        <f t="shared" si="136"/>
        <v>0.83829885348910449</v>
      </c>
      <c r="AU94">
        <f t="shared" si="137"/>
        <v>7.8739054902394079</v>
      </c>
      <c r="AV94">
        <f t="shared" si="137"/>
        <v>0</v>
      </c>
      <c r="AW94">
        <f t="shared" si="137"/>
        <v>0</v>
      </c>
      <c r="AX94">
        <f t="shared" si="137"/>
        <v>0</v>
      </c>
      <c r="AY94">
        <f t="shared" si="138"/>
        <v>7.8739054902394079</v>
      </c>
    </row>
    <row r="95" spans="1:53" ht="15" x14ac:dyDescent="0.25">
      <c r="A95" s="1"/>
      <c r="B95" s="2"/>
      <c r="C95" s="1" t="s">
        <v>10</v>
      </c>
      <c r="D95">
        <v>0</v>
      </c>
      <c r="E95" s="360"/>
      <c r="F95">
        <v>0</v>
      </c>
      <c r="G95">
        <v>0</v>
      </c>
      <c r="H95">
        <v>0</v>
      </c>
      <c r="J95">
        <v>0</v>
      </c>
      <c r="K95">
        <v>0</v>
      </c>
      <c r="L95">
        <v>0</v>
      </c>
      <c r="M95">
        <v>0</v>
      </c>
      <c r="N95">
        <v>0</v>
      </c>
      <c r="O95" s="20"/>
      <c r="P95" s="20"/>
      <c r="Q95" s="438"/>
      <c r="R95" s="197">
        <v>0.66599999999999993</v>
      </c>
      <c r="S95" s="197">
        <v>4.5549999999999997</v>
      </c>
      <c r="T95" s="197">
        <v>0.60039794540960334</v>
      </c>
      <c r="U95" s="197">
        <v>0.90789473684210531</v>
      </c>
      <c r="V95" s="20">
        <f t="shared" si="126"/>
        <v>0</v>
      </c>
      <c r="W95" s="20">
        <f t="shared" si="126"/>
        <v>0</v>
      </c>
      <c r="X95" s="20">
        <f t="shared" si="126"/>
        <v>0</v>
      </c>
      <c r="Y95" s="20">
        <f t="shared" si="126"/>
        <v>0</v>
      </c>
      <c r="Z95" s="20">
        <f t="shared" si="127"/>
        <v>0</v>
      </c>
      <c r="AA95" s="20">
        <f t="shared" si="127"/>
        <v>0</v>
      </c>
      <c r="AB95" s="20">
        <f t="shared" si="127"/>
        <v>0</v>
      </c>
      <c r="AC95" s="20">
        <f t="shared" si="127"/>
        <v>0</v>
      </c>
      <c r="AD95" s="20">
        <f t="shared" si="128"/>
        <v>0</v>
      </c>
      <c r="AE95" s="20">
        <f t="shared" si="129"/>
        <v>0</v>
      </c>
      <c r="AF95" s="20">
        <f t="shared" si="129"/>
        <v>0</v>
      </c>
      <c r="AG95" s="20">
        <f t="shared" si="129"/>
        <v>0</v>
      </c>
      <c r="AH95" s="20">
        <f t="shared" si="129"/>
        <v>0</v>
      </c>
      <c r="AI95" s="20">
        <f t="shared" si="130"/>
        <v>0</v>
      </c>
      <c r="AJ95" s="20">
        <f t="shared" si="131"/>
        <v>0</v>
      </c>
      <c r="AK95" s="20">
        <f t="shared" si="132"/>
        <v>0</v>
      </c>
      <c r="AL95" s="20">
        <f t="shared" si="133"/>
        <v>0</v>
      </c>
      <c r="AM95" s="20">
        <f t="shared" si="134"/>
        <v>0</v>
      </c>
      <c r="AO95">
        <f t="shared" si="135"/>
        <v>0</v>
      </c>
      <c r="AP95">
        <f t="shared" si="135"/>
        <v>0</v>
      </c>
      <c r="AQ95">
        <f t="shared" si="135"/>
        <v>0</v>
      </c>
      <c r="AR95">
        <f t="shared" si="135"/>
        <v>0</v>
      </c>
      <c r="AS95">
        <f t="shared" si="136"/>
        <v>0</v>
      </c>
      <c r="AU95">
        <f t="shared" si="137"/>
        <v>0</v>
      </c>
      <c r="AV95">
        <f t="shared" si="137"/>
        <v>0</v>
      </c>
      <c r="AW95">
        <f t="shared" si="137"/>
        <v>0</v>
      </c>
      <c r="AX95">
        <f t="shared" si="137"/>
        <v>0</v>
      </c>
      <c r="AY95">
        <f t="shared" si="138"/>
        <v>0</v>
      </c>
    </row>
    <row r="96" spans="1:53" ht="15" x14ac:dyDescent="0.25">
      <c r="A96" s="1"/>
      <c r="B96" s="2"/>
      <c r="C96" s="1" t="s">
        <v>11</v>
      </c>
      <c r="D96">
        <v>0</v>
      </c>
      <c r="E96" s="360">
        <v>104.04470000000001</v>
      </c>
      <c r="F96">
        <v>0</v>
      </c>
      <c r="G96">
        <v>0</v>
      </c>
      <c r="H96">
        <v>0</v>
      </c>
      <c r="J96">
        <v>0</v>
      </c>
      <c r="K96">
        <v>0</v>
      </c>
      <c r="L96">
        <v>0</v>
      </c>
      <c r="M96">
        <v>0</v>
      </c>
      <c r="N96">
        <v>0</v>
      </c>
      <c r="O96" s="20"/>
      <c r="P96" s="20"/>
      <c r="Q96" s="438">
        <v>2.4773621481394757E-2</v>
      </c>
      <c r="R96" s="197">
        <v>0.66599999999999993</v>
      </c>
      <c r="S96" s="197">
        <v>4.5549999999999997</v>
      </c>
      <c r="T96" s="197">
        <v>0.60039794540960334</v>
      </c>
      <c r="U96" s="197">
        <v>0.90789473684210531</v>
      </c>
      <c r="V96" s="20">
        <f t="shared" si="126"/>
        <v>17.166576339535517</v>
      </c>
      <c r="W96" s="20">
        <f t="shared" si="126"/>
        <v>0</v>
      </c>
      <c r="X96" s="20">
        <f t="shared" si="126"/>
        <v>0</v>
      </c>
      <c r="Y96" s="20">
        <f t="shared" si="126"/>
        <v>0</v>
      </c>
      <c r="Z96" s="20">
        <f t="shared" si="127"/>
        <v>11.558709440322643</v>
      </c>
      <c r="AA96" s="20">
        <f t="shared" si="127"/>
        <v>0</v>
      </c>
      <c r="AB96" s="20">
        <f t="shared" si="127"/>
        <v>0</v>
      </c>
      <c r="AC96" s="20">
        <f t="shared" si="127"/>
        <v>0</v>
      </c>
      <c r="AD96" s="20">
        <f t="shared" si="128"/>
        <v>11.558709440322643</v>
      </c>
      <c r="AE96" s="20">
        <f t="shared" si="129"/>
        <v>117.40804088075718</v>
      </c>
      <c r="AF96" s="20">
        <f t="shared" si="129"/>
        <v>0</v>
      </c>
      <c r="AG96" s="20">
        <f t="shared" si="129"/>
        <v>0</v>
      </c>
      <c r="AH96" s="20">
        <f t="shared" si="129"/>
        <v>0</v>
      </c>
      <c r="AI96" s="20">
        <f t="shared" si="130"/>
        <v>108.56770869175648</v>
      </c>
      <c r="AJ96" s="20">
        <f t="shared" si="131"/>
        <v>0</v>
      </c>
      <c r="AK96" s="20">
        <f t="shared" si="132"/>
        <v>0</v>
      </c>
      <c r="AL96" s="20">
        <f t="shared" si="133"/>
        <v>0</v>
      </c>
      <c r="AM96" s="20">
        <f t="shared" si="134"/>
        <v>108.56770869175648</v>
      </c>
      <c r="AO96">
        <f t="shared" si="135"/>
        <v>7.739711841240041</v>
      </c>
      <c r="AP96">
        <f t="shared" si="135"/>
        <v>0</v>
      </c>
      <c r="AQ96">
        <f t="shared" si="135"/>
        <v>0</v>
      </c>
      <c r="AR96">
        <f t="shared" si="135"/>
        <v>0</v>
      </c>
      <c r="AS96">
        <f t="shared" si="136"/>
        <v>7.739711841240041</v>
      </c>
      <c r="AU96">
        <f t="shared" si="137"/>
        <v>72.696937740000138</v>
      </c>
      <c r="AV96">
        <f t="shared" si="137"/>
        <v>0</v>
      </c>
      <c r="AW96">
        <f t="shared" si="137"/>
        <v>0</v>
      </c>
      <c r="AX96">
        <f t="shared" si="137"/>
        <v>0</v>
      </c>
      <c r="AY96">
        <f t="shared" si="138"/>
        <v>72.696937740000138</v>
      </c>
    </row>
    <row r="97" spans="1:53" ht="15" x14ac:dyDescent="0.25">
      <c r="A97" s="1"/>
      <c r="B97" s="2"/>
      <c r="C97" s="1" t="s">
        <v>12</v>
      </c>
      <c r="D97">
        <v>0</v>
      </c>
      <c r="E97" s="360">
        <v>0</v>
      </c>
      <c r="F97">
        <v>0</v>
      </c>
      <c r="G97">
        <v>0</v>
      </c>
      <c r="H9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20"/>
      <c r="P97" s="20"/>
      <c r="Q97" s="438"/>
      <c r="R97" s="197">
        <v>0.66599999999999993</v>
      </c>
      <c r="S97" s="197">
        <v>4.5549999999999997</v>
      </c>
      <c r="T97" s="197">
        <v>0.60039794540960334</v>
      </c>
      <c r="U97" s="197">
        <v>0.90789473684210531</v>
      </c>
      <c r="V97" s="20">
        <f t="shared" si="126"/>
        <v>0</v>
      </c>
      <c r="W97" s="20">
        <f t="shared" si="126"/>
        <v>0</v>
      </c>
      <c r="X97" s="20">
        <f t="shared" si="126"/>
        <v>0</v>
      </c>
      <c r="Y97" s="20">
        <f t="shared" si="126"/>
        <v>0</v>
      </c>
      <c r="Z97" s="20">
        <f t="shared" si="127"/>
        <v>0</v>
      </c>
      <c r="AA97" s="20">
        <f t="shared" si="127"/>
        <v>0</v>
      </c>
      <c r="AB97" s="20">
        <f t="shared" si="127"/>
        <v>0</v>
      </c>
      <c r="AC97" s="20">
        <f t="shared" si="127"/>
        <v>0</v>
      </c>
      <c r="AD97" s="20">
        <f t="shared" si="128"/>
        <v>0</v>
      </c>
      <c r="AE97" s="20">
        <f t="shared" si="129"/>
        <v>0</v>
      </c>
      <c r="AF97" s="20">
        <f t="shared" si="129"/>
        <v>0</v>
      </c>
      <c r="AG97" s="20">
        <f t="shared" si="129"/>
        <v>0</v>
      </c>
      <c r="AH97" s="20">
        <f t="shared" si="129"/>
        <v>0</v>
      </c>
      <c r="AI97" s="20">
        <f t="shared" si="130"/>
        <v>0</v>
      </c>
      <c r="AJ97" s="20">
        <f t="shared" si="131"/>
        <v>0</v>
      </c>
      <c r="AK97" s="20">
        <f t="shared" si="132"/>
        <v>0</v>
      </c>
      <c r="AL97" s="20">
        <f t="shared" si="133"/>
        <v>0</v>
      </c>
      <c r="AM97" s="20">
        <f t="shared" si="134"/>
        <v>0</v>
      </c>
      <c r="AO97">
        <f t="shared" si="135"/>
        <v>0</v>
      </c>
      <c r="AP97">
        <f t="shared" si="135"/>
        <v>0</v>
      </c>
      <c r="AQ97">
        <f t="shared" si="135"/>
        <v>0</v>
      </c>
      <c r="AR97">
        <f t="shared" si="135"/>
        <v>0</v>
      </c>
      <c r="AS97">
        <f t="shared" si="136"/>
        <v>0</v>
      </c>
      <c r="AU97">
        <f t="shared" si="137"/>
        <v>0</v>
      </c>
      <c r="AV97">
        <f t="shared" si="137"/>
        <v>0</v>
      </c>
      <c r="AW97">
        <f t="shared" si="137"/>
        <v>0</v>
      </c>
      <c r="AX97">
        <f t="shared" si="137"/>
        <v>0</v>
      </c>
      <c r="AY97">
        <f t="shared" si="138"/>
        <v>0</v>
      </c>
    </row>
    <row r="98" spans="1:53" ht="15" x14ac:dyDescent="0.25">
      <c r="A98" s="1"/>
      <c r="B98" s="2"/>
      <c r="C98" s="1" t="s">
        <v>13</v>
      </c>
      <c r="D98">
        <v>0</v>
      </c>
      <c r="E98" s="360">
        <v>1.4752000000000001</v>
      </c>
      <c r="F98">
        <v>0</v>
      </c>
      <c r="G98">
        <v>0</v>
      </c>
      <c r="H98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20"/>
      <c r="P98" s="20"/>
      <c r="Q98" s="438">
        <v>2.4773621481394753E-2</v>
      </c>
      <c r="R98" s="197">
        <v>0.66599999999999993</v>
      </c>
      <c r="S98" s="197">
        <v>4.5549999999999997</v>
      </c>
      <c r="T98" s="197">
        <v>0.60039794540960334</v>
      </c>
      <c r="U98" s="197">
        <v>0.90789473684210531</v>
      </c>
      <c r="V98" s="20">
        <f t="shared" si="126"/>
        <v>0.24339666908629456</v>
      </c>
      <c r="W98" s="20">
        <f t="shared" si="126"/>
        <v>0</v>
      </c>
      <c r="X98" s="20">
        <f t="shared" si="126"/>
        <v>0</v>
      </c>
      <c r="Y98" s="20">
        <f t="shared" si="126"/>
        <v>0</v>
      </c>
      <c r="Z98" s="20">
        <f t="shared" si="127"/>
        <v>0.16388540854425032</v>
      </c>
      <c r="AA98" s="20">
        <f t="shared" si="127"/>
        <v>0</v>
      </c>
      <c r="AB98" s="20">
        <f t="shared" si="127"/>
        <v>0</v>
      </c>
      <c r="AC98" s="20">
        <f t="shared" si="127"/>
        <v>0</v>
      </c>
      <c r="AD98" s="20">
        <f t="shared" si="128"/>
        <v>0.16388540854425032</v>
      </c>
      <c r="AE98" s="20">
        <f t="shared" si="129"/>
        <v>1.6646724139460536</v>
      </c>
      <c r="AF98" s="20">
        <f t="shared" si="129"/>
        <v>0</v>
      </c>
      <c r="AG98" s="20">
        <f t="shared" si="129"/>
        <v>0</v>
      </c>
      <c r="AH98" s="20">
        <f t="shared" si="129"/>
        <v>0</v>
      </c>
      <c r="AI98" s="20">
        <f t="shared" si="130"/>
        <v>1.5393295752890741</v>
      </c>
      <c r="AJ98" s="20">
        <f t="shared" si="131"/>
        <v>0</v>
      </c>
      <c r="AK98" s="20">
        <f t="shared" si="132"/>
        <v>0</v>
      </c>
      <c r="AL98" s="20">
        <f t="shared" si="133"/>
        <v>0</v>
      </c>
      <c r="AM98" s="20">
        <f t="shared" si="134"/>
        <v>1.5393295752890741</v>
      </c>
      <c r="AO98">
        <f t="shared" si="135"/>
        <v>0.10973766956123002</v>
      </c>
      <c r="AP98">
        <f t="shared" si="135"/>
        <v>0</v>
      </c>
      <c r="AQ98">
        <f t="shared" si="135"/>
        <v>0</v>
      </c>
      <c r="AR98">
        <f t="shared" si="135"/>
        <v>0</v>
      </c>
      <c r="AS98">
        <f t="shared" si="136"/>
        <v>0.10973766956123002</v>
      </c>
      <c r="AU98">
        <f t="shared" si="137"/>
        <v>1.030735083613564</v>
      </c>
      <c r="AV98">
        <f t="shared" si="137"/>
        <v>0</v>
      </c>
      <c r="AW98">
        <f t="shared" si="137"/>
        <v>0</v>
      </c>
      <c r="AX98">
        <f t="shared" si="137"/>
        <v>0</v>
      </c>
      <c r="AY98">
        <f t="shared" si="138"/>
        <v>1.030735083613564</v>
      </c>
    </row>
    <row r="99" spans="1:53" ht="15" x14ac:dyDescent="0.25">
      <c r="A99" s="7"/>
      <c r="B99" s="8" t="s">
        <v>14</v>
      </c>
      <c r="C99" s="7"/>
      <c r="D99" s="357">
        <f t="shared" ref="D99:H99" si="139">SUM(D93:D98)</f>
        <v>0</v>
      </c>
      <c r="E99" s="363">
        <f>SUM(E93:E98)</f>
        <v>270.21899999999994</v>
      </c>
      <c r="F99" s="357">
        <f t="shared" si="139"/>
        <v>0</v>
      </c>
      <c r="G99" s="357">
        <f t="shared" si="139"/>
        <v>0</v>
      </c>
      <c r="H99" s="357">
        <f t="shared" si="139"/>
        <v>0</v>
      </c>
      <c r="J99">
        <v>0</v>
      </c>
      <c r="K99">
        <v>0</v>
      </c>
      <c r="L99">
        <v>0</v>
      </c>
      <c r="M99">
        <v>0</v>
      </c>
      <c r="N99">
        <v>0</v>
      </c>
      <c r="O99" s="20"/>
      <c r="P99" s="20"/>
      <c r="Q99" s="438">
        <v>1.7804341040900066E-2</v>
      </c>
      <c r="R99" s="197"/>
      <c r="S99" s="197"/>
      <c r="T99" s="197"/>
      <c r="U99" s="197"/>
      <c r="BA99" s="319">
        <f>(E99*10000*Q99*AU$10)</f>
        <v>32214.932967670604</v>
      </c>
    </row>
    <row r="100" spans="1:53" ht="15" x14ac:dyDescent="0.25">
      <c r="A100" s="10"/>
      <c r="B100" s="9" t="s">
        <v>15</v>
      </c>
      <c r="C100" s="5"/>
      <c r="E100" s="363">
        <f>SUM(E99)</f>
        <v>270.21899999999994</v>
      </c>
      <c r="H100" s="358">
        <f>SUM(D99:H99)</f>
        <v>270.21899999999994</v>
      </c>
      <c r="K100" s="14"/>
      <c r="N100">
        <v>0</v>
      </c>
      <c r="O100" s="20"/>
      <c r="P100" s="20"/>
      <c r="Q100" s="438"/>
      <c r="R100" s="197"/>
      <c r="S100" s="197"/>
      <c r="T100" s="197"/>
      <c r="U100" s="197"/>
    </row>
    <row r="101" spans="1:53" ht="15.75" x14ac:dyDescent="0.25">
      <c r="A101" s="1"/>
      <c r="B101" s="2"/>
      <c r="C101" s="1"/>
      <c r="E101" s="361"/>
      <c r="K101" s="14"/>
      <c r="O101" s="20"/>
      <c r="P101" s="20"/>
      <c r="Q101" s="439"/>
      <c r="R101" s="197"/>
      <c r="S101" s="197"/>
      <c r="T101" s="197"/>
      <c r="U101" s="197"/>
    </row>
    <row r="102" spans="1:53" ht="15" x14ac:dyDescent="0.25">
      <c r="A102" s="1">
        <v>11</v>
      </c>
      <c r="B102" s="2" t="s">
        <v>25</v>
      </c>
      <c r="C102" s="1" t="s">
        <v>8</v>
      </c>
      <c r="D102">
        <v>0</v>
      </c>
      <c r="E102" s="360">
        <v>9.1846999999999994</v>
      </c>
      <c r="F102">
        <v>0</v>
      </c>
      <c r="G102">
        <v>0</v>
      </c>
      <c r="H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 s="20"/>
      <c r="P102" s="20"/>
      <c r="Q102" s="438">
        <v>1.2943405370348689E-2</v>
      </c>
      <c r="R102" s="197">
        <v>0.14000000000000001</v>
      </c>
      <c r="S102" s="197">
        <v>2.0499999999999998</v>
      </c>
      <c r="T102" s="197">
        <v>0.62857142857142845</v>
      </c>
      <c r="U102" s="197">
        <v>0.90789473684210531</v>
      </c>
      <c r="V102" s="20">
        <f t="shared" ref="V102:Y107" si="140">IF(K102&gt;0,((E102-K102)*$Q102*$R102*10)+(K102*$O$12*$Q102*$R102*10),(E102*$Q102*$R102*10))</f>
        <v>0.16643381342705824</v>
      </c>
      <c r="W102" s="20">
        <f t="shared" si="140"/>
        <v>0</v>
      </c>
      <c r="X102" s="20">
        <f t="shared" si="140"/>
        <v>0</v>
      </c>
      <c r="Y102" s="20">
        <f t="shared" si="140"/>
        <v>0</v>
      </c>
      <c r="Z102" s="20">
        <f t="shared" ref="Z102:AC107" si="141">V102*(EXP(1.01-0.34*LN(Z$8))*(1-$T102)+(1*$T102))</f>
        <v>0.11589754535511199</v>
      </c>
      <c r="AA102" s="20">
        <f t="shared" si="141"/>
        <v>0</v>
      </c>
      <c r="AB102" s="20">
        <f t="shared" si="141"/>
        <v>0</v>
      </c>
      <c r="AC102" s="20">
        <f t="shared" si="141"/>
        <v>0</v>
      </c>
      <c r="AD102" s="20">
        <f t="shared" ref="AD102:AD107" si="142">SUM(Z102:AC102)</f>
        <v>0.11589754535511199</v>
      </c>
      <c r="AE102" s="20">
        <f t="shared" ref="AE102:AH107" si="143">IF(K102&gt;0,((E102-K102)*$Q102*$S102*10)+(K102*$P$12*$Q102*$S102)*10,(E102*$Q102*$S102*10))</f>
        <v>2.4370665537533527</v>
      </c>
      <c r="AF102" s="20">
        <f t="shared" si="143"/>
        <v>0</v>
      </c>
      <c r="AG102" s="20">
        <f t="shared" si="143"/>
        <v>0</v>
      </c>
      <c r="AH102" s="20">
        <f t="shared" si="143"/>
        <v>0</v>
      </c>
      <c r="AI102" s="20">
        <f t="shared" ref="AI102:AI107" si="144">AE102*(EXP(1.01-0.34*LN(AI$8))*(1-$U102)+(1*$U102))</f>
        <v>2.2535656815791554</v>
      </c>
      <c r="AJ102" s="20">
        <f t="shared" ref="AJ102:AJ107" si="145">AF102*(EXP(1.01-0.34*LN(AJ$8))*(1-$U102)+(1*$U102))</f>
        <v>0</v>
      </c>
      <c r="AK102" s="20">
        <f t="shared" ref="AK102:AK107" si="146">AG102*(EXP(1.01-0.34*LN(AK$8))*(1-$U102)+(1*$U102))</f>
        <v>0</v>
      </c>
      <c r="AL102" s="20">
        <f t="shared" ref="AL102:AL107" si="147">AH102*(EXP(1.01-0.34*LN(AL$8))*(1-$U102)+(1*$U102))</f>
        <v>0</v>
      </c>
      <c r="AM102" s="20">
        <f t="shared" ref="AM102:AM107" si="148">SUM(AI102:AL102)</f>
        <v>2.2535656815791554</v>
      </c>
      <c r="AO102">
        <f t="shared" ref="AO102:AR107" si="149">Z102*AO$10</f>
        <v>7.7604996369782978E-2</v>
      </c>
      <c r="AP102">
        <f t="shared" si="149"/>
        <v>0</v>
      </c>
      <c r="AQ102">
        <f t="shared" si="149"/>
        <v>0</v>
      </c>
      <c r="AR102">
        <f t="shared" si="149"/>
        <v>0</v>
      </c>
      <c r="AS102">
        <f t="shared" ref="AS102:AS107" si="150">SUM(AO102:AR102)</f>
        <v>7.7604996369782978E-2</v>
      </c>
      <c r="AU102">
        <f t="shared" ref="AU102:AX107" si="151">AI102*AU$10</f>
        <v>1.5089875803854025</v>
      </c>
      <c r="AV102">
        <f t="shared" si="151"/>
        <v>0</v>
      </c>
      <c r="AW102">
        <f t="shared" si="151"/>
        <v>0</v>
      </c>
      <c r="AX102">
        <f t="shared" si="151"/>
        <v>0</v>
      </c>
      <c r="AY102">
        <f t="shared" ref="AY102:AY107" si="152">SUM(AU102:AX102)</f>
        <v>1.5089875803854025</v>
      </c>
    </row>
    <row r="103" spans="1:53" ht="15" x14ac:dyDescent="0.25">
      <c r="A103" s="1"/>
      <c r="B103" s="2"/>
      <c r="C103" s="1" t="s">
        <v>9</v>
      </c>
      <c r="D103">
        <v>0</v>
      </c>
      <c r="E103" s="360">
        <v>0</v>
      </c>
      <c r="F103">
        <v>0</v>
      </c>
      <c r="G103">
        <v>0</v>
      </c>
      <c r="H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 s="20"/>
      <c r="P103" s="20"/>
      <c r="Q103" s="438"/>
      <c r="R103" s="197">
        <v>0.14000000000000001</v>
      </c>
      <c r="S103" s="197">
        <v>2.0499999999999998</v>
      </c>
      <c r="T103" s="197">
        <v>0.62857142857142845</v>
      </c>
      <c r="U103" s="197">
        <v>0.90789473684210531</v>
      </c>
      <c r="V103" s="20">
        <f t="shared" si="140"/>
        <v>0</v>
      </c>
      <c r="W103" s="20">
        <f t="shared" si="140"/>
        <v>0</v>
      </c>
      <c r="X103" s="20">
        <f t="shared" si="140"/>
        <v>0</v>
      </c>
      <c r="Y103" s="20">
        <f t="shared" si="140"/>
        <v>0</v>
      </c>
      <c r="Z103" s="20">
        <f t="shared" si="141"/>
        <v>0</v>
      </c>
      <c r="AA103" s="20">
        <f t="shared" si="141"/>
        <v>0</v>
      </c>
      <c r="AB103" s="20">
        <f t="shared" si="141"/>
        <v>0</v>
      </c>
      <c r="AC103" s="20">
        <f t="shared" si="141"/>
        <v>0</v>
      </c>
      <c r="AD103" s="20">
        <f t="shared" si="142"/>
        <v>0</v>
      </c>
      <c r="AE103" s="20">
        <f t="shared" si="143"/>
        <v>0</v>
      </c>
      <c r="AF103" s="20">
        <f t="shared" si="143"/>
        <v>0</v>
      </c>
      <c r="AG103" s="20">
        <f t="shared" si="143"/>
        <v>0</v>
      </c>
      <c r="AH103" s="20">
        <f t="shared" si="143"/>
        <v>0</v>
      </c>
      <c r="AI103" s="20">
        <f t="shared" si="144"/>
        <v>0</v>
      </c>
      <c r="AJ103" s="20">
        <f t="shared" si="145"/>
        <v>0</v>
      </c>
      <c r="AK103" s="20">
        <f t="shared" si="146"/>
        <v>0</v>
      </c>
      <c r="AL103" s="20">
        <f t="shared" si="147"/>
        <v>0</v>
      </c>
      <c r="AM103" s="20">
        <f t="shared" si="148"/>
        <v>0</v>
      </c>
      <c r="AO103">
        <f t="shared" si="149"/>
        <v>0</v>
      </c>
      <c r="AP103">
        <f t="shared" si="149"/>
        <v>0</v>
      </c>
      <c r="AQ103">
        <f t="shared" si="149"/>
        <v>0</v>
      </c>
      <c r="AR103">
        <f t="shared" si="149"/>
        <v>0</v>
      </c>
      <c r="AS103">
        <f t="shared" si="150"/>
        <v>0</v>
      </c>
      <c r="AU103">
        <f t="shared" si="151"/>
        <v>0</v>
      </c>
      <c r="AV103">
        <f t="shared" si="151"/>
        <v>0</v>
      </c>
      <c r="AW103">
        <f t="shared" si="151"/>
        <v>0</v>
      </c>
      <c r="AX103">
        <f t="shared" si="151"/>
        <v>0</v>
      </c>
      <c r="AY103">
        <f t="shared" si="152"/>
        <v>0</v>
      </c>
    </row>
    <row r="104" spans="1:53" ht="15" x14ac:dyDescent="0.25">
      <c r="A104" s="1"/>
      <c r="B104" s="2"/>
      <c r="C104" s="1" t="s">
        <v>10</v>
      </c>
      <c r="D104">
        <v>0</v>
      </c>
      <c r="E104" s="360">
        <v>0</v>
      </c>
      <c r="F104">
        <v>0</v>
      </c>
      <c r="G104">
        <v>0</v>
      </c>
      <c r="H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 s="20"/>
      <c r="P104" s="20"/>
      <c r="Q104" s="438"/>
      <c r="R104" s="197">
        <v>0.14000000000000001</v>
      </c>
      <c r="S104" s="197">
        <v>2.0499999999999998</v>
      </c>
      <c r="T104" s="197">
        <v>0.62857142857142845</v>
      </c>
      <c r="U104" s="197">
        <v>0.90789473684210531</v>
      </c>
      <c r="V104" s="20">
        <f t="shared" si="140"/>
        <v>0</v>
      </c>
      <c r="W104" s="20">
        <f t="shared" si="140"/>
        <v>0</v>
      </c>
      <c r="X104" s="20">
        <f t="shared" si="140"/>
        <v>0</v>
      </c>
      <c r="Y104" s="20">
        <f t="shared" si="140"/>
        <v>0</v>
      </c>
      <c r="Z104" s="20">
        <f t="shared" si="141"/>
        <v>0</v>
      </c>
      <c r="AA104" s="20">
        <f t="shared" si="141"/>
        <v>0</v>
      </c>
      <c r="AB104" s="20">
        <f t="shared" si="141"/>
        <v>0</v>
      </c>
      <c r="AC104" s="20">
        <f t="shared" si="141"/>
        <v>0</v>
      </c>
      <c r="AD104" s="20">
        <f t="shared" si="142"/>
        <v>0</v>
      </c>
      <c r="AE104" s="20">
        <f t="shared" si="143"/>
        <v>0</v>
      </c>
      <c r="AF104" s="20">
        <f t="shared" si="143"/>
        <v>0</v>
      </c>
      <c r="AG104" s="20">
        <f t="shared" si="143"/>
        <v>0</v>
      </c>
      <c r="AH104" s="20">
        <f t="shared" si="143"/>
        <v>0</v>
      </c>
      <c r="AI104" s="20">
        <f t="shared" si="144"/>
        <v>0</v>
      </c>
      <c r="AJ104" s="20">
        <f t="shared" si="145"/>
        <v>0</v>
      </c>
      <c r="AK104" s="20">
        <f t="shared" si="146"/>
        <v>0</v>
      </c>
      <c r="AL104" s="20">
        <f t="shared" si="147"/>
        <v>0</v>
      </c>
      <c r="AM104" s="20">
        <f t="shared" si="148"/>
        <v>0</v>
      </c>
      <c r="AO104">
        <f t="shared" si="149"/>
        <v>0</v>
      </c>
      <c r="AP104">
        <f t="shared" si="149"/>
        <v>0</v>
      </c>
      <c r="AQ104">
        <f t="shared" si="149"/>
        <v>0</v>
      </c>
      <c r="AR104">
        <f t="shared" si="149"/>
        <v>0</v>
      </c>
      <c r="AS104">
        <f t="shared" si="150"/>
        <v>0</v>
      </c>
      <c r="AU104">
        <f t="shared" si="151"/>
        <v>0</v>
      </c>
      <c r="AV104">
        <f t="shared" si="151"/>
        <v>0</v>
      </c>
      <c r="AW104">
        <f t="shared" si="151"/>
        <v>0</v>
      </c>
      <c r="AX104">
        <f t="shared" si="151"/>
        <v>0</v>
      </c>
      <c r="AY104">
        <f t="shared" si="152"/>
        <v>0</v>
      </c>
    </row>
    <row r="105" spans="1:53" ht="15" x14ac:dyDescent="0.25">
      <c r="A105" s="1"/>
      <c r="B105" s="2"/>
      <c r="C105" s="1" t="s">
        <v>11</v>
      </c>
      <c r="D105">
        <v>0</v>
      </c>
      <c r="E105" s="360">
        <v>6.8169999999999994E-2</v>
      </c>
      <c r="F105">
        <v>0</v>
      </c>
      <c r="G105">
        <v>0</v>
      </c>
      <c r="H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 s="20"/>
      <c r="P105" s="20"/>
      <c r="Q105" s="438">
        <v>2.477362148139475E-2</v>
      </c>
      <c r="R105" s="197">
        <v>0.14000000000000001</v>
      </c>
      <c r="S105" s="197">
        <v>2.0499999999999998</v>
      </c>
      <c r="T105" s="197">
        <v>0.62857142857142845</v>
      </c>
      <c r="U105" s="197">
        <v>0.90789473684210531</v>
      </c>
      <c r="V105" s="20">
        <f t="shared" si="140"/>
        <v>2.3643448869413524E-3</v>
      </c>
      <c r="W105" s="20">
        <f t="shared" si="140"/>
        <v>0</v>
      </c>
      <c r="X105" s="20">
        <f t="shared" si="140"/>
        <v>0</v>
      </c>
      <c r="Y105" s="20">
        <f t="shared" si="140"/>
        <v>0</v>
      </c>
      <c r="Z105" s="20">
        <f t="shared" si="141"/>
        <v>1.6464308731921598E-3</v>
      </c>
      <c r="AA105" s="20">
        <f t="shared" si="141"/>
        <v>0</v>
      </c>
      <c r="AB105" s="20">
        <f t="shared" si="141"/>
        <v>0</v>
      </c>
      <c r="AC105" s="20">
        <f t="shared" si="141"/>
        <v>0</v>
      </c>
      <c r="AD105" s="20">
        <f t="shared" si="142"/>
        <v>1.6464308731921598E-3</v>
      </c>
      <c r="AE105" s="20">
        <f t="shared" si="143"/>
        <v>3.4620764415926937E-2</v>
      </c>
      <c r="AF105" s="20">
        <f t="shared" si="143"/>
        <v>0</v>
      </c>
      <c r="AG105" s="20">
        <f t="shared" si="143"/>
        <v>0</v>
      </c>
      <c r="AH105" s="20">
        <f t="shared" si="143"/>
        <v>0</v>
      </c>
      <c r="AI105" s="20">
        <f t="shared" si="144"/>
        <v>3.2013966314383184E-2</v>
      </c>
      <c r="AJ105" s="20">
        <f t="shared" si="145"/>
        <v>0</v>
      </c>
      <c r="AK105" s="20">
        <f t="shared" si="146"/>
        <v>0</v>
      </c>
      <c r="AL105" s="20">
        <f t="shared" si="147"/>
        <v>0</v>
      </c>
      <c r="AM105" s="20">
        <f t="shared" si="148"/>
        <v>3.2013966314383184E-2</v>
      </c>
      <c r="AO105">
        <f t="shared" si="149"/>
        <v>1.1024501126894702E-3</v>
      </c>
      <c r="AP105">
        <f t="shared" si="149"/>
        <v>0</v>
      </c>
      <c r="AQ105">
        <f t="shared" si="149"/>
        <v>0</v>
      </c>
      <c r="AR105">
        <f t="shared" si="149"/>
        <v>0</v>
      </c>
      <c r="AS105">
        <f t="shared" si="150"/>
        <v>1.1024501126894702E-3</v>
      </c>
      <c r="AU105">
        <f t="shared" si="151"/>
        <v>2.1436551844110981E-2</v>
      </c>
      <c r="AV105">
        <f t="shared" si="151"/>
        <v>0</v>
      </c>
      <c r="AW105">
        <f t="shared" si="151"/>
        <v>0</v>
      </c>
      <c r="AX105">
        <f t="shared" si="151"/>
        <v>0</v>
      </c>
      <c r="AY105">
        <f t="shared" si="152"/>
        <v>2.1436551844110981E-2</v>
      </c>
    </row>
    <row r="106" spans="1:53" ht="15" x14ac:dyDescent="0.25">
      <c r="A106" s="1"/>
      <c r="B106" s="2"/>
      <c r="C106" s="1" t="s">
        <v>12</v>
      </c>
      <c r="D106">
        <v>0</v>
      </c>
      <c r="E106" s="360">
        <v>0</v>
      </c>
      <c r="F106">
        <v>0</v>
      </c>
      <c r="G106">
        <v>0</v>
      </c>
      <c r="H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 s="20"/>
      <c r="P106" s="20"/>
      <c r="Q106" s="438"/>
      <c r="R106" s="197">
        <v>0.14000000000000001</v>
      </c>
      <c r="S106" s="197">
        <v>2.0499999999999998</v>
      </c>
      <c r="T106" s="197">
        <v>0.62857142857142845</v>
      </c>
      <c r="U106" s="197">
        <v>0.90789473684210531</v>
      </c>
      <c r="V106" s="20">
        <f t="shared" si="140"/>
        <v>0</v>
      </c>
      <c r="W106" s="20">
        <f t="shared" si="140"/>
        <v>0</v>
      </c>
      <c r="X106" s="20">
        <f t="shared" si="140"/>
        <v>0</v>
      </c>
      <c r="Y106" s="20">
        <f t="shared" si="140"/>
        <v>0</v>
      </c>
      <c r="Z106" s="20">
        <f t="shared" si="141"/>
        <v>0</v>
      </c>
      <c r="AA106" s="20">
        <f t="shared" si="141"/>
        <v>0</v>
      </c>
      <c r="AB106" s="20">
        <f t="shared" si="141"/>
        <v>0</v>
      </c>
      <c r="AC106" s="20">
        <f t="shared" si="141"/>
        <v>0</v>
      </c>
      <c r="AD106" s="20">
        <f t="shared" si="142"/>
        <v>0</v>
      </c>
      <c r="AE106" s="20">
        <f t="shared" si="143"/>
        <v>0</v>
      </c>
      <c r="AF106" s="20">
        <f t="shared" si="143"/>
        <v>0</v>
      </c>
      <c r="AG106" s="20">
        <f t="shared" si="143"/>
        <v>0</v>
      </c>
      <c r="AH106" s="20">
        <f t="shared" si="143"/>
        <v>0</v>
      </c>
      <c r="AI106" s="20">
        <f t="shared" si="144"/>
        <v>0</v>
      </c>
      <c r="AJ106" s="20">
        <f t="shared" si="145"/>
        <v>0</v>
      </c>
      <c r="AK106" s="20">
        <f t="shared" si="146"/>
        <v>0</v>
      </c>
      <c r="AL106" s="20">
        <f t="shared" si="147"/>
        <v>0</v>
      </c>
      <c r="AM106" s="20">
        <f t="shared" si="148"/>
        <v>0</v>
      </c>
      <c r="AO106">
        <f t="shared" si="149"/>
        <v>0</v>
      </c>
      <c r="AP106">
        <f t="shared" si="149"/>
        <v>0</v>
      </c>
      <c r="AQ106">
        <f t="shared" si="149"/>
        <v>0</v>
      </c>
      <c r="AR106">
        <f t="shared" si="149"/>
        <v>0</v>
      </c>
      <c r="AS106">
        <f t="shared" si="150"/>
        <v>0</v>
      </c>
      <c r="AU106">
        <f t="shared" si="151"/>
        <v>0</v>
      </c>
      <c r="AV106">
        <f t="shared" si="151"/>
        <v>0</v>
      </c>
      <c r="AW106">
        <f t="shared" si="151"/>
        <v>0</v>
      </c>
      <c r="AX106">
        <f t="shared" si="151"/>
        <v>0</v>
      </c>
      <c r="AY106">
        <f t="shared" si="152"/>
        <v>0</v>
      </c>
    </row>
    <row r="107" spans="1:53" ht="15" x14ac:dyDescent="0.25">
      <c r="A107" s="1"/>
      <c r="B107" s="2"/>
      <c r="C107" s="1" t="s">
        <v>13</v>
      </c>
      <c r="D107">
        <v>0</v>
      </c>
      <c r="E107" s="360">
        <v>2.5700000000000001E-2</v>
      </c>
      <c r="F107">
        <v>0</v>
      </c>
      <c r="G107">
        <v>0</v>
      </c>
      <c r="H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0"/>
      <c r="P107" s="20"/>
      <c r="Q107" s="438">
        <v>2.4773621481394753E-2</v>
      </c>
      <c r="R107" s="197">
        <v>0.14000000000000001</v>
      </c>
      <c r="S107" s="197">
        <v>2.0499999999999998</v>
      </c>
      <c r="T107" s="197">
        <v>0.62857142857142845</v>
      </c>
      <c r="U107" s="197">
        <v>0.90789473684210531</v>
      </c>
      <c r="V107" s="20">
        <f t="shared" si="140"/>
        <v>8.9135490090058332E-4</v>
      </c>
      <c r="W107" s="20">
        <f t="shared" si="140"/>
        <v>0</v>
      </c>
      <c r="X107" s="20">
        <f t="shared" si="140"/>
        <v>0</v>
      </c>
      <c r="Y107" s="20">
        <f t="shared" si="140"/>
        <v>0</v>
      </c>
      <c r="Z107" s="20">
        <f t="shared" si="141"/>
        <v>6.207022655279231E-4</v>
      </c>
      <c r="AA107" s="20">
        <f t="shared" si="141"/>
        <v>0</v>
      </c>
      <c r="AB107" s="20">
        <f t="shared" si="141"/>
        <v>0</v>
      </c>
      <c r="AC107" s="20">
        <f t="shared" si="141"/>
        <v>0</v>
      </c>
      <c r="AD107" s="20">
        <f t="shared" si="142"/>
        <v>6.207022655279231E-4</v>
      </c>
      <c r="AE107" s="20">
        <f t="shared" si="143"/>
        <v>1.3051982477472825E-2</v>
      </c>
      <c r="AF107" s="20">
        <f t="shared" si="143"/>
        <v>0</v>
      </c>
      <c r="AG107" s="20">
        <f t="shared" si="143"/>
        <v>0</v>
      </c>
      <c r="AH107" s="20">
        <f t="shared" si="143"/>
        <v>0</v>
      </c>
      <c r="AI107" s="20">
        <f t="shared" si="144"/>
        <v>1.2069223034760863E-2</v>
      </c>
      <c r="AJ107" s="20">
        <f t="shared" si="145"/>
        <v>0</v>
      </c>
      <c r="AK107" s="20">
        <f t="shared" si="146"/>
        <v>0</v>
      </c>
      <c r="AL107" s="20">
        <f t="shared" si="147"/>
        <v>0</v>
      </c>
      <c r="AM107" s="20">
        <f t="shared" si="148"/>
        <v>1.2069223034760863E-2</v>
      </c>
      <c r="AO107">
        <f t="shared" si="149"/>
        <v>4.156222369974973E-4</v>
      </c>
      <c r="AP107">
        <f t="shared" si="149"/>
        <v>0</v>
      </c>
      <c r="AQ107">
        <f t="shared" si="149"/>
        <v>0</v>
      </c>
      <c r="AR107">
        <f t="shared" si="149"/>
        <v>0</v>
      </c>
      <c r="AS107">
        <f t="shared" si="150"/>
        <v>4.156222369974973E-4</v>
      </c>
      <c r="AU107">
        <f t="shared" si="151"/>
        <v>8.0815517440758732E-3</v>
      </c>
      <c r="AV107">
        <f t="shared" si="151"/>
        <v>0</v>
      </c>
      <c r="AW107">
        <f t="shared" si="151"/>
        <v>0</v>
      </c>
      <c r="AX107">
        <f t="shared" si="151"/>
        <v>0</v>
      </c>
      <c r="AY107">
        <f t="shared" si="152"/>
        <v>8.0815517440758732E-3</v>
      </c>
    </row>
    <row r="108" spans="1:53" ht="15" x14ac:dyDescent="0.25">
      <c r="A108" s="7"/>
      <c r="B108" s="8" t="s">
        <v>14</v>
      </c>
      <c r="C108" s="7"/>
      <c r="D108" s="357">
        <f t="shared" ref="D108:H108" si="153">SUM(D102:D107)</f>
        <v>0</v>
      </c>
      <c r="E108" s="363">
        <f>SUM(E102:E107)</f>
        <v>9.2785700000000002</v>
      </c>
      <c r="F108" s="357">
        <f t="shared" si="153"/>
        <v>0</v>
      </c>
      <c r="G108" s="357">
        <f t="shared" si="153"/>
        <v>0</v>
      </c>
      <c r="H108" s="357">
        <f t="shared" si="153"/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 s="20"/>
      <c r="P108" s="20"/>
      <c r="Q108" s="438">
        <v>1.3063090018558907E-2</v>
      </c>
      <c r="R108" s="197"/>
      <c r="S108" s="197"/>
      <c r="T108" s="197"/>
      <c r="U108" s="197"/>
      <c r="BA108" s="319">
        <f>(E108*10000*Q108*AU$10)</f>
        <v>811.60070034783678</v>
      </c>
    </row>
    <row r="109" spans="1:53" ht="15" x14ac:dyDescent="0.25">
      <c r="A109" s="10"/>
      <c r="B109" s="9" t="s">
        <v>15</v>
      </c>
      <c r="C109" s="5"/>
      <c r="E109" s="363">
        <f>SUM(E108)</f>
        <v>9.2785700000000002</v>
      </c>
      <c r="H109" s="358">
        <f>SUM(D108:H108)</f>
        <v>9.2785700000000002</v>
      </c>
      <c r="K109" s="14"/>
      <c r="N109">
        <v>0</v>
      </c>
      <c r="O109" s="20"/>
      <c r="P109" s="20"/>
      <c r="Q109" s="438"/>
      <c r="R109" s="197"/>
      <c r="S109" s="197"/>
      <c r="T109" s="197"/>
      <c r="U109" s="197"/>
    </row>
    <row r="110" spans="1:53" ht="15.75" x14ac:dyDescent="0.25">
      <c r="A110" s="1"/>
      <c r="B110" s="2"/>
      <c r="C110" s="1"/>
      <c r="E110" s="361"/>
      <c r="K110" s="14"/>
      <c r="O110" s="20"/>
      <c r="P110" s="20"/>
      <c r="Q110" s="439"/>
      <c r="R110" s="197"/>
      <c r="S110" s="197"/>
      <c r="T110" s="197"/>
      <c r="U110" s="197"/>
    </row>
    <row r="111" spans="1:53" ht="15" x14ac:dyDescent="0.25">
      <c r="A111" s="1">
        <v>12</v>
      </c>
      <c r="B111" s="2" t="s">
        <v>26</v>
      </c>
      <c r="C111" s="1" t="s">
        <v>8</v>
      </c>
      <c r="D111">
        <v>0</v>
      </c>
      <c r="E111" s="360"/>
      <c r="F111">
        <v>0</v>
      </c>
      <c r="G111">
        <v>0</v>
      </c>
      <c r="H111">
        <v>0</v>
      </c>
      <c r="J111">
        <v>0</v>
      </c>
      <c r="K111" s="14">
        <v>0</v>
      </c>
      <c r="L111">
        <v>0</v>
      </c>
      <c r="M111">
        <v>0</v>
      </c>
      <c r="N111">
        <v>0</v>
      </c>
      <c r="O111" s="20"/>
      <c r="P111" s="20"/>
      <c r="Q111" s="438"/>
      <c r="R111" s="197">
        <v>6.531704360902256</v>
      </c>
      <c r="S111" s="197">
        <v>78.227142857142866</v>
      </c>
      <c r="T111" s="197">
        <v>0.5825685654008439</v>
      </c>
      <c r="U111" s="197">
        <v>0.90789473684210531</v>
      </c>
      <c r="V111" s="20">
        <f t="shared" ref="V111:Y116" si="154">IF(K111&gt;0,((E111-K111)*$Q111*$R111*10)+(K111*$O$12*$Q111*$R111*10),(E111*$Q111*$R111*10))</f>
        <v>0</v>
      </c>
      <c r="W111" s="20">
        <f t="shared" si="154"/>
        <v>0</v>
      </c>
      <c r="X111" s="20">
        <f t="shared" si="154"/>
        <v>0</v>
      </c>
      <c r="Y111" s="20">
        <f t="shared" si="154"/>
        <v>0</v>
      </c>
      <c r="Z111" s="20">
        <f t="shared" ref="Z111:AC116" si="155">V111*(EXP(1.01-0.34*LN(Z$8))*(1-$T111)+(1*$T111))</f>
        <v>0</v>
      </c>
      <c r="AA111" s="20">
        <f t="shared" si="155"/>
        <v>0</v>
      </c>
      <c r="AB111" s="20">
        <f t="shared" si="155"/>
        <v>0</v>
      </c>
      <c r="AC111" s="20">
        <f t="shared" si="155"/>
        <v>0</v>
      </c>
      <c r="AD111" s="20">
        <f t="shared" ref="AD111:AD116" si="156">SUM(Z111:AC111)</f>
        <v>0</v>
      </c>
      <c r="AE111" s="20">
        <f t="shared" ref="AE111:AH116" si="157">IF(K111&gt;0,((E111-K111)*$Q111*$S111*10)+(K111*$P$12*$Q111*$S111)*10,(E111*$Q111*$S111*10))</f>
        <v>0</v>
      </c>
      <c r="AF111" s="20">
        <f t="shared" si="157"/>
        <v>0</v>
      </c>
      <c r="AG111" s="20">
        <f t="shared" si="157"/>
        <v>0</v>
      </c>
      <c r="AH111" s="20">
        <f t="shared" si="157"/>
        <v>0</v>
      </c>
      <c r="AI111" s="20">
        <f t="shared" ref="AI111:AI116" si="158">AE111*(EXP(1.01-0.34*LN(AI$8))*(1-$U111)+(1*$U111))</f>
        <v>0</v>
      </c>
      <c r="AJ111" s="20">
        <f t="shared" ref="AJ111:AJ116" si="159">AF111*(EXP(1.01-0.34*LN(AJ$8))*(1-$U111)+(1*$U111))</f>
        <v>0</v>
      </c>
      <c r="AK111" s="20">
        <f t="shared" ref="AK111:AK116" si="160">AG111*(EXP(1.01-0.34*LN(AK$8))*(1-$U111)+(1*$U111))</f>
        <v>0</v>
      </c>
      <c r="AL111" s="20">
        <f t="shared" ref="AL111:AL116" si="161">AH111*(EXP(1.01-0.34*LN(AL$8))*(1-$U111)+(1*$U111))</f>
        <v>0</v>
      </c>
      <c r="AM111" s="20">
        <f t="shared" ref="AM111:AM116" si="162">SUM(AI111:AL111)</f>
        <v>0</v>
      </c>
      <c r="AO111">
        <f t="shared" ref="AO111:AR116" si="163">Z111*AO$10</f>
        <v>0</v>
      </c>
      <c r="AP111">
        <f t="shared" si="163"/>
        <v>0</v>
      </c>
      <c r="AQ111">
        <f t="shared" si="163"/>
        <v>0</v>
      </c>
      <c r="AR111">
        <f t="shared" si="163"/>
        <v>0</v>
      </c>
      <c r="AS111">
        <f t="shared" ref="AS111:AS116" si="164">SUM(AO111:AR111)</f>
        <v>0</v>
      </c>
      <c r="AU111">
        <f t="shared" ref="AU111:AX116" si="165">AI111*AU$10</f>
        <v>0</v>
      </c>
      <c r="AV111">
        <f t="shared" si="165"/>
        <v>0</v>
      </c>
      <c r="AW111">
        <f t="shared" si="165"/>
        <v>0</v>
      </c>
      <c r="AX111">
        <f t="shared" si="165"/>
        <v>0</v>
      </c>
      <c r="AY111">
        <f t="shared" ref="AY111:AY116" si="166">SUM(AU111:AX111)</f>
        <v>0</v>
      </c>
    </row>
    <row r="112" spans="1:53" ht="15" x14ac:dyDescent="0.25">
      <c r="A112" s="1"/>
      <c r="B112" s="2"/>
      <c r="C112" s="1" t="s">
        <v>9</v>
      </c>
      <c r="D112">
        <v>0</v>
      </c>
      <c r="E112" s="360"/>
      <c r="F112">
        <v>0</v>
      </c>
      <c r="G112">
        <v>0</v>
      </c>
      <c r="H112">
        <v>0</v>
      </c>
      <c r="J112">
        <v>0</v>
      </c>
      <c r="K112" s="14">
        <v>0</v>
      </c>
      <c r="L112">
        <v>0</v>
      </c>
      <c r="M112">
        <v>0</v>
      </c>
      <c r="N112">
        <v>0</v>
      </c>
      <c r="O112" s="20"/>
      <c r="P112" s="20"/>
      <c r="Q112" s="438"/>
      <c r="R112" s="197">
        <v>6.531704360902256</v>
      </c>
      <c r="S112" s="197">
        <v>78.227142857142866</v>
      </c>
      <c r="T112" s="197">
        <v>0.5825685654008439</v>
      </c>
      <c r="U112" s="197">
        <v>0.90789473684210531</v>
      </c>
      <c r="V112" s="20">
        <f t="shared" si="154"/>
        <v>0</v>
      </c>
      <c r="W112" s="20">
        <f t="shared" si="154"/>
        <v>0</v>
      </c>
      <c r="X112" s="20">
        <f t="shared" si="154"/>
        <v>0</v>
      </c>
      <c r="Y112" s="20">
        <f t="shared" si="154"/>
        <v>0</v>
      </c>
      <c r="Z112" s="20">
        <f t="shared" si="155"/>
        <v>0</v>
      </c>
      <c r="AA112" s="20">
        <f t="shared" si="155"/>
        <v>0</v>
      </c>
      <c r="AB112" s="20">
        <f t="shared" si="155"/>
        <v>0</v>
      </c>
      <c r="AC112" s="20">
        <f t="shared" si="155"/>
        <v>0</v>
      </c>
      <c r="AD112" s="20">
        <f t="shared" si="156"/>
        <v>0</v>
      </c>
      <c r="AE112" s="20">
        <f t="shared" si="157"/>
        <v>0</v>
      </c>
      <c r="AF112" s="20">
        <f t="shared" si="157"/>
        <v>0</v>
      </c>
      <c r="AG112" s="20">
        <f t="shared" si="157"/>
        <v>0</v>
      </c>
      <c r="AH112" s="20">
        <f t="shared" si="157"/>
        <v>0</v>
      </c>
      <c r="AI112" s="20">
        <f t="shared" si="158"/>
        <v>0</v>
      </c>
      <c r="AJ112" s="20">
        <f t="shared" si="159"/>
        <v>0</v>
      </c>
      <c r="AK112" s="20">
        <f t="shared" si="160"/>
        <v>0</v>
      </c>
      <c r="AL112" s="20">
        <f t="shared" si="161"/>
        <v>0</v>
      </c>
      <c r="AM112" s="20">
        <f t="shared" si="162"/>
        <v>0</v>
      </c>
      <c r="AO112">
        <f t="shared" si="163"/>
        <v>0</v>
      </c>
      <c r="AP112">
        <f t="shared" si="163"/>
        <v>0</v>
      </c>
      <c r="AQ112">
        <f t="shared" si="163"/>
        <v>0</v>
      </c>
      <c r="AR112">
        <f t="shared" si="163"/>
        <v>0</v>
      </c>
      <c r="AS112">
        <f t="shared" si="164"/>
        <v>0</v>
      </c>
      <c r="AU112">
        <f t="shared" si="165"/>
        <v>0</v>
      </c>
      <c r="AV112">
        <f t="shared" si="165"/>
        <v>0</v>
      </c>
      <c r="AW112">
        <f t="shared" si="165"/>
        <v>0</v>
      </c>
      <c r="AX112">
        <f t="shared" si="165"/>
        <v>0</v>
      </c>
      <c r="AY112">
        <f t="shared" si="166"/>
        <v>0</v>
      </c>
    </row>
    <row r="113" spans="1:53" ht="15" x14ac:dyDescent="0.25">
      <c r="A113" s="1"/>
      <c r="B113" s="2"/>
      <c r="C113" s="1" t="s">
        <v>10</v>
      </c>
      <c r="D113">
        <v>0</v>
      </c>
      <c r="E113" s="360"/>
      <c r="F113">
        <v>0</v>
      </c>
      <c r="G113">
        <v>0</v>
      </c>
      <c r="H113">
        <v>0</v>
      </c>
      <c r="J113">
        <v>0</v>
      </c>
      <c r="K113" s="14">
        <v>0</v>
      </c>
      <c r="L113">
        <v>0</v>
      </c>
      <c r="M113">
        <v>0</v>
      </c>
      <c r="N113">
        <v>0</v>
      </c>
      <c r="O113" s="20"/>
      <c r="P113" s="20"/>
      <c r="Q113" s="438"/>
      <c r="R113" s="197">
        <v>6.531704360902256</v>
      </c>
      <c r="S113" s="197">
        <v>78.227142857142866</v>
      </c>
      <c r="T113" s="197">
        <v>0.5825685654008439</v>
      </c>
      <c r="U113" s="197">
        <v>0.90789473684210531</v>
      </c>
      <c r="V113" s="20">
        <f t="shared" si="154"/>
        <v>0</v>
      </c>
      <c r="W113" s="20">
        <f t="shared" si="154"/>
        <v>0</v>
      </c>
      <c r="X113" s="20">
        <f t="shared" si="154"/>
        <v>0</v>
      </c>
      <c r="Y113" s="20">
        <f t="shared" si="154"/>
        <v>0</v>
      </c>
      <c r="Z113" s="20">
        <f t="shared" si="155"/>
        <v>0</v>
      </c>
      <c r="AA113" s="20">
        <f t="shared" si="155"/>
        <v>0</v>
      </c>
      <c r="AB113" s="20">
        <f t="shared" si="155"/>
        <v>0</v>
      </c>
      <c r="AC113" s="20">
        <f t="shared" si="155"/>
        <v>0</v>
      </c>
      <c r="AD113" s="20">
        <f t="shared" si="156"/>
        <v>0</v>
      </c>
      <c r="AE113" s="20">
        <f t="shared" si="157"/>
        <v>0</v>
      </c>
      <c r="AF113" s="20">
        <f t="shared" si="157"/>
        <v>0</v>
      </c>
      <c r="AG113" s="20">
        <f t="shared" si="157"/>
        <v>0</v>
      </c>
      <c r="AH113" s="20">
        <f t="shared" si="157"/>
        <v>0</v>
      </c>
      <c r="AI113" s="20">
        <f t="shared" si="158"/>
        <v>0</v>
      </c>
      <c r="AJ113" s="20">
        <f t="shared" si="159"/>
        <v>0</v>
      </c>
      <c r="AK113" s="20">
        <f t="shared" si="160"/>
        <v>0</v>
      </c>
      <c r="AL113" s="20">
        <f t="shared" si="161"/>
        <v>0</v>
      </c>
      <c r="AM113" s="20">
        <f t="shared" si="162"/>
        <v>0</v>
      </c>
      <c r="AO113">
        <f t="shared" si="163"/>
        <v>0</v>
      </c>
      <c r="AP113">
        <f t="shared" si="163"/>
        <v>0</v>
      </c>
      <c r="AQ113">
        <f t="shared" si="163"/>
        <v>0</v>
      </c>
      <c r="AR113">
        <f t="shared" si="163"/>
        <v>0</v>
      </c>
      <c r="AS113">
        <f t="shared" si="164"/>
        <v>0</v>
      </c>
      <c r="AU113">
        <f t="shared" si="165"/>
        <v>0</v>
      </c>
      <c r="AV113">
        <f t="shared" si="165"/>
        <v>0</v>
      </c>
      <c r="AW113">
        <f t="shared" si="165"/>
        <v>0</v>
      </c>
      <c r="AX113">
        <f t="shared" si="165"/>
        <v>0</v>
      </c>
      <c r="AY113">
        <f t="shared" si="166"/>
        <v>0</v>
      </c>
    </row>
    <row r="114" spans="1:53" ht="15" x14ac:dyDescent="0.25">
      <c r="A114" s="1"/>
      <c r="B114" s="2"/>
      <c r="C114" s="1" t="s">
        <v>11</v>
      </c>
      <c r="D114">
        <v>0</v>
      </c>
      <c r="E114" s="360"/>
      <c r="F114">
        <v>0</v>
      </c>
      <c r="G114">
        <v>0</v>
      </c>
      <c r="H114">
        <v>0</v>
      </c>
      <c r="J114">
        <v>0</v>
      </c>
      <c r="K114" s="14">
        <v>0</v>
      </c>
      <c r="L114">
        <v>0</v>
      </c>
      <c r="M114">
        <v>0</v>
      </c>
      <c r="N114">
        <v>0</v>
      </c>
      <c r="O114" s="20"/>
      <c r="P114" s="20"/>
      <c r="Q114" s="438"/>
      <c r="R114" s="197">
        <v>6.531704360902256</v>
      </c>
      <c r="S114" s="197">
        <v>78.227142857142866</v>
      </c>
      <c r="T114" s="197">
        <v>0.5825685654008439</v>
      </c>
      <c r="U114" s="197">
        <v>0.90789473684210531</v>
      </c>
      <c r="V114" s="20">
        <f t="shared" si="154"/>
        <v>0</v>
      </c>
      <c r="W114" s="20">
        <f t="shared" si="154"/>
        <v>0</v>
      </c>
      <c r="X114" s="20">
        <f t="shared" si="154"/>
        <v>0</v>
      </c>
      <c r="Y114" s="20">
        <f t="shared" si="154"/>
        <v>0</v>
      </c>
      <c r="Z114" s="20">
        <f t="shared" si="155"/>
        <v>0</v>
      </c>
      <c r="AA114" s="20">
        <f t="shared" si="155"/>
        <v>0</v>
      </c>
      <c r="AB114" s="20">
        <f t="shared" si="155"/>
        <v>0</v>
      </c>
      <c r="AC114" s="20">
        <f t="shared" si="155"/>
        <v>0</v>
      </c>
      <c r="AD114" s="20">
        <f t="shared" si="156"/>
        <v>0</v>
      </c>
      <c r="AE114" s="20">
        <f t="shared" si="157"/>
        <v>0</v>
      </c>
      <c r="AF114" s="20">
        <f t="shared" si="157"/>
        <v>0</v>
      </c>
      <c r="AG114" s="20">
        <f t="shared" si="157"/>
        <v>0</v>
      </c>
      <c r="AH114" s="20">
        <f t="shared" si="157"/>
        <v>0</v>
      </c>
      <c r="AI114" s="20">
        <f t="shared" si="158"/>
        <v>0</v>
      </c>
      <c r="AJ114" s="20">
        <f t="shared" si="159"/>
        <v>0</v>
      </c>
      <c r="AK114" s="20">
        <f t="shared" si="160"/>
        <v>0</v>
      </c>
      <c r="AL114" s="20">
        <f t="shared" si="161"/>
        <v>0</v>
      </c>
      <c r="AM114" s="20">
        <f t="shared" si="162"/>
        <v>0</v>
      </c>
      <c r="AO114">
        <f t="shared" si="163"/>
        <v>0</v>
      </c>
      <c r="AP114">
        <f t="shared" si="163"/>
        <v>0</v>
      </c>
      <c r="AQ114">
        <f t="shared" si="163"/>
        <v>0</v>
      </c>
      <c r="AR114">
        <f t="shared" si="163"/>
        <v>0</v>
      </c>
      <c r="AS114">
        <f t="shared" si="164"/>
        <v>0</v>
      </c>
      <c r="AU114">
        <f t="shared" si="165"/>
        <v>0</v>
      </c>
      <c r="AV114">
        <f t="shared" si="165"/>
        <v>0</v>
      </c>
      <c r="AW114">
        <f t="shared" si="165"/>
        <v>0</v>
      </c>
      <c r="AX114">
        <f t="shared" si="165"/>
        <v>0</v>
      </c>
      <c r="AY114">
        <f t="shared" si="166"/>
        <v>0</v>
      </c>
    </row>
    <row r="115" spans="1:53" ht="15" x14ac:dyDescent="0.25">
      <c r="A115" s="1"/>
      <c r="B115" s="2"/>
      <c r="C115" s="1" t="s">
        <v>12</v>
      </c>
      <c r="D115">
        <v>0</v>
      </c>
      <c r="E115" s="360"/>
      <c r="F115">
        <v>0</v>
      </c>
      <c r="G115">
        <v>0</v>
      </c>
      <c r="H115">
        <v>0</v>
      </c>
      <c r="J115">
        <v>0</v>
      </c>
      <c r="K115" s="14">
        <v>0</v>
      </c>
      <c r="L115">
        <v>0</v>
      </c>
      <c r="M115">
        <v>0</v>
      </c>
      <c r="N115">
        <v>0</v>
      </c>
      <c r="O115" s="20"/>
      <c r="P115" s="20"/>
      <c r="Q115" s="438"/>
      <c r="R115" s="197">
        <v>6.531704360902256</v>
      </c>
      <c r="S115" s="197">
        <v>78.227142857142866</v>
      </c>
      <c r="T115" s="197">
        <v>0.5825685654008439</v>
      </c>
      <c r="U115" s="197">
        <v>0.90789473684210531</v>
      </c>
      <c r="V115" s="20">
        <f t="shared" si="154"/>
        <v>0</v>
      </c>
      <c r="W115" s="20">
        <f t="shared" si="154"/>
        <v>0</v>
      </c>
      <c r="X115" s="20">
        <f t="shared" si="154"/>
        <v>0</v>
      </c>
      <c r="Y115" s="20">
        <f t="shared" si="154"/>
        <v>0</v>
      </c>
      <c r="Z115" s="20">
        <f t="shared" si="155"/>
        <v>0</v>
      </c>
      <c r="AA115" s="20">
        <f t="shared" si="155"/>
        <v>0</v>
      </c>
      <c r="AB115" s="20">
        <f t="shared" si="155"/>
        <v>0</v>
      </c>
      <c r="AC115" s="20">
        <f t="shared" si="155"/>
        <v>0</v>
      </c>
      <c r="AD115" s="20">
        <f t="shared" si="156"/>
        <v>0</v>
      </c>
      <c r="AE115" s="20">
        <f t="shared" si="157"/>
        <v>0</v>
      </c>
      <c r="AF115" s="20">
        <f t="shared" si="157"/>
        <v>0</v>
      </c>
      <c r="AG115" s="20">
        <f t="shared" si="157"/>
        <v>0</v>
      </c>
      <c r="AH115" s="20">
        <f t="shared" si="157"/>
        <v>0</v>
      </c>
      <c r="AI115" s="20">
        <f t="shared" si="158"/>
        <v>0</v>
      </c>
      <c r="AJ115" s="20">
        <f t="shared" si="159"/>
        <v>0</v>
      </c>
      <c r="AK115" s="20">
        <f t="shared" si="160"/>
        <v>0</v>
      </c>
      <c r="AL115" s="20">
        <f t="shared" si="161"/>
        <v>0</v>
      </c>
      <c r="AM115" s="20">
        <f t="shared" si="162"/>
        <v>0</v>
      </c>
      <c r="AO115">
        <f t="shared" si="163"/>
        <v>0</v>
      </c>
      <c r="AP115">
        <f t="shared" si="163"/>
        <v>0</v>
      </c>
      <c r="AQ115">
        <f t="shared" si="163"/>
        <v>0</v>
      </c>
      <c r="AR115">
        <f t="shared" si="163"/>
        <v>0</v>
      </c>
      <c r="AS115">
        <f t="shared" si="164"/>
        <v>0</v>
      </c>
      <c r="AU115">
        <f t="shared" si="165"/>
        <v>0</v>
      </c>
      <c r="AV115">
        <f t="shared" si="165"/>
        <v>0</v>
      </c>
      <c r="AW115">
        <f t="shared" si="165"/>
        <v>0</v>
      </c>
      <c r="AX115">
        <f t="shared" si="165"/>
        <v>0</v>
      </c>
      <c r="AY115">
        <f t="shared" si="166"/>
        <v>0</v>
      </c>
    </row>
    <row r="116" spans="1:53" ht="15" x14ac:dyDescent="0.25">
      <c r="A116" s="1"/>
      <c r="B116" s="2"/>
      <c r="C116" s="1" t="s">
        <v>13</v>
      </c>
      <c r="D116">
        <v>0</v>
      </c>
      <c r="E116" s="360"/>
      <c r="F116">
        <v>0</v>
      </c>
      <c r="G116">
        <v>0</v>
      </c>
      <c r="H116">
        <v>0</v>
      </c>
      <c r="J116">
        <v>0</v>
      </c>
      <c r="K116" s="14">
        <v>0</v>
      </c>
      <c r="L116">
        <v>0</v>
      </c>
      <c r="M116">
        <v>0</v>
      </c>
      <c r="N116">
        <v>0</v>
      </c>
      <c r="O116" s="20"/>
      <c r="P116" s="20"/>
      <c r="Q116" s="438"/>
      <c r="R116" s="197">
        <v>6.531704360902256</v>
      </c>
      <c r="S116" s="197">
        <v>78.227142857142866</v>
      </c>
      <c r="T116" s="197">
        <v>0.5825685654008439</v>
      </c>
      <c r="U116" s="197">
        <v>0.90789473684210531</v>
      </c>
      <c r="V116" s="20">
        <f t="shared" si="154"/>
        <v>0</v>
      </c>
      <c r="W116" s="20">
        <f t="shared" si="154"/>
        <v>0</v>
      </c>
      <c r="X116" s="20">
        <f t="shared" si="154"/>
        <v>0</v>
      </c>
      <c r="Y116" s="20">
        <f t="shared" si="154"/>
        <v>0</v>
      </c>
      <c r="Z116" s="20">
        <f t="shared" si="155"/>
        <v>0</v>
      </c>
      <c r="AA116" s="20">
        <f t="shared" si="155"/>
        <v>0</v>
      </c>
      <c r="AB116" s="20">
        <f t="shared" si="155"/>
        <v>0</v>
      </c>
      <c r="AC116" s="20">
        <f t="shared" si="155"/>
        <v>0</v>
      </c>
      <c r="AD116" s="20">
        <f t="shared" si="156"/>
        <v>0</v>
      </c>
      <c r="AE116" s="20">
        <f t="shared" si="157"/>
        <v>0</v>
      </c>
      <c r="AF116" s="20">
        <f t="shared" si="157"/>
        <v>0</v>
      </c>
      <c r="AG116" s="20">
        <f t="shared" si="157"/>
        <v>0</v>
      </c>
      <c r="AH116" s="20">
        <f t="shared" si="157"/>
        <v>0</v>
      </c>
      <c r="AI116" s="20">
        <f t="shared" si="158"/>
        <v>0</v>
      </c>
      <c r="AJ116" s="20">
        <f t="shared" si="159"/>
        <v>0</v>
      </c>
      <c r="AK116" s="20">
        <f t="shared" si="160"/>
        <v>0</v>
      </c>
      <c r="AL116" s="20">
        <f t="shared" si="161"/>
        <v>0</v>
      </c>
      <c r="AM116" s="20">
        <f t="shared" si="162"/>
        <v>0</v>
      </c>
      <c r="AO116">
        <f t="shared" si="163"/>
        <v>0</v>
      </c>
      <c r="AP116">
        <f t="shared" si="163"/>
        <v>0</v>
      </c>
      <c r="AQ116">
        <f t="shared" si="163"/>
        <v>0</v>
      </c>
      <c r="AR116">
        <f t="shared" si="163"/>
        <v>0</v>
      </c>
      <c r="AS116">
        <f t="shared" si="164"/>
        <v>0</v>
      </c>
      <c r="AU116">
        <f t="shared" si="165"/>
        <v>0</v>
      </c>
      <c r="AV116">
        <f t="shared" si="165"/>
        <v>0</v>
      </c>
      <c r="AW116">
        <f t="shared" si="165"/>
        <v>0</v>
      </c>
      <c r="AX116">
        <f t="shared" si="165"/>
        <v>0</v>
      </c>
      <c r="AY116">
        <f t="shared" si="166"/>
        <v>0</v>
      </c>
    </row>
    <row r="117" spans="1:53" ht="15" x14ac:dyDescent="0.25">
      <c r="A117" s="7"/>
      <c r="B117" s="8" t="s">
        <v>14</v>
      </c>
      <c r="C117" s="7"/>
      <c r="D117" s="357">
        <f t="shared" ref="D117:H117" si="167">SUM(D111:D116)</f>
        <v>0</v>
      </c>
      <c r="E117" s="363">
        <f>SUM(E111:E116)</f>
        <v>0</v>
      </c>
      <c r="F117" s="357">
        <f t="shared" si="167"/>
        <v>0</v>
      </c>
      <c r="G117" s="357">
        <f t="shared" si="167"/>
        <v>0</v>
      </c>
      <c r="H117" s="357">
        <f t="shared" si="167"/>
        <v>0</v>
      </c>
      <c r="J117">
        <v>0</v>
      </c>
      <c r="K117" s="14">
        <v>0</v>
      </c>
      <c r="L117">
        <v>0</v>
      </c>
      <c r="M117">
        <v>0</v>
      </c>
      <c r="N117">
        <v>0</v>
      </c>
      <c r="O117" s="20"/>
      <c r="P117" s="20"/>
      <c r="Q117" s="438"/>
      <c r="R117" s="197"/>
      <c r="S117" s="197"/>
      <c r="T117" s="197"/>
      <c r="U117" s="197"/>
      <c r="BA117" s="319">
        <f>(E117*10000*Q117*AU$10)</f>
        <v>0</v>
      </c>
    </row>
    <row r="118" spans="1:53" ht="15" x14ac:dyDescent="0.25">
      <c r="A118" s="10"/>
      <c r="B118" s="9" t="s">
        <v>15</v>
      </c>
      <c r="C118" s="5"/>
      <c r="E118" s="363">
        <f>SUM(E117)</f>
        <v>0</v>
      </c>
      <c r="H118" s="358">
        <f>SUM(D117:H117)</f>
        <v>0</v>
      </c>
      <c r="K118" s="14"/>
      <c r="N118">
        <v>0</v>
      </c>
      <c r="O118" s="20"/>
      <c r="P118" s="20"/>
      <c r="Q118" s="438"/>
      <c r="R118" s="197"/>
      <c r="S118" s="197"/>
      <c r="T118" s="197"/>
      <c r="U118" s="197"/>
    </row>
    <row r="119" spans="1:53" ht="15.75" x14ac:dyDescent="0.25">
      <c r="A119" s="1"/>
      <c r="B119" s="2"/>
      <c r="C119" s="1"/>
      <c r="E119" s="361"/>
      <c r="K119" s="14"/>
      <c r="O119" s="20"/>
      <c r="P119" s="20"/>
      <c r="Q119" s="439"/>
      <c r="R119" s="197"/>
      <c r="S119" s="197"/>
      <c r="T119" s="197"/>
      <c r="U119" s="197"/>
    </row>
    <row r="120" spans="1:53" ht="15" x14ac:dyDescent="0.25">
      <c r="A120" s="1">
        <v>13</v>
      </c>
      <c r="B120" s="2" t="s">
        <v>27</v>
      </c>
      <c r="C120" s="1" t="s">
        <v>8</v>
      </c>
      <c r="D120">
        <v>0</v>
      </c>
      <c r="E120" s="360">
        <v>6.2455999999999996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 s="20"/>
      <c r="P120" s="20"/>
      <c r="Q120" s="438">
        <v>1.2943405370348689E-2</v>
      </c>
      <c r="R120" s="197">
        <v>0.49226666666666663</v>
      </c>
      <c r="S120" s="197">
        <v>2.8337500000000002</v>
      </c>
      <c r="T120" s="197">
        <v>0.68718466195761863</v>
      </c>
      <c r="U120" s="197">
        <v>0.90789473684210531</v>
      </c>
      <c r="V120" s="20">
        <f t="shared" ref="V120:Y125" si="168">IF(K120&gt;0,((E120-K120)*$Q120*$R120*10)+(K120*$O$12*$Q120*$R120*10),(E120*$Q120*$R120*10))</f>
        <v>0.39794508785231431</v>
      </c>
      <c r="W120" s="20">
        <f t="shared" si="168"/>
        <v>0</v>
      </c>
      <c r="X120" s="20">
        <f t="shared" si="168"/>
        <v>0</v>
      </c>
      <c r="Y120" s="20">
        <f t="shared" si="168"/>
        <v>0</v>
      </c>
      <c r="Z120" s="20">
        <f t="shared" ref="Z120:AC125" si="169">V120*(EXP(1.01-0.34*LN(Z$8))*(1-$T120)+(1*$T120))</f>
        <v>0.2961803113444203</v>
      </c>
      <c r="AA120" s="20">
        <f t="shared" si="169"/>
        <v>0</v>
      </c>
      <c r="AB120" s="20">
        <f t="shared" si="169"/>
        <v>0</v>
      </c>
      <c r="AC120" s="20">
        <f t="shared" si="169"/>
        <v>0</v>
      </c>
      <c r="AD120" s="20">
        <f t="shared" ref="AD120:AD125" si="170">SUM(Z120:AC120)</f>
        <v>0.2961803113444203</v>
      </c>
      <c r="AE120" s="20">
        <f t="shared" ref="AE120:AH125" si="171">IF(K120&gt;0,((E120-K120)*$Q120*$S120*10)+(K120*$P$12*$Q120*$S120)*10,(E120*$Q120*$S120*10))</f>
        <v>2.2907845870154979</v>
      </c>
      <c r="AF120" s="20">
        <f t="shared" si="171"/>
        <v>0</v>
      </c>
      <c r="AG120" s="20">
        <f t="shared" si="171"/>
        <v>0</v>
      </c>
      <c r="AH120" s="20">
        <f t="shared" si="171"/>
        <v>0</v>
      </c>
      <c r="AI120" s="20">
        <f t="shared" ref="AI120:AI125" si="172">AE120*(EXP(1.01-0.34*LN(AI$8))*(1-$U120)+(1*$U120))</f>
        <v>2.1182981323336798</v>
      </c>
      <c r="AJ120" s="20">
        <f t="shared" ref="AJ120:AJ125" si="173">AF120*(EXP(1.01-0.34*LN(AJ$8))*(1-$U120)+(1*$U120))</f>
        <v>0</v>
      </c>
      <c r="AK120" s="20">
        <f t="shared" ref="AK120:AK125" si="174">AG120*(EXP(1.01-0.34*LN(AK$8))*(1-$U120)+(1*$U120))</f>
        <v>0</v>
      </c>
      <c r="AL120" s="20">
        <f t="shared" ref="AL120:AL125" si="175">AH120*(EXP(1.01-0.34*LN(AL$8))*(1-$U120)+(1*$U120))</f>
        <v>0</v>
      </c>
      <c r="AM120" s="20">
        <f t="shared" ref="AM120:AM125" si="176">SUM(AI120:AL120)</f>
        <v>2.1182981323336798</v>
      </c>
      <c r="AO120">
        <f t="shared" ref="AO120:AR125" si="177">Z120*AO$10</f>
        <v>0.19832233647622383</v>
      </c>
      <c r="AP120">
        <f t="shared" si="177"/>
        <v>0</v>
      </c>
      <c r="AQ120">
        <f t="shared" si="177"/>
        <v>0</v>
      </c>
      <c r="AR120">
        <f t="shared" si="177"/>
        <v>0</v>
      </c>
      <c r="AS120">
        <f t="shared" ref="AS120:AS125" si="178">SUM(AO120:AR120)</f>
        <v>0.19832233647622383</v>
      </c>
      <c r="AU120">
        <f t="shared" ref="AU120:AX125" si="179">AI120*AU$10</f>
        <v>1.4184124294106319</v>
      </c>
      <c r="AV120">
        <f t="shared" si="179"/>
        <v>0</v>
      </c>
      <c r="AW120">
        <f t="shared" si="179"/>
        <v>0</v>
      </c>
      <c r="AX120">
        <f t="shared" si="179"/>
        <v>0</v>
      </c>
      <c r="AY120">
        <f t="shared" ref="AY120:AY125" si="180">SUM(AU120:AX120)</f>
        <v>1.4184124294106319</v>
      </c>
    </row>
    <row r="121" spans="1:53" ht="15" x14ac:dyDescent="0.25">
      <c r="A121" s="1"/>
      <c r="B121" s="2"/>
      <c r="C121" s="1" t="s">
        <v>9</v>
      </c>
      <c r="D121">
        <v>0</v>
      </c>
      <c r="E121" s="360">
        <v>0.30580000000000002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20"/>
      <c r="P121" s="20"/>
      <c r="Q121" s="438">
        <v>1.6886810740697377E-2</v>
      </c>
      <c r="R121" s="197">
        <v>0.49226666666666663</v>
      </c>
      <c r="S121" s="197">
        <v>2.8337500000000002</v>
      </c>
      <c r="T121" s="197">
        <v>0.68718466195761863</v>
      </c>
      <c r="U121" s="197">
        <v>0.90789473684210531</v>
      </c>
      <c r="V121" s="20">
        <f t="shared" si="168"/>
        <v>2.5420585315831214E-2</v>
      </c>
      <c r="W121" s="20">
        <f t="shared" si="168"/>
        <v>0</v>
      </c>
      <c r="X121" s="20">
        <f t="shared" si="168"/>
        <v>0</v>
      </c>
      <c r="Y121" s="20">
        <f t="shared" si="168"/>
        <v>0</v>
      </c>
      <c r="Z121" s="20">
        <f t="shared" si="169"/>
        <v>1.8919888957630467E-2</v>
      </c>
      <c r="AA121" s="20">
        <f t="shared" si="169"/>
        <v>0</v>
      </c>
      <c r="AB121" s="20">
        <f t="shared" si="169"/>
        <v>0</v>
      </c>
      <c r="AC121" s="20">
        <f t="shared" si="169"/>
        <v>0</v>
      </c>
      <c r="AD121" s="20">
        <f t="shared" si="170"/>
        <v>1.8919888957630467E-2</v>
      </c>
      <c r="AE121" s="20">
        <f t="shared" si="171"/>
        <v>0.14633447380566778</v>
      </c>
      <c r="AF121" s="20">
        <f t="shared" si="171"/>
        <v>0</v>
      </c>
      <c r="AG121" s="20">
        <f t="shared" si="171"/>
        <v>0</v>
      </c>
      <c r="AH121" s="20">
        <f t="shared" si="171"/>
        <v>0</v>
      </c>
      <c r="AI121" s="20">
        <f t="shared" si="172"/>
        <v>0.13531610275169043</v>
      </c>
      <c r="AJ121" s="20">
        <f t="shared" si="173"/>
        <v>0</v>
      </c>
      <c r="AK121" s="20">
        <f t="shared" si="174"/>
        <v>0</v>
      </c>
      <c r="AL121" s="20">
        <f t="shared" si="175"/>
        <v>0</v>
      </c>
      <c r="AM121" s="20">
        <f t="shared" si="176"/>
        <v>0.13531610275169043</v>
      </c>
      <c r="AO121">
        <f t="shared" si="177"/>
        <v>1.2668757646029361E-2</v>
      </c>
      <c r="AP121">
        <f t="shared" si="177"/>
        <v>0</v>
      </c>
      <c r="AQ121">
        <f t="shared" si="177"/>
        <v>0</v>
      </c>
      <c r="AR121">
        <f t="shared" si="177"/>
        <v>0</v>
      </c>
      <c r="AS121">
        <f t="shared" si="178"/>
        <v>1.2668757646029361E-2</v>
      </c>
      <c r="AU121">
        <f t="shared" si="179"/>
        <v>9.0607662402531902E-2</v>
      </c>
      <c r="AV121">
        <f t="shared" si="179"/>
        <v>0</v>
      </c>
      <c r="AW121">
        <f t="shared" si="179"/>
        <v>0</v>
      </c>
      <c r="AX121">
        <f t="shared" si="179"/>
        <v>0</v>
      </c>
      <c r="AY121">
        <f t="shared" si="180"/>
        <v>9.0607662402531902E-2</v>
      </c>
    </row>
    <row r="122" spans="1:53" ht="15" x14ac:dyDescent="0.25">
      <c r="A122" s="1"/>
      <c r="B122" s="2"/>
      <c r="C122" s="1" t="s">
        <v>10</v>
      </c>
      <c r="D122">
        <v>0</v>
      </c>
      <c r="E122" s="360"/>
      <c r="F122">
        <v>0</v>
      </c>
      <c r="G122">
        <v>0</v>
      </c>
      <c r="H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s="20"/>
      <c r="P122" s="20"/>
      <c r="Q122" s="438"/>
      <c r="R122" s="197">
        <v>0.49226666666666663</v>
      </c>
      <c r="S122" s="197">
        <v>2.8337500000000002</v>
      </c>
      <c r="T122" s="197">
        <v>0.68718466195761863</v>
      </c>
      <c r="U122" s="197">
        <v>0.90789473684210531</v>
      </c>
      <c r="V122" s="20">
        <f t="shared" si="168"/>
        <v>0</v>
      </c>
      <c r="W122" s="20">
        <f t="shared" si="168"/>
        <v>0</v>
      </c>
      <c r="X122" s="20">
        <f t="shared" si="168"/>
        <v>0</v>
      </c>
      <c r="Y122" s="20">
        <f t="shared" si="168"/>
        <v>0</v>
      </c>
      <c r="Z122" s="20">
        <f t="shared" si="169"/>
        <v>0</v>
      </c>
      <c r="AA122" s="20">
        <f t="shared" si="169"/>
        <v>0</v>
      </c>
      <c r="AB122" s="20">
        <f t="shared" si="169"/>
        <v>0</v>
      </c>
      <c r="AC122" s="20">
        <f t="shared" si="169"/>
        <v>0</v>
      </c>
      <c r="AD122" s="20">
        <f t="shared" si="170"/>
        <v>0</v>
      </c>
      <c r="AE122" s="20">
        <f t="shared" si="171"/>
        <v>0</v>
      </c>
      <c r="AF122" s="20">
        <f t="shared" si="171"/>
        <v>0</v>
      </c>
      <c r="AG122" s="20">
        <f t="shared" si="171"/>
        <v>0</v>
      </c>
      <c r="AH122" s="20">
        <f t="shared" si="171"/>
        <v>0</v>
      </c>
      <c r="AI122" s="20">
        <f t="shared" si="172"/>
        <v>0</v>
      </c>
      <c r="AJ122" s="20">
        <f t="shared" si="173"/>
        <v>0</v>
      </c>
      <c r="AK122" s="20">
        <f t="shared" si="174"/>
        <v>0</v>
      </c>
      <c r="AL122" s="20">
        <f t="shared" si="175"/>
        <v>0</v>
      </c>
      <c r="AM122" s="20">
        <f t="shared" si="176"/>
        <v>0</v>
      </c>
      <c r="AO122">
        <f t="shared" si="177"/>
        <v>0</v>
      </c>
      <c r="AP122">
        <f t="shared" si="177"/>
        <v>0</v>
      </c>
      <c r="AQ122">
        <f t="shared" si="177"/>
        <v>0</v>
      </c>
      <c r="AR122">
        <f t="shared" si="177"/>
        <v>0</v>
      </c>
      <c r="AS122">
        <f t="shared" si="178"/>
        <v>0</v>
      </c>
      <c r="AU122">
        <f t="shared" si="179"/>
        <v>0</v>
      </c>
      <c r="AV122">
        <f t="shared" si="179"/>
        <v>0</v>
      </c>
      <c r="AW122">
        <f t="shared" si="179"/>
        <v>0</v>
      </c>
      <c r="AX122">
        <f t="shared" si="179"/>
        <v>0</v>
      </c>
      <c r="AY122">
        <f t="shared" si="180"/>
        <v>0</v>
      </c>
    </row>
    <row r="123" spans="1:53" ht="15" x14ac:dyDescent="0.25">
      <c r="A123" s="1"/>
      <c r="B123" s="2"/>
      <c r="C123" s="1" t="s">
        <v>11</v>
      </c>
      <c r="D123">
        <v>0</v>
      </c>
      <c r="E123" s="360">
        <v>1.7323999999999999</v>
      </c>
      <c r="F123">
        <v>0</v>
      </c>
      <c r="G123">
        <v>0</v>
      </c>
      <c r="H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 s="20"/>
      <c r="P123" s="20"/>
      <c r="Q123" s="438">
        <v>2.477362148139475E-2</v>
      </c>
      <c r="R123" s="197">
        <v>0.49226666666666663</v>
      </c>
      <c r="S123" s="197">
        <v>2.8337500000000002</v>
      </c>
      <c r="T123" s="197">
        <v>0.68718466195761863</v>
      </c>
      <c r="U123" s="197">
        <v>0.90789473684210531</v>
      </c>
      <c r="V123" s="20">
        <f t="shared" si="168"/>
        <v>0.21127013104843684</v>
      </c>
      <c r="W123" s="20">
        <f t="shared" si="168"/>
        <v>0</v>
      </c>
      <c r="X123" s="20">
        <f t="shared" si="168"/>
        <v>0</v>
      </c>
      <c r="Y123" s="20">
        <f t="shared" si="168"/>
        <v>0</v>
      </c>
      <c r="Z123" s="20">
        <f t="shared" si="169"/>
        <v>0.15724293401738137</v>
      </c>
      <c r="AA123" s="20">
        <f t="shared" si="169"/>
        <v>0</v>
      </c>
      <c r="AB123" s="20">
        <f t="shared" si="169"/>
        <v>0</v>
      </c>
      <c r="AC123" s="20">
        <f t="shared" si="169"/>
        <v>0</v>
      </c>
      <c r="AD123" s="20">
        <f t="shared" si="170"/>
        <v>0.15724293401738137</v>
      </c>
      <c r="AE123" s="20">
        <f t="shared" si="171"/>
        <v>1.2161837767981607</v>
      </c>
      <c r="AF123" s="20">
        <f t="shared" si="171"/>
        <v>0</v>
      </c>
      <c r="AG123" s="20">
        <f t="shared" si="171"/>
        <v>0</v>
      </c>
      <c r="AH123" s="20">
        <f t="shared" si="171"/>
        <v>0</v>
      </c>
      <c r="AI123" s="20">
        <f t="shared" si="172"/>
        <v>1.1246102481955609</v>
      </c>
      <c r="AJ123" s="20">
        <f t="shared" si="173"/>
        <v>0</v>
      </c>
      <c r="AK123" s="20">
        <f t="shared" si="174"/>
        <v>0</v>
      </c>
      <c r="AL123" s="20">
        <f t="shared" si="175"/>
        <v>0</v>
      </c>
      <c r="AM123" s="20">
        <f t="shared" si="176"/>
        <v>1.1246102481955609</v>
      </c>
      <c r="AO123">
        <f t="shared" si="177"/>
        <v>0.10528986861803856</v>
      </c>
      <c r="AP123">
        <f t="shared" si="177"/>
        <v>0</v>
      </c>
      <c r="AQ123">
        <f t="shared" si="177"/>
        <v>0</v>
      </c>
      <c r="AR123">
        <f t="shared" si="177"/>
        <v>0</v>
      </c>
      <c r="AS123">
        <f t="shared" si="178"/>
        <v>0.10528986861803856</v>
      </c>
      <c r="AU123">
        <f t="shared" si="179"/>
        <v>0.75303902219174756</v>
      </c>
      <c r="AV123">
        <f t="shared" si="179"/>
        <v>0</v>
      </c>
      <c r="AW123">
        <f t="shared" si="179"/>
        <v>0</v>
      </c>
      <c r="AX123">
        <f t="shared" si="179"/>
        <v>0</v>
      </c>
      <c r="AY123">
        <f t="shared" si="180"/>
        <v>0.75303902219174756</v>
      </c>
    </row>
    <row r="124" spans="1:53" ht="15" x14ac:dyDescent="0.25">
      <c r="A124" s="1"/>
      <c r="B124" s="2"/>
      <c r="C124" s="1" t="s">
        <v>12</v>
      </c>
      <c r="D124">
        <v>0</v>
      </c>
      <c r="E124" s="360"/>
      <c r="F124">
        <v>0</v>
      </c>
      <c r="G124">
        <v>0</v>
      </c>
      <c r="H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 s="20"/>
      <c r="P124" s="20"/>
      <c r="Q124" s="438"/>
      <c r="R124" s="197">
        <v>0.49226666666666663</v>
      </c>
      <c r="S124" s="197">
        <v>2.8337500000000002</v>
      </c>
      <c r="T124" s="197">
        <v>0.68718466195761863</v>
      </c>
      <c r="U124" s="197">
        <v>0.90789473684210531</v>
      </c>
      <c r="V124" s="20">
        <f t="shared" si="168"/>
        <v>0</v>
      </c>
      <c r="W124" s="20">
        <f t="shared" si="168"/>
        <v>0</v>
      </c>
      <c r="X124" s="20">
        <f t="shared" si="168"/>
        <v>0</v>
      </c>
      <c r="Y124" s="20">
        <f t="shared" si="168"/>
        <v>0</v>
      </c>
      <c r="Z124" s="20">
        <f t="shared" si="169"/>
        <v>0</v>
      </c>
      <c r="AA124" s="20">
        <f t="shared" si="169"/>
        <v>0</v>
      </c>
      <c r="AB124" s="20">
        <f t="shared" si="169"/>
        <v>0</v>
      </c>
      <c r="AC124" s="20">
        <f t="shared" si="169"/>
        <v>0</v>
      </c>
      <c r="AD124" s="20">
        <f t="shared" si="170"/>
        <v>0</v>
      </c>
      <c r="AE124" s="20">
        <f t="shared" si="171"/>
        <v>0</v>
      </c>
      <c r="AF124" s="20">
        <f t="shared" si="171"/>
        <v>0</v>
      </c>
      <c r="AG124" s="20">
        <f t="shared" si="171"/>
        <v>0</v>
      </c>
      <c r="AH124" s="20">
        <f t="shared" si="171"/>
        <v>0</v>
      </c>
      <c r="AI124" s="20">
        <f t="shared" si="172"/>
        <v>0</v>
      </c>
      <c r="AJ124" s="20">
        <f t="shared" si="173"/>
        <v>0</v>
      </c>
      <c r="AK124" s="20">
        <f t="shared" si="174"/>
        <v>0</v>
      </c>
      <c r="AL124" s="20">
        <f t="shared" si="175"/>
        <v>0</v>
      </c>
      <c r="AM124" s="20">
        <f t="shared" si="176"/>
        <v>0</v>
      </c>
      <c r="AO124">
        <f t="shared" si="177"/>
        <v>0</v>
      </c>
      <c r="AP124">
        <f t="shared" si="177"/>
        <v>0</v>
      </c>
      <c r="AQ124">
        <f t="shared" si="177"/>
        <v>0</v>
      </c>
      <c r="AR124">
        <f t="shared" si="177"/>
        <v>0</v>
      </c>
      <c r="AS124">
        <f t="shared" si="178"/>
        <v>0</v>
      </c>
      <c r="AU124">
        <f t="shared" si="179"/>
        <v>0</v>
      </c>
      <c r="AV124">
        <f t="shared" si="179"/>
        <v>0</v>
      </c>
      <c r="AW124">
        <f t="shared" si="179"/>
        <v>0</v>
      </c>
      <c r="AX124">
        <f t="shared" si="179"/>
        <v>0</v>
      </c>
      <c r="AY124">
        <f t="shared" si="180"/>
        <v>0</v>
      </c>
    </row>
    <row r="125" spans="1:53" ht="15" x14ac:dyDescent="0.25">
      <c r="A125" s="1"/>
      <c r="B125" s="2"/>
      <c r="C125" s="1" t="s">
        <v>13</v>
      </c>
      <c r="D125">
        <v>0</v>
      </c>
      <c r="E125" s="360"/>
      <c r="F125">
        <v>0</v>
      </c>
      <c r="G125">
        <v>0</v>
      </c>
      <c r="H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20"/>
      <c r="P125" s="20"/>
      <c r="Q125" s="438"/>
      <c r="R125" s="197">
        <v>0.49226666666666663</v>
      </c>
      <c r="S125" s="197">
        <v>2.8337500000000002</v>
      </c>
      <c r="T125" s="197">
        <v>0.68718466195761863</v>
      </c>
      <c r="U125" s="197">
        <v>0.90789473684210531</v>
      </c>
      <c r="V125" s="20">
        <f t="shared" si="168"/>
        <v>0</v>
      </c>
      <c r="W125" s="20">
        <f t="shared" si="168"/>
        <v>0</v>
      </c>
      <c r="X125" s="20">
        <f t="shared" si="168"/>
        <v>0</v>
      </c>
      <c r="Y125" s="20">
        <f t="shared" si="168"/>
        <v>0</v>
      </c>
      <c r="Z125" s="20">
        <f t="shared" si="169"/>
        <v>0</v>
      </c>
      <c r="AA125" s="20">
        <f t="shared" si="169"/>
        <v>0</v>
      </c>
      <c r="AB125" s="20">
        <f t="shared" si="169"/>
        <v>0</v>
      </c>
      <c r="AC125" s="20">
        <f t="shared" si="169"/>
        <v>0</v>
      </c>
      <c r="AD125" s="20">
        <f t="shared" si="170"/>
        <v>0</v>
      </c>
      <c r="AE125" s="20">
        <f t="shared" si="171"/>
        <v>0</v>
      </c>
      <c r="AF125" s="20">
        <f t="shared" si="171"/>
        <v>0</v>
      </c>
      <c r="AG125" s="20">
        <f t="shared" si="171"/>
        <v>0</v>
      </c>
      <c r="AH125" s="20">
        <f t="shared" si="171"/>
        <v>0</v>
      </c>
      <c r="AI125" s="20">
        <f t="shared" si="172"/>
        <v>0</v>
      </c>
      <c r="AJ125" s="20">
        <f t="shared" si="173"/>
        <v>0</v>
      </c>
      <c r="AK125" s="20">
        <f t="shared" si="174"/>
        <v>0</v>
      </c>
      <c r="AL125" s="20">
        <f t="shared" si="175"/>
        <v>0</v>
      </c>
      <c r="AM125" s="20">
        <f t="shared" si="176"/>
        <v>0</v>
      </c>
      <c r="AO125">
        <f t="shared" si="177"/>
        <v>0</v>
      </c>
      <c r="AP125">
        <f t="shared" si="177"/>
        <v>0</v>
      </c>
      <c r="AQ125">
        <f t="shared" si="177"/>
        <v>0</v>
      </c>
      <c r="AR125">
        <f t="shared" si="177"/>
        <v>0</v>
      </c>
      <c r="AS125">
        <f t="shared" si="178"/>
        <v>0</v>
      </c>
      <c r="AU125">
        <f t="shared" si="179"/>
        <v>0</v>
      </c>
      <c r="AV125">
        <f t="shared" si="179"/>
        <v>0</v>
      </c>
      <c r="AW125">
        <f t="shared" si="179"/>
        <v>0</v>
      </c>
      <c r="AX125">
        <f t="shared" si="179"/>
        <v>0</v>
      </c>
      <c r="AY125">
        <f t="shared" si="180"/>
        <v>0</v>
      </c>
    </row>
    <row r="126" spans="1:53" ht="15" x14ac:dyDescent="0.25">
      <c r="A126" s="7"/>
      <c r="B126" s="8" t="s">
        <v>14</v>
      </c>
      <c r="C126" s="7"/>
      <c r="D126" s="357">
        <f t="shared" ref="D126:H126" si="181">SUM(D120:D125)</f>
        <v>0</v>
      </c>
      <c r="E126" s="363">
        <f>SUM(E120:E125)</f>
        <v>8.2837999999999994</v>
      </c>
      <c r="F126" s="357">
        <f t="shared" si="181"/>
        <v>0</v>
      </c>
      <c r="G126" s="357">
        <f t="shared" si="181"/>
        <v>0</v>
      </c>
      <c r="H126" s="357">
        <f t="shared" si="181"/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 s="20"/>
      <c r="P126" s="20"/>
      <c r="Q126" s="438">
        <v>1.5563043670769851E-2</v>
      </c>
      <c r="R126" s="197"/>
      <c r="S126" s="197"/>
      <c r="T126" s="197"/>
      <c r="U126" s="197"/>
      <c r="BA126" s="319">
        <f>(E126*10000*Q126*AU$10)</f>
        <v>863.25596120684634</v>
      </c>
    </row>
    <row r="127" spans="1:53" ht="15" x14ac:dyDescent="0.25">
      <c r="A127" s="10"/>
      <c r="B127" s="9" t="s">
        <v>15</v>
      </c>
      <c r="C127" s="5"/>
      <c r="E127" s="363">
        <f>SUM(E126)</f>
        <v>8.2837999999999994</v>
      </c>
      <c r="H127" s="358">
        <f>SUM(D126:H126)</f>
        <v>8.2837999999999994</v>
      </c>
      <c r="K127" s="14"/>
      <c r="N127">
        <v>0</v>
      </c>
      <c r="O127" s="20"/>
      <c r="P127" s="20"/>
      <c r="Q127" s="438"/>
      <c r="R127" s="197"/>
      <c r="S127" s="197"/>
      <c r="T127" s="197"/>
      <c r="U127" s="197"/>
    </row>
    <row r="128" spans="1:53" ht="15.75" x14ac:dyDescent="0.25">
      <c r="A128" s="1"/>
      <c r="B128" s="2"/>
      <c r="C128" s="1"/>
      <c r="E128" s="361"/>
      <c r="K128" s="14"/>
      <c r="O128" s="20"/>
      <c r="P128" s="20"/>
      <c r="Q128" s="439"/>
      <c r="R128" s="197"/>
      <c r="S128" s="197"/>
      <c r="T128" s="197"/>
      <c r="U128" s="197"/>
    </row>
    <row r="129" spans="1:53" ht="15" x14ac:dyDescent="0.25">
      <c r="A129" s="1">
        <v>14</v>
      </c>
      <c r="B129" s="2" t="s">
        <v>28</v>
      </c>
      <c r="C129" s="1" t="s">
        <v>8</v>
      </c>
      <c r="D129">
        <v>0</v>
      </c>
      <c r="E129" s="360">
        <v>281.78219999999999</v>
      </c>
      <c r="F129">
        <v>0</v>
      </c>
      <c r="G129">
        <v>0</v>
      </c>
      <c r="H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 s="20"/>
      <c r="P129" s="20"/>
      <c r="Q129" s="438">
        <v>1.2943405370348689E-2</v>
      </c>
      <c r="R129" s="197">
        <v>5.6499999999999995E-2</v>
      </c>
      <c r="S129" s="197">
        <v>1.25</v>
      </c>
      <c r="T129" s="197">
        <v>0.50078889239507718</v>
      </c>
      <c r="U129" s="197">
        <v>0.75268470790377973</v>
      </c>
      <c r="V129" s="20">
        <f t="shared" ref="V129:Y134" si="182">E129*$Q129*$R129*10</f>
        <v>2.0606800010229973</v>
      </c>
      <c r="W129" s="20">
        <f t="shared" si="182"/>
        <v>0</v>
      </c>
      <c r="X129" s="20">
        <f t="shared" si="182"/>
        <v>0</v>
      </c>
      <c r="Y129" s="20">
        <f t="shared" si="182"/>
        <v>0</v>
      </c>
      <c r="Z129" s="20">
        <f t="shared" ref="Z129:AC134" si="183">V129*(EXP(1.01-0.34*LN(Z$8))*(1-$T129)+(1*$T129))</f>
        <v>1.2197088617049581</v>
      </c>
      <c r="AA129" s="20">
        <f t="shared" si="183"/>
        <v>0</v>
      </c>
      <c r="AB129" s="20">
        <f t="shared" si="183"/>
        <v>0</v>
      </c>
      <c r="AC129" s="20">
        <f t="shared" si="183"/>
        <v>0</v>
      </c>
      <c r="AD129" s="20">
        <f t="shared" ref="AD129:AD134" si="184">SUM(Z129:AC129)</f>
        <v>1.2197088617049581</v>
      </c>
      <c r="AE129" s="20">
        <f t="shared" ref="AE129:AH134" si="185">E129*$Q129*$S129*10</f>
        <v>45.590265509358346</v>
      </c>
      <c r="AF129" s="20">
        <f t="shared" si="185"/>
        <v>0</v>
      </c>
      <c r="AG129" s="20">
        <f t="shared" si="185"/>
        <v>0</v>
      </c>
      <c r="AH129" s="20">
        <f t="shared" si="185"/>
        <v>0</v>
      </c>
      <c r="AI129" s="20">
        <f t="shared" ref="AI129:AI134" si="186">AE129*(EXP(1.01-0.34*LN(AI$8))*(1-$U129)+(1*$U129))</f>
        <v>36.372845281576367</v>
      </c>
      <c r="AJ129" s="20">
        <f t="shared" ref="AJ129:AJ134" si="187">AF129*(EXP(1.01-0.34*LN(AJ$8))*(1-$U129)+(1*$U129))</f>
        <v>0</v>
      </c>
      <c r="AK129" s="20">
        <f t="shared" ref="AK129:AK134" si="188">AG129*(EXP(1.01-0.34*LN(AK$8))*(1-$U129)+(1*$U129))</f>
        <v>0</v>
      </c>
      <c r="AL129" s="20">
        <f t="shared" ref="AL129:AL134" si="189">AH129*(EXP(1.01-0.34*LN(AL$8))*(1-$U129)+(1*$U129))</f>
        <v>0</v>
      </c>
      <c r="AM129" s="20">
        <f t="shared" ref="AM129:AM134" si="190">SUM(AI129:AL129)</f>
        <v>36.372845281576367</v>
      </c>
      <c r="AO129">
        <f t="shared" ref="AO129:AR134" si="191">Z129*AO$10</f>
        <v>0.81671705379763992</v>
      </c>
      <c r="AP129">
        <f t="shared" si="191"/>
        <v>0</v>
      </c>
      <c r="AQ129">
        <f t="shared" si="191"/>
        <v>0</v>
      </c>
      <c r="AR129">
        <f t="shared" si="191"/>
        <v>0</v>
      </c>
      <c r="AS129">
        <f t="shared" ref="AS129:AS134" si="192">SUM(AO129:AR129)</f>
        <v>0.81671705379763992</v>
      </c>
      <c r="AU129">
        <f t="shared" ref="AU129:AX134" si="193">AI129*AU$10</f>
        <v>24.355257200543534</v>
      </c>
      <c r="AV129">
        <f t="shared" si="193"/>
        <v>0</v>
      </c>
      <c r="AW129">
        <f t="shared" si="193"/>
        <v>0</v>
      </c>
      <c r="AX129">
        <f t="shared" si="193"/>
        <v>0</v>
      </c>
      <c r="AY129">
        <f t="shared" ref="AY129:AY134" si="194">SUM(AU129:AX129)</f>
        <v>24.355257200543534</v>
      </c>
    </row>
    <row r="130" spans="1:53" ht="15" x14ac:dyDescent="0.25">
      <c r="A130" s="1"/>
      <c r="B130" s="2"/>
      <c r="C130" s="1" t="s">
        <v>9</v>
      </c>
      <c r="D130">
        <v>0</v>
      </c>
      <c r="E130" s="360">
        <v>3.4670999999999998</v>
      </c>
      <c r="F130">
        <v>0</v>
      </c>
      <c r="G130">
        <v>0</v>
      </c>
      <c r="H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 s="20"/>
      <c r="P130" s="20"/>
      <c r="Q130" s="438">
        <v>1.6886810740697377E-2</v>
      </c>
      <c r="R130" s="197">
        <v>5.6499999999999995E-2</v>
      </c>
      <c r="S130" s="197">
        <v>1.25</v>
      </c>
      <c r="T130" s="197">
        <v>0.50078889239507718</v>
      </c>
      <c r="U130" s="197">
        <v>0.75268470790377973</v>
      </c>
      <c r="V130" s="20">
        <f t="shared" si="182"/>
        <v>3.3079767758275605E-2</v>
      </c>
      <c r="W130" s="20">
        <f t="shared" si="182"/>
        <v>0</v>
      </c>
      <c r="X130" s="20">
        <f t="shared" si="182"/>
        <v>0</v>
      </c>
      <c r="Y130" s="20">
        <f t="shared" si="182"/>
        <v>0</v>
      </c>
      <c r="Z130" s="20">
        <f t="shared" si="183"/>
        <v>1.9579792038492458E-2</v>
      </c>
      <c r="AA130" s="20">
        <f t="shared" si="183"/>
        <v>0</v>
      </c>
      <c r="AB130" s="20">
        <f t="shared" si="183"/>
        <v>0</v>
      </c>
      <c r="AC130" s="20">
        <f t="shared" si="183"/>
        <v>0</v>
      </c>
      <c r="AD130" s="20">
        <f t="shared" si="184"/>
        <v>1.9579792038492458E-2</v>
      </c>
      <c r="AE130" s="20">
        <f t="shared" si="185"/>
        <v>0.73185326898839842</v>
      </c>
      <c r="AF130" s="20">
        <f t="shared" si="185"/>
        <v>0</v>
      </c>
      <c r="AG130" s="20">
        <f t="shared" si="185"/>
        <v>0</v>
      </c>
      <c r="AH130" s="20">
        <f t="shared" si="185"/>
        <v>0</v>
      </c>
      <c r="AI130" s="20">
        <f t="shared" si="186"/>
        <v>0.58388749054919808</v>
      </c>
      <c r="AJ130" s="20">
        <f t="shared" si="187"/>
        <v>0</v>
      </c>
      <c r="AK130" s="20">
        <f t="shared" si="188"/>
        <v>0</v>
      </c>
      <c r="AL130" s="20">
        <f t="shared" si="189"/>
        <v>0</v>
      </c>
      <c r="AM130" s="20">
        <f t="shared" si="190"/>
        <v>0.58388749054919808</v>
      </c>
      <c r="AO130">
        <f t="shared" si="191"/>
        <v>1.311062874897455E-2</v>
      </c>
      <c r="AP130">
        <f t="shared" si="191"/>
        <v>0</v>
      </c>
      <c r="AQ130">
        <f t="shared" si="191"/>
        <v>0</v>
      </c>
      <c r="AR130">
        <f t="shared" si="191"/>
        <v>0</v>
      </c>
      <c r="AS130">
        <f t="shared" si="192"/>
        <v>1.311062874897455E-2</v>
      </c>
      <c r="AU130">
        <f t="shared" si="193"/>
        <v>0.390971063671743</v>
      </c>
      <c r="AV130">
        <f t="shared" si="193"/>
        <v>0</v>
      </c>
      <c r="AW130">
        <f t="shared" si="193"/>
        <v>0</v>
      </c>
      <c r="AX130">
        <f t="shared" si="193"/>
        <v>0</v>
      </c>
      <c r="AY130">
        <f t="shared" si="194"/>
        <v>0.390971063671743</v>
      </c>
    </row>
    <row r="131" spans="1:53" ht="15" x14ac:dyDescent="0.25">
      <c r="A131" s="1"/>
      <c r="B131" s="2"/>
      <c r="C131" s="1" t="s">
        <v>10</v>
      </c>
      <c r="D131">
        <v>0</v>
      </c>
      <c r="E131" s="360">
        <v>1.0326</v>
      </c>
      <c r="F131">
        <v>0</v>
      </c>
      <c r="G131">
        <v>0</v>
      </c>
      <c r="H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 s="20"/>
      <c r="P131" s="20"/>
      <c r="Q131" s="438">
        <v>2.0830216111046063E-2</v>
      </c>
      <c r="R131" s="197">
        <v>5.6499999999999995E-2</v>
      </c>
      <c r="S131" s="197">
        <v>1.25</v>
      </c>
      <c r="T131" s="197">
        <v>0.50078889239507718</v>
      </c>
      <c r="U131" s="197">
        <v>0.75268470790377973</v>
      </c>
      <c r="V131" s="20">
        <f t="shared" si="182"/>
        <v>1.2152743853290382E-2</v>
      </c>
      <c r="W131" s="20">
        <f t="shared" si="182"/>
        <v>0</v>
      </c>
      <c r="X131" s="20">
        <f t="shared" si="182"/>
        <v>0</v>
      </c>
      <c r="Y131" s="20">
        <f t="shared" si="182"/>
        <v>0</v>
      </c>
      <c r="Z131" s="20">
        <f t="shared" si="183"/>
        <v>7.1931640839577957E-3</v>
      </c>
      <c r="AA131" s="20">
        <f t="shared" si="183"/>
        <v>0</v>
      </c>
      <c r="AB131" s="20">
        <f t="shared" si="183"/>
        <v>0</v>
      </c>
      <c r="AC131" s="20">
        <f t="shared" si="183"/>
        <v>0</v>
      </c>
      <c r="AD131" s="20">
        <f t="shared" si="184"/>
        <v>7.1931640839577957E-3</v>
      </c>
      <c r="AE131" s="20">
        <f t="shared" si="185"/>
        <v>0.26886601445332703</v>
      </c>
      <c r="AF131" s="20">
        <f t="shared" si="185"/>
        <v>0</v>
      </c>
      <c r="AG131" s="20">
        <f t="shared" si="185"/>
        <v>0</v>
      </c>
      <c r="AH131" s="20">
        <f t="shared" si="185"/>
        <v>0</v>
      </c>
      <c r="AI131" s="20">
        <f t="shared" si="186"/>
        <v>0.21450679955302102</v>
      </c>
      <c r="AJ131" s="20">
        <f t="shared" si="187"/>
        <v>0</v>
      </c>
      <c r="AK131" s="20">
        <f t="shared" si="188"/>
        <v>0</v>
      </c>
      <c r="AL131" s="20">
        <f t="shared" si="189"/>
        <v>0</v>
      </c>
      <c r="AM131" s="20">
        <f t="shared" si="190"/>
        <v>0.21450679955302102</v>
      </c>
      <c r="AO131">
        <f t="shared" si="191"/>
        <v>4.8165426706181401E-3</v>
      </c>
      <c r="AP131">
        <f t="shared" si="191"/>
        <v>0</v>
      </c>
      <c r="AQ131">
        <f t="shared" si="191"/>
        <v>0</v>
      </c>
      <c r="AR131">
        <f t="shared" si="191"/>
        <v>0</v>
      </c>
      <c r="AS131">
        <f t="shared" si="192"/>
        <v>4.8165426706181401E-3</v>
      </c>
      <c r="AU131">
        <f t="shared" si="193"/>
        <v>0.14363375298070286</v>
      </c>
      <c r="AV131">
        <f t="shared" si="193"/>
        <v>0</v>
      </c>
      <c r="AW131">
        <f t="shared" si="193"/>
        <v>0</v>
      </c>
      <c r="AX131">
        <f t="shared" si="193"/>
        <v>0</v>
      </c>
      <c r="AY131">
        <f t="shared" si="194"/>
        <v>0.14363375298070286</v>
      </c>
    </row>
    <row r="132" spans="1:53" ht="15" x14ac:dyDescent="0.25">
      <c r="A132" s="1"/>
      <c r="B132" s="2"/>
      <c r="C132" s="1" t="s">
        <v>11</v>
      </c>
      <c r="D132">
        <v>0</v>
      </c>
      <c r="E132" s="360">
        <v>113.0378</v>
      </c>
      <c r="F132">
        <v>0</v>
      </c>
      <c r="G132">
        <v>0</v>
      </c>
      <c r="H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 s="20"/>
      <c r="P132" s="20"/>
      <c r="Q132" s="438">
        <v>2.4773621481394753E-2</v>
      </c>
      <c r="R132" s="197">
        <v>5.6499999999999995E-2</v>
      </c>
      <c r="S132" s="197">
        <v>1.25</v>
      </c>
      <c r="T132" s="197">
        <v>0.50078889239507718</v>
      </c>
      <c r="U132" s="197">
        <v>0.75268470790377973</v>
      </c>
      <c r="V132" s="20">
        <f t="shared" si="182"/>
        <v>1.5822009537136261</v>
      </c>
      <c r="W132" s="20">
        <f t="shared" si="182"/>
        <v>0</v>
      </c>
      <c r="X132" s="20">
        <f t="shared" si="182"/>
        <v>0</v>
      </c>
      <c r="Y132" s="20">
        <f t="shared" si="182"/>
        <v>0</v>
      </c>
      <c r="Z132" s="20">
        <f t="shared" si="183"/>
        <v>0.93649888545747528</v>
      </c>
      <c r="AA132" s="20">
        <f t="shared" si="183"/>
        <v>0</v>
      </c>
      <c r="AB132" s="20">
        <f t="shared" si="183"/>
        <v>0</v>
      </c>
      <c r="AC132" s="20">
        <f t="shared" si="183"/>
        <v>0</v>
      </c>
      <c r="AD132" s="20">
        <f t="shared" si="184"/>
        <v>0.93649888545747528</v>
      </c>
      <c r="AE132" s="20">
        <f t="shared" si="185"/>
        <v>35.004445878620054</v>
      </c>
      <c r="AF132" s="20">
        <f t="shared" si="185"/>
        <v>0</v>
      </c>
      <c r="AG132" s="20">
        <f t="shared" si="185"/>
        <v>0</v>
      </c>
      <c r="AH132" s="20">
        <f t="shared" si="185"/>
        <v>0</v>
      </c>
      <c r="AI132" s="20">
        <f t="shared" si="186"/>
        <v>27.927262100480807</v>
      </c>
      <c r="AJ132" s="20">
        <f t="shared" si="187"/>
        <v>0</v>
      </c>
      <c r="AK132" s="20">
        <f t="shared" si="188"/>
        <v>0</v>
      </c>
      <c r="AL132" s="20">
        <f t="shared" si="189"/>
        <v>0</v>
      </c>
      <c r="AM132" s="20">
        <f t="shared" si="190"/>
        <v>27.927262100480807</v>
      </c>
      <c r="AO132">
        <f t="shared" si="191"/>
        <v>0.62707965370232543</v>
      </c>
      <c r="AP132">
        <f t="shared" si="191"/>
        <v>0</v>
      </c>
      <c r="AQ132">
        <f t="shared" si="191"/>
        <v>0</v>
      </c>
      <c r="AR132">
        <f t="shared" si="191"/>
        <v>0</v>
      </c>
      <c r="AS132">
        <f t="shared" si="192"/>
        <v>0.62707965370232543</v>
      </c>
      <c r="AU132">
        <f t="shared" si="193"/>
        <v>18.700094702481948</v>
      </c>
      <c r="AV132">
        <f t="shared" si="193"/>
        <v>0</v>
      </c>
      <c r="AW132">
        <f t="shared" si="193"/>
        <v>0</v>
      </c>
      <c r="AX132">
        <f t="shared" si="193"/>
        <v>0</v>
      </c>
      <c r="AY132">
        <f t="shared" si="194"/>
        <v>18.700094702481948</v>
      </c>
    </row>
    <row r="133" spans="1:53" ht="15" x14ac:dyDescent="0.25">
      <c r="A133" s="1"/>
      <c r="B133" s="2"/>
      <c r="C133" s="1" t="s">
        <v>12</v>
      </c>
      <c r="D133">
        <v>0</v>
      </c>
      <c r="E133" s="360">
        <v>0</v>
      </c>
      <c r="F133">
        <v>0</v>
      </c>
      <c r="G133">
        <v>0</v>
      </c>
      <c r="H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 s="20"/>
      <c r="P133" s="20"/>
      <c r="Q133" s="438"/>
      <c r="R133" s="197">
        <v>5.6499999999999995E-2</v>
      </c>
      <c r="S133" s="197">
        <v>1.25</v>
      </c>
      <c r="T133" s="197">
        <v>0.50078889239507718</v>
      </c>
      <c r="U133" s="197">
        <v>0.75268470790377973</v>
      </c>
      <c r="V133" s="20">
        <f t="shared" si="182"/>
        <v>0</v>
      </c>
      <c r="W133" s="20">
        <f t="shared" si="182"/>
        <v>0</v>
      </c>
      <c r="X133" s="20">
        <f t="shared" si="182"/>
        <v>0</v>
      </c>
      <c r="Y133" s="20">
        <f t="shared" si="182"/>
        <v>0</v>
      </c>
      <c r="Z133" s="20">
        <f t="shared" si="183"/>
        <v>0</v>
      </c>
      <c r="AA133" s="20">
        <f t="shared" si="183"/>
        <v>0</v>
      </c>
      <c r="AB133" s="20">
        <f t="shared" si="183"/>
        <v>0</v>
      </c>
      <c r="AC133" s="20">
        <f t="shared" si="183"/>
        <v>0</v>
      </c>
      <c r="AD133" s="20">
        <f t="shared" si="184"/>
        <v>0</v>
      </c>
      <c r="AE133" s="20">
        <f t="shared" si="185"/>
        <v>0</v>
      </c>
      <c r="AF133" s="20">
        <f t="shared" si="185"/>
        <v>0</v>
      </c>
      <c r="AG133" s="20">
        <f t="shared" si="185"/>
        <v>0</v>
      </c>
      <c r="AH133" s="20">
        <f t="shared" si="185"/>
        <v>0</v>
      </c>
      <c r="AI133" s="20">
        <f t="shared" si="186"/>
        <v>0</v>
      </c>
      <c r="AJ133" s="20">
        <f t="shared" si="187"/>
        <v>0</v>
      </c>
      <c r="AK133" s="20">
        <f t="shared" si="188"/>
        <v>0</v>
      </c>
      <c r="AL133" s="20">
        <f t="shared" si="189"/>
        <v>0</v>
      </c>
      <c r="AM133" s="20">
        <f t="shared" si="190"/>
        <v>0</v>
      </c>
      <c r="AO133">
        <f t="shared" si="191"/>
        <v>0</v>
      </c>
      <c r="AP133">
        <f t="shared" si="191"/>
        <v>0</v>
      </c>
      <c r="AQ133">
        <f t="shared" si="191"/>
        <v>0</v>
      </c>
      <c r="AR133">
        <f t="shared" si="191"/>
        <v>0</v>
      </c>
      <c r="AS133">
        <f t="shared" si="192"/>
        <v>0</v>
      </c>
      <c r="AU133">
        <f t="shared" si="193"/>
        <v>0</v>
      </c>
      <c r="AV133">
        <f t="shared" si="193"/>
        <v>0</v>
      </c>
      <c r="AW133">
        <f t="shared" si="193"/>
        <v>0</v>
      </c>
      <c r="AX133">
        <f t="shared" si="193"/>
        <v>0</v>
      </c>
      <c r="AY133">
        <f t="shared" si="194"/>
        <v>0</v>
      </c>
    </row>
    <row r="134" spans="1:53" ht="15" x14ac:dyDescent="0.25">
      <c r="A134" s="1"/>
      <c r="B134" s="2"/>
      <c r="C134" s="1" t="s">
        <v>13</v>
      </c>
      <c r="D134">
        <v>0</v>
      </c>
      <c r="E134" s="360">
        <v>0.78949999999999998</v>
      </c>
      <c r="F134">
        <v>0</v>
      </c>
      <c r="G134">
        <v>0</v>
      </c>
      <c r="H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20"/>
      <c r="P134" s="20"/>
      <c r="Q134" s="438">
        <v>2.4773621481394753E-2</v>
      </c>
      <c r="R134" s="197">
        <v>5.6499999999999995E-2</v>
      </c>
      <c r="S134" s="197">
        <v>1.25</v>
      </c>
      <c r="T134" s="197">
        <v>0.50078889239507718</v>
      </c>
      <c r="U134" s="197">
        <v>0.75268470790377973</v>
      </c>
      <c r="V134" s="20">
        <f t="shared" si="182"/>
        <v>1.1050707400152052E-2</v>
      </c>
      <c r="W134" s="20">
        <f t="shared" si="182"/>
        <v>0</v>
      </c>
      <c r="X134" s="20">
        <f t="shared" si="182"/>
        <v>0</v>
      </c>
      <c r="Y134" s="20">
        <f t="shared" si="182"/>
        <v>0</v>
      </c>
      <c r="Z134" s="20">
        <f t="shared" si="183"/>
        <v>6.5408727882945057E-3</v>
      </c>
      <c r="AA134" s="20">
        <f t="shared" si="183"/>
        <v>0</v>
      </c>
      <c r="AB134" s="20">
        <f t="shared" si="183"/>
        <v>0</v>
      </c>
      <c r="AC134" s="20">
        <f t="shared" si="183"/>
        <v>0</v>
      </c>
      <c r="AD134" s="20">
        <f t="shared" si="184"/>
        <v>6.5408727882945057E-3</v>
      </c>
      <c r="AE134" s="20">
        <f t="shared" si="185"/>
        <v>0.24448467699451445</v>
      </c>
      <c r="AF134" s="20">
        <f t="shared" si="185"/>
        <v>0</v>
      </c>
      <c r="AG134" s="20">
        <f t="shared" si="185"/>
        <v>0</v>
      </c>
      <c r="AH134" s="20">
        <f t="shared" si="185"/>
        <v>0</v>
      </c>
      <c r="AI134" s="20">
        <f t="shared" si="186"/>
        <v>0.19505487039140529</v>
      </c>
      <c r="AJ134" s="20">
        <f t="shared" si="187"/>
        <v>0</v>
      </c>
      <c r="AK134" s="20">
        <f t="shared" si="188"/>
        <v>0</v>
      </c>
      <c r="AL134" s="20">
        <f t="shared" si="189"/>
        <v>0</v>
      </c>
      <c r="AM134" s="20">
        <f t="shared" si="190"/>
        <v>0.19505487039140529</v>
      </c>
      <c r="AO134">
        <f t="shared" si="191"/>
        <v>4.3797684190420008E-3</v>
      </c>
      <c r="AP134">
        <f t="shared" si="191"/>
        <v>0</v>
      </c>
      <c r="AQ134">
        <f t="shared" si="191"/>
        <v>0</v>
      </c>
      <c r="AR134">
        <f t="shared" si="191"/>
        <v>0</v>
      </c>
      <c r="AS134">
        <f t="shared" si="192"/>
        <v>4.3797684190420008E-3</v>
      </c>
      <c r="AU134">
        <f t="shared" si="193"/>
        <v>0.13060874121408497</v>
      </c>
      <c r="AV134">
        <f t="shared" si="193"/>
        <v>0</v>
      </c>
      <c r="AW134">
        <f t="shared" si="193"/>
        <v>0</v>
      </c>
      <c r="AX134">
        <f t="shared" si="193"/>
        <v>0</v>
      </c>
      <c r="AY134">
        <f t="shared" si="194"/>
        <v>0.13060874121408497</v>
      </c>
    </row>
    <row r="135" spans="1:53" ht="15" x14ac:dyDescent="0.25">
      <c r="A135" s="7"/>
      <c r="B135" s="8" t="s">
        <v>14</v>
      </c>
      <c r="C135" s="7"/>
      <c r="D135" s="357">
        <f t="shared" ref="D135:H135" si="195">SUM(D129:D134)</f>
        <v>0</v>
      </c>
      <c r="E135" s="363">
        <f>SUM(E129:E134)</f>
        <v>400.10919999999999</v>
      </c>
      <c r="F135" s="357">
        <f t="shared" si="195"/>
        <v>0</v>
      </c>
      <c r="G135" s="357">
        <f t="shared" si="195"/>
        <v>0</v>
      </c>
      <c r="H135" s="357">
        <f t="shared" si="195"/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 s="20"/>
      <c r="P135" s="20"/>
      <c r="Q135" s="438">
        <v>1.6363515829861376E-2</v>
      </c>
      <c r="R135" s="197"/>
      <c r="S135" s="197"/>
      <c r="T135" s="197"/>
      <c r="U135" s="197"/>
      <c r="BA135" s="319">
        <f>(E135*10000*Q135*AU$10)</f>
        <v>43840.005853838753</v>
      </c>
    </row>
    <row r="136" spans="1:53" ht="15" x14ac:dyDescent="0.25">
      <c r="A136" s="10"/>
      <c r="B136" s="9" t="s">
        <v>15</v>
      </c>
      <c r="C136" s="5"/>
      <c r="E136" s="363">
        <f>SUM(E135)</f>
        <v>400.10919999999999</v>
      </c>
      <c r="H136" s="358">
        <f>SUM(D135:H135)</f>
        <v>400.10919999999999</v>
      </c>
      <c r="K136" s="14"/>
      <c r="N136">
        <v>0</v>
      </c>
      <c r="O136" s="20"/>
      <c r="P136" s="20"/>
      <c r="Q136" s="438"/>
      <c r="R136" s="197"/>
      <c r="S136" s="197"/>
      <c r="T136" s="197"/>
      <c r="U136" s="197"/>
    </row>
    <row r="137" spans="1:53" ht="15.75" x14ac:dyDescent="0.25">
      <c r="A137" s="1"/>
      <c r="B137" s="2"/>
      <c r="C137" s="1"/>
      <c r="E137" s="361"/>
      <c r="K137" s="14"/>
      <c r="O137" s="20"/>
      <c r="P137" s="20"/>
      <c r="Q137" s="439"/>
      <c r="R137" s="197"/>
      <c r="S137" s="197"/>
      <c r="T137" s="197"/>
      <c r="U137" s="197"/>
    </row>
    <row r="138" spans="1:53" ht="15" x14ac:dyDescent="0.25">
      <c r="A138" s="1">
        <v>15</v>
      </c>
      <c r="B138" s="2" t="s">
        <v>29</v>
      </c>
      <c r="C138" s="1" t="s">
        <v>8</v>
      </c>
      <c r="D138">
        <v>0</v>
      </c>
      <c r="E138" s="360">
        <v>0.63266</v>
      </c>
      <c r="F138">
        <v>0</v>
      </c>
      <c r="G138">
        <v>0</v>
      </c>
      <c r="H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 s="20"/>
      <c r="P138" s="20"/>
      <c r="Q138" s="438">
        <v>0.765597485662174</v>
      </c>
      <c r="R138" s="197">
        <v>2.5000000000000001E-2</v>
      </c>
      <c r="S138" s="197">
        <v>0.71599999999999997</v>
      </c>
      <c r="T138" s="197">
        <v>0.11808671869809276</v>
      </c>
      <c r="U138" s="197">
        <v>0.41263016220713056</v>
      </c>
      <c r="V138" s="20">
        <f t="shared" ref="V138:Y143" si="196">E138*$Q138*$R138*10</f>
        <v>0.12109072631975776</v>
      </c>
      <c r="W138" s="20">
        <f t="shared" si="196"/>
        <v>0</v>
      </c>
      <c r="X138" s="20">
        <f t="shared" si="196"/>
        <v>0</v>
      </c>
      <c r="Y138" s="20">
        <f t="shared" si="196"/>
        <v>0</v>
      </c>
      <c r="Z138" s="20">
        <f t="shared" ref="Z138:AC143" si="197">V138*(EXP(1.01-0.34*LN(Z$8))*(1-$T138)+(1*$T138))</f>
        <v>3.3788953543923431E-2</v>
      </c>
      <c r="AA138" s="20">
        <f t="shared" si="197"/>
        <v>0</v>
      </c>
      <c r="AB138" s="20">
        <f t="shared" si="197"/>
        <v>0</v>
      </c>
      <c r="AC138" s="20">
        <f t="shared" si="197"/>
        <v>0</v>
      </c>
      <c r="AD138" s="20">
        <f t="shared" ref="AD138:AD143" si="198">SUM(Z138:AC138)</f>
        <v>3.3788953543923431E-2</v>
      </c>
      <c r="AE138" s="20">
        <f t="shared" ref="AE138:AH143" si="199">E138*$Q138*$S138*10</f>
        <v>3.468038401797862</v>
      </c>
      <c r="AF138" s="20">
        <f t="shared" si="199"/>
        <v>0</v>
      </c>
      <c r="AG138" s="20">
        <f t="shared" si="199"/>
        <v>0</v>
      </c>
      <c r="AH138" s="20">
        <f t="shared" si="199"/>
        <v>0</v>
      </c>
      <c r="AI138" s="20">
        <f t="shared" ref="AI138:AI143" si="200">AE138*(EXP(1.01-0.34*LN(AI$8))*(1-$U138)+(1*$U138))</f>
        <v>1.8027792291186686</v>
      </c>
      <c r="AJ138" s="20">
        <f t="shared" ref="AJ138:AJ143" si="201">AF138*(EXP(1.01-0.34*LN(AJ$8))*(1-$U138)+(1*$U138))</f>
        <v>0</v>
      </c>
      <c r="AK138" s="20">
        <f t="shared" ref="AK138:AK143" si="202">AG138*(EXP(1.01-0.34*LN(AK$8))*(1-$U138)+(1*$U138))</f>
        <v>0</v>
      </c>
      <c r="AL138" s="20">
        <f t="shared" ref="AL138:AL143" si="203">AH138*(EXP(1.01-0.34*LN(AL$8))*(1-$U138)+(1*$U138))</f>
        <v>0</v>
      </c>
      <c r="AM138" s="20">
        <f t="shared" ref="AM138:AM143" si="204">SUM(AI138:AL138)</f>
        <v>1.8027792291186686</v>
      </c>
      <c r="AO138">
        <f t="shared" ref="AO138:AR143" si="205">Z138*AO$10</f>
        <v>2.262508329301113E-2</v>
      </c>
      <c r="AP138">
        <f t="shared" si="205"/>
        <v>0</v>
      </c>
      <c r="AQ138">
        <f t="shared" si="205"/>
        <v>0</v>
      </c>
      <c r="AR138">
        <f t="shared" si="205"/>
        <v>0</v>
      </c>
      <c r="AS138">
        <f t="shared" ref="AS138:AS143" si="206">SUM(AO138:AR138)</f>
        <v>2.262508329301113E-2</v>
      </c>
      <c r="AU138">
        <f t="shared" ref="AU138:AX143" si="207">AI138*AU$10</f>
        <v>1.2071409718178605</v>
      </c>
      <c r="AV138">
        <f t="shared" si="207"/>
        <v>0</v>
      </c>
      <c r="AW138">
        <f t="shared" si="207"/>
        <v>0</v>
      </c>
      <c r="AX138">
        <f t="shared" si="207"/>
        <v>0</v>
      </c>
      <c r="AY138">
        <f t="shared" ref="AY138:AY143" si="208">SUM(AU138:AX138)</f>
        <v>1.2071409718178605</v>
      </c>
    </row>
    <row r="139" spans="1:53" ht="15" x14ac:dyDescent="0.25">
      <c r="A139" s="1"/>
      <c r="B139" s="2"/>
      <c r="C139" s="1" t="s">
        <v>9</v>
      </c>
      <c r="D139">
        <v>0</v>
      </c>
      <c r="E139" s="360">
        <v>1.5754999999999999</v>
      </c>
      <c r="F139">
        <v>0</v>
      </c>
      <c r="G139">
        <v>0</v>
      </c>
      <c r="H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 s="20"/>
      <c r="P139" s="20"/>
      <c r="Q139" s="438">
        <v>0.766194971324348</v>
      </c>
      <c r="R139" s="197">
        <v>2.5000000000000001E-2</v>
      </c>
      <c r="S139" s="197">
        <v>0.71599999999999997</v>
      </c>
      <c r="T139" s="197">
        <v>0.11808671869809276</v>
      </c>
      <c r="U139" s="197">
        <v>0.41263016220713056</v>
      </c>
      <c r="V139" s="20">
        <f t="shared" si="196"/>
        <v>0.30178504433037756</v>
      </c>
      <c r="W139" s="20">
        <f t="shared" si="196"/>
        <v>0</v>
      </c>
      <c r="X139" s="20">
        <f t="shared" si="196"/>
        <v>0</v>
      </c>
      <c r="Y139" s="20">
        <f t="shared" si="196"/>
        <v>0</v>
      </c>
      <c r="Z139" s="20">
        <f t="shared" si="197"/>
        <v>8.4209593525794296E-2</v>
      </c>
      <c r="AA139" s="20">
        <f t="shared" si="197"/>
        <v>0</v>
      </c>
      <c r="AB139" s="20">
        <f t="shared" si="197"/>
        <v>0</v>
      </c>
      <c r="AC139" s="20">
        <f t="shared" si="197"/>
        <v>0</v>
      </c>
      <c r="AD139" s="20">
        <f t="shared" si="198"/>
        <v>8.4209593525794296E-2</v>
      </c>
      <c r="AE139" s="20">
        <f t="shared" si="199"/>
        <v>8.6431236696220122</v>
      </c>
      <c r="AF139" s="20">
        <f t="shared" si="199"/>
        <v>0</v>
      </c>
      <c r="AG139" s="20">
        <f t="shared" si="199"/>
        <v>0</v>
      </c>
      <c r="AH139" s="20">
        <f t="shared" si="199"/>
        <v>0</v>
      </c>
      <c r="AI139" s="20">
        <f t="shared" si="200"/>
        <v>4.4929271308589964</v>
      </c>
      <c r="AJ139" s="20">
        <f t="shared" si="201"/>
        <v>0</v>
      </c>
      <c r="AK139" s="20">
        <f t="shared" si="202"/>
        <v>0</v>
      </c>
      <c r="AL139" s="20">
        <f t="shared" si="203"/>
        <v>0</v>
      </c>
      <c r="AM139" s="20">
        <f t="shared" si="204"/>
        <v>4.4929271308589964</v>
      </c>
      <c r="AO139">
        <f t="shared" si="205"/>
        <v>5.6386743824871861E-2</v>
      </c>
      <c r="AP139">
        <f t="shared" si="205"/>
        <v>0</v>
      </c>
      <c r="AQ139">
        <f t="shared" si="205"/>
        <v>0</v>
      </c>
      <c r="AR139">
        <f t="shared" si="205"/>
        <v>0</v>
      </c>
      <c r="AS139">
        <f t="shared" si="206"/>
        <v>5.6386743824871861E-2</v>
      </c>
      <c r="AU139">
        <f t="shared" si="207"/>
        <v>3.0084640068231838</v>
      </c>
      <c r="AV139">
        <f t="shared" si="207"/>
        <v>0</v>
      </c>
      <c r="AW139">
        <f t="shared" si="207"/>
        <v>0</v>
      </c>
      <c r="AX139">
        <f t="shared" si="207"/>
        <v>0</v>
      </c>
      <c r="AY139">
        <f t="shared" si="208"/>
        <v>3.0084640068231838</v>
      </c>
    </row>
    <row r="140" spans="1:53" ht="15" x14ac:dyDescent="0.25">
      <c r="A140" s="1"/>
      <c r="B140" s="2"/>
      <c r="C140" s="1" t="s">
        <v>10</v>
      </c>
      <c r="D140">
        <v>0</v>
      </c>
      <c r="E140" s="360">
        <v>0</v>
      </c>
      <c r="F140">
        <v>0</v>
      </c>
      <c r="G140">
        <v>0</v>
      </c>
      <c r="H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 s="20"/>
      <c r="P140" s="20"/>
      <c r="Q140" s="438"/>
      <c r="R140" s="197">
        <v>2.5000000000000001E-2</v>
      </c>
      <c r="S140" s="197">
        <v>0.71599999999999997</v>
      </c>
      <c r="T140" s="197">
        <v>0.11808671869809276</v>
      </c>
      <c r="U140" s="197">
        <v>0.41263016220713056</v>
      </c>
      <c r="V140" s="20">
        <f t="shared" si="196"/>
        <v>0</v>
      </c>
      <c r="W140" s="20">
        <f t="shared" si="196"/>
        <v>0</v>
      </c>
      <c r="X140" s="20">
        <f t="shared" si="196"/>
        <v>0</v>
      </c>
      <c r="Y140" s="20">
        <f t="shared" si="196"/>
        <v>0</v>
      </c>
      <c r="Z140" s="20">
        <f t="shared" si="197"/>
        <v>0</v>
      </c>
      <c r="AA140" s="20">
        <f t="shared" si="197"/>
        <v>0</v>
      </c>
      <c r="AB140" s="20">
        <f t="shared" si="197"/>
        <v>0</v>
      </c>
      <c r="AC140" s="20">
        <f t="shared" si="197"/>
        <v>0</v>
      </c>
      <c r="AD140" s="20">
        <f t="shared" si="198"/>
        <v>0</v>
      </c>
      <c r="AE140" s="20">
        <f t="shared" si="199"/>
        <v>0</v>
      </c>
      <c r="AF140" s="20">
        <f t="shared" si="199"/>
        <v>0</v>
      </c>
      <c r="AG140" s="20">
        <f t="shared" si="199"/>
        <v>0</v>
      </c>
      <c r="AH140" s="20">
        <f t="shared" si="199"/>
        <v>0</v>
      </c>
      <c r="AI140" s="20">
        <f t="shared" si="200"/>
        <v>0</v>
      </c>
      <c r="AJ140" s="20">
        <f t="shared" si="201"/>
        <v>0</v>
      </c>
      <c r="AK140" s="20">
        <f t="shared" si="202"/>
        <v>0</v>
      </c>
      <c r="AL140" s="20">
        <f t="shared" si="203"/>
        <v>0</v>
      </c>
      <c r="AM140" s="20">
        <f t="shared" si="204"/>
        <v>0</v>
      </c>
      <c r="AO140">
        <f t="shared" si="205"/>
        <v>0</v>
      </c>
      <c r="AP140">
        <f t="shared" si="205"/>
        <v>0</v>
      </c>
      <c r="AQ140">
        <f t="shared" si="205"/>
        <v>0</v>
      </c>
      <c r="AR140">
        <f t="shared" si="205"/>
        <v>0</v>
      </c>
      <c r="AS140">
        <f t="shared" si="206"/>
        <v>0</v>
      </c>
      <c r="AU140">
        <f t="shared" si="207"/>
        <v>0</v>
      </c>
      <c r="AV140">
        <f t="shared" si="207"/>
        <v>0</v>
      </c>
      <c r="AW140">
        <f t="shared" si="207"/>
        <v>0</v>
      </c>
      <c r="AX140">
        <f t="shared" si="207"/>
        <v>0</v>
      </c>
      <c r="AY140">
        <f t="shared" si="208"/>
        <v>0</v>
      </c>
    </row>
    <row r="141" spans="1:53" ht="15" x14ac:dyDescent="0.25">
      <c r="A141" s="1"/>
      <c r="B141" s="2"/>
      <c r="C141" s="1" t="s">
        <v>11</v>
      </c>
      <c r="D141">
        <v>0</v>
      </c>
      <c r="E141" s="360">
        <v>10.5235</v>
      </c>
      <c r="F141">
        <v>0</v>
      </c>
      <c r="G141">
        <v>0</v>
      </c>
      <c r="H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 s="20"/>
      <c r="P141" s="20"/>
      <c r="Q141" s="438">
        <v>0.7673899426486962</v>
      </c>
      <c r="R141" s="197">
        <v>2.5000000000000001E-2</v>
      </c>
      <c r="S141" s="197">
        <v>0.71599999999999997</v>
      </c>
      <c r="T141" s="197">
        <v>0.11808671869809276</v>
      </c>
      <c r="U141" s="197">
        <v>0.41263016220713056</v>
      </c>
      <c r="V141" s="20">
        <f t="shared" si="196"/>
        <v>2.0189070153658886</v>
      </c>
      <c r="W141" s="20">
        <f t="shared" si="196"/>
        <v>0</v>
      </c>
      <c r="X141" s="20">
        <f t="shared" si="196"/>
        <v>0</v>
      </c>
      <c r="Y141" s="20">
        <f t="shared" si="196"/>
        <v>0</v>
      </c>
      <c r="Z141" s="20">
        <f t="shared" si="197"/>
        <v>0.56335243354278686</v>
      </c>
      <c r="AA141" s="20">
        <f t="shared" si="197"/>
        <v>0</v>
      </c>
      <c r="AB141" s="20">
        <f t="shared" si="197"/>
        <v>0</v>
      </c>
      <c r="AC141" s="20">
        <f t="shared" si="197"/>
        <v>0</v>
      </c>
      <c r="AD141" s="20">
        <f t="shared" si="198"/>
        <v>0.56335243354278686</v>
      </c>
      <c r="AE141" s="20">
        <f t="shared" si="199"/>
        <v>57.821496920079049</v>
      </c>
      <c r="AF141" s="20">
        <f t="shared" si="199"/>
        <v>0</v>
      </c>
      <c r="AG141" s="20">
        <f t="shared" si="199"/>
        <v>0</v>
      </c>
      <c r="AH141" s="20">
        <f t="shared" si="199"/>
        <v>0</v>
      </c>
      <c r="AI141" s="20">
        <f t="shared" si="200"/>
        <v>30.057162455302958</v>
      </c>
      <c r="AJ141" s="20">
        <f t="shared" si="201"/>
        <v>0</v>
      </c>
      <c r="AK141" s="20">
        <f t="shared" si="202"/>
        <v>0</v>
      </c>
      <c r="AL141" s="20">
        <f t="shared" si="203"/>
        <v>0</v>
      </c>
      <c r="AM141" s="20">
        <f t="shared" si="204"/>
        <v>30.057162455302958</v>
      </c>
      <c r="AO141">
        <f t="shared" si="205"/>
        <v>0.37722078950025006</v>
      </c>
      <c r="AP141">
        <f t="shared" si="205"/>
        <v>0</v>
      </c>
      <c r="AQ141">
        <f t="shared" si="205"/>
        <v>0</v>
      </c>
      <c r="AR141">
        <f t="shared" si="205"/>
        <v>0</v>
      </c>
      <c r="AS141">
        <f t="shared" si="206"/>
        <v>0.37722078950025006</v>
      </c>
      <c r="AU141">
        <f t="shared" si="207"/>
        <v>20.126275980070861</v>
      </c>
      <c r="AV141">
        <f t="shared" si="207"/>
        <v>0</v>
      </c>
      <c r="AW141">
        <f t="shared" si="207"/>
        <v>0</v>
      </c>
      <c r="AX141">
        <f t="shared" si="207"/>
        <v>0</v>
      </c>
      <c r="AY141">
        <f t="shared" si="208"/>
        <v>20.126275980070861</v>
      </c>
    </row>
    <row r="142" spans="1:53" ht="15" x14ac:dyDescent="0.25">
      <c r="A142" s="1"/>
      <c r="B142" s="2"/>
      <c r="C142" s="1" t="s">
        <v>12</v>
      </c>
      <c r="D142">
        <v>0</v>
      </c>
      <c r="E142" s="360">
        <v>0</v>
      </c>
      <c r="F142">
        <v>0</v>
      </c>
      <c r="G142">
        <v>0</v>
      </c>
      <c r="H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 s="20"/>
      <c r="P142" s="20"/>
      <c r="Q142" s="438"/>
      <c r="R142" s="197">
        <v>2.5000000000000001E-2</v>
      </c>
      <c r="S142" s="197">
        <v>0.71599999999999997</v>
      </c>
      <c r="T142" s="197">
        <v>0.11808671869809276</v>
      </c>
      <c r="U142" s="197">
        <v>0.41263016220713056</v>
      </c>
      <c r="V142" s="20">
        <f t="shared" si="196"/>
        <v>0</v>
      </c>
      <c r="W142" s="20">
        <f t="shared" si="196"/>
        <v>0</v>
      </c>
      <c r="X142" s="20">
        <f t="shared" si="196"/>
        <v>0</v>
      </c>
      <c r="Y142" s="20">
        <f t="shared" si="196"/>
        <v>0</v>
      </c>
      <c r="Z142" s="20">
        <f t="shared" si="197"/>
        <v>0</v>
      </c>
      <c r="AA142" s="20">
        <f t="shared" si="197"/>
        <v>0</v>
      </c>
      <c r="AB142" s="20">
        <f t="shared" si="197"/>
        <v>0</v>
      </c>
      <c r="AC142" s="20">
        <f t="shared" si="197"/>
        <v>0</v>
      </c>
      <c r="AD142" s="20">
        <f t="shared" si="198"/>
        <v>0</v>
      </c>
      <c r="AE142" s="20">
        <f t="shared" si="199"/>
        <v>0</v>
      </c>
      <c r="AF142" s="20">
        <f t="shared" si="199"/>
        <v>0</v>
      </c>
      <c r="AG142" s="20">
        <f t="shared" si="199"/>
        <v>0</v>
      </c>
      <c r="AH142" s="20">
        <f t="shared" si="199"/>
        <v>0</v>
      </c>
      <c r="AI142" s="20">
        <f t="shared" si="200"/>
        <v>0</v>
      </c>
      <c r="AJ142" s="20">
        <f t="shared" si="201"/>
        <v>0</v>
      </c>
      <c r="AK142" s="20">
        <f t="shared" si="202"/>
        <v>0</v>
      </c>
      <c r="AL142" s="20">
        <f t="shared" si="203"/>
        <v>0</v>
      </c>
      <c r="AM142" s="20">
        <f t="shared" si="204"/>
        <v>0</v>
      </c>
      <c r="AO142">
        <f t="shared" si="205"/>
        <v>0</v>
      </c>
      <c r="AP142">
        <f t="shared" si="205"/>
        <v>0</v>
      </c>
      <c r="AQ142">
        <f t="shared" si="205"/>
        <v>0</v>
      </c>
      <c r="AR142">
        <f t="shared" si="205"/>
        <v>0</v>
      </c>
      <c r="AS142">
        <f t="shared" si="206"/>
        <v>0</v>
      </c>
      <c r="AU142">
        <f t="shared" si="207"/>
        <v>0</v>
      </c>
      <c r="AV142">
        <f t="shared" si="207"/>
        <v>0</v>
      </c>
      <c r="AW142">
        <f t="shared" si="207"/>
        <v>0</v>
      </c>
      <c r="AX142">
        <f t="shared" si="207"/>
        <v>0</v>
      </c>
      <c r="AY142">
        <f t="shared" si="208"/>
        <v>0</v>
      </c>
    </row>
    <row r="143" spans="1:53" ht="15" x14ac:dyDescent="0.25">
      <c r="A143" s="1"/>
      <c r="B143" s="2"/>
      <c r="C143" s="1" t="s">
        <v>13</v>
      </c>
      <c r="D143">
        <v>0</v>
      </c>
      <c r="E143" s="360">
        <v>12.9397</v>
      </c>
      <c r="F143">
        <v>0</v>
      </c>
      <c r="G143">
        <v>0</v>
      </c>
      <c r="H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20"/>
      <c r="P143" s="20"/>
      <c r="Q143" s="438">
        <v>0.76738994264869609</v>
      </c>
      <c r="R143" s="197">
        <v>2.5000000000000001E-2</v>
      </c>
      <c r="S143" s="197">
        <v>0.71599999999999997</v>
      </c>
      <c r="T143" s="197">
        <v>0.11808671869809276</v>
      </c>
      <c r="U143" s="197">
        <v>0.41263016220713056</v>
      </c>
      <c r="V143" s="20">
        <f t="shared" si="196"/>
        <v>2.4824489102228333</v>
      </c>
      <c r="W143" s="20">
        <f t="shared" si="196"/>
        <v>0</v>
      </c>
      <c r="X143" s="20">
        <f t="shared" si="196"/>
        <v>0</v>
      </c>
      <c r="Y143" s="20">
        <f t="shared" si="196"/>
        <v>0</v>
      </c>
      <c r="Z143" s="20">
        <f t="shared" si="197"/>
        <v>0.69269838782853599</v>
      </c>
      <c r="AA143" s="20">
        <f t="shared" si="197"/>
        <v>0</v>
      </c>
      <c r="AB143" s="20">
        <f t="shared" si="197"/>
        <v>0</v>
      </c>
      <c r="AC143" s="20">
        <f t="shared" si="197"/>
        <v>0</v>
      </c>
      <c r="AD143" s="20">
        <f t="shared" si="198"/>
        <v>0.69269838782853599</v>
      </c>
      <c r="AE143" s="20">
        <f t="shared" si="199"/>
        <v>71.097336788781945</v>
      </c>
      <c r="AF143" s="20">
        <f t="shared" si="199"/>
        <v>0</v>
      </c>
      <c r="AG143" s="20">
        <f t="shared" si="199"/>
        <v>0</v>
      </c>
      <c r="AH143" s="20">
        <f t="shared" si="199"/>
        <v>0</v>
      </c>
      <c r="AI143" s="20">
        <f t="shared" si="200"/>
        <v>36.958299522296159</v>
      </c>
      <c r="AJ143" s="20">
        <f t="shared" si="201"/>
        <v>0</v>
      </c>
      <c r="AK143" s="20">
        <f t="shared" si="202"/>
        <v>0</v>
      </c>
      <c r="AL143" s="20">
        <f t="shared" si="203"/>
        <v>0</v>
      </c>
      <c r="AM143" s="20">
        <f t="shared" si="204"/>
        <v>36.958299522296159</v>
      </c>
      <c r="AO143">
        <f t="shared" si="205"/>
        <v>0.46383084048998768</v>
      </c>
      <c r="AP143">
        <f t="shared" si="205"/>
        <v>0</v>
      </c>
      <c r="AQ143">
        <f t="shared" si="205"/>
        <v>0</v>
      </c>
      <c r="AR143">
        <f t="shared" si="205"/>
        <v>0</v>
      </c>
      <c r="AS143">
        <f t="shared" si="206"/>
        <v>0.46383084048998768</v>
      </c>
      <c r="AU143">
        <f t="shared" si="207"/>
        <v>24.747277360129505</v>
      </c>
      <c r="AV143">
        <f t="shared" si="207"/>
        <v>0</v>
      </c>
      <c r="AW143">
        <f t="shared" si="207"/>
        <v>0</v>
      </c>
      <c r="AX143">
        <f t="shared" si="207"/>
        <v>0</v>
      </c>
      <c r="AY143">
        <f t="shared" si="208"/>
        <v>24.747277360129505</v>
      </c>
    </row>
    <row r="144" spans="1:53" ht="15" x14ac:dyDescent="0.25">
      <c r="A144" s="7"/>
      <c r="B144" s="8" t="s">
        <v>14</v>
      </c>
      <c r="C144" s="7"/>
      <c r="D144" s="357">
        <f t="shared" ref="D144:H144" si="209">SUM(D138:D143)</f>
        <v>0</v>
      </c>
      <c r="E144" s="363">
        <f>SUM(E138:E143)</f>
        <v>25.67136</v>
      </c>
      <c r="F144" s="357">
        <f t="shared" si="209"/>
        <v>0</v>
      </c>
      <c r="G144" s="357">
        <f t="shared" si="209"/>
        <v>0</v>
      </c>
      <c r="H144" s="357">
        <f t="shared" si="209"/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 s="20"/>
      <c r="P144" s="20"/>
      <c r="Q144" s="438">
        <v>0.76727243063692097</v>
      </c>
      <c r="R144" s="197"/>
      <c r="S144" s="197"/>
      <c r="T144" s="197"/>
      <c r="U144" s="197"/>
      <c r="BA144" s="319">
        <f>(E144*10000*Q144*AU$10)</f>
        <v>131890.62175206153</v>
      </c>
    </row>
    <row r="145" spans="1:53" ht="15" x14ac:dyDescent="0.25">
      <c r="A145" s="10"/>
      <c r="B145" s="9" t="s">
        <v>15</v>
      </c>
      <c r="C145" s="5"/>
      <c r="E145" s="363">
        <f>SUM(E144)</f>
        <v>25.67136</v>
      </c>
      <c r="H145" s="358">
        <f>SUM(D144:H144)</f>
        <v>25.67136</v>
      </c>
      <c r="K145" s="14"/>
      <c r="N145">
        <v>0</v>
      </c>
      <c r="O145" s="20"/>
      <c r="P145" s="20"/>
      <c r="Q145" s="438"/>
      <c r="R145" s="197"/>
      <c r="S145" s="197"/>
      <c r="T145" s="197"/>
      <c r="U145" s="197"/>
    </row>
    <row r="146" spans="1:53" ht="15.75" x14ac:dyDescent="0.25">
      <c r="A146" s="1"/>
      <c r="B146" s="2"/>
      <c r="C146" s="1"/>
      <c r="E146" s="361"/>
      <c r="K146" s="14"/>
      <c r="O146" s="20"/>
      <c r="P146" s="20"/>
      <c r="Q146" s="439"/>
      <c r="R146" s="197"/>
      <c r="S146" s="197"/>
      <c r="T146" s="197"/>
      <c r="U146" s="197"/>
    </row>
    <row r="147" spans="1:53" ht="15" x14ac:dyDescent="0.25">
      <c r="A147" s="1">
        <v>16</v>
      </c>
      <c r="B147" s="2" t="s">
        <v>30</v>
      </c>
      <c r="C147" s="1" t="s">
        <v>8</v>
      </c>
      <c r="D147">
        <v>0</v>
      </c>
      <c r="E147" s="360">
        <v>69.565200000000004</v>
      </c>
      <c r="F147">
        <v>0</v>
      </c>
      <c r="G147">
        <v>0</v>
      </c>
      <c r="H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 s="20"/>
      <c r="P147" s="20"/>
      <c r="Q147" s="438">
        <v>0.6759958094369567</v>
      </c>
      <c r="R147" s="197">
        <v>5.6499999999999995E-2</v>
      </c>
      <c r="S147" s="197">
        <v>1.25</v>
      </c>
      <c r="T147" s="197">
        <v>0.50650413159351704</v>
      </c>
      <c r="U147" s="197">
        <v>0.77519673403474398</v>
      </c>
      <c r="V147" s="20">
        <f t="shared" ref="V147:Y152" si="210">E147*$Q147*$R147*10</f>
        <v>26.569567780693735</v>
      </c>
      <c r="W147" s="20">
        <f t="shared" si="210"/>
        <v>0</v>
      </c>
      <c r="X147" s="20">
        <f t="shared" si="210"/>
        <v>0</v>
      </c>
      <c r="Y147" s="20">
        <f t="shared" si="210"/>
        <v>0</v>
      </c>
      <c r="Z147" s="20">
        <f t="shared" ref="Z147:AC152" si="211">V147*(EXP(1.01-0.34*LN(Z$8))*(1-$T147)+(1*$T147))</f>
        <v>15.850566909029967</v>
      </c>
      <c r="AA147" s="20">
        <f t="shared" si="211"/>
        <v>0</v>
      </c>
      <c r="AB147" s="20">
        <f t="shared" si="211"/>
        <v>0</v>
      </c>
      <c r="AC147" s="20">
        <f t="shared" si="211"/>
        <v>0</v>
      </c>
      <c r="AD147" s="20">
        <f t="shared" ref="AD147:AD152" si="212">SUM(Z147:AC147)</f>
        <v>15.850566909029967</v>
      </c>
      <c r="AE147" s="20">
        <f t="shared" ref="AE147:AH152" si="213">E147*$Q147*$S147*10</f>
        <v>587.82229603304722</v>
      </c>
      <c r="AF147" s="20">
        <f t="shared" si="213"/>
        <v>0</v>
      </c>
      <c r="AG147" s="20">
        <f t="shared" si="213"/>
        <v>0</v>
      </c>
      <c r="AH147" s="20">
        <f t="shared" si="213"/>
        <v>0</v>
      </c>
      <c r="AI147" s="20">
        <f t="shared" ref="AI147:AI152" si="214">AE147*(EXP(1.01-0.34*LN(AI$8))*(1-$U147)+(1*$U147))</f>
        <v>479.79463655780233</v>
      </c>
      <c r="AJ147" s="20">
        <f t="shared" ref="AJ147:AJ152" si="215">AF147*(EXP(1.01-0.34*LN(AJ$8))*(1-$U147)+(1*$U147))</f>
        <v>0</v>
      </c>
      <c r="AK147" s="20">
        <f t="shared" ref="AK147:AK152" si="216">AG147*(EXP(1.01-0.34*LN(AK$8))*(1-$U147)+(1*$U147))</f>
        <v>0</v>
      </c>
      <c r="AL147" s="20">
        <f t="shared" ref="AL147:AL152" si="217">AH147*(EXP(1.01-0.34*LN(AL$8))*(1-$U147)+(1*$U147))</f>
        <v>0</v>
      </c>
      <c r="AM147" s="20">
        <f t="shared" ref="AM147:AM152" si="218">SUM(AI147:AL147)</f>
        <v>479.79463655780233</v>
      </c>
      <c r="AO147">
        <f t="shared" ref="AO147:AR152" si="219">Z147*AO$10</f>
        <v>10.613539602286465</v>
      </c>
      <c r="AP147">
        <f t="shared" si="219"/>
        <v>0</v>
      </c>
      <c r="AQ147">
        <f t="shared" si="219"/>
        <v>0</v>
      </c>
      <c r="AR147">
        <f t="shared" si="219"/>
        <v>0</v>
      </c>
      <c r="AS147">
        <f t="shared" ref="AS147:AS152" si="220">SUM(AO147:AR147)</f>
        <v>10.613539602286465</v>
      </c>
      <c r="AU147">
        <f t="shared" ref="AU147:AX152" si="221">AI147*AU$10</f>
        <v>321.27048863910443</v>
      </c>
      <c r="AV147">
        <f t="shared" si="221"/>
        <v>0</v>
      </c>
      <c r="AW147">
        <f t="shared" si="221"/>
        <v>0</v>
      </c>
      <c r="AX147">
        <f t="shared" si="221"/>
        <v>0</v>
      </c>
      <c r="AY147">
        <f t="shared" ref="AY147:AY152" si="222">SUM(AU147:AX147)</f>
        <v>321.27048863910443</v>
      </c>
    </row>
    <row r="148" spans="1:53" ht="15" x14ac:dyDescent="0.25">
      <c r="A148" s="1"/>
      <c r="B148" s="2"/>
      <c r="C148" s="1" t="s">
        <v>9</v>
      </c>
      <c r="D148">
        <v>0</v>
      </c>
      <c r="E148" s="360">
        <v>8.3310999999999993</v>
      </c>
      <c r="F148">
        <v>0</v>
      </c>
      <c r="G148">
        <v>0</v>
      </c>
      <c r="H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 s="20"/>
      <c r="P148" s="20"/>
      <c r="Q148" s="438">
        <v>0.67699161887391346</v>
      </c>
      <c r="R148" s="197">
        <v>5.6499999999999995E-2</v>
      </c>
      <c r="S148" s="197">
        <v>1.25</v>
      </c>
      <c r="T148" s="197">
        <v>0.50650413159351704</v>
      </c>
      <c r="U148" s="197">
        <v>0.77519673403474398</v>
      </c>
      <c r="V148" s="20">
        <f t="shared" si="210"/>
        <v>3.1866479549402591</v>
      </c>
      <c r="W148" s="20">
        <f t="shared" si="210"/>
        <v>0</v>
      </c>
      <c r="X148" s="20">
        <f t="shared" si="210"/>
        <v>0</v>
      </c>
      <c r="Y148" s="20">
        <f t="shared" si="210"/>
        <v>0</v>
      </c>
      <c r="Z148" s="20">
        <f t="shared" si="211"/>
        <v>1.9010537560195591</v>
      </c>
      <c r="AA148" s="20">
        <f t="shared" si="211"/>
        <v>0</v>
      </c>
      <c r="AB148" s="20">
        <f t="shared" si="211"/>
        <v>0</v>
      </c>
      <c r="AC148" s="20">
        <f t="shared" si="211"/>
        <v>0</v>
      </c>
      <c r="AD148" s="20">
        <f t="shared" si="212"/>
        <v>1.9010537560195591</v>
      </c>
      <c r="AE148" s="20">
        <f t="shared" si="213"/>
        <v>70.501060950005737</v>
      </c>
      <c r="AF148" s="20">
        <f t="shared" si="213"/>
        <v>0</v>
      </c>
      <c r="AG148" s="20">
        <f t="shared" si="213"/>
        <v>0</v>
      </c>
      <c r="AH148" s="20">
        <f t="shared" si="213"/>
        <v>0</v>
      </c>
      <c r="AI148" s="20">
        <f t="shared" si="214"/>
        <v>57.544654470788878</v>
      </c>
      <c r="AJ148" s="20">
        <f t="shared" si="215"/>
        <v>0</v>
      </c>
      <c r="AK148" s="20">
        <f t="shared" si="216"/>
        <v>0</v>
      </c>
      <c r="AL148" s="20">
        <f t="shared" si="217"/>
        <v>0</v>
      </c>
      <c r="AM148" s="20">
        <f t="shared" si="218"/>
        <v>57.544654470788878</v>
      </c>
      <c r="AO148">
        <f t="shared" si="219"/>
        <v>1.2729455950306967</v>
      </c>
      <c r="AP148">
        <f t="shared" si="219"/>
        <v>0</v>
      </c>
      <c r="AQ148">
        <f t="shared" si="219"/>
        <v>0</v>
      </c>
      <c r="AR148">
        <f t="shared" si="219"/>
        <v>0</v>
      </c>
      <c r="AS148">
        <f t="shared" si="220"/>
        <v>1.2729455950306967</v>
      </c>
      <c r="AU148">
        <f t="shared" si="221"/>
        <v>38.531900633640234</v>
      </c>
      <c r="AV148">
        <f t="shared" si="221"/>
        <v>0</v>
      </c>
      <c r="AW148">
        <f t="shared" si="221"/>
        <v>0</v>
      </c>
      <c r="AX148">
        <f t="shared" si="221"/>
        <v>0</v>
      </c>
      <c r="AY148">
        <f t="shared" si="222"/>
        <v>38.531900633640234</v>
      </c>
    </row>
    <row r="149" spans="1:53" ht="15" x14ac:dyDescent="0.25">
      <c r="A149" s="1"/>
      <c r="B149" s="2"/>
      <c r="C149" s="1" t="s">
        <v>10</v>
      </c>
      <c r="D149">
        <v>0</v>
      </c>
      <c r="E149" s="360">
        <v>0</v>
      </c>
      <c r="F149">
        <v>0</v>
      </c>
      <c r="G149">
        <v>0</v>
      </c>
      <c r="H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 s="20"/>
      <c r="P149" s="20"/>
      <c r="Q149" s="438"/>
      <c r="R149" s="197">
        <v>5.6499999999999995E-2</v>
      </c>
      <c r="S149" s="197">
        <v>1.25</v>
      </c>
      <c r="T149" s="197">
        <v>0.50650413159351704</v>
      </c>
      <c r="U149" s="197">
        <v>0.77519673403474398</v>
      </c>
      <c r="V149" s="20">
        <f t="shared" si="210"/>
        <v>0</v>
      </c>
      <c r="W149" s="20">
        <f t="shared" si="210"/>
        <v>0</v>
      </c>
      <c r="X149" s="20">
        <f t="shared" si="210"/>
        <v>0</v>
      </c>
      <c r="Y149" s="20">
        <f t="shared" si="210"/>
        <v>0</v>
      </c>
      <c r="Z149" s="20">
        <f t="shared" si="211"/>
        <v>0</v>
      </c>
      <c r="AA149" s="20">
        <f t="shared" si="211"/>
        <v>0</v>
      </c>
      <c r="AB149" s="20">
        <f t="shared" si="211"/>
        <v>0</v>
      </c>
      <c r="AC149" s="20">
        <f t="shared" si="211"/>
        <v>0</v>
      </c>
      <c r="AD149" s="20">
        <f t="shared" si="212"/>
        <v>0</v>
      </c>
      <c r="AE149" s="20">
        <f t="shared" si="213"/>
        <v>0</v>
      </c>
      <c r="AF149" s="20">
        <f t="shared" si="213"/>
        <v>0</v>
      </c>
      <c r="AG149" s="20">
        <f t="shared" si="213"/>
        <v>0</v>
      </c>
      <c r="AH149" s="20">
        <f t="shared" si="213"/>
        <v>0</v>
      </c>
      <c r="AI149" s="20">
        <f t="shared" si="214"/>
        <v>0</v>
      </c>
      <c r="AJ149" s="20">
        <f t="shared" si="215"/>
        <v>0</v>
      </c>
      <c r="AK149" s="20">
        <f t="shared" si="216"/>
        <v>0</v>
      </c>
      <c r="AL149" s="20">
        <f t="shared" si="217"/>
        <v>0</v>
      </c>
      <c r="AM149" s="20">
        <f t="shared" si="218"/>
        <v>0</v>
      </c>
      <c r="AO149">
        <f t="shared" si="219"/>
        <v>0</v>
      </c>
      <c r="AP149">
        <f t="shared" si="219"/>
        <v>0</v>
      </c>
      <c r="AQ149">
        <f t="shared" si="219"/>
        <v>0</v>
      </c>
      <c r="AR149">
        <f t="shared" si="219"/>
        <v>0</v>
      </c>
      <c r="AS149">
        <f t="shared" si="220"/>
        <v>0</v>
      </c>
      <c r="AU149">
        <f t="shared" si="221"/>
        <v>0</v>
      </c>
      <c r="AV149">
        <f t="shared" si="221"/>
        <v>0</v>
      </c>
      <c r="AW149">
        <f t="shared" si="221"/>
        <v>0</v>
      </c>
      <c r="AX149">
        <f t="shared" si="221"/>
        <v>0</v>
      </c>
      <c r="AY149">
        <f t="shared" si="222"/>
        <v>0</v>
      </c>
    </row>
    <row r="150" spans="1:53" ht="15" x14ac:dyDescent="0.25">
      <c r="A150" s="1"/>
      <c r="B150" s="2"/>
      <c r="C150" s="1" t="s">
        <v>11</v>
      </c>
      <c r="D150">
        <v>0</v>
      </c>
      <c r="E150" s="360">
        <v>1293.5411999999999</v>
      </c>
      <c r="F150">
        <v>0</v>
      </c>
      <c r="G150">
        <v>0</v>
      </c>
      <c r="H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s="20"/>
      <c r="P150" s="20"/>
      <c r="Q150" s="438">
        <v>0.6789832377478271</v>
      </c>
      <c r="R150" s="197">
        <v>5.6499999999999995E-2</v>
      </c>
      <c r="S150" s="197">
        <v>1.25</v>
      </c>
      <c r="T150" s="197">
        <v>0.50650413159351704</v>
      </c>
      <c r="U150" s="197">
        <v>0.77519673403474398</v>
      </c>
      <c r="V150" s="20">
        <f t="shared" si="210"/>
        <v>496.23542755695837</v>
      </c>
      <c r="W150" s="20">
        <f t="shared" si="210"/>
        <v>0</v>
      </c>
      <c r="X150" s="20">
        <f t="shared" si="210"/>
        <v>0</v>
      </c>
      <c r="Y150" s="20">
        <f t="shared" si="210"/>
        <v>0</v>
      </c>
      <c r="Z150" s="20">
        <f t="shared" si="211"/>
        <v>296.03841929404877</v>
      </c>
      <c r="AA150" s="20">
        <f t="shared" si="211"/>
        <v>0</v>
      </c>
      <c r="AB150" s="20">
        <f t="shared" si="211"/>
        <v>0</v>
      </c>
      <c r="AC150" s="20">
        <f t="shared" si="211"/>
        <v>0</v>
      </c>
      <c r="AD150" s="20">
        <f t="shared" si="212"/>
        <v>296.03841929404877</v>
      </c>
      <c r="AE150" s="20">
        <f t="shared" si="213"/>
        <v>10978.65990170262</v>
      </c>
      <c r="AF150" s="20">
        <f t="shared" si="213"/>
        <v>0</v>
      </c>
      <c r="AG150" s="20">
        <f t="shared" si="213"/>
        <v>0</v>
      </c>
      <c r="AH150" s="20">
        <f t="shared" si="213"/>
        <v>0</v>
      </c>
      <c r="AI150" s="20">
        <f t="shared" si="214"/>
        <v>8961.0451542535393</v>
      </c>
      <c r="AJ150" s="20">
        <f t="shared" si="215"/>
        <v>0</v>
      </c>
      <c r="AK150" s="20">
        <f t="shared" si="216"/>
        <v>0</v>
      </c>
      <c r="AL150" s="20">
        <f t="shared" si="217"/>
        <v>0</v>
      </c>
      <c r="AM150" s="20">
        <f t="shared" si="218"/>
        <v>8961.0451542535393</v>
      </c>
      <c r="AO150">
        <f t="shared" si="219"/>
        <v>198.22732555929505</v>
      </c>
      <c r="AP150">
        <f t="shared" si="219"/>
        <v>0</v>
      </c>
      <c r="AQ150">
        <f t="shared" si="219"/>
        <v>0</v>
      </c>
      <c r="AR150">
        <f t="shared" si="219"/>
        <v>0</v>
      </c>
      <c r="AS150">
        <f t="shared" si="220"/>
        <v>198.22732555929505</v>
      </c>
      <c r="AU150">
        <f t="shared" si="221"/>
        <v>6000.3158352881701</v>
      </c>
      <c r="AV150">
        <f t="shared" si="221"/>
        <v>0</v>
      </c>
      <c r="AW150">
        <f t="shared" si="221"/>
        <v>0</v>
      </c>
      <c r="AX150">
        <f t="shared" si="221"/>
        <v>0</v>
      </c>
      <c r="AY150">
        <f t="shared" si="222"/>
        <v>6000.3158352881701</v>
      </c>
    </row>
    <row r="151" spans="1:53" ht="15" x14ac:dyDescent="0.25">
      <c r="A151" s="1"/>
      <c r="B151" s="2"/>
      <c r="C151" s="1" t="s">
        <v>12</v>
      </c>
      <c r="D151">
        <v>0</v>
      </c>
      <c r="E151" s="360">
        <v>0</v>
      </c>
      <c r="F151">
        <v>0</v>
      </c>
      <c r="G151">
        <v>0</v>
      </c>
      <c r="H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 s="20"/>
      <c r="P151" s="20"/>
      <c r="Q151" s="438"/>
      <c r="R151" s="197">
        <v>5.6499999999999995E-2</v>
      </c>
      <c r="S151" s="197">
        <v>1.25</v>
      </c>
      <c r="T151" s="197">
        <v>0.50650413159351704</v>
      </c>
      <c r="U151" s="197">
        <v>0.77519673403474398</v>
      </c>
      <c r="V151" s="20">
        <f t="shared" si="210"/>
        <v>0</v>
      </c>
      <c r="W151" s="20">
        <f t="shared" si="210"/>
        <v>0</v>
      </c>
      <c r="X151" s="20">
        <f t="shared" si="210"/>
        <v>0</v>
      </c>
      <c r="Y151" s="20">
        <f t="shared" si="210"/>
        <v>0</v>
      </c>
      <c r="Z151" s="20">
        <f t="shared" si="211"/>
        <v>0</v>
      </c>
      <c r="AA151" s="20">
        <f t="shared" si="211"/>
        <v>0</v>
      </c>
      <c r="AB151" s="20">
        <f t="shared" si="211"/>
        <v>0</v>
      </c>
      <c r="AC151" s="20">
        <f t="shared" si="211"/>
        <v>0</v>
      </c>
      <c r="AD151" s="20">
        <f t="shared" si="212"/>
        <v>0</v>
      </c>
      <c r="AE151" s="20">
        <f t="shared" si="213"/>
        <v>0</v>
      </c>
      <c r="AF151" s="20">
        <f t="shared" si="213"/>
        <v>0</v>
      </c>
      <c r="AG151" s="20">
        <f t="shared" si="213"/>
        <v>0</v>
      </c>
      <c r="AH151" s="20">
        <f t="shared" si="213"/>
        <v>0</v>
      </c>
      <c r="AI151" s="20">
        <f t="shared" si="214"/>
        <v>0</v>
      </c>
      <c r="AJ151" s="20">
        <f t="shared" si="215"/>
        <v>0</v>
      </c>
      <c r="AK151" s="20">
        <f t="shared" si="216"/>
        <v>0</v>
      </c>
      <c r="AL151" s="20">
        <f t="shared" si="217"/>
        <v>0</v>
      </c>
      <c r="AM151" s="20">
        <f t="shared" si="218"/>
        <v>0</v>
      </c>
      <c r="AO151">
        <f t="shared" si="219"/>
        <v>0</v>
      </c>
      <c r="AP151">
        <f t="shared" si="219"/>
        <v>0</v>
      </c>
      <c r="AQ151">
        <f t="shared" si="219"/>
        <v>0</v>
      </c>
      <c r="AR151">
        <f t="shared" si="219"/>
        <v>0</v>
      </c>
      <c r="AS151">
        <f t="shared" si="220"/>
        <v>0</v>
      </c>
      <c r="AU151">
        <f t="shared" si="221"/>
        <v>0</v>
      </c>
      <c r="AV151">
        <f t="shared" si="221"/>
        <v>0</v>
      </c>
      <c r="AW151">
        <f t="shared" si="221"/>
        <v>0</v>
      </c>
      <c r="AX151">
        <f t="shared" si="221"/>
        <v>0</v>
      </c>
      <c r="AY151">
        <f t="shared" si="222"/>
        <v>0</v>
      </c>
    </row>
    <row r="152" spans="1:53" ht="15" x14ac:dyDescent="0.25">
      <c r="A152" s="1"/>
      <c r="B152" s="2"/>
      <c r="C152" s="1" t="s">
        <v>13</v>
      </c>
      <c r="D152">
        <v>0</v>
      </c>
      <c r="E152" s="360">
        <v>25.831499999999998</v>
      </c>
      <c r="F152">
        <v>0</v>
      </c>
      <c r="G152">
        <v>0</v>
      </c>
      <c r="H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20"/>
      <c r="P152" s="20"/>
      <c r="Q152" s="438">
        <v>0.67898323774782698</v>
      </c>
      <c r="R152" s="197">
        <v>5.6499999999999995E-2</v>
      </c>
      <c r="S152" s="197">
        <v>1.25</v>
      </c>
      <c r="T152" s="197">
        <v>0.50650413159351704</v>
      </c>
      <c r="U152" s="197">
        <v>0.77519673403474398</v>
      </c>
      <c r="V152" s="20">
        <f t="shared" si="210"/>
        <v>9.9096228608238892</v>
      </c>
      <c r="W152" s="20">
        <f t="shared" si="210"/>
        <v>0</v>
      </c>
      <c r="X152" s="20">
        <f t="shared" si="210"/>
        <v>0</v>
      </c>
      <c r="Y152" s="20">
        <f t="shared" si="210"/>
        <v>0</v>
      </c>
      <c r="Z152" s="20">
        <f t="shared" si="211"/>
        <v>5.9117687384013893</v>
      </c>
      <c r="AA152" s="20">
        <f t="shared" si="211"/>
        <v>0</v>
      </c>
      <c r="AB152" s="20">
        <f t="shared" si="211"/>
        <v>0</v>
      </c>
      <c r="AC152" s="20">
        <f t="shared" si="211"/>
        <v>0</v>
      </c>
      <c r="AD152" s="20">
        <f t="shared" si="212"/>
        <v>5.9117687384013893</v>
      </c>
      <c r="AE152" s="20">
        <f t="shared" si="213"/>
        <v>219.23944382353739</v>
      </c>
      <c r="AF152" s="20">
        <f t="shared" si="213"/>
        <v>0</v>
      </c>
      <c r="AG152" s="20">
        <f t="shared" si="213"/>
        <v>0</v>
      </c>
      <c r="AH152" s="20">
        <f t="shared" si="213"/>
        <v>0</v>
      </c>
      <c r="AI152" s="20">
        <f t="shared" si="214"/>
        <v>178.94848490492626</v>
      </c>
      <c r="AJ152" s="20">
        <f t="shared" si="215"/>
        <v>0</v>
      </c>
      <c r="AK152" s="20">
        <f t="shared" si="216"/>
        <v>0</v>
      </c>
      <c r="AL152" s="20">
        <f t="shared" si="217"/>
        <v>0</v>
      </c>
      <c r="AM152" s="20">
        <f t="shared" si="218"/>
        <v>178.94848490492626</v>
      </c>
      <c r="AO152">
        <f t="shared" si="219"/>
        <v>3.9585203472335699</v>
      </c>
      <c r="AP152">
        <f t="shared" si="219"/>
        <v>0</v>
      </c>
      <c r="AQ152">
        <f t="shared" si="219"/>
        <v>0</v>
      </c>
      <c r="AR152">
        <f t="shared" si="219"/>
        <v>0</v>
      </c>
      <c r="AS152">
        <f t="shared" si="220"/>
        <v>3.9585203472335699</v>
      </c>
      <c r="AU152">
        <f t="shared" si="221"/>
        <v>119.82390549233862</v>
      </c>
      <c r="AV152">
        <f t="shared" si="221"/>
        <v>0</v>
      </c>
      <c r="AW152">
        <f t="shared" si="221"/>
        <v>0</v>
      </c>
      <c r="AX152">
        <f t="shared" si="221"/>
        <v>0</v>
      </c>
      <c r="AY152">
        <f t="shared" si="222"/>
        <v>119.82390549233862</v>
      </c>
    </row>
    <row r="153" spans="1:53" ht="15" x14ac:dyDescent="0.25">
      <c r="A153" s="7"/>
      <c r="B153" s="8" t="s">
        <v>14</v>
      </c>
      <c r="C153" s="7"/>
      <c r="D153" s="357">
        <f t="shared" ref="D153:H153" si="223">SUM(D147:D152)</f>
        <v>0</v>
      </c>
      <c r="E153" s="363">
        <f>SUM(E147:E152)</f>
        <v>1397.269</v>
      </c>
      <c r="F153" s="357">
        <f t="shared" si="223"/>
        <v>0</v>
      </c>
      <c r="G153" s="357">
        <f t="shared" si="223"/>
        <v>0</v>
      </c>
      <c r="H153" s="357">
        <f t="shared" si="223"/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 s="20"/>
      <c r="P153" s="20"/>
      <c r="Q153" s="438">
        <v>0.67882262914351965</v>
      </c>
      <c r="R153" s="197"/>
      <c r="S153" s="197"/>
      <c r="T153" s="197"/>
      <c r="U153" s="197"/>
      <c r="BA153" s="319">
        <f>(E153*10000*Q153*AU$10)</f>
        <v>6351141.3772801319</v>
      </c>
    </row>
    <row r="154" spans="1:53" ht="15" x14ac:dyDescent="0.25">
      <c r="A154" s="10"/>
      <c r="B154" s="9" t="s">
        <v>15</v>
      </c>
      <c r="C154" s="5"/>
      <c r="E154" s="363">
        <f>SUM(E153)</f>
        <v>1397.269</v>
      </c>
      <c r="H154" s="358">
        <f>SUM(D153:H153)</f>
        <v>1397.269</v>
      </c>
      <c r="K154" s="14"/>
      <c r="N154">
        <v>0</v>
      </c>
      <c r="O154" s="20"/>
      <c r="P154" s="20"/>
      <c r="Q154" s="438"/>
      <c r="R154" s="197"/>
      <c r="S154" s="197"/>
      <c r="T154" s="197"/>
      <c r="U154" s="197"/>
    </row>
    <row r="155" spans="1:53" ht="15.75" x14ac:dyDescent="0.25">
      <c r="A155" s="1"/>
      <c r="B155" s="2"/>
      <c r="C155" s="1"/>
      <c r="E155" s="361"/>
      <c r="K155" s="14"/>
      <c r="O155" s="20"/>
      <c r="P155" s="20"/>
      <c r="Q155" s="439"/>
      <c r="R155" s="197"/>
      <c r="S155" s="197"/>
      <c r="T155" s="197"/>
      <c r="U155" s="197"/>
    </row>
    <row r="156" spans="1:53" ht="15" x14ac:dyDescent="0.25">
      <c r="A156" s="1">
        <v>17</v>
      </c>
      <c r="B156" s="2" t="s">
        <v>31</v>
      </c>
      <c r="C156" s="1" t="s">
        <v>8</v>
      </c>
      <c r="D156">
        <v>0</v>
      </c>
      <c r="E156" s="360"/>
      <c r="F156">
        <v>0</v>
      </c>
      <c r="G156">
        <v>0</v>
      </c>
      <c r="H156">
        <v>0</v>
      </c>
      <c r="J156">
        <v>0</v>
      </c>
      <c r="K156" s="14">
        <v>0</v>
      </c>
      <c r="L156">
        <v>0</v>
      </c>
      <c r="M156">
        <v>0</v>
      </c>
      <c r="N156">
        <v>0</v>
      </c>
      <c r="O156" s="20"/>
      <c r="P156" s="20"/>
      <c r="Q156" s="438"/>
      <c r="R156" s="197"/>
      <c r="S156" s="197"/>
      <c r="T156" s="197"/>
      <c r="U156" s="197"/>
      <c r="V156" s="20">
        <f t="shared" ref="V156:Y161" si="224">IF(K156&gt;0,((E156-K156)*$Q156*$R156*10)+(K156*$O$12*$Q156*$R156*10),(E156*$Q156*$R156*10))</f>
        <v>0</v>
      </c>
      <c r="W156" s="20">
        <f t="shared" si="224"/>
        <v>0</v>
      </c>
      <c r="X156" s="20">
        <f t="shared" si="224"/>
        <v>0</v>
      </c>
      <c r="Y156" s="20">
        <f t="shared" si="224"/>
        <v>0</v>
      </c>
      <c r="Z156" s="20">
        <f t="shared" ref="Z156:AC161" si="225">V156*(EXP(1.01-0.34*LN(Z$8))*(1-$T156)+(1*$T156))</f>
        <v>0</v>
      </c>
      <c r="AA156" s="20">
        <f t="shared" si="225"/>
        <v>0</v>
      </c>
      <c r="AB156" s="20">
        <f t="shared" si="225"/>
        <v>0</v>
      </c>
      <c r="AC156" s="20">
        <f t="shared" si="225"/>
        <v>0</v>
      </c>
      <c r="AD156" s="20">
        <f t="shared" ref="AD156:AD161" si="226">SUM(Z156:AC156)</f>
        <v>0</v>
      </c>
      <c r="AE156" s="20">
        <f t="shared" ref="AE156:AH161" si="227">IF(K156&gt;0,((E156-K156)*$Q156*$S156*10)+(K156*$P$12*$Q156*$S156)*10,(E156*$Q156*$S156*10))</f>
        <v>0</v>
      </c>
      <c r="AF156" s="20">
        <f t="shared" si="227"/>
        <v>0</v>
      </c>
      <c r="AG156" s="20">
        <f t="shared" si="227"/>
        <v>0</v>
      </c>
      <c r="AH156" s="20">
        <f t="shared" si="227"/>
        <v>0</v>
      </c>
      <c r="AI156" s="20">
        <f t="shared" ref="AI156:AL161" si="228">AE156*(EXP(1.01-0.34*LN(AI$8))*(1-$T156)+(1*$T156))</f>
        <v>0</v>
      </c>
      <c r="AJ156" s="20">
        <f t="shared" si="228"/>
        <v>0</v>
      </c>
      <c r="AK156" s="20">
        <f t="shared" si="228"/>
        <v>0</v>
      </c>
      <c r="AL156" s="20">
        <f t="shared" si="228"/>
        <v>0</v>
      </c>
      <c r="AM156" s="20">
        <f t="shared" ref="AM156:AM161" si="229">SUM(AI156:AL156)</f>
        <v>0</v>
      </c>
      <c r="AO156">
        <f t="shared" ref="AO156:AR161" si="230">Z156*AO$10</f>
        <v>0</v>
      </c>
      <c r="AP156">
        <f t="shared" si="230"/>
        <v>0</v>
      </c>
      <c r="AQ156">
        <f t="shared" si="230"/>
        <v>0</v>
      </c>
      <c r="AR156">
        <f t="shared" si="230"/>
        <v>0</v>
      </c>
      <c r="AS156">
        <f t="shared" ref="AS156:AS161" si="231">SUM(AO156:AR156)</f>
        <v>0</v>
      </c>
      <c r="AU156">
        <f t="shared" ref="AU156:AX161" si="232">AI156*AU$10</f>
        <v>0</v>
      </c>
      <c r="AV156">
        <f t="shared" si="232"/>
        <v>0</v>
      </c>
      <c r="AW156">
        <f t="shared" si="232"/>
        <v>0</v>
      </c>
      <c r="AX156">
        <f t="shared" si="232"/>
        <v>0</v>
      </c>
      <c r="AY156">
        <f t="shared" ref="AY156:AY161" si="233">SUM(AU156:AX156)</f>
        <v>0</v>
      </c>
    </row>
    <row r="157" spans="1:53" ht="15" x14ac:dyDescent="0.25">
      <c r="A157" s="1"/>
      <c r="B157" s="2"/>
      <c r="C157" s="1" t="s">
        <v>9</v>
      </c>
      <c r="D157">
        <v>0</v>
      </c>
      <c r="E157" s="360"/>
      <c r="F157">
        <v>0</v>
      </c>
      <c r="G157">
        <v>0</v>
      </c>
      <c r="H157">
        <v>0</v>
      </c>
      <c r="J157">
        <v>0</v>
      </c>
      <c r="K157" s="14">
        <v>0</v>
      </c>
      <c r="L157">
        <v>0</v>
      </c>
      <c r="M157">
        <v>0</v>
      </c>
      <c r="N157">
        <v>0</v>
      </c>
      <c r="O157" s="20"/>
      <c r="P157" s="20"/>
      <c r="Q157" s="438"/>
      <c r="R157" s="197"/>
      <c r="S157" s="197"/>
      <c r="T157" s="197"/>
      <c r="U157" s="197"/>
      <c r="V157" s="20">
        <f t="shared" si="224"/>
        <v>0</v>
      </c>
      <c r="W157" s="20">
        <f t="shared" si="224"/>
        <v>0</v>
      </c>
      <c r="X157" s="20">
        <f t="shared" si="224"/>
        <v>0</v>
      </c>
      <c r="Y157" s="20">
        <f t="shared" si="224"/>
        <v>0</v>
      </c>
      <c r="Z157" s="20">
        <f t="shared" si="225"/>
        <v>0</v>
      </c>
      <c r="AA157" s="20">
        <f t="shared" si="225"/>
        <v>0</v>
      </c>
      <c r="AB157" s="20">
        <f t="shared" si="225"/>
        <v>0</v>
      </c>
      <c r="AC157" s="20">
        <f t="shared" si="225"/>
        <v>0</v>
      </c>
      <c r="AD157" s="20">
        <f t="shared" si="226"/>
        <v>0</v>
      </c>
      <c r="AE157" s="20">
        <f t="shared" si="227"/>
        <v>0</v>
      </c>
      <c r="AF157" s="20">
        <f t="shared" si="227"/>
        <v>0</v>
      </c>
      <c r="AG157" s="20">
        <f t="shared" si="227"/>
        <v>0</v>
      </c>
      <c r="AH157" s="20">
        <f t="shared" si="227"/>
        <v>0</v>
      </c>
      <c r="AI157" s="20">
        <f t="shared" si="228"/>
        <v>0</v>
      </c>
      <c r="AJ157" s="20">
        <f t="shared" si="228"/>
        <v>0</v>
      </c>
      <c r="AK157" s="20">
        <f t="shared" si="228"/>
        <v>0</v>
      </c>
      <c r="AL157" s="20">
        <f t="shared" si="228"/>
        <v>0</v>
      </c>
      <c r="AM157" s="20">
        <f t="shared" si="229"/>
        <v>0</v>
      </c>
      <c r="AO157">
        <f t="shared" si="230"/>
        <v>0</v>
      </c>
      <c r="AP157">
        <f t="shared" si="230"/>
        <v>0</v>
      </c>
      <c r="AQ157">
        <f t="shared" si="230"/>
        <v>0</v>
      </c>
      <c r="AR157">
        <f t="shared" si="230"/>
        <v>0</v>
      </c>
      <c r="AS157">
        <f t="shared" si="231"/>
        <v>0</v>
      </c>
      <c r="AU157">
        <f t="shared" si="232"/>
        <v>0</v>
      </c>
      <c r="AV157">
        <f t="shared" si="232"/>
        <v>0</v>
      </c>
      <c r="AW157">
        <f t="shared" si="232"/>
        <v>0</v>
      </c>
      <c r="AX157">
        <f t="shared" si="232"/>
        <v>0</v>
      </c>
      <c r="AY157">
        <f t="shared" si="233"/>
        <v>0</v>
      </c>
    </row>
    <row r="158" spans="1:53" ht="15" x14ac:dyDescent="0.25">
      <c r="A158" s="1"/>
      <c r="B158" s="2"/>
      <c r="C158" s="1" t="s">
        <v>10</v>
      </c>
      <c r="D158">
        <v>0</v>
      </c>
      <c r="E158" s="360"/>
      <c r="F158">
        <v>0</v>
      </c>
      <c r="G158">
        <v>0</v>
      </c>
      <c r="H158">
        <v>0</v>
      </c>
      <c r="J158">
        <v>0</v>
      </c>
      <c r="K158" s="14">
        <v>0</v>
      </c>
      <c r="L158">
        <v>0</v>
      </c>
      <c r="M158">
        <v>0</v>
      </c>
      <c r="N158">
        <v>0</v>
      </c>
      <c r="O158" s="20"/>
      <c r="P158" s="20"/>
      <c r="Q158" s="438"/>
      <c r="R158" s="197"/>
      <c r="S158" s="197"/>
      <c r="T158" s="197"/>
      <c r="U158" s="197"/>
      <c r="V158" s="20">
        <f t="shared" si="224"/>
        <v>0</v>
      </c>
      <c r="W158" s="20">
        <f t="shared" si="224"/>
        <v>0</v>
      </c>
      <c r="X158" s="20">
        <f t="shared" si="224"/>
        <v>0</v>
      </c>
      <c r="Y158" s="20">
        <f t="shared" si="224"/>
        <v>0</v>
      </c>
      <c r="Z158" s="20">
        <f t="shared" si="225"/>
        <v>0</v>
      </c>
      <c r="AA158" s="20">
        <f t="shared" si="225"/>
        <v>0</v>
      </c>
      <c r="AB158" s="20">
        <f t="shared" si="225"/>
        <v>0</v>
      </c>
      <c r="AC158" s="20">
        <f t="shared" si="225"/>
        <v>0</v>
      </c>
      <c r="AD158" s="20">
        <f t="shared" si="226"/>
        <v>0</v>
      </c>
      <c r="AE158" s="20">
        <f t="shared" si="227"/>
        <v>0</v>
      </c>
      <c r="AF158" s="20">
        <f t="shared" si="227"/>
        <v>0</v>
      </c>
      <c r="AG158" s="20">
        <f t="shared" si="227"/>
        <v>0</v>
      </c>
      <c r="AH158" s="20">
        <f t="shared" si="227"/>
        <v>0</v>
      </c>
      <c r="AI158" s="20">
        <f t="shared" si="228"/>
        <v>0</v>
      </c>
      <c r="AJ158" s="20">
        <f t="shared" si="228"/>
        <v>0</v>
      </c>
      <c r="AK158" s="20">
        <f t="shared" si="228"/>
        <v>0</v>
      </c>
      <c r="AL158" s="20">
        <f t="shared" si="228"/>
        <v>0</v>
      </c>
      <c r="AM158" s="20">
        <f t="shared" si="229"/>
        <v>0</v>
      </c>
      <c r="AO158">
        <f t="shared" si="230"/>
        <v>0</v>
      </c>
      <c r="AP158">
        <f t="shared" si="230"/>
        <v>0</v>
      </c>
      <c r="AQ158">
        <f t="shared" si="230"/>
        <v>0</v>
      </c>
      <c r="AR158">
        <f t="shared" si="230"/>
        <v>0</v>
      </c>
      <c r="AS158">
        <f t="shared" si="231"/>
        <v>0</v>
      </c>
      <c r="AU158">
        <f t="shared" si="232"/>
        <v>0</v>
      </c>
      <c r="AV158">
        <f t="shared" si="232"/>
        <v>0</v>
      </c>
      <c r="AW158">
        <f t="shared" si="232"/>
        <v>0</v>
      </c>
      <c r="AX158">
        <f t="shared" si="232"/>
        <v>0</v>
      </c>
      <c r="AY158">
        <f t="shared" si="233"/>
        <v>0</v>
      </c>
    </row>
    <row r="159" spans="1:53" ht="15" x14ac:dyDescent="0.25">
      <c r="A159" s="1"/>
      <c r="B159" s="2"/>
      <c r="C159" s="1" t="s">
        <v>11</v>
      </c>
      <c r="D159">
        <v>0</v>
      </c>
      <c r="E159" s="360"/>
      <c r="F159">
        <v>0</v>
      </c>
      <c r="G159">
        <v>0</v>
      </c>
      <c r="H159">
        <v>0</v>
      </c>
      <c r="J159">
        <v>0</v>
      </c>
      <c r="K159" s="14">
        <v>0</v>
      </c>
      <c r="L159">
        <v>0</v>
      </c>
      <c r="M159">
        <v>0</v>
      </c>
      <c r="N159">
        <v>0</v>
      </c>
      <c r="O159" s="20"/>
      <c r="P159" s="20"/>
      <c r="Q159" s="438"/>
      <c r="R159" s="197"/>
      <c r="S159" s="197"/>
      <c r="T159" s="197"/>
      <c r="U159" s="197"/>
      <c r="V159" s="20">
        <f t="shared" si="224"/>
        <v>0</v>
      </c>
      <c r="W159" s="20">
        <f t="shared" si="224"/>
        <v>0</v>
      </c>
      <c r="X159" s="20">
        <f t="shared" si="224"/>
        <v>0</v>
      </c>
      <c r="Y159" s="20">
        <f t="shared" si="224"/>
        <v>0</v>
      </c>
      <c r="Z159" s="20">
        <f t="shared" si="225"/>
        <v>0</v>
      </c>
      <c r="AA159" s="20">
        <f t="shared" si="225"/>
        <v>0</v>
      </c>
      <c r="AB159" s="20">
        <f t="shared" si="225"/>
        <v>0</v>
      </c>
      <c r="AC159" s="20">
        <f t="shared" si="225"/>
        <v>0</v>
      </c>
      <c r="AD159" s="20">
        <f t="shared" si="226"/>
        <v>0</v>
      </c>
      <c r="AE159" s="20">
        <f t="shared" si="227"/>
        <v>0</v>
      </c>
      <c r="AF159" s="20">
        <f t="shared" si="227"/>
        <v>0</v>
      </c>
      <c r="AG159" s="20">
        <f t="shared" si="227"/>
        <v>0</v>
      </c>
      <c r="AH159" s="20">
        <f t="shared" si="227"/>
        <v>0</v>
      </c>
      <c r="AI159" s="20">
        <f t="shared" si="228"/>
        <v>0</v>
      </c>
      <c r="AJ159" s="20">
        <f t="shared" si="228"/>
        <v>0</v>
      </c>
      <c r="AK159" s="20">
        <f t="shared" si="228"/>
        <v>0</v>
      </c>
      <c r="AL159" s="20">
        <f t="shared" si="228"/>
        <v>0</v>
      </c>
      <c r="AM159" s="20">
        <f t="shared" si="229"/>
        <v>0</v>
      </c>
      <c r="AO159">
        <f t="shared" si="230"/>
        <v>0</v>
      </c>
      <c r="AP159">
        <f t="shared" si="230"/>
        <v>0</v>
      </c>
      <c r="AQ159">
        <f t="shared" si="230"/>
        <v>0</v>
      </c>
      <c r="AR159">
        <f t="shared" si="230"/>
        <v>0</v>
      </c>
      <c r="AS159">
        <f t="shared" si="231"/>
        <v>0</v>
      </c>
      <c r="AU159">
        <f t="shared" si="232"/>
        <v>0</v>
      </c>
      <c r="AV159">
        <f t="shared" si="232"/>
        <v>0</v>
      </c>
      <c r="AW159">
        <f t="shared" si="232"/>
        <v>0</v>
      </c>
      <c r="AX159">
        <f t="shared" si="232"/>
        <v>0</v>
      </c>
      <c r="AY159">
        <f t="shared" si="233"/>
        <v>0</v>
      </c>
    </row>
    <row r="160" spans="1:53" ht="15" x14ac:dyDescent="0.25">
      <c r="A160" s="1"/>
      <c r="B160" s="2"/>
      <c r="C160" s="1" t="s">
        <v>12</v>
      </c>
      <c r="D160">
        <v>0</v>
      </c>
      <c r="E160" s="360"/>
      <c r="F160">
        <v>0</v>
      </c>
      <c r="G160">
        <v>0</v>
      </c>
      <c r="H160">
        <v>0</v>
      </c>
      <c r="J160">
        <v>0</v>
      </c>
      <c r="K160" s="14">
        <v>0</v>
      </c>
      <c r="L160">
        <v>0</v>
      </c>
      <c r="M160">
        <v>0</v>
      </c>
      <c r="N160">
        <v>0</v>
      </c>
      <c r="O160" s="20"/>
      <c r="P160" s="20"/>
      <c r="Q160" s="438"/>
      <c r="R160" s="197"/>
      <c r="S160" s="197"/>
      <c r="T160" s="197"/>
      <c r="U160" s="197"/>
      <c r="V160" s="20">
        <f t="shared" si="224"/>
        <v>0</v>
      </c>
      <c r="W160" s="20">
        <f t="shared" si="224"/>
        <v>0</v>
      </c>
      <c r="X160" s="20">
        <f t="shared" si="224"/>
        <v>0</v>
      </c>
      <c r="Y160" s="20">
        <f t="shared" si="224"/>
        <v>0</v>
      </c>
      <c r="Z160" s="20">
        <f t="shared" si="225"/>
        <v>0</v>
      </c>
      <c r="AA160" s="20">
        <f t="shared" si="225"/>
        <v>0</v>
      </c>
      <c r="AB160" s="20">
        <f t="shared" si="225"/>
        <v>0</v>
      </c>
      <c r="AC160" s="20">
        <f t="shared" si="225"/>
        <v>0</v>
      </c>
      <c r="AD160" s="20">
        <f t="shared" si="226"/>
        <v>0</v>
      </c>
      <c r="AE160" s="20">
        <f t="shared" si="227"/>
        <v>0</v>
      </c>
      <c r="AF160" s="20">
        <f t="shared" si="227"/>
        <v>0</v>
      </c>
      <c r="AG160" s="20">
        <f t="shared" si="227"/>
        <v>0</v>
      </c>
      <c r="AH160" s="20">
        <f t="shared" si="227"/>
        <v>0</v>
      </c>
      <c r="AI160" s="20">
        <f t="shared" si="228"/>
        <v>0</v>
      </c>
      <c r="AJ160" s="20">
        <f t="shared" si="228"/>
        <v>0</v>
      </c>
      <c r="AK160" s="20">
        <f t="shared" si="228"/>
        <v>0</v>
      </c>
      <c r="AL160" s="20">
        <f t="shared" si="228"/>
        <v>0</v>
      </c>
      <c r="AM160" s="20">
        <f t="shared" si="229"/>
        <v>0</v>
      </c>
      <c r="AO160">
        <f t="shared" si="230"/>
        <v>0</v>
      </c>
      <c r="AP160">
        <f t="shared" si="230"/>
        <v>0</v>
      </c>
      <c r="AQ160">
        <f t="shared" si="230"/>
        <v>0</v>
      </c>
      <c r="AR160">
        <f t="shared" si="230"/>
        <v>0</v>
      </c>
      <c r="AS160">
        <f t="shared" si="231"/>
        <v>0</v>
      </c>
      <c r="AU160">
        <f t="shared" si="232"/>
        <v>0</v>
      </c>
      <c r="AV160">
        <f t="shared" si="232"/>
        <v>0</v>
      </c>
      <c r="AW160">
        <f t="shared" si="232"/>
        <v>0</v>
      </c>
      <c r="AX160">
        <f t="shared" si="232"/>
        <v>0</v>
      </c>
      <c r="AY160">
        <f t="shared" si="233"/>
        <v>0</v>
      </c>
    </row>
    <row r="161" spans="1:53" ht="15" x14ac:dyDescent="0.25">
      <c r="A161" s="1"/>
      <c r="B161" s="2"/>
      <c r="C161" s="1" t="s">
        <v>13</v>
      </c>
      <c r="D161">
        <v>0</v>
      </c>
      <c r="E161" s="360"/>
      <c r="F161">
        <v>0</v>
      </c>
      <c r="G161">
        <v>0</v>
      </c>
      <c r="H161">
        <v>0</v>
      </c>
      <c r="J161">
        <v>0</v>
      </c>
      <c r="K161" s="14">
        <v>0</v>
      </c>
      <c r="L161">
        <v>0</v>
      </c>
      <c r="M161">
        <v>0</v>
      </c>
      <c r="N161">
        <v>0</v>
      </c>
      <c r="O161" s="20"/>
      <c r="P161" s="20"/>
      <c r="Q161" s="438"/>
      <c r="R161" s="197"/>
      <c r="S161" s="197"/>
      <c r="T161" s="197"/>
      <c r="U161" s="197"/>
      <c r="V161" s="20">
        <f t="shared" si="224"/>
        <v>0</v>
      </c>
      <c r="W161" s="20">
        <f t="shared" si="224"/>
        <v>0</v>
      </c>
      <c r="X161" s="20">
        <f t="shared" si="224"/>
        <v>0</v>
      </c>
      <c r="Y161" s="20">
        <f t="shared" si="224"/>
        <v>0</v>
      </c>
      <c r="Z161" s="20">
        <f t="shared" si="225"/>
        <v>0</v>
      </c>
      <c r="AA161" s="20">
        <f t="shared" si="225"/>
        <v>0</v>
      </c>
      <c r="AB161" s="20">
        <f t="shared" si="225"/>
        <v>0</v>
      </c>
      <c r="AC161" s="20">
        <f t="shared" si="225"/>
        <v>0</v>
      </c>
      <c r="AD161" s="20">
        <f t="shared" si="226"/>
        <v>0</v>
      </c>
      <c r="AE161" s="20">
        <f t="shared" si="227"/>
        <v>0</v>
      </c>
      <c r="AF161" s="20">
        <f t="shared" si="227"/>
        <v>0</v>
      </c>
      <c r="AG161" s="20">
        <f t="shared" si="227"/>
        <v>0</v>
      </c>
      <c r="AH161" s="20">
        <f t="shared" si="227"/>
        <v>0</v>
      </c>
      <c r="AI161" s="20">
        <f t="shared" si="228"/>
        <v>0</v>
      </c>
      <c r="AJ161" s="20">
        <f t="shared" si="228"/>
        <v>0</v>
      </c>
      <c r="AK161" s="20">
        <f t="shared" si="228"/>
        <v>0</v>
      </c>
      <c r="AL161" s="20">
        <f t="shared" si="228"/>
        <v>0</v>
      </c>
      <c r="AM161" s="20">
        <f t="shared" si="229"/>
        <v>0</v>
      </c>
      <c r="AO161">
        <f t="shared" si="230"/>
        <v>0</v>
      </c>
      <c r="AP161">
        <f t="shared" si="230"/>
        <v>0</v>
      </c>
      <c r="AQ161">
        <f t="shared" si="230"/>
        <v>0</v>
      </c>
      <c r="AR161">
        <f t="shared" si="230"/>
        <v>0</v>
      </c>
      <c r="AS161">
        <f t="shared" si="231"/>
        <v>0</v>
      </c>
      <c r="AU161">
        <f t="shared" si="232"/>
        <v>0</v>
      </c>
      <c r="AV161">
        <f t="shared" si="232"/>
        <v>0</v>
      </c>
      <c r="AW161">
        <f t="shared" si="232"/>
        <v>0</v>
      </c>
      <c r="AX161">
        <f t="shared" si="232"/>
        <v>0</v>
      </c>
      <c r="AY161">
        <f t="shared" si="233"/>
        <v>0</v>
      </c>
    </row>
    <row r="162" spans="1:53" ht="15" x14ac:dyDescent="0.25">
      <c r="A162" s="7"/>
      <c r="B162" s="8" t="s">
        <v>14</v>
      </c>
      <c r="C162" s="7"/>
      <c r="D162" s="357">
        <f t="shared" ref="D162:H162" si="234">SUM(D156:D161)</f>
        <v>0</v>
      </c>
      <c r="E162" s="363">
        <f>SUM(E156:E161)</f>
        <v>0</v>
      </c>
      <c r="F162" s="357">
        <f t="shared" si="234"/>
        <v>0</v>
      </c>
      <c r="G162" s="357">
        <f t="shared" si="234"/>
        <v>0</v>
      </c>
      <c r="H162" s="357">
        <f t="shared" si="234"/>
        <v>0</v>
      </c>
      <c r="J162">
        <v>0</v>
      </c>
      <c r="K162" s="14">
        <v>0</v>
      </c>
      <c r="L162">
        <v>0</v>
      </c>
      <c r="M162">
        <v>0</v>
      </c>
      <c r="N162">
        <v>0</v>
      </c>
      <c r="O162" s="20"/>
      <c r="P162" s="20"/>
      <c r="Q162" s="438"/>
      <c r="R162" s="197"/>
      <c r="S162" s="197"/>
      <c r="T162" s="197"/>
      <c r="U162" s="197"/>
      <c r="BA162" s="319">
        <f>(E162*10000*Q162*AU$10)</f>
        <v>0</v>
      </c>
    </row>
    <row r="163" spans="1:53" ht="15" x14ac:dyDescent="0.25">
      <c r="A163" s="10"/>
      <c r="B163" s="9" t="s">
        <v>15</v>
      </c>
      <c r="C163" s="5"/>
      <c r="E163" s="363">
        <f>SUM(E162)</f>
        <v>0</v>
      </c>
      <c r="H163" s="358">
        <f>SUM(D162:H162)</f>
        <v>0</v>
      </c>
      <c r="K163" s="14"/>
      <c r="N163">
        <v>0</v>
      </c>
      <c r="O163" s="20"/>
      <c r="P163" s="20"/>
      <c r="Q163" s="438"/>
      <c r="R163" s="197"/>
      <c r="S163" s="197"/>
      <c r="T163" s="197"/>
      <c r="U163" s="197"/>
    </row>
    <row r="164" spans="1:53" ht="15.75" x14ac:dyDescent="0.25">
      <c r="A164" s="1"/>
      <c r="B164" s="2"/>
      <c r="C164" s="1"/>
      <c r="E164" s="361"/>
      <c r="K164" s="14"/>
      <c r="O164" s="20"/>
      <c r="P164" s="20"/>
      <c r="Q164" s="439"/>
      <c r="R164" s="197"/>
      <c r="S164" s="197"/>
      <c r="T164" s="197"/>
      <c r="U164" s="197"/>
    </row>
    <row r="165" spans="1:53" ht="15" x14ac:dyDescent="0.25">
      <c r="A165" s="1">
        <v>18</v>
      </c>
      <c r="B165" s="2" t="s">
        <v>709</v>
      </c>
      <c r="C165" s="1" t="s">
        <v>8</v>
      </c>
      <c r="D165">
        <v>0</v>
      </c>
      <c r="E165" s="360"/>
      <c r="F165">
        <v>0</v>
      </c>
      <c r="G165">
        <v>0</v>
      </c>
      <c r="H165">
        <v>0</v>
      </c>
      <c r="J165">
        <v>0</v>
      </c>
      <c r="K165" s="14">
        <v>0</v>
      </c>
      <c r="L165">
        <v>0</v>
      </c>
      <c r="M165">
        <v>0</v>
      </c>
      <c r="N165">
        <v>0</v>
      </c>
      <c r="O165" s="20"/>
      <c r="P165" s="20"/>
      <c r="Q165" s="438"/>
      <c r="R165" s="197">
        <v>0.66599999999999993</v>
      </c>
      <c r="S165" s="197">
        <v>4.5549999999999997</v>
      </c>
      <c r="T165" s="197">
        <v>0.60039794540960334</v>
      </c>
      <c r="U165" s="197">
        <v>0.90789473684210531</v>
      </c>
      <c r="V165" s="20">
        <f t="shared" ref="V165:Y170" si="235">IF(K165&gt;0,((E165-K165)*$Q165*$R165*10)+(K165*$O$12*$Q165*$R165*10),(E165*$Q165*$R165*10))</f>
        <v>0</v>
      </c>
      <c r="W165" s="20">
        <f t="shared" si="235"/>
        <v>0</v>
      </c>
      <c r="X165" s="20">
        <f t="shared" si="235"/>
        <v>0</v>
      </c>
      <c r="Y165" s="20">
        <f t="shared" si="235"/>
        <v>0</v>
      </c>
      <c r="Z165" s="20">
        <f t="shared" ref="Z165:AC170" si="236">V165*(EXP(1.01-0.34*LN(Z$8))*(1-$T165)+(1*$T165))</f>
        <v>0</v>
      </c>
      <c r="AA165" s="20">
        <f t="shared" si="236"/>
        <v>0</v>
      </c>
      <c r="AB165" s="20">
        <f t="shared" si="236"/>
        <v>0</v>
      </c>
      <c r="AC165" s="20">
        <f t="shared" si="236"/>
        <v>0</v>
      </c>
      <c r="AD165" s="20">
        <f t="shared" ref="AD165:AD170" si="237">SUM(Z165:AC165)</f>
        <v>0</v>
      </c>
      <c r="AE165" s="20">
        <f t="shared" ref="AE165:AH170" si="238">IF(K165&gt;0,((E165-K165)*$Q165*$S165*10)+(K165*$P$12*$Q165*$S165)*10,(E165*$Q165*$S165*10))</f>
        <v>0</v>
      </c>
      <c r="AF165" s="20">
        <f t="shared" si="238"/>
        <v>0</v>
      </c>
      <c r="AG165" s="20">
        <f t="shared" si="238"/>
        <v>0</v>
      </c>
      <c r="AH165" s="20">
        <f t="shared" si="238"/>
        <v>0</v>
      </c>
      <c r="AI165" s="20">
        <f t="shared" ref="AI165:AL170" si="239">AE165*(EXP(1.01-0.34*LN(AI$8))*(1-$U165)+(1*$U165))</f>
        <v>0</v>
      </c>
      <c r="AJ165" s="20">
        <f t="shared" ref="AJ165:AJ170" si="240">AF165*(EXP(1.01-0.34*LN(AJ$8))*(1-$U165)+(1*$U165))</f>
        <v>0</v>
      </c>
      <c r="AK165" s="20">
        <f t="shared" ref="AK165:AK170" si="241">AG165*(EXP(1.01-0.34*LN(AK$8))*(1-$U165)+(1*$U165))</f>
        <v>0</v>
      </c>
      <c r="AL165" s="20">
        <f t="shared" ref="AL165:AL170" si="242">AH165*(EXP(1.01-0.34*LN(AL$8))*(1-$U165)+(1*$U165))</f>
        <v>0</v>
      </c>
      <c r="AM165" s="20">
        <f t="shared" ref="AM165:AM170" si="243">SUM(AI165:AL165)</f>
        <v>0</v>
      </c>
      <c r="AO165">
        <f t="shared" ref="AO165:AR170" si="244">Z165*AO$10</f>
        <v>0</v>
      </c>
      <c r="AP165">
        <f t="shared" si="244"/>
        <v>0</v>
      </c>
      <c r="AQ165">
        <f t="shared" si="244"/>
        <v>0</v>
      </c>
      <c r="AR165">
        <f t="shared" si="244"/>
        <v>0</v>
      </c>
      <c r="AS165">
        <f t="shared" ref="AS165:AS170" si="245">SUM(AO165:AR165)</f>
        <v>0</v>
      </c>
      <c r="AU165">
        <f t="shared" ref="AU165:AX170" si="246">AI165*AU$10</f>
        <v>0</v>
      </c>
      <c r="AV165">
        <f t="shared" si="246"/>
        <v>0</v>
      </c>
      <c r="AW165">
        <f t="shared" si="246"/>
        <v>0</v>
      </c>
      <c r="AX165">
        <f t="shared" si="246"/>
        <v>0</v>
      </c>
      <c r="AY165">
        <f t="shared" ref="AY165:AY170" si="247">SUM(AU165:AX165)</f>
        <v>0</v>
      </c>
    </row>
    <row r="166" spans="1:53" ht="15" x14ac:dyDescent="0.25">
      <c r="A166" s="1"/>
      <c r="B166" s="2"/>
      <c r="C166" s="1" t="s">
        <v>9</v>
      </c>
      <c r="D166">
        <v>0</v>
      </c>
      <c r="E166" s="360"/>
      <c r="F166">
        <v>0</v>
      </c>
      <c r="G166">
        <v>0</v>
      </c>
      <c r="H166">
        <v>0</v>
      </c>
      <c r="J166">
        <v>0</v>
      </c>
      <c r="K166" s="14">
        <v>0</v>
      </c>
      <c r="L166">
        <v>0</v>
      </c>
      <c r="M166">
        <v>0</v>
      </c>
      <c r="N166">
        <v>0</v>
      </c>
      <c r="O166" s="20"/>
      <c r="P166" s="20"/>
      <c r="Q166" s="438"/>
      <c r="R166" s="197">
        <v>0.66599999999999993</v>
      </c>
      <c r="S166" s="197">
        <v>4.5549999999999997</v>
      </c>
      <c r="T166" s="197">
        <v>0.60039794540960334</v>
      </c>
      <c r="U166" s="197">
        <v>0.90789473684210531</v>
      </c>
      <c r="V166" s="20">
        <f t="shared" si="235"/>
        <v>0</v>
      </c>
      <c r="W166" s="20">
        <f t="shared" si="235"/>
        <v>0</v>
      </c>
      <c r="X166" s="20">
        <f t="shared" si="235"/>
        <v>0</v>
      </c>
      <c r="Y166" s="20">
        <f t="shared" si="235"/>
        <v>0</v>
      </c>
      <c r="Z166" s="20">
        <f t="shared" si="236"/>
        <v>0</v>
      </c>
      <c r="AA166" s="20">
        <f t="shared" si="236"/>
        <v>0</v>
      </c>
      <c r="AB166" s="20">
        <f t="shared" si="236"/>
        <v>0</v>
      </c>
      <c r="AC166" s="20">
        <f t="shared" si="236"/>
        <v>0</v>
      </c>
      <c r="AD166" s="20">
        <f t="shared" si="237"/>
        <v>0</v>
      </c>
      <c r="AE166" s="20">
        <f t="shared" si="238"/>
        <v>0</v>
      </c>
      <c r="AF166" s="20">
        <f t="shared" si="238"/>
        <v>0</v>
      </c>
      <c r="AG166" s="20">
        <f t="shared" si="238"/>
        <v>0</v>
      </c>
      <c r="AH166" s="20">
        <f t="shared" si="238"/>
        <v>0</v>
      </c>
      <c r="AI166" s="20">
        <f t="shared" si="239"/>
        <v>0</v>
      </c>
      <c r="AJ166" s="20">
        <f t="shared" si="240"/>
        <v>0</v>
      </c>
      <c r="AK166" s="20">
        <f t="shared" si="241"/>
        <v>0</v>
      </c>
      <c r="AL166" s="20">
        <f t="shared" si="242"/>
        <v>0</v>
      </c>
      <c r="AM166" s="20">
        <f t="shared" si="243"/>
        <v>0</v>
      </c>
      <c r="AO166">
        <f t="shared" si="244"/>
        <v>0</v>
      </c>
      <c r="AP166">
        <f t="shared" si="244"/>
        <v>0</v>
      </c>
      <c r="AQ166">
        <f t="shared" si="244"/>
        <v>0</v>
      </c>
      <c r="AR166">
        <f t="shared" si="244"/>
        <v>0</v>
      </c>
      <c r="AS166">
        <f t="shared" si="245"/>
        <v>0</v>
      </c>
      <c r="AU166">
        <f t="shared" si="246"/>
        <v>0</v>
      </c>
      <c r="AV166">
        <f t="shared" si="246"/>
        <v>0</v>
      </c>
      <c r="AW166">
        <f t="shared" si="246"/>
        <v>0</v>
      </c>
      <c r="AX166">
        <f t="shared" si="246"/>
        <v>0</v>
      </c>
      <c r="AY166">
        <f t="shared" si="247"/>
        <v>0</v>
      </c>
    </row>
    <row r="167" spans="1:53" ht="15" x14ac:dyDescent="0.25">
      <c r="A167" s="1"/>
      <c r="B167" s="2"/>
      <c r="C167" s="1" t="s">
        <v>10</v>
      </c>
      <c r="D167">
        <v>0</v>
      </c>
      <c r="E167" s="360"/>
      <c r="F167">
        <v>0</v>
      </c>
      <c r="G167">
        <v>0</v>
      </c>
      <c r="H167">
        <v>0</v>
      </c>
      <c r="J167">
        <v>0</v>
      </c>
      <c r="K167" s="14">
        <v>0</v>
      </c>
      <c r="L167">
        <v>0</v>
      </c>
      <c r="M167">
        <v>0</v>
      </c>
      <c r="N167">
        <v>0</v>
      </c>
      <c r="O167" s="20"/>
      <c r="P167" s="20"/>
      <c r="Q167" s="438"/>
      <c r="R167" s="197">
        <v>0.66599999999999993</v>
      </c>
      <c r="S167" s="197">
        <v>4.5549999999999997</v>
      </c>
      <c r="T167" s="197">
        <v>0.60039794540960334</v>
      </c>
      <c r="U167" s="197">
        <v>0.90789473684210531</v>
      </c>
      <c r="V167" s="20">
        <f t="shared" si="235"/>
        <v>0</v>
      </c>
      <c r="W167" s="20">
        <f t="shared" si="235"/>
        <v>0</v>
      </c>
      <c r="X167" s="20">
        <f t="shared" si="235"/>
        <v>0</v>
      </c>
      <c r="Y167" s="20">
        <f t="shared" si="235"/>
        <v>0</v>
      </c>
      <c r="Z167" s="20">
        <f t="shared" si="236"/>
        <v>0</v>
      </c>
      <c r="AA167" s="20">
        <f t="shared" si="236"/>
        <v>0</v>
      </c>
      <c r="AB167" s="20">
        <f t="shared" si="236"/>
        <v>0</v>
      </c>
      <c r="AC167" s="20">
        <f t="shared" si="236"/>
        <v>0</v>
      </c>
      <c r="AD167" s="20">
        <f t="shared" si="237"/>
        <v>0</v>
      </c>
      <c r="AE167" s="20">
        <f t="shared" si="238"/>
        <v>0</v>
      </c>
      <c r="AF167" s="20">
        <f t="shared" si="238"/>
        <v>0</v>
      </c>
      <c r="AG167" s="20">
        <f t="shared" si="238"/>
        <v>0</v>
      </c>
      <c r="AH167" s="20">
        <f t="shared" si="238"/>
        <v>0</v>
      </c>
      <c r="AI167" s="20">
        <f t="shared" si="239"/>
        <v>0</v>
      </c>
      <c r="AJ167" s="20">
        <f t="shared" si="240"/>
        <v>0</v>
      </c>
      <c r="AK167" s="20">
        <f t="shared" si="241"/>
        <v>0</v>
      </c>
      <c r="AL167" s="20">
        <f t="shared" si="242"/>
        <v>0</v>
      </c>
      <c r="AM167" s="20">
        <f t="shared" si="243"/>
        <v>0</v>
      </c>
      <c r="AO167">
        <f t="shared" si="244"/>
        <v>0</v>
      </c>
      <c r="AP167">
        <f t="shared" si="244"/>
        <v>0</v>
      </c>
      <c r="AQ167">
        <f t="shared" si="244"/>
        <v>0</v>
      </c>
      <c r="AR167">
        <f t="shared" si="244"/>
        <v>0</v>
      </c>
      <c r="AS167">
        <f t="shared" si="245"/>
        <v>0</v>
      </c>
      <c r="AU167">
        <f t="shared" si="246"/>
        <v>0</v>
      </c>
      <c r="AV167">
        <f t="shared" si="246"/>
        <v>0</v>
      </c>
      <c r="AW167">
        <f t="shared" si="246"/>
        <v>0</v>
      </c>
      <c r="AX167">
        <f t="shared" si="246"/>
        <v>0</v>
      </c>
      <c r="AY167">
        <f t="shared" si="247"/>
        <v>0</v>
      </c>
    </row>
    <row r="168" spans="1:53" ht="15" x14ac:dyDescent="0.25">
      <c r="A168" s="1"/>
      <c r="B168" s="2"/>
      <c r="C168" s="1" t="s">
        <v>11</v>
      </c>
      <c r="D168">
        <v>0</v>
      </c>
      <c r="E168" s="360">
        <v>137.87690000000001</v>
      </c>
      <c r="F168">
        <v>0</v>
      </c>
      <c r="G168">
        <v>0</v>
      </c>
      <c r="H168">
        <v>0</v>
      </c>
      <c r="J168">
        <v>0</v>
      </c>
      <c r="K168" s="14">
        <v>-6.3416431589757849E-4</v>
      </c>
      <c r="L168">
        <v>0</v>
      </c>
      <c r="M168">
        <v>0</v>
      </c>
      <c r="N168">
        <v>0</v>
      </c>
      <c r="O168" s="20"/>
      <c r="P168" s="20"/>
      <c r="Q168" s="438">
        <v>3.3614291971481677E-2</v>
      </c>
      <c r="R168" s="197">
        <v>0.66599999999999993</v>
      </c>
      <c r="S168" s="197">
        <v>4.5549999999999997</v>
      </c>
      <c r="T168" s="197">
        <v>0.60039794540960334</v>
      </c>
      <c r="U168" s="197">
        <v>0.90789473684210531</v>
      </c>
      <c r="V168" s="20">
        <f t="shared" si="235"/>
        <v>30.866664922333729</v>
      </c>
      <c r="W168" s="20">
        <f t="shared" si="235"/>
        <v>0</v>
      </c>
      <c r="X168" s="20">
        <f t="shared" si="235"/>
        <v>0</v>
      </c>
      <c r="Y168" s="20">
        <f t="shared" si="235"/>
        <v>0</v>
      </c>
      <c r="Z168" s="20">
        <f t="shared" si="236"/>
        <v>20.783341079337674</v>
      </c>
      <c r="AA168" s="20">
        <f t="shared" si="236"/>
        <v>0</v>
      </c>
      <c r="AB168" s="20">
        <f t="shared" si="236"/>
        <v>0</v>
      </c>
      <c r="AC168" s="20">
        <f t="shared" si="236"/>
        <v>0</v>
      </c>
      <c r="AD168" s="20">
        <f t="shared" si="237"/>
        <v>20.783341079337674</v>
      </c>
      <c r="AE168" s="20">
        <f t="shared" si="238"/>
        <v>211.10759567752271</v>
      </c>
      <c r="AF168" s="20">
        <f t="shared" si="238"/>
        <v>0</v>
      </c>
      <c r="AG168" s="20">
        <f t="shared" si="238"/>
        <v>0</v>
      </c>
      <c r="AH168" s="20">
        <f t="shared" si="238"/>
        <v>0</v>
      </c>
      <c r="AI168" s="20">
        <f t="shared" si="239"/>
        <v>195.21208069055538</v>
      </c>
      <c r="AJ168" s="20">
        <f t="shared" si="239"/>
        <v>0</v>
      </c>
      <c r="AK168" s="20">
        <f t="shared" si="239"/>
        <v>0</v>
      </c>
      <c r="AL168" s="20">
        <f t="shared" si="239"/>
        <v>0</v>
      </c>
      <c r="AM168" s="20">
        <f t="shared" si="243"/>
        <v>195.21208069055538</v>
      </c>
      <c r="AO168">
        <f t="shared" si="244"/>
        <v>13.916525186724506</v>
      </c>
      <c r="AP168">
        <f t="shared" si="244"/>
        <v>0</v>
      </c>
      <c r="AQ168">
        <f t="shared" si="244"/>
        <v>0</v>
      </c>
      <c r="AR168">
        <f t="shared" si="244"/>
        <v>0</v>
      </c>
      <c r="AS168">
        <f t="shared" si="245"/>
        <v>13.916525186724506</v>
      </c>
      <c r="AU168">
        <f t="shared" si="246"/>
        <v>130.71400923039587</v>
      </c>
      <c r="AV168">
        <f t="shared" si="246"/>
        <v>0</v>
      </c>
      <c r="AW168">
        <f t="shared" si="246"/>
        <v>0</v>
      </c>
      <c r="AX168">
        <f t="shared" si="246"/>
        <v>0</v>
      </c>
      <c r="AY168">
        <f t="shared" si="247"/>
        <v>130.71400923039587</v>
      </c>
    </row>
    <row r="169" spans="1:53" ht="15" x14ac:dyDescent="0.25">
      <c r="A169" s="1"/>
      <c r="B169" s="2"/>
      <c r="C169" s="1" t="s">
        <v>12</v>
      </c>
      <c r="D169">
        <v>0</v>
      </c>
      <c r="E169" s="360"/>
      <c r="F169">
        <v>0</v>
      </c>
      <c r="G169">
        <v>0</v>
      </c>
      <c r="H169">
        <v>0</v>
      </c>
      <c r="J169">
        <v>0</v>
      </c>
      <c r="K169" s="14">
        <v>0</v>
      </c>
      <c r="L169">
        <v>0</v>
      </c>
      <c r="M169">
        <v>0</v>
      </c>
      <c r="N169">
        <v>0</v>
      </c>
      <c r="O169" s="20"/>
      <c r="P169" s="20"/>
      <c r="Q169" s="438"/>
      <c r="R169" s="197">
        <v>0.66599999999999993</v>
      </c>
      <c r="S169" s="197">
        <v>4.5549999999999997</v>
      </c>
      <c r="T169" s="197">
        <v>0.60039794540960334</v>
      </c>
      <c r="U169" s="197">
        <v>0.90789473684210531</v>
      </c>
      <c r="V169" s="20">
        <f t="shared" si="235"/>
        <v>0</v>
      </c>
      <c r="W169" s="20">
        <f t="shared" si="235"/>
        <v>0</v>
      </c>
      <c r="X169" s="20">
        <f t="shared" si="235"/>
        <v>0</v>
      </c>
      <c r="Y169" s="20">
        <f t="shared" si="235"/>
        <v>0</v>
      </c>
      <c r="Z169" s="20">
        <f t="shared" si="236"/>
        <v>0</v>
      </c>
      <c r="AA169" s="20">
        <f t="shared" si="236"/>
        <v>0</v>
      </c>
      <c r="AB169" s="20">
        <f t="shared" si="236"/>
        <v>0</v>
      </c>
      <c r="AC169" s="20">
        <f t="shared" si="236"/>
        <v>0</v>
      </c>
      <c r="AD169" s="20">
        <f t="shared" si="237"/>
        <v>0</v>
      </c>
      <c r="AE169" s="20">
        <f t="shared" si="238"/>
        <v>0</v>
      </c>
      <c r="AF169" s="20">
        <f t="shared" si="238"/>
        <v>0</v>
      </c>
      <c r="AG169" s="20">
        <f t="shared" si="238"/>
        <v>0</v>
      </c>
      <c r="AH169" s="20">
        <f t="shared" si="238"/>
        <v>0</v>
      </c>
      <c r="AI169" s="20">
        <f t="shared" si="239"/>
        <v>0</v>
      </c>
      <c r="AJ169" s="20">
        <f t="shared" si="240"/>
        <v>0</v>
      </c>
      <c r="AK169" s="20">
        <f t="shared" si="241"/>
        <v>0</v>
      </c>
      <c r="AL169" s="20">
        <f t="shared" si="242"/>
        <v>0</v>
      </c>
      <c r="AM169" s="20">
        <f t="shared" si="243"/>
        <v>0</v>
      </c>
      <c r="AO169">
        <f t="shared" si="244"/>
        <v>0</v>
      </c>
      <c r="AP169">
        <f t="shared" si="244"/>
        <v>0</v>
      </c>
      <c r="AQ169">
        <f t="shared" si="244"/>
        <v>0</v>
      </c>
      <c r="AR169">
        <f t="shared" si="244"/>
        <v>0</v>
      </c>
      <c r="AS169">
        <f t="shared" si="245"/>
        <v>0</v>
      </c>
      <c r="AU169">
        <f t="shared" si="246"/>
        <v>0</v>
      </c>
      <c r="AV169">
        <f t="shared" si="246"/>
        <v>0</v>
      </c>
      <c r="AW169">
        <f t="shared" si="246"/>
        <v>0</v>
      </c>
      <c r="AX169">
        <f t="shared" si="246"/>
        <v>0</v>
      </c>
      <c r="AY169">
        <f t="shared" si="247"/>
        <v>0</v>
      </c>
    </row>
    <row r="170" spans="1:53" ht="15" x14ac:dyDescent="0.25">
      <c r="A170" s="1"/>
      <c r="B170" s="2"/>
      <c r="C170" s="1" t="s">
        <v>13</v>
      </c>
      <c r="D170">
        <v>0</v>
      </c>
      <c r="E170" s="360"/>
      <c r="F170">
        <v>0</v>
      </c>
      <c r="G170">
        <v>0</v>
      </c>
      <c r="H170">
        <v>0</v>
      </c>
      <c r="J170">
        <v>0</v>
      </c>
      <c r="K170" s="14">
        <v>0</v>
      </c>
      <c r="L170">
        <v>0</v>
      </c>
      <c r="M170">
        <v>0</v>
      </c>
      <c r="N170">
        <v>0</v>
      </c>
      <c r="O170" s="20"/>
      <c r="P170" s="20"/>
      <c r="Q170" s="438"/>
      <c r="R170" s="197">
        <v>0.66599999999999993</v>
      </c>
      <c r="S170" s="197">
        <v>4.5549999999999997</v>
      </c>
      <c r="T170" s="197">
        <v>0.60039794540960334</v>
      </c>
      <c r="U170" s="197">
        <v>0.90789473684210531</v>
      </c>
      <c r="V170" s="20">
        <f t="shared" si="235"/>
        <v>0</v>
      </c>
      <c r="W170" s="20">
        <f t="shared" si="235"/>
        <v>0</v>
      </c>
      <c r="X170" s="20">
        <f t="shared" si="235"/>
        <v>0</v>
      </c>
      <c r="Y170" s="20">
        <f t="shared" si="235"/>
        <v>0</v>
      </c>
      <c r="Z170" s="20">
        <f t="shared" si="236"/>
        <v>0</v>
      </c>
      <c r="AA170" s="20">
        <f t="shared" si="236"/>
        <v>0</v>
      </c>
      <c r="AB170" s="20">
        <f t="shared" si="236"/>
        <v>0</v>
      </c>
      <c r="AC170" s="20">
        <f t="shared" si="236"/>
        <v>0</v>
      </c>
      <c r="AD170" s="20">
        <f t="shared" si="237"/>
        <v>0</v>
      </c>
      <c r="AE170" s="20">
        <f t="shared" si="238"/>
        <v>0</v>
      </c>
      <c r="AF170" s="20">
        <f t="shared" si="238"/>
        <v>0</v>
      </c>
      <c r="AG170" s="20">
        <f t="shared" si="238"/>
        <v>0</v>
      </c>
      <c r="AH170" s="20">
        <f t="shared" si="238"/>
        <v>0</v>
      </c>
      <c r="AI170" s="20">
        <f t="shared" si="239"/>
        <v>0</v>
      </c>
      <c r="AJ170" s="20">
        <f t="shared" si="240"/>
        <v>0</v>
      </c>
      <c r="AK170" s="20">
        <f t="shared" si="241"/>
        <v>0</v>
      </c>
      <c r="AL170" s="20">
        <f t="shared" si="242"/>
        <v>0</v>
      </c>
      <c r="AM170" s="20">
        <f t="shared" si="243"/>
        <v>0</v>
      </c>
      <c r="AO170">
        <f t="shared" si="244"/>
        <v>0</v>
      </c>
      <c r="AP170">
        <f t="shared" si="244"/>
        <v>0</v>
      </c>
      <c r="AQ170">
        <f t="shared" si="244"/>
        <v>0</v>
      </c>
      <c r="AR170">
        <f t="shared" si="244"/>
        <v>0</v>
      </c>
      <c r="AS170">
        <f t="shared" si="245"/>
        <v>0</v>
      </c>
      <c r="AU170">
        <f t="shared" si="246"/>
        <v>0</v>
      </c>
      <c r="AV170">
        <f t="shared" si="246"/>
        <v>0</v>
      </c>
      <c r="AW170">
        <f t="shared" si="246"/>
        <v>0</v>
      </c>
      <c r="AX170">
        <f t="shared" si="246"/>
        <v>0</v>
      </c>
      <c r="AY170">
        <f t="shared" si="247"/>
        <v>0</v>
      </c>
    </row>
    <row r="171" spans="1:53" ht="15" x14ac:dyDescent="0.25">
      <c r="A171" s="7"/>
      <c r="B171" s="8" t="s">
        <v>14</v>
      </c>
      <c r="C171" s="7"/>
      <c r="D171" s="357">
        <f t="shared" ref="D171:H171" si="248">SUM(D165:D170)</f>
        <v>0</v>
      </c>
      <c r="E171" s="363">
        <f>SUM(E165:E170)</f>
        <v>137.87690000000001</v>
      </c>
      <c r="F171" s="357">
        <f t="shared" si="248"/>
        <v>0</v>
      </c>
      <c r="G171" s="357">
        <f t="shared" si="248"/>
        <v>0</v>
      </c>
      <c r="H171" s="357">
        <f t="shared" si="248"/>
        <v>0</v>
      </c>
      <c r="J171">
        <v>0</v>
      </c>
      <c r="K171" s="14">
        <v>-6.3416431589757849E-4</v>
      </c>
      <c r="L171">
        <v>0</v>
      </c>
      <c r="M171">
        <v>0</v>
      </c>
      <c r="N171">
        <v>0</v>
      </c>
      <c r="O171" s="20"/>
      <c r="P171" s="20"/>
      <c r="Q171" s="438">
        <v>3.3614291971481677E-2</v>
      </c>
      <c r="R171" s="20"/>
      <c r="S171" s="20"/>
      <c r="T171" s="20"/>
      <c r="U171" s="20"/>
      <c r="BA171" s="319">
        <f>(E171*10000*Q171*AU$10)</f>
        <v>31033.511759751749</v>
      </c>
    </row>
    <row r="172" spans="1:53" ht="15" x14ac:dyDescent="0.25">
      <c r="A172" s="1"/>
      <c r="B172" s="9" t="s">
        <v>15</v>
      </c>
      <c r="C172" s="5"/>
      <c r="E172" s="363">
        <f>SUM(E171)</f>
        <v>137.87690000000001</v>
      </c>
      <c r="H172" s="358">
        <f>SUM(D171:H171)</f>
        <v>137.87690000000001</v>
      </c>
      <c r="K172" s="14"/>
      <c r="N172">
        <v>0</v>
      </c>
      <c r="O172" s="20"/>
      <c r="P172" s="20"/>
      <c r="Q172" s="438"/>
      <c r="R172" s="20"/>
      <c r="S172" s="20"/>
      <c r="T172" s="20"/>
      <c r="U172" s="20"/>
    </row>
    <row r="173" spans="1:53" ht="15.75" x14ac:dyDescent="0.25">
      <c r="A173" s="1"/>
      <c r="B173" s="2"/>
      <c r="C173" s="1"/>
      <c r="E173" s="361"/>
      <c r="K173" s="14"/>
      <c r="O173" s="20"/>
      <c r="P173" s="20"/>
      <c r="Q173" s="439"/>
      <c r="R173" s="20"/>
      <c r="S173" s="20"/>
      <c r="T173" s="20"/>
      <c r="U173" s="20"/>
    </row>
    <row r="174" spans="1:53" ht="15" x14ac:dyDescent="0.25">
      <c r="A174" s="1">
        <v>19</v>
      </c>
      <c r="B174" s="154" t="s">
        <v>865</v>
      </c>
      <c r="C174" s="1" t="s">
        <v>8</v>
      </c>
      <c r="D174">
        <v>0</v>
      </c>
      <c r="E174" s="360">
        <v>0</v>
      </c>
      <c r="F174">
        <v>0</v>
      </c>
      <c r="G174">
        <v>0</v>
      </c>
      <c r="H174">
        <v>0</v>
      </c>
      <c r="J174">
        <v>0</v>
      </c>
      <c r="K174" s="14">
        <v>0</v>
      </c>
      <c r="L174">
        <v>0</v>
      </c>
      <c r="M174">
        <v>0</v>
      </c>
      <c r="N174">
        <v>0</v>
      </c>
      <c r="O174" s="20"/>
      <c r="P174" s="20"/>
      <c r="Q174" s="438"/>
      <c r="R174" s="20"/>
      <c r="S174" s="20"/>
      <c r="T174" s="20"/>
      <c r="U174" s="20"/>
    </row>
    <row r="175" spans="1:53" ht="15" x14ac:dyDescent="0.25">
      <c r="A175" s="1"/>
      <c r="B175" s="2"/>
      <c r="C175" s="1" t="s">
        <v>9</v>
      </c>
      <c r="D175">
        <v>0</v>
      </c>
      <c r="E175" s="360">
        <v>0</v>
      </c>
      <c r="F175">
        <v>0</v>
      </c>
      <c r="G175">
        <v>0</v>
      </c>
      <c r="H175">
        <v>0</v>
      </c>
      <c r="J175">
        <v>0</v>
      </c>
      <c r="K175" s="14">
        <v>0</v>
      </c>
      <c r="L175">
        <v>0</v>
      </c>
      <c r="M175">
        <v>0</v>
      </c>
      <c r="N175">
        <v>0</v>
      </c>
      <c r="O175" s="20"/>
      <c r="P175" s="20"/>
      <c r="Q175" s="438"/>
      <c r="R175" s="20"/>
      <c r="S175" s="20"/>
      <c r="T175" s="20"/>
      <c r="U175" s="20"/>
    </row>
    <row r="176" spans="1:53" ht="15" x14ac:dyDescent="0.25">
      <c r="A176" s="1"/>
      <c r="B176" s="2"/>
      <c r="C176" s="1" t="s">
        <v>10</v>
      </c>
      <c r="D176">
        <v>0</v>
      </c>
      <c r="E176" s="360">
        <v>0</v>
      </c>
      <c r="F176">
        <v>0</v>
      </c>
      <c r="G176">
        <v>0</v>
      </c>
      <c r="H176">
        <v>0</v>
      </c>
      <c r="J176">
        <v>0</v>
      </c>
      <c r="K176" s="14">
        <v>0</v>
      </c>
      <c r="L176">
        <v>0</v>
      </c>
      <c r="M176">
        <v>0</v>
      </c>
      <c r="N176">
        <v>0</v>
      </c>
      <c r="O176" s="20"/>
      <c r="P176" s="20"/>
      <c r="Q176" s="438"/>
      <c r="R176" s="20"/>
      <c r="S176" s="20"/>
      <c r="T176" s="20"/>
      <c r="U176" s="20"/>
    </row>
    <row r="177" spans="1:54" ht="15" x14ac:dyDescent="0.25">
      <c r="A177" s="1"/>
      <c r="B177" s="2"/>
      <c r="C177" s="1" t="s">
        <v>11</v>
      </c>
      <c r="D177">
        <v>0</v>
      </c>
      <c r="E177" s="360">
        <v>1.3947290000000001</v>
      </c>
      <c r="F177">
        <v>0</v>
      </c>
      <c r="G177">
        <v>0</v>
      </c>
      <c r="H177">
        <v>0</v>
      </c>
      <c r="J177">
        <v>0</v>
      </c>
      <c r="K177" s="14">
        <v>1.3220211001474524E-6</v>
      </c>
      <c r="L177">
        <v>0</v>
      </c>
      <c r="M177">
        <v>0</v>
      </c>
      <c r="N177">
        <v>0</v>
      </c>
      <c r="O177" s="20"/>
      <c r="P177" s="20"/>
      <c r="Q177" s="438">
        <v>0.90000000000000013</v>
      </c>
      <c r="R177" s="20"/>
      <c r="S177" s="20"/>
      <c r="T177" s="20"/>
      <c r="U177" s="20"/>
    </row>
    <row r="178" spans="1:54" ht="15" x14ac:dyDescent="0.25">
      <c r="A178" s="1"/>
      <c r="B178" s="2"/>
      <c r="C178" s="1" t="s">
        <v>12</v>
      </c>
      <c r="D178">
        <v>0</v>
      </c>
      <c r="E178" s="360">
        <v>0</v>
      </c>
      <c r="F178">
        <v>0</v>
      </c>
      <c r="G178">
        <v>0</v>
      </c>
      <c r="H178">
        <v>0</v>
      </c>
      <c r="J178">
        <v>0</v>
      </c>
      <c r="K178" s="14">
        <v>0</v>
      </c>
      <c r="L178">
        <v>0</v>
      </c>
      <c r="M178">
        <v>0</v>
      </c>
      <c r="N178">
        <v>0</v>
      </c>
      <c r="O178" s="20"/>
      <c r="P178" s="20"/>
      <c r="Q178" s="438"/>
      <c r="R178" s="20"/>
      <c r="S178" s="20"/>
      <c r="T178" s="20"/>
      <c r="U178" s="20"/>
    </row>
    <row r="179" spans="1:54" ht="15" x14ac:dyDescent="0.25">
      <c r="A179" s="1"/>
      <c r="B179" s="2"/>
      <c r="C179" s="1" t="s">
        <v>13</v>
      </c>
      <c r="D179">
        <v>0</v>
      </c>
      <c r="E179" s="360">
        <v>99.678190000000001</v>
      </c>
      <c r="F179">
        <v>0</v>
      </c>
      <c r="G179">
        <v>0</v>
      </c>
      <c r="H179">
        <v>0</v>
      </c>
      <c r="J179">
        <v>0</v>
      </c>
      <c r="K179" s="14">
        <v>8.7469220872549158E-5</v>
      </c>
      <c r="L179">
        <v>0</v>
      </c>
      <c r="M179">
        <v>0</v>
      </c>
      <c r="N179">
        <v>0</v>
      </c>
      <c r="O179" s="20"/>
      <c r="P179" s="20"/>
      <c r="Q179" s="438">
        <v>0.90000000000000013</v>
      </c>
      <c r="R179" s="20"/>
      <c r="S179" s="20"/>
      <c r="T179" s="20"/>
      <c r="U179" s="20"/>
    </row>
    <row r="180" spans="1:54" ht="15" x14ac:dyDescent="0.25">
      <c r="A180" s="7"/>
      <c r="B180" s="8" t="s">
        <v>14</v>
      </c>
      <c r="C180" s="7"/>
      <c r="D180" s="357">
        <f t="shared" ref="D180:H180" si="249">SUM(D174:D179)</f>
        <v>0</v>
      </c>
      <c r="E180" s="363">
        <f>SUM(E174:E179)</f>
        <v>101.072919</v>
      </c>
      <c r="F180" s="357">
        <f t="shared" si="249"/>
        <v>0</v>
      </c>
      <c r="G180" s="357">
        <f t="shared" si="249"/>
        <v>0</v>
      </c>
      <c r="H180" s="357">
        <f t="shared" si="249"/>
        <v>0</v>
      </c>
      <c r="J180">
        <v>0</v>
      </c>
      <c r="K180">
        <v>0</v>
      </c>
      <c r="L180">
        <v>0</v>
      </c>
      <c r="M180">
        <v>0</v>
      </c>
      <c r="N180">
        <v>0</v>
      </c>
      <c r="Q180" s="438">
        <v>0.9</v>
      </c>
      <c r="BA180" s="319">
        <f>(E180*10000*Q180*AU$10)</f>
        <v>609105.83906159992</v>
      </c>
    </row>
    <row r="181" spans="1:54" ht="15" x14ac:dyDescent="0.25">
      <c r="A181" s="5"/>
      <c r="B181" s="9" t="s">
        <v>15</v>
      </c>
      <c r="C181" s="5"/>
      <c r="E181" s="363">
        <f>SUM(E180)</f>
        <v>101.072919</v>
      </c>
      <c r="H181" s="358">
        <f>SUM(D180:H180)</f>
        <v>101.072919</v>
      </c>
      <c r="N181">
        <v>0</v>
      </c>
    </row>
    <row r="182" spans="1:54" s="79" customFormat="1" ht="15" x14ac:dyDescent="0.25">
      <c r="A182" s="199"/>
      <c r="B182" s="198" t="s">
        <v>661</v>
      </c>
      <c r="C182" s="199"/>
    </row>
    <row r="183" spans="1:54" x14ac:dyDescent="0.2">
      <c r="E183" s="14">
        <f>SUM(E180,E171,E162,E153,E144,E135,E126,E117,E108,E99,E90,E81,E72,E63,E54,E45,E36,E27,E18,)</f>
        <v>2788.5485690000005</v>
      </c>
    </row>
    <row r="184" spans="1:54" x14ac:dyDescent="0.2">
      <c r="E184" s="14">
        <f>SUM(E181,E172,E163,E154,E145,E136,E127,E118,E109,E100,E91,E82,E73,E64,E55,E46,E37,E28)</f>
        <v>2714.9238990000003</v>
      </c>
      <c r="BA184" s="406">
        <f>SUM(BA171,BA162,BA153,BA144,BA135,BA126,BA117,BA108,BA99,BA90,BA81,BA72,BA63,BA54,BA45,BA36,BA27,BA18,BA180)</f>
        <v>7786835.8575950963</v>
      </c>
      <c r="BB184" s="407">
        <f>BA184*0.000001</f>
        <v>7.7868358575950962</v>
      </c>
    </row>
  </sheetData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3:BA183"/>
  <sheetViews>
    <sheetView defaultGridColor="0" colorId="11" zoomScale="70" zoomScaleNormal="70" workbookViewId="0">
      <pane xSplit="3" topLeftCell="D1" activePane="topRight" state="frozen"/>
      <selection activeCell="A9" sqref="A9"/>
      <selection pane="topRight" activeCell="Q12" sqref="Q12:Q180"/>
    </sheetView>
  </sheetViews>
  <sheetFormatPr defaultRowHeight="12.75" x14ac:dyDescent="0.2"/>
  <cols>
    <col min="2" max="2" width="26.42578125" bestFit="1" customWidth="1"/>
    <col min="4" max="8" width="13.7109375" customWidth="1"/>
    <col min="10" max="14" width="13.5703125" customWidth="1"/>
    <col min="15" max="15" width="12" bestFit="1" customWidth="1"/>
    <col min="17" max="17" width="15.7109375" style="419" bestFit="1" customWidth="1"/>
    <col min="18" max="19" width="12" bestFit="1" customWidth="1"/>
    <col min="20" max="21" width="12" customWidth="1"/>
    <col min="22" max="25" width="11.5703125" customWidth="1"/>
    <col min="26" max="26" width="12" bestFit="1" customWidth="1"/>
    <col min="27" max="29" width="10.7109375" customWidth="1"/>
    <col min="30" max="30" width="12" bestFit="1" customWidth="1"/>
    <col min="31" max="34" width="13.42578125" customWidth="1"/>
    <col min="35" max="39" width="10.85546875" customWidth="1"/>
    <col min="41" max="41" width="12" bestFit="1" customWidth="1"/>
    <col min="45" max="45" width="28.140625" customWidth="1"/>
    <col min="51" max="51" width="28.42578125" customWidth="1"/>
  </cols>
  <sheetData>
    <row r="3" spans="1:53" ht="96.75" x14ac:dyDescent="0.25">
      <c r="B3" s="16"/>
      <c r="D3" s="179" t="s">
        <v>788</v>
      </c>
      <c r="E3" s="179" t="s">
        <v>788</v>
      </c>
      <c r="F3" s="179"/>
      <c r="G3" s="418"/>
      <c r="H3" s="179"/>
      <c r="J3" s="181" t="s">
        <v>789</v>
      </c>
      <c r="K3" s="181"/>
      <c r="L3" s="181"/>
      <c r="M3" s="181"/>
      <c r="N3" s="181"/>
      <c r="V3" s="99" t="s">
        <v>534</v>
      </c>
      <c r="W3" s="99"/>
      <c r="X3" s="99"/>
      <c r="Y3" s="99"/>
      <c r="Z3" s="26" t="s">
        <v>535</v>
      </c>
      <c r="AA3" s="26"/>
      <c r="AB3" s="26"/>
      <c r="AC3" s="26"/>
      <c r="AD3" s="125"/>
      <c r="AE3" s="28" t="s">
        <v>536</v>
      </c>
      <c r="AF3" s="28"/>
      <c r="AG3" s="28"/>
      <c r="AH3" s="28"/>
      <c r="AI3" s="124" t="s">
        <v>537</v>
      </c>
      <c r="AJ3" s="131"/>
      <c r="AK3" s="131"/>
      <c r="AL3" s="131"/>
      <c r="AM3" s="131"/>
    </row>
    <row r="4" spans="1:53" ht="15.75" x14ac:dyDescent="0.25">
      <c r="D4" s="180"/>
      <c r="E4" s="180"/>
      <c r="F4" s="180"/>
      <c r="G4" s="180"/>
      <c r="H4" s="180"/>
      <c r="J4" s="314" t="s">
        <v>793</v>
      </c>
      <c r="K4" s="182"/>
      <c r="L4" s="182"/>
      <c r="M4" s="182"/>
      <c r="N4" s="182"/>
      <c r="V4" s="101" t="s">
        <v>40</v>
      </c>
      <c r="W4" s="101"/>
      <c r="X4" s="101"/>
      <c r="Y4" s="101"/>
      <c r="Z4" s="27" t="s">
        <v>40</v>
      </c>
      <c r="AA4" s="27"/>
      <c r="AB4" s="27"/>
      <c r="AC4" s="27"/>
      <c r="AD4" s="126"/>
      <c r="AE4" s="30" t="s">
        <v>40</v>
      </c>
      <c r="AF4" s="30"/>
      <c r="AG4" s="30"/>
      <c r="AH4" s="30"/>
      <c r="AI4" s="132" t="s">
        <v>40</v>
      </c>
      <c r="AJ4" s="133"/>
      <c r="AK4" s="133"/>
      <c r="AL4" s="133"/>
      <c r="AM4" s="133"/>
    </row>
    <row r="5" spans="1:53" ht="94.5" x14ac:dyDescent="0.25">
      <c r="A5" s="1"/>
      <c r="B5" s="2"/>
      <c r="C5" s="3"/>
      <c r="D5" s="103"/>
      <c r="E5" s="229"/>
      <c r="F5" s="229"/>
      <c r="G5" s="229"/>
      <c r="H5" s="229"/>
      <c r="J5" s="115"/>
      <c r="K5" s="232"/>
      <c r="L5" s="232"/>
      <c r="M5" s="232"/>
      <c r="N5" s="232"/>
      <c r="V5" s="103"/>
      <c r="W5" s="103"/>
      <c r="X5" s="103"/>
      <c r="Y5" s="103"/>
      <c r="Z5" s="93"/>
      <c r="AA5" s="236"/>
      <c r="AB5" s="236"/>
      <c r="AC5" s="236"/>
      <c r="AD5" s="127"/>
      <c r="AE5" s="90"/>
      <c r="AF5" s="90"/>
      <c r="AG5" s="90"/>
      <c r="AH5" s="90"/>
      <c r="AI5" s="134"/>
      <c r="AJ5" s="135"/>
      <c r="AK5" s="135"/>
      <c r="AL5" s="135"/>
      <c r="AM5" s="135"/>
      <c r="AO5" s="240" t="s">
        <v>727</v>
      </c>
      <c r="AP5" s="241"/>
      <c r="AQ5" s="241"/>
      <c r="AR5" s="241"/>
      <c r="AS5" s="242" t="s">
        <v>727</v>
      </c>
      <c r="AU5" s="244" t="s">
        <v>728</v>
      </c>
      <c r="AV5" s="245"/>
      <c r="AW5" s="245"/>
      <c r="AX5" s="245"/>
      <c r="AY5" s="246" t="s">
        <v>728</v>
      </c>
    </row>
    <row r="6" spans="1:53" ht="39" x14ac:dyDescent="0.25">
      <c r="A6" s="1"/>
      <c r="B6" s="2" t="s">
        <v>0</v>
      </c>
      <c r="C6" s="3"/>
      <c r="D6" s="234"/>
      <c r="E6" s="234" t="s">
        <v>862</v>
      </c>
      <c r="F6" s="234"/>
      <c r="G6" s="234"/>
      <c r="H6" s="234"/>
      <c r="J6" s="117" t="s">
        <v>862</v>
      </c>
      <c r="K6" s="117"/>
      <c r="L6" s="117"/>
      <c r="M6" s="117"/>
      <c r="N6" s="117"/>
      <c r="O6" s="17" t="s">
        <v>35</v>
      </c>
      <c r="P6" s="18"/>
      <c r="Q6" s="420">
        <v>2012</v>
      </c>
      <c r="R6" s="22" t="s">
        <v>38</v>
      </c>
      <c r="S6" s="22" t="s">
        <v>39</v>
      </c>
      <c r="T6" s="196" t="s">
        <v>659</v>
      </c>
      <c r="U6" s="196" t="s">
        <v>660</v>
      </c>
      <c r="V6" s="105" t="s">
        <v>862</v>
      </c>
      <c r="W6" s="105"/>
      <c r="X6" s="105"/>
      <c r="Y6" s="105"/>
      <c r="Z6" s="78" t="s">
        <v>862</v>
      </c>
      <c r="AA6" s="78"/>
      <c r="AB6" s="78"/>
      <c r="AC6" s="78"/>
      <c r="AD6" s="128" t="s">
        <v>42</v>
      </c>
      <c r="AE6" s="72" t="s">
        <v>862</v>
      </c>
      <c r="AF6" s="72"/>
      <c r="AG6" s="72"/>
      <c r="AH6" s="72"/>
      <c r="AI6" s="137" t="s">
        <v>862</v>
      </c>
      <c r="AJ6" s="137"/>
      <c r="AK6" s="137"/>
      <c r="AL6" s="137"/>
      <c r="AM6" s="137" t="s">
        <v>42</v>
      </c>
      <c r="AO6" s="118" t="s">
        <v>862</v>
      </c>
      <c r="AP6" s="118"/>
      <c r="AQ6" s="118"/>
      <c r="AR6" s="118"/>
      <c r="AS6" s="129"/>
      <c r="AU6" s="118" t="s">
        <v>862</v>
      </c>
      <c r="AV6" s="118"/>
      <c r="AW6" s="118"/>
      <c r="AX6" s="118"/>
      <c r="AY6" s="247"/>
    </row>
    <row r="7" spans="1:53" ht="26.25" x14ac:dyDescent="0.25">
      <c r="A7" s="1"/>
      <c r="B7" s="2" t="s">
        <v>1</v>
      </c>
      <c r="C7" s="2"/>
      <c r="D7" s="107"/>
      <c r="E7" s="107"/>
      <c r="F7" s="107"/>
      <c r="G7" s="107"/>
      <c r="H7" s="107"/>
      <c r="J7" s="119"/>
      <c r="K7" s="233"/>
      <c r="L7" s="233"/>
      <c r="M7" s="233"/>
      <c r="N7" s="233"/>
      <c r="O7" s="21" t="s">
        <v>36</v>
      </c>
      <c r="P7" s="21" t="s">
        <v>37</v>
      </c>
      <c r="Q7" s="421" t="s">
        <v>538</v>
      </c>
      <c r="R7" s="22"/>
      <c r="S7" s="22"/>
      <c r="T7" s="22"/>
      <c r="U7" s="22"/>
      <c r="V7" s="107"/>
      <c r="W7" s="107"/>
      <c r="X7" s="107"/>
      <c r="Y7" s="107"/>
      <c r="Z7" s="237"/>
      <c r="AA7" s="237"/>
      <c r="AB7" s="237"/>
      <c r="AC7" s="237"/>
      <c r="AD7" s="129"/>
      <c r="AE7" s="91"/>
      <c r="AF7" s="91"/>
      <c r="AG7" s="91"/>
      <c r="AH7" s="91"/>
      <c r="AI7" s="139"/>
      <c r="AJ7" s="139"/>
      <c r="AK7" s="139"/>
      <c r="AL7" s="139"/>
      <c r="AM7" s="139"/>
      <c r="AS7" s="129"/>
      <c r="AY7" s="247"/>
      <c r="BA7" t="s">
        <v>864</v>
      </c>
    </row>
    <row r="8" spans="1:53" ht="15.75" x14ac:dyDescent="0.25">
      <c r="A8" s="1"/>
      <c r="B8" s="2" t="s">
        <v>4</v>
      </c>
      <c r="C8" s="2"/>
      <c r="D8" s="107"/>
      <c r="E8" s="230"/>
      <c r="F8" s="230"/>
      <c r="G8" s="230"/>
      <c r="H8" s="230"/>
      <c r="J8" s="183"/>
      <c r="K8" s="183"/>
      <c r="L8" s="183"/>
      <c r="M8" s="183"/>
      <c r="N8" s="183"/>
      <c r="O8" s="20"/>
      <c r="P8" s="20"/>
      <c r="Q8" s="422"/>
      <c r="R8" s="20"/>
      <c r="S8" s="20"/>
      <c r="T8" s="20"/>
      <c r="U8" s="20"/>
      <c r="V8" s="107"/>
      <c r="W8" s="107"/>
      <c r="X8" s="107"/>
      <c r="Y8" s="107"/>
      <c r="Z8" s="237">
        <v>2903</v>
      </c>
      <c r="AA8" s="237">
        <v>2903</v>
      </c>
      <c r="AB8" s="237">
        <v>2903</v>
      </c>
      <c r="AC8" s="237">
        <v>2903</v>
      </c>
      <c r="AD8" s="129"/>
      <c r="AE8" s="91"/>
      <c r="AF8" s="91"/>
      <c r="AG8" s="91"/>
      <c r="AH8" s="91"/>
      <c r="AI8" s="237">
        <v>2903</v>
      </c>
      <c r="AJ8" s="237">
        <v>2903</v>
      </c>
      <c r="AK8" s="237">
        <v>2903</v>
      </c>
      <c r="AL8" s="237">
        <v>2903</v>
      </c>
      <c r="AM8" s="139"/>
      <c r="AS8" s="129"/>
      <c r="AY8" s="247"/>
    </row>
    <row r="9" spans="1:53" ht="15.75" x14ac:dyDescent="0.25">
      <c r="A9" s="1"/>
      <c r="B9" s="15" t="s">
        <v>558</v>
      </c>
      <c r="C9" s="2"/>
      <c r="D9" s="109"/>
      <c r="E9" s="231"/>
      <c r="F9" s="231"/>
      <c r="G9" s="231"/>
      <c r="H9" s="231"/>
      <c r="J9" s="119"/>
      <c r="K9" s="233"/>
      <c r="L9" s="233"/>
      <c r="M9" s="233"/>
      <c r="N9" s="233"/>
      <c r="O9" s="21"/>
      <c r="P9" s="21"/>
      <c r="Q9" s="422"/>
      <c r="R9" s="20"/>
      <c r="S9" s="20"/>
      <c r="T9" s="20"/>
      <c r="U9" s="20"/>
      <c r="V9" s="109"/>
      <c r="W9" s="109"/>
      <c r="X9" s="109"/>
      <c r="Y9" s="109"/>
      <c r="Z9" s="238"/>
      <c r="AA9" s="238"/>
      <c r="AB9" s="238"/>
      <c r="AC9" s="238"/>
      <c r="AD9" s="129"/>
      <c r="AE9" s="92"/>
      <c r="AF9" s="92"/>
      <c r="AG9" s="92"/>
      <c r="AH9" s="92"/>
      <c r="AI9" s="139"/>
      <c r="AJ9" s="139"/>
      <c r="AK9" s="139"/>
      <c r="AL9" s="139"/>
      <c r="AM9" s="139"/>
      <c r="AO9" s="239">
        <v>2012</v>
      </c>
      <c r="AP9" s="239">
        <v>2012</v>
      </c>
      <c r="AQ9" s="239">
        <v>2012</v>
      </c>
      <c r="AR9" s="239">
        <v>2012</v>
      </c>
      <c r="AS9" s="243">
        <v>2012</v>
      </c>
      <c r="AU9" s="239">
        <v>2012</v>
      </c>
      <c r="AV9" s="239">
        <v>2012</v>
      </c>
      <c r="AW9" s="239">
        <v>2012</v>
      </c>
      <c r="AX9" s="239">
        <v>2012</v>
      </c>
      <c r="AY9" s="248">
        <v>2012</v>
      </c>
    </row>
    <row r="10" spans="1:53" ht="15" x14ac:dyDescent="0.2">
      <c r="B10" s="15" t="s">
        <v>726</v>
      </c>
      <c r="AO10" s="346">
        <v>1.2366999999999999</v>
      </c>
      <c r="AP10" s="346">
        <v>1.2366999999999999</v>
      </c>
      <c r="AQ10" s="346">
        <v>1.2366999999999999</v>
      </c>
      <c r="AR10" s="346">
        <v>1.2366999999999999</v>
      </c>
      <c r="AU10" s="346">
        <v>1.2366999999999999</v>
      </c>
      <c r="AV10" s="346">
        <v>1.2366999999999999</v>
      </c>
      <c r="AW10" s="346">
        <v>1.2366999999999999</v>
      </c>
      <c r="AX10" s="346">
        <v>1.2366999999999999</v>
      </c>
    </row>
    <row r="11" spans="1:53" ht="27" x14ac:dyDescent="0.25">
      <c r="A11" s="1"/>
      <c r="B11" s="2" t="s">
        <v>5</v>
      </c>
      <c r="C11" s="4" t="s">
        <v>6</v>
      </c>
      <c r="D11" s="107"/>
      <c r="E11" s="230"/>
      <c r="F11" s="230"/>
      <c r="G11" s="230"/>
      <c r="H11" s="230"/>
      <c r="J11" s="183"/>
      <c r="K11" s="183"/>
      <c r="L11" s="183"/>
      <c r="M11" s="183"/>
      <c r="N11" s="183"/>
      <c r="O11" s="20"/>
      <c r="P11" s="20"/>
      <c r="Q11" s="423"/>
      <c r="R11" s="20"/>
      <c r="S11" s="20"/>
      <c r="T11" s="20"/>
      <c r="U11" s="20"/>
      <c r="V11" s="230"/>
      <c r="W11" s="230"/>
      <c r="X11" s="230"/>
      <c r="Y11" s="230"/>
      <c r="Z11" s="130"/>
      <c r="AA11" s="130"/>
      <c r="AB11" s="130"/>
      <c r="AC11" s="130"/>
      <c r="AD11" s="129"/>
      <c r="AE11" s="91"/>
      <c r="AF11" s="91"/>
      <c r="AG11" s="91"/>
      <c r="AH11" s="91"/>
      <c r="AI11" s="139"/>
      <c r="AJ11" s="139"/>
      <c r="AK11" s="139"/>
      <c r="AL11" s="139"/>
      <c r="AM11" s="139"/>
    </row>
    <row r="12" spans="1:53" ht="15" x14ac:dyDescent="0.25">
      <c r="A12" s="1">
        <v>1</v>
      </c>
      <c r="B12" s="2" t="s">
        <v>7</v>
      </c>
      <c r="C12" s="3" t="s">
        <v>8</v>
      </c>
      <c r="D12">
        <v>0</v>
      </c>
      <c r="E12" s="360">
        <v>47.0105</v>
      </c>
      <c r="F12">
        <v>0</v>
      </c>
      <c r="G12">
        <v>0</v>
      </c>
      <c r="H12">
        <v>0</v>
      </c>
      <c r="J12">
        <v>0</v>
      </c>
      <c r="K12" s="14">
        <v>37.234618939624283</v>
      </c>
      <c r="L12">
        <v>0</v>
      </c>
      <c r="M12">
        <v>0</v>
      </c>
      <c r="N12">
        <v>0</v>
      </c>
      <c r="O12" s="20">
        <v>0.36775204520040022</v>
      </c>
      <c r="P12" s="20">
        <v>0.57913019816794442</v>
      </c>
      <c r="Q12" s="438">
        <v>7.2160826082055068E-2</v>
      </c>
      <c r="R12" s="197">
        <v>0.17699999999999999</v>
      </c>
      <c r="S12" s="197">
        <v>1.77</v>
      </c>
      <c r="T12" s="197">
        <v>0.50078889239507718</v>
      </c>
      <c r="U12" s="197">
        <v>0.75268470790377973</v>
      </c>
      <c r="V12" s="20">
        <f>IF(K12&gt;0,((E12-K12)*$Q12*$R12*10)+(K12*$O$12*$Q12*$R12*10),(E12*$Q12*$R12*10))</f>
        <v>2.9975686055128428</v>
      </c>
      <c r="W12" s="20">
        <f t="shared" ref="V12:Y17" si="0">IF(L12&gt;0,((F12-L12)*$Q12*$R12*10)+(L12*$O$12*$Q12*$R12*10),(F12*$Q12*$R12*10))</f>
        <v>0</v>
      </c>
      <c r="X12" s="20">
        <f t="shared" si="0"/>
        <v>0</v>
      </c>
      <c r="Y12" s="20">
        <f t="shared" si="0"/>
        <v>0</v>
      </c>
      <c r="Z12" s="20">
        <f>V12*(EXP(1.01-0.34*LN(Z$8))*(1-$T12)+(1*$T12))</f>
        <v>1.7742497573119238</v>
      </c>
      <c r="AA12" s="20">
        <f t="shared" ref="AA12:AC17" si="1">W12*(EXP(1.01-0.34*LN(AA$8))*(1-$U12)+(1*$U12))</f>
        <v>0</v>
      </c>
      <c r="AB12" s="20">
        <f t="shared" si="1"/>
        <v>0</v>
      </c>
      <c r="AC12" s="20">
        <f t="shared" si="1"/>
        <v>0</v>
      </c>
      <c r="AD12" s="20">
        <f>SUM(Z12:AC12)</f>
        <v>1.7742497573119238</v>
      </c>
      <c r="AE12" s="20">
        <f t="shared" ref="AE12:AH17" si="2">IF(K12&gt;0,((E12-K12)*$Q12*$S12*10)+(K12*$P$12*$Q12*$S12)*10,(E12*$Q12*$S12*10))</f>
        <v>40.028364128589502</v>
      </c>
      <c r="AF12" s="20">
        <f t="shared" si="2"/>
        <v>0</v>
      </c>
      <c r="AG12" s="20">
        <f t="shared" si="2"/>
        <v>0</v>
      </c>
      <c r="AH12" s="20">
        <f t="shared" si="2"/>
        <v>0</v>
      </c>
      <c r="AI12" s="20">
        <f>AE12*(EXP(1.01-0.34*LN(AI$8))*(1-$U12)+(1*$U12))</f>
        <v>31.935446724365409</v>
      </c>
      <c r="AJ12" s="20">
        <f t="shared" ref="AJ12:AL17" si="3">AF12*(EXP(1.01-0.34*LN(AJ$8))*(1-$T12)+(1*$T12))</f>
        <v>0</v>
      </c>
      <c r="AK12" s="20">
        <f t="shared" si="3"/>
        <v>0</v>
      </c>
      <c r="AL12" s="20">
        <f t="shared" si="3"/>
        <v>0</v>
      </c>
      <c r="AM12" s="20">
        <f t="shared" ref="AM12:AM17" si="4">SUM(AI12:AL12)</f>
        <v>31.935446724365409</v>
      </c>
      <c r="AO12">
        <f>Z12*AO$10</f>
        <v>2.1942146748676561</v>
      </c>
      <c r="AP12">
        <f t="shared" ref="AO12:AR17" si="5">AA12*AP$10</f>
        <v>0</v>
      </c>
      <c r="AQ12">
        <f t="shared" si="5"/>
        <v>0</v>
      </c>
      <c r="AR12">
        <f t="shared" si="5"/>
        <v>0</v>
      </c>
      <c r="AS12">
        <f t="shared" ref="AS12:AS17" si="6">SUM(AO12:AR12)</f>
        <v>2.1942146748676561</v>
      </c>
      <c r="AU12">
        <f>AI12*AU$10</f>
        <v>39.494566964022695</v>
      </c>
      <c r="AV12">
        <f t="shared" ref="AV12:AX17" si="7">AJ12*AV$10</f>
        <v>0</v>
      </c>
      <c r="AW12">
        <f t="shared" si="7"/>
        <v>0</v>
      </c>
      <c r="AX12">
        <f t="shared" si="7"/>
        <v>0</v>
      </c>
      <c r="AY12">
        <f t="shared" ref="AY12:AY17" si="8">SUM(AU12:AX12)</f>
        <v>39.494566964022695</v>
      </c>
    </row>
    <row r="13" spans="1:53" ht="15" x14ac:dyDescent="0.25">
      <c r="A13" s="1"/>
      <c r="B13" s="2"/>
      <c r="C13" s="1" t="s">
        <v>9</v>
      </c>
      <c r="D13">
        <v>0</v>
      </c>
      <c r="E13" s="360">
        <v>6.9507000000000003</v>
      </c>
      <c r="F13">
        <v>0</v>
      </c>
      <c r="G13">
        <v>0</v>
      </c>
      <c r="H13">
        <v>0</v>
      </c>
      <c r="J13">
        <v>0</v>
      </c>
      <c r="K13" s="14">
        <v>5.320047699801</v>
      </c>
      <c r="L13">
        <v>0</v>
      </c>
      <c r="M13">
        <v>0</v>
      </c>
      <c r="N13">
        <v>0</v>
      </c>
      <c r="O13" s="20"/>
      <c r="P13" s="20"/>
      <c r="Q13" s="438">
        <v>9.9321652164110139E-2</v>
      </c>
      <c r="R13" s="197">
        <v>0.17699999999999999</v>
      </c>
      <c r="S13" s="197">
        <v>1.77</v>
      </c>
      <c r="T13" s="197">
        <v>0.50078889239507718</v>
      </c>
      <c r="U13" s="197">
        <v>0.75268470790377973</v>
      </c>
      <c r="V13" s="20">
        <f t="shared" si="0"/>
        <v>0.63061164129028147</v>
      </c>
      <c r="W13" s="20">
        <f t="shared" si="0"/>
        <v>0</v>
      </c>
      <c r="X13" s="20">
        <f t="shared" si="0"/>
        <v>0</v>
      </c>
      <c r="Y13" s="20">
        <f t="shared" si="0"/>
        <v>0</v>
      </c>
      <c r="Z13" s="20">
        <f t="shared" ref="Z13:Z17" si="9">V13*(EXP(1.01-0.34*LN(Z$8))*(1-$T13)+(1*$T13))</f>
        <v>0.3732566952628375</v>
      </c>
      <c r="AA13" s="20">
        <f t="shared" si="1"/>
        <v>0</v>
      </c>
      <c r="AB13" s="20">
        <f t="shared" si="1"/>
        <v>0</v>
      </c>
      <c r="AC13" s="20">
        <f t="shared" si="1"/>
        <v>0</v>
      </c>
      <c r="AD13" s="20">
        <f t="shared" ref="AD13:AD17" si="10">SUM(Z13:AC13)</f>
        <v>0.3732566952628375</v>
      </c>
      <c r="AE13" s="20">
        <f t="shared" si="2"/>
        <v>8.2830533984136032</v>
      </c>
      <c r="AF13" s="20">
        <f t="shared" si="2"/>
        <v>0</v>
      </c>
      <c r="AG13" s="20">
        <f t="shared" si="2"/>
        <v>0</v>
      </c>
      <c r="AH13" s="20">
        <f t="shared" si="2"/>
        <v>0</v>
      </c>
      <c r="AI13" s="20">
        <f t="shared" ref="AI13:AI17" si="11">AE13*(EXP(1.01-0.34*LN(AI$8))*(1-$U13)+(1*$U13))</f>
        <v>6.6083892329534626</v>
      </c>
      <c r="AJ13" s="20">
        <f t="shared" si="3"/>
        <v>0</v>
      </c>
      <c r="AK13" s="20">
        <f t="shared" si="3"/>
        <v>0</v>
      </c>
      <c r="AL13" s="20">
        <f t="shared" si="3"/>
        <v>0</v>
      </c>
      <c r="AM13" s="20">
        <f t="shared" si="4"/>
        <v>6.6083892329534626</v>
      </c>
      <c r="AO13">
        <f t="shared" si="5"/>
        <v>0.46160655503155112</v>
      </c>
      <c r="AP13">
        <f t="shared" si="5"/>
        <v>0</v>
      </c>
      <c r="AQ13">
        <f t="shared" si="5"/>
        <v>0</v>
      </c>
      <c r="AR13">
        <f t="shared" si="5"/>
        <v>0</v>
      </c>
      <c r="AS13">
        <f t="shared" si="6"/>
        <v>0.46160655503155112</v>
      </c>
      <c r="AU13">
        <f t="shared" ref="AU13:AU17" si="12">AI13*AU$10</f>
        <v>8.1725949643935465</v>
      </c>
      <c r="AV13">
        <f t="shared" si="7"/>
        <v>0</v>
      </c>
      <c r="AW13">
        <f t="shared" si="7"/>
        <v>0</v>
      </c>
      <c r="AX13">
        <f t="shared" si="7"/>
        <v>0</v>
      </c>
      <c r="AY13">
        <f t="shared" si="8"/>
        <v>8.1725949643935465</v>
      </c>
    </row>
    <row r="14" spans="1:53" ht="15" x14ac:dyDescent="0.25">
      <c r="A14" s="1"/>
      <c r="B14" s="2"/>
      <c r="C14" s="1" t="s">
        <v>10</v>
      </c>
      <c r="D14">
        <v>0</v>
      </c>
      <c r="E14" s="360">
        <v>0.9526</v>
      </c>
      <c r="F14">
        <v>0</v>
      </c>
      <c r="G14">
        <v>0</v>
      </c>
      <c r="H14">
        <v>0</v>
      </c>
      <c r="J14">
        <v>0</v>
      </c>
      <c r="K14" s="14">
        <v>-1.1364075421309998</v>
      </c>
      <c r="L14">
        <v>0</v>
      </c>
      <c r="M14">
        <v>0</v>
      </c>
      <c r="N14">
        <v>0</v>
      </c>
      <c r="O14" s="20"/>
      <c r="P14" s="20"/>
      <c r="Q14" s="438">
        <v>0.12648247824616521</v>
      </c>
      <c r="R14" s="197">
        <v>0.17699999999999999</v>
      </c>
      <c r="S14" s="197">
        <v>1.77</v>
      </c>
      <c r="T14" s="197">
        <v>0.50078889239507718</v>
      </c>
      <c r="U14" s="197">
        <v>0.75268470790377973</v>
      </c>
      <c r="V14" s="20">
        <f t="shared" si="0"/>
        <v>0.21326235953581563</v>
      </c>
      <c r="W14" s="20">
        <f t="shared" si="0"/>
        <v>0</v>
      </c>
      <c r="X14" s="20">
        <f t="shared" si="0"/>
        <v>0</v>
      </c>
      <c r="Y14" s="20">
        <f t="shared" si="0"/>
        <v>0</v>
      </c>
      <c r="Z14" s="20">
        <f t="shared" si="9"/>
        <v>0.12622920087777387</v>
      </c>
      <c r="AA14" s="20">
        <f t="shared" si="1"/>
        <v>0</v>
      </c>
      <c r="AB14" s="20">
        <f t="shared" si="1"/>
        <v>0</v>
      </c>
      <c r="AC14" s="20">
        <f t="shared" si="1"/>
        <v>0</v>
      </c>
      <c r="AD14" s="20">
        <f t="shared" si="10"/>
        <v>0.12622920087777387</v>
      </c>
      <c r="AE14" s="20">
        <f t="shared" si="2"/>
        <v>2.1326235953581567</v>
      </c>
      <c r="AF14" s="20">
        <f t="shared" si="2"/>
        <v>0</v>
      </c>
      <c r="AG14" s="20">
        <f t="shared" si="2"/>
        <v>0</v>
      </c>
      <c r="AH14" s="20">
        <f t="shared" si="2"/>
        <v>0</v>
      </c>
      <c r="AI14" s="20">
        <f t="shared" si="11"/>
        <v>1.701450676172934</v>
      </c>
      <c r="AJ14" s="20">
        <f t="shared" si="3"/>
        <v>0</v>
      </c>
      <c r="AK14" s="20">
        <f t="shared" si="3"/>
        <v>0</v>
      </c>
      <c r="AL14" s="20">
        <f t="shared" si="3"/>
        <v>0</v>
      </c>
      <c r="AM14" s="20">
        <f t="shared" si="4"/>
        <v>1.701450676172934</v>
      </c>
      <c r="AO14">
        <f t="shared" si="5"/>
        <v>0.15610765272554292</v>
      </c>
      <c r="AP14">
        <f t="shared" si="5"/>
        <v>0</v>
      </c>
      <c r="AQ14">
        <f t="shared" si="5"/>
        <v>0</v>
      </c>
      <c r="AR14">
        <f t="shared" si="5"/>
        <v>0</v>
      </c>
      <c r="AS14">
        <f t="shared" si="6"/>
        <v>0.15610765272554292</v>
      </c>
      <c r="AU14">
        <f t="shared" si="12"/>
        <v>2.1041840512230672</v>
      </c>
      <c r="AV14">
        <f t="shared" si="7"/>
        <v>0</v>
      </c>
      <c r="AW14">
        <f t="shared" si="7"/>
        <v>0</v>
      </c>
      <c r="AX14">
        <f t="shared" si="7"/>
        <v>0</v>
      </c>
      <c r="AY14">
        <f t="shared" si="8"/>
        <v>2.1041840512230672</v>
      </c>
    </row>
    <row r="15" spans="1:53" ht="15" x14ac:dyDescent="0.25">
      <c r="A15" s="1"/>
      <c r="B15" s="2"/>
      <c r="C15" s="1" t="s">
        <v>11</v>
      </c>
      <c r="D15">
        <v>0</v>
      </c>
      <c r="E15" s="360">
        <v>17.2622</v>
      </c>
      <c r="F15">
        <v>0</v>
      </c>
      <c r="G15">
        <v>0</v>
      </c>
      <c r="H15">
        <v>0</v>
      </c>
      <c r="J15">
        <v>0</v>
      </c>
      <c r="K15" s="14">
        <v>5.5363741905186252</v>
      </c>
      <c r="L15">
        <v>0</v>
      </c>
      <c r="M15">
        <v>0</v>
      </c>
      <c r="N15">
        <v>0</v>
      </c>
      <c r="O15" s="20"/>
      <c r="P15" s="20"/>
      <c r="Q15" s="438">
        <v>0.15364330432822026</v>
      </c>
      <c r="R15" s="197">
        <v>0.17699999999999999</v>
      </c>
      <c r="S15" s="197">
        <v>1.77</v>
      </c>
      <c r="T15" s="197">
        <v>0.50078889239507718</v>
      </c>
      <c r="U15" s="197">
        <v>0.75268470790377973</v>
      </c>
      <c r="V15" s="20">
        <f t="shared" si="0"/>
        <v>3.742513448715548</v>
      </c>
      <c r="W15" s="20">
        <f t="shared" si="0"/>
        <v>0</v>
      </c>
      <c r="X15" s="20">
        <f t="shared" si="0"/>
        <v>0</v>
      </c>
      <c r="Y15" s="20">
        <f t="shared" si="0"/>
        <v>0</v>
      </c>
      <c r="Z15" s="20">
        <f t="shared" si="9"/>
        <v>2.2151798513996424</v>
      </c>
      <c r="AA15" s="20">
        <f t="shared" si="1"/>
        <v>0</v>
      </c>
      <c r="AB15" s="20">
        <f t="shared" si="1"/>
        <v>0</v>
      </c>
      <c r="AC15" s="20">
        <f t="shared" si="1"/>
        <v>0</v>
      </c>
      <c r="AD15" s="20">
        <f t="shared" si="10"/>
        <v>2.2151798513996424</v>
      </c>
      <c r="AE15" s="20">
        <f t="shared" si="2"/>
        <v>40.607663996023206</v>
      </c>
      <c r="AF15" s="20">
        <f t="shared" si="2"/>
        <v>0</v>
      </c>
      <c r="AG15" s="20">
        <f t="shared" si="2"/>
        <v>0</v>
      </c>
      <c r="AH15" s="20">
        <f t="shared" si="2"/>
        <v>0</v>
      </c>
      <c r="AI15" s="20">
        <f t="shared" si="11"/>
        <v>32.397623994324029</v>
      </c>
      <c r="AJ15" s="20">
        <f t="shared" si="3"/>
        <v>0</v>
      </c>
      <c r="AK15" s="20">
        <f t="shared" si="3"/>
        <v>0</v>
      </c>
      <c r="AL15" s="20">
        <f t="shared" si="3"/>
        <v>0</v>
      </c>
      <c r="AM15" s="20">
        <f t="shared" si="4"/>
        <v>32.397623994324029</v>
      </c>
      <c r="AO15">
        <f t="shared" si="5"/>
        <v>2.7395129222259373</v>
      </c>
      <c r="AP15">
        <f t="shared" si="5"/>
        <v>0</v>
      </c>
      <c r="AQ15">
        <f t="shared" si="5"/>
        <v>0</v>
      </c>
      <c r="AR15">
        <f t="shared" si="5"/>
        <v>0</v>
      </c>
      <c r="AS15">
        <f t="shared" si="6"/>
        <v>2.7395129222259373</v>
      </c>
      <c r="AU15">
        <f t="shared" si="12"/>
        <v>40.066141593780522</v>
      </c>
      <c r="AV15">
        <f t="shared" si="7"/>
        <v>0</v>
      </c>
      <c r="AW15">
        <f t="shared" si="7"/>
        <v>0</v>
      </c>
      <c r="AX15">
        <f t="shared" si="7"/>
        <v>0</v>
      </c>
      <c r="AY15">
        <f t="shared" si="8"/>
        <v>40.066141593780522</v>
      </c>
    </row>
    <row r="16" spans="1:53" ht="15" x14ac:dyDescent="0.25">
      <c r="A16" s="5"/>
      <c r="B16" s="6"/>
      <c r="C16" s="5" t="s">
        <v>12</v>
      </c>
      <c r="D16">
        <v>0</v>
      </c>
      <c r="E16" s="360">
        <v>0</v>
      </c>
      <c r="F16">
        <v>0</v>
      </c>
      <c r="G16">
        <v>0</v>
      </c>
      <c r="H16">
        <v>0</v>
      </c>
      <c r="J16">
        <v>0</v>
      </c>
      <c r="K16" s="14">
        <v>0</v>
      </c>
      <c r="L16">
        <v>0</v>
      </c>
      <c r="M16">
        <v>0</v>
      </c>
      <c r="N16">
        <v>0</v>
      </c>
      <c r="O16" s="20"/>
      <c r="P16" s="20"/>
      <c r="Q16" s="438"/>
      <c r="R16" s="197">
        <v>0.17699999999999999</v>
      </c>
      <c r="S16" s="197">
        <v>1.77</v>
      </c>
      <c r="T16" s="197">
        <v>0.50078889239507718</v>
      </c>
      <c r="U16" s="197">
        <v>0.75268470790377973</v>
      </c>
      <c r="V16" s="20">
        <f t="shared" si="0"/>
        <v>0</v>
      </c>
      <c r="W16" s="20">
        <f t="shared" si="0"/>
        <v>0</v>
      </c>
      <c r="X16" s="20">
        <f t="shared" si="0"/>
        <v>0</v>
      </c>
      <c r="Y16" s="20">
        <f t="shared" si="0"/>
        <v>0</v>
      </c>
      <c r="Z16" s="20">
        <f t="shared" si="9"/>
        <v>0</v>
      </c>
      <c r="AA16" s="20">
        <f t="shared" si="1"/>
        <v>0</v>
      </c>
      <c r="AB16" s="20">
        <f t="shared" si="1"/>
        <v>0</v>
      </c>
      <c r="AC16" s="20">
        <f t="shared" si="1"/>
        <v>0</v>
      </c>
      <c r="AD16" s="20">
        <f t="shared" si="10"/>
        <v>0</v>
      </c>
      <c r="AE16" s="20">
        <f t="shared" si="2"/>
        <v>0</v>
      </c>
      <c r="AF16" s="20">
        <f t="shared" si="2"/>
        <v>0</v>
      </c>
      <c r="AG16" s="20">
        <f t="shared" si="2"/>
        <v>0</v>
      </c>
      <c r="AH16" s="20">
        <f t="shared" si="2"/>
        <v>0</v>
      </c>
      <c r="AI16" s="20">
        <f t="shared" si="11"/>
        <v>0</v>
      </c>
      <c r="AJ16" s="20">
        <f t="shared" si="3"/>
        <v>0</v>
      </c>
      <c r="AK16" s="20">
        <f t="shared" si="3"/>
        <v>0</v>
      </c>
      <c r="AL16" s="20">
        <f t="shared" si="3"/>
        <v>0</v>
      </c>
      <c r="AM16" s="20">
        <f t="shared" si="4"/>
        <v>0</v>
      </c>
      <c r="AO16">
        <f t="shared" si="5"/>
        <v>0</v>
      </c>
      <c r="AP16">
        <f t="shared" si="5"/>
        <v>0</v>
      </c>
      <c r="AQ16">
        <f t="shared" si="5"/>
        <v>0</v>
      </c>
      <c r="AR16">
        <f t="shared" si="5"/>
        <v>0</v>
      </c>
      <c r="AS16">
        <f t="shared" si="6"/>
        <v>0</v>
      </c>
      <c r="AU16">
        <f t="shared" si="12"/>
        <v>0</v>
      </c>
      <c r="AV16">
        <f t="shared" si="7"/>
        <v>0</v>
      </c>
      <c r="AW16">
        <f t="shared" si="7"/>
        <v>0</v>
      </c>
      <c r="AX16">
        <f t="shared" si="7"/>
        <v>0</v>
      </c>
      <c r="AY16">
        <f t="shared" si="8"/>
        <v>0</v>
      </c>
    </row>
    <row r="17" spans="1:53" ht="15" x14ac:dyDescent="0.25">
      <c r="A17" s="5"/>
      <c r="B17" s="6"/>
      <c r="C17" s="5" t="s">
        <v>13</v>
      </c>
      <c r="D17">
        <v>0</v>
      </c>
      <c r="E17" s="360">
        <v>0.1033</v>
      </c>
      <c r="F17">
        <v>0</v>
      </c>
      <c r="G17">
        <v>0</v>
      </c>
      <c r="H17">
        <v>0</v>
      </c>
      <c r="J17">
        <v>0</v>
      </c>
      <c r="K17" s="14">
        <v>0.1033</v>
      </c>
      <c r="L17">
        <v>0</v>
      </c>
      <c r="M17">
        <v>0</v>
      </c>
      <c r="N17">
        <v>0</v>
      </c>
      <c r="O17" s="20"/>
      <c r="P17" s="20"/>
      <c r="Q17" s="438">
        <v>0.15364330432822029</v>
      </c>
      <c r="R17" s="197">
        <v>0.17699999999999999</v>
      </c>
      <c r="S17" s="197">
        <v>1.77</v>
      </c>
      <c r="T17" s="197">
        <v>0.50078889239507718</v>
      </c>
      <c r="U17" s="197">
        <v>0.75268470790377973</v>
      </c>
      <c r="V17" s="20">
        <f t="shared" si="0"/>
        <v>1.0330999090178955E-2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9"/>
        <v>6.1148801047720292E-3</v>
      </c>
      <c r="AA17" s="20">
        <f t="shared" si="1"/>
        <v>0</v>
      </c>
      <c r="AB17" s="20">
        <f t="shared" si="1"/>
        <v>0</v>
      </c>
      <c r="AC17" s="20">
        <f t="shared" si="1"/>
        <v>0</v>
      </c>
      <c r="AD17" s="20">
        <f t="shared" si="10"/>
        <v>6.1148801047720292E-3</v>
      </c>
      <c r="AE17" s="20">
        <f t="shared" si="2"/>
        <v>0.16269096605860783</v>
      </c>
      <c r="AF17" s="20">
        <f t="shared" si="2"/>
        <v>0</v>
      </c>
      <c r="AG17" s="20">
        <f t="shared" si="2"/>
        <v>0</v>
      </c>
      <c r="AH17" s="20">
        <f t="shared" si="2"/>
        <v>0</v>
      </c>
      <c r="AI17" s="20">
        <f t="shared" si="11"/>
        <v>0.12979817667315927</v>
      </c>
      <c r="AJ17" s="20">
        <f t="shared" si="3"/>
        <v>0</v>
      </c>
      <c r="AK17" s="20">
        <f t="shared" si="3"/>
        <v>0</v>
      </c>
      <c r="AL17" s="20">
        <f t="shared" si="3"/>
        <v>0</v>
      </c>
      <c r="AM17" s="20">
        <f t="shared" si="4"/>
        <v>0.12979817667315927</v>
      </c>
      <c r="AO17">
        <f t="shared" si="5"/>
        <v>7.5622722255715676E-3</v>
      </c>
      <c r="AP17">
        <f t="shared" si="5"/>
        <v>0</v>
      </c>
      <c r="AQ17">
        <f t="shared" si="5"/>
        <v>0</v>
      </c>
      <c r="AR17">
        <f t="shared" si="5"/>
        <v>0</v>
      </c>
      <c r="AS17">
        <f t="shared" si="6"/>
        <v>7.5622722255715676E-3</v>
      </c>
      <c r="AU17">
        <f t="shared" si="12"/>
        <v>0.16052140509169605</v>
      </c>
      <c r="AV17">
        <f t="shared" si="7"/>
        <v>0</v>
      </c>
      <c r="AW17">
        <f t="shared" si="7"/>
        <v>0</v>
      </c>
      <c r="AX17">
        <f t="shared" si="7"/>
        <v>0</v>
      </c>
      <c r="AY17">
        <f t="shared" si="8"/>
        <v>0.16052140509169605</v>
      </c>
    </row>
    <row r="18" spans="1:53" ht="15" x14ac:dyDescent="0.25">
      <c r="A18" s="7"/>
      <c r="B18" s="8" t="s">
        <v>14</v>
      </c>
      <c r="C18" s="7"/>
      <c r="D18" s="357">
        <f t="shared" ref="D18:H18" si="13">SUM(D12:D17)</f>
        <v>0</v>
      </c>
      <c r="E18" s="383">
        <f>SUM(E12:E17)</f>
        <v>72.279299999999992</v>
      </c>
      <c r="F18" s="357">
        <f t="shared" si="13"/>
        <v>0</v>
      </c>
      <c r="G18" s="357">
        <f t="shared" si="13"/>
        <v>0</v>
      </c>
      <c r="H18" s="357">
        <f t="shared" si="13"/>
        <v>0</v>
      </c>
      <c r="J18">
        <v>0</v>
      </c>
      <c r="K18" s="14">
        <v>47.057933287812901</v>
      </c>
      <c r="L18">
        <v>0</v>
      </c>
      <c r="M18">
        <v>0</v>
      </c>
      <c r="N18">
        <v>0</v>
      </c>
      <c r="O18" s="20"/>
      <c r="P18" s="20"/>
      <c r="Q18" s="438">
        <v>9.5065275013960254E-2</v>
      </c>
      <c r="R18" s="197"/>
      <c r="S18" s="197"/>
      <c r="T18" s="197"/>
      <c r="U18" s="197"/>
      <c r="BA18" s="319">
        <f>(E18*10000*Q18*AU$10)</f>
        <v>84976.767700158598</v>
      </c>
    </row>
    <row r="19" spans="1:53" ht="15" x14ac:dyDescent="0.25">
      <c r="A19" s="5"/>
      <c r="B19" s="9" t="s">
        <v>15</v>
      </c>
      <c r="C19" s="5"/>
      <c r="E19" s="363">
        <f>SUM(E18)</f>
        <v>72.279299999999992</v>
      </c>
      <c r="H19" s="358">
        <f>SUM(D18:H18)</f>
        <v>72.279299999999992</v>
      </c>
      <c r="K19" s="14"/>
      <c r="N19">
        <v>0</v>
      </c>
      <c r="O19" s="20"/>
      <c r="P19" s="20"/>
      <c r="Q19" s="438"/>
      <c r="R19" s="197"/>
      <c r="S19" s="197"/>
      <c r="T19" s="197"/>
      <c r="U19" s="197"/>
    </row>
    <row r="20" spans="1:53" ht="15.75" x14ac:dyDescent="0.25">
      <c r="A20" s="1"/>
      <c r="B20" s="2"/>
      <c r="C20" s="1"/>
      <c r="E20" s="361"/>
      <c r="K20" s="14"/>
      <c r="O20" s="20"/>
      <c r="P20" s="20"/>
      <c r="Q20" s="439"/>
      <c r="R20" s="197"/>
      <c r="S20" s="197"/>
      <c r="T20" s="197"/>
      <c r="U20" s="197"/>
    </row>
    <row r="21" spans="1:53" ht="15" x14ac:dyDescent="0.25">
      <c r="A21" s="1">
        <v>2</v>
      </c>
      <c r="B21" s="2" t="s">
        <v>16</v>
      </c>
      <c r="C21" s="1" t="s">
        <v>8</v>
      </c>
      <c r="D21">
        <v>0</v>
      </c>
      <c r="E21" s="360">
        <v>16.384799999999998</v>
      </c>
      <c r="F21">
        <v>0</v>
      </c>
      <c r="G21">
        <v>0</v>
      </c>
      <c r="H21">
        <v>0</v>
      </c>
      <c r="J21">
        <v>0</v>
      </c>
      <c r="K21" s="14">
        <v>-39.910024524594213</v>
      </c>
      <c r="L21">
        <v>0</v>
      </c>
      <c r="M21">
        <v>0</v>
      </c>
      <c r="N21">
        <v>0</v>
      </c>
      <c r="O21" s="20"/>
      <c r="P21" s="20"/>
      <c r="Q21" s="438">
        <v>0.15930179175762821</v>
      </c>
      <c r="R21" s="197">
        <v>0.3</v>
      </c>
      <c r="S21" s="197">
        <v>2.29</v>
      </c>
      <c r="T21" s="197">
        <v>0.50078889239507718</v>
      </c>
      <c r="U21" s="197">
        <v>0.75268470790377973</v>
      </c>
      <c r="V21" s="20">
        <f t="shared" ref="V21:Y26" si="14">IF(K21&gt;0,((E21-K21)*$Q21*$R21*10)+(K21*$O$12*$Q21*$R21*10),(E21*$Q21*$R21*10))</f>
        <v>7.8303839927711589</v>
      </c>
      <c r="W21" s="20">
        <f t="shared" si="14"/>
        <v>0</v>
      </c>
      <c r="X21" s="20">
        <f t="shared" si="14"/>
        <v>0</v>
      </c>
      <c r="Y21" s="20">
        <f t="shared" si="14"/>
        <v>0</v>
      </c>
      <c r="Z21" s="20">
        <f t="shared" ref="Z21:Z26" si="15">V21*(EXP(1.01-0.34*LN(Z$8))*(1-$T21)+(1*$T21))</f>
        <v>4.6347752886398048</v>
      </c>
      <c r="AA21" s="20">
        <f t="shared" ref="AA21:AC26" si="16">W21*(EXP(1.01-0.34*LN(AA$8))*(1-$U21)+(1*$U21))</f>
        <v>0</v>
      </c>
      <c r="AB21" s="20">
        <f t="shared" si="16"/>
        <v>0</v>
      </c>
      <c r="AC21" s="20">
        <f t="shared" si="16"/>
        <v>0</v>
      </c>
      <c r="AD21" s="20">
        <f t="shared" ref="AD21:AD26" si="17">SUM(Z21:AC21)</f>
        <v>4.6347752886398048</v>
      </c>
      <c r="AE21" s="20">
        <f t="shared" ref="AE21:AH26" si="18">IF(K21&gt;0,((E21-K21)*$Q21*$S21*10)+(K21*$P$12*$Q21*$S21)*10,(E21*$Q21*$S21*10))</f>
        <v>59.771931144819852</v>
      </c>
      <c r="AF21" s="20">
        <f t="shared" si="18"/>
        <v>0</v>
      </c>
      <c r="AG21" s="20">
        <f t="shared" si="18"/>
        <v>0</v>
      </c>
      <c r="AH21" s="20">
        <f t="shared" si="18"/>
        <v>0</v>
      </c>
      <c r="AI21" s="20">
        <f t="shared" ref="AI21:AI26" si="19">AE21*(EXP(1.01-0.34*LN(AI$8))*(1-$U21)+(1*$U21))</f>
        <v>47.687267872245535</v>
      </c>
      <c r="AJ21" s="20">
        <f t="shared" ref="AJ21:AL26" si="20">AF21*(EXP(1.01-0.34*LN(AJ$8))*(1-$T21)+(1*$T21))</f>
        <v>0</v>
      </c>
      <c r="AK21" s="20">
        <f t="shared" si="20"/>
        <v>0</v>
      </c>
      <c r="AL21" s="20">
        <f t="shared" si="20"/>
        <v>0</v>
      </c>
      <c r="AM21" s="20">
        <f t="shared" ref="AM21:AM26" si="21">SUM(AI21:AL21)</f>
        <v>47.687267872245535</v>
      </c>
      <c r="AO21">
        <f t="shared" ref="AO21:AR26" si="22">Z21*AO$10</f>
        <v>5.7318265994608462</v>
      </c>
      <c r="AP21">
        <f t="shared" si="22"/>
        <v>0</v>
      </c>
      <c r="AQ21">
        <f t="shared" si="22"/>
        <v>0</v>
      </c>
      <c r="AR21">
        <f t="shared" si="22"/>
        <v>0</v>
      </c>
      <c r="AS21">
        <f t="shared" ref="AS21:AS26" si="23">SUM(AO21:AR21)</f>
        <v>5.7318265994608462</v>
      </c>
      <c r="AU21">
        <f t="shared" ref="AU21:AU26" si="24">AI21*AU$10</f>
        <v>58.974844177606052</v>
      </c>
      <c r="AV21">
        <f t="shared" ref="AV21:AX26" si="25">AJ21*AV$10</f>
        <v>0</v>
      </c>
      <c r="AW21">
        <f t="shared" si="25"/>
        <v>0</v>
      </c>
      <c r="AX21">
        <f t="shared" si="25"/>
        <v>0</v>
      </c>
      <c r="AY21">
        <f t="shared" ref="AY21:AY26" si="26">SUM(AU21:AX21)</f>
        <v>58.974844177606052</v>
      </c>
    </row>
    <row r="22" spans="1:53" ht="15" x14ac:dyDescent="0.25">
      <c r="A22" s="1"/>
      <c r="B22" s="2"/>
      <c r="C22" s="1" t="s">
        <v>9</v>
      </c>
      <c r="D22">
        <v>0</v>
      </c>
      <c r="E22" s="360">
        <v>2.0095999999999998</v>
      </c>
      <c r="F22">
        <v>0</v>
      </c>
      <c r="G22">
        <v>0</v>
      </c>
      <c r="H22">
        <v>0</v>
      </c>
      <c r="J22">
        <v>0</v>
      </c>
      <c r="K22" s="14">
        <v>-0.49104187160940027</v>
      </c>
      <c r="L22">
        <v>0</v>
      </c>
      <c r="M22">
        <v>0</v>
      </c>
      <c r="N22">
        <v>0</v>
      </c>
      <c r="O22" s="20"/>
      <c r="P22" s="20"/>
      <c r="Q22" s="438">
        <v>0.18360358351525646</v>
      </c>
      <c r="R22" s="197">
        <v>0.3</v>
      </c>
      <c r="S22" s="197">
        <v>2.29</v>
      </c>
      <c r="T22" s="197">
        <v>0.50078889239507718</v>
      </c>
      <c r="U22" s="197">
        <v>0.75268470790377973</v>
      </c>
      <c r="V22" s="20">
        <f t="shared" si="14"/>
        <v>1.106909284296778</v>
      </c>
      <c r="W22" s="20">
        <f t="shared" si="14"/>
        <v>0</v>
      </c>
      <c r="X22" s="20">
        <f t="shared" si="14"/>
        <v>0</v>
      </c>
      <c r="Y22" s="20">
        <f t="shared" si="14"/>
        <v>0</v>
      </c>
      <c r="Z22" s="20">
        <f t="shared" si="15"/>
        <v>0.65517550638140332</v>
      </c>
      <c r="AA22" s="20">
        <f t="shared" si="16"/>
        <v>0</v>
      </c>
      <c r="AB22" s="20">
        <f t="shared" si="16"/>
        <v>0</v>
      </c>
      <c r="AC22" s="20">
        <f t="shared" si="16"/>
        <v>0</v>
      </c>
      <c r="AD22" s="20">
        <f t="shared" si="17"/>
        <v>0.65517550638140332</v>
      </c>
      <c r="AE22" s="20">
        <f t="shared" si="18"/>
        <v>8.4494075367987378</v>
      </c>
      <c r="AF22" s="20">
        <f t="shared" si="18"/>
        <v>0</v>
      </c>
      <c r="AG22" s="20">
        <f t="shared" si="18"/>
        <v>0</v>
      </c>
      <c r="AH22" s="20">
        <f t="shared" si="18"/>
        <v>0</v>
      </c>
      <c r="AI22" s="20">
        <f t="shared" si="19"/>
        <v>6.7411099633512794</v>
      </c>
      <c r="AJ22" s="20">
        <f t="shared" si="20"/>
        <v>0</v>
      </c>
      <c r="AK22" s="20">
        <f t="shared" si="20"/>
        <v>0</v>
      </c>
      <c r="AL22" s="20">
        <f t="shared" si="20"/>
        <v>0</v>
      </c>
      <c r="AM22" s="20">
        <f t="shared" si="21"/>
        <v>6.7411099633512794</v>
      </c>
      <c r="AO22">
        <f t="shared" si="22"/>
        <v>0.81025554874188144</v>
      </c>
      <c r="AP22">
        <f t="shared" si="22"/>
        <v>0</v>
      </c>
      <c r="AQ22">
        <f t="shared" si="22"/>
        <v>0</v>
      </c>
      <c r="AR22">
        <f t="shared" si="22"/>
        <v>0</v>
      </c>
      <c r="AS22">
        <f t="shared" si="23"/>
        <v>0.81025554874188144</v>
      </c>
      <c r="AU22">
        <f t="shared" si="24"/>
        <v>8.3367306916765269</v>
      </c>
      <c r="AV22">
        <f t="shared" si="25"/>
        <v>0</v>
      </c>
      <c r="AW22">
        <f t="shared" si="25"/>
        <v>0</v>
      </c>
      <c r="AX22">
        <f t="shared" si="25"/>
        <v>0</v>
      </c>
      <c r="AY22">
        <f t="shared" si="26"/>
        <v>8.3367306916765269</v>
      </c>
    </row>
    <row r="23" spans="1:53" ht="15" x14ac:dyDescent="0.25">
      <c r="A23" s="1"/>
      <c r="B23" s="2"/>
      <c r="C23" s="1" t="s">
        <v>10</v>
      </c>
      <c r="D23">
        <v>0</v>
      </c>
      <c r="E23" s="360">
        <v>0</v>
      </c>
      <c r="F23">
        <v>0</v>
      </c>
      <c r="G23">
        <v>0</v>
      </c>
      <c r="H23">
        <v>0</v>
      </c>
      <c r="J23">
        <v>0</v>
      </c>
      <c r="K23" s="14">
        <v>0</v>
      </c>
      <c r="L23">
        <v>0</v>
      </c>
      <c r="M23">
        <v>0</v>
      </c>
      <c r="N23">
        <v>0</v>
      </c>
      <c r="O23" s="20"/>
      <c r="P23" s="20"/>
      <c r="Q23" s="438"/>
      <c r="R23" s="197">
        <v>0.3</v>
      </c>
      <c r="S23" s="197">
        <v>2.29</v>
      </c>
      <c r="T23" s="197">
        <v>0.50078889239507718</v>
      </c>
      <c r="U23" s="197">
        <v>0.75268470790377973</v>
      </c>
      <c r="V23" s="20">
        <f t="shared" si="14"/>
        <v>0</v>
      </c>
      <c r="W23" s="20">
        <f t="shared" si="14"/>
        <v>0</v>
      </c>
      <c r="X23" s="20">
        <f t="shared" si="14"/>
        <v>0</v>
      </c>
      <c r="Y23" s="20">
        <f t="shared" si="14"/>
        <v>0</v>
      </c>
      <c r="Z23" s="20">
        <f t="shared" si="15"/>
        <v>0</v>
      </c>
      <c r="AA23" s="20">
        <f t="shared" si="16"/>
        <v>0</v>
      </c>
      <c r="AB23" s="20">
        <f t="shared" si="16"/>
        <v>0</v>
      </c>
      <c r="AC23" s="20">
        <f t="shared" si="16"/>
        <v>0</v>
      </c>
      <c r="AD23" s="20">
        <f t="shared" si="17"/>
        <v>0</v>
      </c>
      <c r="AE23" s="20">
        <f t="shared" si="18"/>
        <v>0</v>
      </c>
      <c r="AF23" s="20">
        <f t="shared" si="18"/>
        <v>0</v>
      </c>
      <c r="AG23" s="20">
        <f t="shared" si="18"/>
        <v>0</v>
      </c>
      <c r="AH23" s="20">
        <f t="shared" si="18"/>
        <v>0</v>
      </c>
      <c r="AI23" s="20">
        <f t="shared" si="19"/>
        <v>0</v>
      </c>
      <c r="AJ23" s="20">
        <f t="shared" si="20"/>
        <v>0</v>
      </c>
      <c r="AK23" s="20">
        <f t="shared" si="20"/>
        <v>0</v>
      </c>
      <c r="AL23" s="20">
        <f t="shared" si="20"/>
        <v>0</v>
      </c>
      <c r="AM23" s="20">
        <f t="shared" si="21"/>
        <v>0</v>
      </c>
      <c r="AO23">
        <f t="shared" si="22"/>
        <v>0</v>
      </c>
      <c r="AP23">
        <f t="shared" si="22"/>
        <v>0</v>
      </c>
      <c r="AQ23">
        <f t="shared" si="22"/>
        <v>0</v>
      </c>
      <c r="AR23">
        <f t="shared" si="22"/>
        <v>0</v>
      </c>
      <c r="AS23">
        <f t="shared" si="23"/>
        <v>0</v>
      </c>
      <c r="AU23">
        <f t="shared" si="24"/>
        <v>0</v>
      </c>
      <c r="AV23">
        <f t="shared" si="25"/>
        <v>0</v>
      </c>
      <c r="AW23">
        <f t="shared" si="25"/>
        <v>0</v>
      </c>
      <c r="AX23">
        <f t="shared" si="25"/>
        <v>0</v>
      </c>
      <c r="AY23">
        <f t="shared" si="26"/>
        <v>0</v>
      </c>
    </row>
    <row r="24" spans="1:53" ht="15" x14ac:dyDescent="0.25">
      <c r="A24" s="1"/>
      <c r="B24" s="2"/>
      <c r="C24" s="1" t="s">
        <v>11</v>
      </c>
      <c r="D24">
        <v>0</v>
      </c>
      <c r="E24" s="360">
        <v>0.63349999999999995</v>
      </c>
      <c r="F24">
        <v>0</v>
      </c>
      <c r="G24">
        <v>0</v>
      </c>
      <c r="H24">
        <v>0</v>
      </c>
      <c r="J24">
        <v>0</v>
      </c>
      <c r="K24" s="14">
        <v>-9.2556332118376989</v>
      </c>
      <c r="L24">
        <v>0</v>
      </c>
      <c r="M24">
        <v>0</v>
      </c>
      <c r="N24">
        <v>0</v>
      </c>
      <c r="O24" s="20"/>
      <c r="P24" s="20"/>
      <c r="Q24" s="438">
        <v>0.23220716703051289</v>
      </c>
      <c r="R24" s="197">
        <v>0.3</v>
      </c>
      <c r="S24" s="197">
        <v>2.29</v>
      </c>
      <c r="T24" s="197">
        <v>0.50078889239507718</v>
      </c>
      <c r="U24" s="197">
        <v>0.75268470790377973</v>
      </c>
      <c r="V24" s="20">
        <f t="shared" si="14"/>
        <v>0.44130972094148968</v>
      </c>
      <c r="W24" s="20">
        <f t="shared" si="14"/>
        <v>0</v>
      </c>
      <c r="X24" s="20">
        <f t="shared" si="14"/>
        <v>0</v>
      </c>
      <c r="Y24" s="20">
        <f t="shared" si="14"/>
        <v>0</v>
      </c>
      <c r="Z24" s="20">
        <f t="shared" si="15"/>
        <v>0.26120958961200202</v>
      </c>
      <c r="AA24" s="20">
        <f t="shared" si="16"/>
        <v>0</v>
      </c>
      <c r="AB24" s="20">
        <f t="shared" si="16"/>
        <v>0</v>
      </c>
      <c r="AC24" s="20">
        <f t="shared" si="16"/>
        <v>0</v>
      </c>
      <c r="AD24" s="20">
        <f t="shared" si="17"/>
        <v>0.26120958961200202</v>
      </c>
      <c r="AE24" s="20">
        <f t="shared" si="18"/>
        <v>3.3686642031867047</v>
      </c>
      <c r="AF24" s="20">
        <f t="shared" si="18"/>
        <v>0</v>
      </c>
      <c r="AG24" s="20">
        <f t="shared" si="18"/>
        <v>0</v>
      </c>
      <c r="AH24" s="20">
        <f t="shared" si="18"/>
        <v>0</v>
      </c>
      <c r="AI24" s="20">
        <f t="shared" si="19"/>
        <v>2.687589126738982</v>
      </c>
      <c r="AJ24" s="20">
        <f t="shared" si="20"/>
        <v>0</v>
      </c>
      <c r="AK24" s="20">
        <f t="shared" si="20"/>
        <v>0</v>
      </c>
      <c r="AL24" s="20">
        <f t="shared" si="20"/>
        <v>0</v>
      </c>
      <c r="AM24" s="20">
        <f t="shared" si="21"/>
        <v>2.687589126738982</v>
      </c>
      <c r="AO24">
        <f t="shared" si="22"/>
        <v>0.32303789947316286</v>
      </c>
      <c r="AP24">
        <f t="shared" si="22"/>
        <v>0</v>
      </c>
      <c r="AQ24">
        <f t="shared" si="22"/>
        <v>0</v>
      </c>
      <c r="AR24">
        <f t="shared" si="22"/>
        <v>0</v>
      </c>
      <c r="AS24">
        <f t="shared" si="23"/>
        <v>0.32303789947316286</v>
      </c>
      <c r="AU24">
        <f t="shared" si="24"/>
        <v>3.323741473038099</v>
      </c>
      <c r="AV24">
        <f t="shared" si="25"/>
        <v>0</v>
      </c>
      <c r="AW24">
        <f t="shared" si="25"/>
        <v>0</v>
      </c>
      <c r="AX24">
        <f t="shared" si="25"/>
        <v>0</v>
      </c>
      <c r="AY24">
        <f t="shared" si="26"/>
        <v>3.323741473038099</v>
      </c>
    </row>
    <row r="25" spans="1:53" ht="15" x14ac:dyDescent="0.25">
      <c r="A25" s="1"/>
      <c r="B25" s="2"/>
      <c r="C25" s="1" t="s">
        <v>12</v>
      </c>
      <c r="D25">
        <v>0</v>
      </c>
      <c r="E25" s="360">
        <v>0</v>
      </c>
      <c r="F25">
        <v>0</v>
      </c>
      <c r="G25">
        <v>0</v>
      </c>
      <c r="H25">
        <v>0</v>
      </c>
      <c r="J25">
        <v>0</v>
      </c>
      <c r="K25" s="14">
        <v>0</v>
      </c>
      <c r="L25">
        <v>0</v>
      </c>
      <c r="M25">
        <v>0</v>
      </c>
      <c r="N25">
        <v>0</v>
      </c>
      <c r="O25" s="20"/>
      <c r="P25" s="20"/>
      <c r="Q25" s="438"/>
      <c r="R25" s="197">
        <v>0.3</v>
      </c>
      <c r="S25" s="197">
        <v>2.29</v>
      </c>
      <c r="T25" s="197">
        <v>0.50078889239507718</v>
      </c>
      <c r="U25" s="197">
        <v>0.75268470790377973</v>
      </c>
      <c r="V25" s="20">
        <f t="shared" si="14"/>
        <v>0</v>
      </c>
      <c r="W25" s="20">
        <f t="shared" si="14"/>
        <v>0</v>
      </c>
      <c r="X25" s="20">
        <f t="shared" si="14"/>
        <v>0</v>
      </c>
      <c r="Y25" s="20">
        <f t="shared" si="14"/>
        <v>0</v>
      </c>
      <c r="Z25" s="20">
        <f t="shared" si="15"/>
        <v>0</v>
      </c>
      <c r="AA25" s="20">
        <f t="shared" si="16"/>
        <v>0</v>
      </c>
      <c r="AB25" s="20">
        <f t="shared" si="16"/>
        <v>0</v>
      </c>
      <c r="AC25" s="20">
        <f t="shared" si="16"/>
        <v>0</v>
      </c>
      <c r="AD25" s="20">
        <f t="shared" si="17"/>
        <v>0</v>
      </c>
      <c r="AE25" s="20">
        <f t="shared" si="18"/>
        <v>0</v>
      </c>
      <c r="AF25" s="20">
        <f t="shared" si="18"/>
        <v>0</v>
      </c>
      <c r="AG25" s="20">
        <f t="shared" si="18"/>
        <v>0</v>
      </c>
      <c r="AH25" s="20">
        <f t="shared" si="18"/>
        <v>0</v>
      </c>
      <c r="AI25" s="20">
        <f t="shared" si="19"/>
        <v>0</v>
      </c>
      <c r="AJ25" s="20">
        <f t="shared" si="20"/>
        <v>0</v>
      </c>
      <c r="AK25" s="20">
        <f t="shared" si="20"/>
        <v>0</v>
      </c>
      <c r="AL25" s="20">
        <f t="shared" si="20"/>
        <v>0</v>
      </c>
      <c r="AM25" s="20">
        <f t="shared" si="21"/>
        <v>0</v>
      </c>
      <c r="AO25">
        <f t="shared" si="22"/>
        <v>0</v>
      </c>
      <c r="AP25">
        <f t="shared" si="22"/>
        <v>0</v>
      </c>
      <c r="AQ25">
        <f t="shared" si="22"/>
        <v>0</v>
      </c>
      <c r="AR25">
        <f t="shared" si="22"/>
        <v>0</v>
      </c>
      <c r="AS25">
        <f t="shared" si="23"/>
        <v>0</v>
      </c>
      <c r="AU25">
        <f t="shared" si="24"/>
        <v>0</v>
      </c>
      <c r="AV25">
        <f t="shared" si="25"/>
        <v>0</v>
      </c>
      <c r="AW25">
        <f t="shared" si="25"/>
        <v>0</v>
      </c>
      <c r="AX25">
        <f t="shared" si="25"/>
        <v>0</v>
      </c>
      <c r="AY25">
        <f t="shared" si="26"/>
        <v>0</v>
      </c>
    </row>
    <row r="26" spans="1:53" ht="15" x14ac:dyDescent="0.25">
      <c r="A26" s="1"/>
      <c r="B26" s="2"/>
      <c r="C26" s="1" t="s">
        <v>13</v>
      </c>
      <c r="D26">
        <v>0</v>
      </c>
      <c r="E26" s="360">
        <v>3.5499999999999997E-2</v>
      </c>
      <c r="F26">
        <v>0</v>
      </c>
      <c r="G26">
        <v>0</v>
      </c>
      <c r="H26">
        <v>0</v>
      </c>
      <c r="J26">
        <v>0</v>
      </c>
      <c r="K26" s="14">
        <v>-1.4578033836145998</v>
      </c>
      <c r="L26">
        <v>0</v>
      </c>
      <c r="M26">
        <v>0</v>
      </c>
      <c r="N26">
        <v>0</v>
      </c>
      <c r="O26" s="20"/>
      <c r="P26" s="20"/>
      <c r="Q26" s="438">
        <v>0.23220716703051289</v>
      </c>
      <c r="R26" s="197">
        <v>0.3</v>
      </c>
      <c r="S26" s="197">
        <v>2.29</v>
      </c>
      <c r="T26" s="197">
        <v>0.50078889239507718</v>
      </c>
      <c r="U26" s="197">
        <v>0.75268470790377973</v>
      </c>
      <c r="V26" s="20">
        <f t="shared" si="14"/>
        <v>2.4730063288749621E-2</v>
      </c>
      <c r="W26" s="20">
        <f t="shared" si="14"/>
        <v>0</v>
      </c>
      <c r="X26" s="20">
        <f t="shared" si="14"/>
        <v>0</v>
      </c>
      <c r="Y26" s="20">
        <f t="shared" si="14"/>
        <v>0</v>
      </c>
      <c r="Z26" s="20">
        <f t="shared" si="15"/>
        <v>1.4637632882756234E-2</v>
      </c>
      <c r="AA26" s="20">
        <f t="shared" si="16"/>
        <v>0</v>
      </c>
      <c r="AB26" s="20">
        <f t="shared" si="16"/>
        <v>0</v>
      </c>
      <c r="AC26" s="20">
        <f t="shared" si="16"/>
        <v>0</v>
      </c>
      <c r="AD26" s="20">
        <f t="shared" si="17"/>
        <v>1.4637632882756234E-2</v>
      </c>
      <c r="AE26" s="20">
        <f t="shared" si="18"/>
        <v>0.18877281643745547</v>
      </c>
      <c r="AF26" s="20">
        <f t="shared" si="18"/>
        <v>0</v>
      </c>
      <c r="AG26" s="20">
        <f t="shared" si="18"/>
        <v>0</v>
      </c>
      <c r="AH26" s="20">
        <f t="shared" si="18"/>
        <v>0</v>
      </c>
      <c r="AI26" s="20">
        <f t="shared" si="19"/>
        <v>0.15060680978568886</v>
      </c>
      <c r="AJ26" s="20">
        <f t="shared" si="20"/>
        <v>0</v>
      </c>
      <c r="AK26" s="20">
        <f t="shared" si="20"/>
        <v>0</v>
      </c>
      <c r="AL26" s="20">
        <f t="shared" si="20"/>
        <v>0</v>
      </c>
      <c r="AM26" s="20">
        <f t="shared" si="21"/>
        <v>0.15060680978568886</v>
      </c>
      <c r="AO26">
        <f t="shared" si="22"/>
        <v>1.8102360586104631E-2</v>
      </c>
      <c r="AP26">
        <f t="shared" si="22"/>
        <v>0</v>
      </c>
      <c r="AQ26">
        <f t="shared" si="22"/>
        <v>0</v>
      </c>
      <c r="AR26">
        <f t="shared" si="22"/>
        <v>0</v>
      </c>
      <c r="AS26">
        <f t="shared" si="23"/>
        <v>1.8102360586104631E-2</v>
      </c>
      <c r="AU26">
        <f t="shared" si="24"/>
        <v>0.1862554416619614</v>
      </c>
      <c r="AV26">
        <f t="shared" si="25"/>
        <v>0</v>
      </c>
      <c r="AW26">
        <f t="shared" si="25"/>
        <v>0</v>
      </c>
      <c r="AX26">
        <f t="shared" si="25"/>
        <v>0</v>
      </c>
      <c r="AY26">
        <f t="shared" si="26"/>
        <v>0.1862554416619614</v>
      </c>
    </row>
    <row r="27" spans="1:53" ht="15" x14ac:dyDescent="0.25">
      <c r="A27" s="7"/>
      <c r="B27" s="8" t="s">
        <v>14</v>
      </c>
      <c r="C27" s="7"/>
      <c r="D27" s="357">
        <f t="shared" ref="D27:H27" si="27">SUM(D21:D26)</f>
        <v>0</v>
      </c>
      <c r="E27" s="363">
        <f>SUM(E21:E26)</f>
        <v>19.063399999999998</v>
      </c>
      <c r="F27" s="357">
        <f t="shared" si="27"/>
        <v>0</v>
      </c>
      <c r="G27" s="357">
        <f t="shared" si="27"/>
        <v>0</v>
      </c>
      <c r="H27" s="357">
        <f t="shared" si="27"/>
        <v>0</v>
      </c>
      <c r="J27">
        <v>0</v>
      </c>
      <c r="K27" s="14">
        <v>-51.114502991655911</v>
      </c>
      <c r="L27">
        <v>0</v>
      </c>
      <c r="M27">
        <v>0</v>
      </c>
      <c r="N27">
        <v>0</v>
      </c>
      <c r="O27" s="20"/>
      <c r="P27" s="20"/>
      <c r="Q27" s="438">
        <v>0.16442210485884301</v>
      </c>
      <c r="R27" s="197"/>
      <c r="S27" s="197"/>
      <c r="T27" s="197"/>
      <c r="U27" s="197"/>
      <c r="BA27" s="319">
        <f>(E27*10000*Q27*AU$10)</f>
        <v>38763.673323024952</v>
      </c>
    </row>
    <row r="28" spans="1:53" ht="15" x14ac:dyDescent="0.25">
      <c r="A28" s="5"/>
      <c r="B28" s="9" t="s">
        <v>15</v>
      </c>
      <c r="C28" s="5"/>
      <c r="E28" s="363">
        <f>SUM(E27)</f>
        <v>19.063399999999998</v>
      </c>
      <c r="H28" s="358">
        <f>SUM(D27:H27)</f>
        <v>19.063399999999998</v>
      </c>
      <c r="K28" s="14"/>
      <c r="N28">
        <v>0</v>
      </c>
      <c r="O28" s="20"/>
      <c r="P28" s="20"/>
      <c r="Q28" s="438"/>
      <c r="R28" s="197"/>
      <c r="S28" s="197"/>
      <c r="T28" s="197"/>
      <c r="U28" s="197"/>
    </row>
    <row r="29" spans="1:53" ht="15.75" x14ac:dyDescent="0.25">
      <c r="A29" s="1"/>
      <c r="B29" s="2"/>
      <c r="C29" s="1"/>
      <c r="E29" s="361"/>
      <c r="K29" s="14"/>
      <c r="O29" s="20"/>
      <c r="P29" s="20"/>
      <c r="Q29" s="439"/>
      <c r="R29" s="197"/>
      <c r="S29" s="197"/>
      <c r="T29" s="197"/>
      <c r="U29" s="197"/>
    </row>
    <row r="30" spans="1:53" ht="15" x14ac:dyDescent="0.25">
      <c r="A30" s="1">
        <v>3</v>
      </c>
      <c r="B30" s="2" t="s">
        <v>17</v>
      </c>
      <c r="C30" s="1" t="s">
        <v>8</v>
      </c>
      <c r="D30">
        <v>0</v>
      </c>
      <c r="E30" s="360">
        <v>23.8947</v>
      </c>
      <c r="F30">
        <v>0</v>
      </c>
      <c r="G30">
        <v>0</v>
      </c>
      <c r="H30">
        <v>0</v>
      </c>
      <c r="J30">
        <v>0</v>
      </c>
      <c r="K30" s="14">
        <v>4.2351467865730008</v>
      </c>
      <c r="L30">
        <v>0</v>
      </c>
      <c r="M30">
        <v>0</v>
      </c>
      <c r="N30">
        <v>0</v>
      </c>
      <c r="O30" s="20"/>
      <c r="P30" s="20"/>
      <c r="Q30" s="438">
        <v>0.24644275743320138</v>
      </c>
      <c r="R30" s="197">
        <v>0.49</v>
      </c>
      <c r="S30" s="197">
        <v>2.42</v>
      </c>
      <c r="T30" s="197">
        <v>0.50078889239507718</v>
      </c>
      <c r="U30" s="197">
        <v>0.75268470790377973</v>
      </c>
      <c r="V30" s="20">
        <f t="shared" ref="V30:Y35" si="28">IF(K30&gt;0,((E30-K30)*$Q30*$R30*10)+(K30*$O$12*$Q30*$R30*10),(E30*$Q30*$R30*10))</f>
        <v>25.621047131824525</v>
      </c>
      <c r="W30" s="20">
        <f t="shared" si="28"/>
        <v>0</v>
      </c>
      <c r="X30" s="20">
        <f t="shared" si="28"/>
        <v>0</v>
      </c>
      <c r="Y30" s="20">
        <f t="shared" si="28"/>
        <v>0</v>
      </c>
      <c r="Z30" s="20">
        <f t="shared" ref="Z30:Z35" si="29">V30*(EXP(1.01-0.34*LN(Z$8))*(1-$T30)+(1*$T30))</f>
        <v>15.165002920071538</v>
      </c>
      <c r="AA30" s="20">
        <f t="shared" ref="AA30:AC35" si="30">W30*(EXP(1.01-0.34*LN(AA$8))*(1-$U30)+(1*$U30))</f>
        <v>0</v>
      </c>
      <c r="AB30" s="20">
        <f t="shared" si="30"/>
        <v>0</v>
      </c>
      <c r="AC30" s="20">
        <f t="shared" si="30"/>
        <v>0</v>
      </c>
      <c r="AD30" s="20">
        <f t="shared" ref="AD30:AD35" si="31">SUM(Z30:AC30)</f>
        <v>15.165002920071538</v>
      </c>
      <c r="AE30" s="20">
        <f t="shared" ref="AE30:AH35" si="32">IF(K30&gt;0,((E30-K30)*$Q30*$S30*10)+(K30*$P$12*$Q30*$S30)*10,(E30*$Q30*$S30*10))</f>
        <v>131.87560098670139</v>
      </c>
      <c r="AF30" s="20">
        <f t="shared" si="32"/>
        <v>0</v>
      </c>
      <c r="AG30" s="20">
        <f t="shared" si="32"/>
        <v>0</v>
      </c>
      <c r="AH30" s="20">
        <f t="shared" si="32"/>
        <v>0</v>
      </c>
      <c r="AI30" s="20">
        <f t="shared" ref="AI30:AI35" si="33">AE30*(EXP(1.01-0.34*LN(AI$8))*(1-$U30)+(1*$U30))</f>
        <v>105.21304882770575</v>
      </c>
      <c r="AJ30" s="20">
        <f t="shared" ref="AJ30:AL35" si="34">AF30*(EXP(1.01-0.34*LN(AJ$8))*(1-$T30)+(1*$T30))</f>
        <v>0</v>
      </c>
      <c r="AK30" s="20">
        <f t="shared" si="34"/>
        <v>0</v>
      </c>
      <c r="AL30" s="20">
        <f t="shared" si="34"/>
        <v>0</v>
      </c>
      <c r="AM30" s="20">
        <f t="shared" ref="AM30:AM35" si="35">SUM(AI30:AL30)</f>
        <v>105.21304882770575</v>
      </c>
      <c r="AO30">
        <f t="shared" ref="AO30:AR35" si="36">Z30*AO$10</f>
        <v>18.754559111252469</v>
      </c>
      <c r="AP30">
        <f t="shared" si="36"/>
        <v>0</v>
      </c>
      <c r="AQ30">
        <f t="shared" si="36"/>
        <v>0</v>
      </c>
      <c r="AR30">
        <f t="shared" si="36"/>
        <v>0</v>
      </c>
      <c r="AS30">
        <f t="shared" ref="AS30:AS35" si="37">SUM(AO30:AR30)</f>
        <v>18.754559111252469</v>
      </c>
      <c r="AU30">
        <f t="shared" ref="AU30:AU35" si="38">AI30*AU$10</f>
        <v>130.11697748522369</v>
      </c>
      <c r="AV30">
        <f t="shared" ref="AV30:AX35" si="39">AJ30*AV$10</f>
        <v>0</v>
      </c>
      <c r="AW30">
        <f t="shared" si="39"/>
        <v>0</v>
      </c>
      <c r="AX30">
        <f t="shared" si="39"/>
        <v>0</v>
      </c>
      <c r="AY30">
        <f t="shared" ref="AY30:AY35" si="40">SUM(AU30:AX30)</f>
        <v>130.11697748522369</v>
      </c>
    </row>
    <row r="31" spans="1:53" ht="15" x14ac:dyDescent="0.25">
      <c r="A31" s="1"/>
      <c r="B31" s="2"/>
      <c r="C31" s="1" t="s">
        <v>9</v>
      </c>
      <c r="D31">
        <v>0</v>
      </c>
      <c r="E31" s="360">
        <v>3.4548999999999999</v>
      </c>
      <c r="F31">
        <v>0</v>
      </c>
      <c r="G31">
        <v>0</v>
      </c>
      <c r="H31">
        <v>0</v>
      </c>
      <c r="J31">
        <v>0</v>
      </c>
      <c r="K31" s="14">
        <v>3.4548999999999999</v>
      </c>
      <c r="L31">
        <v>0</v>
      </c>
      <c r="M31">
        <v>0</v>
      </c>
      <c r="N31">
        <v>0</v>
      </c>
      <c r="O31" s="20"/>
      <c r="P31" s="20"/>
      <c r="Q31" s="438">
        <v>0.26788551486640272</v>
      </c>
      <c r="R31" s="197">
        <v>0.49</v>
      </c>
      <c r="S31" s="197">
        <v>2.42</v>
      </c>
      <c r="T31" s="197">
        <v>0.50078889239507718</v>
      </c>
      <c r="U31" s="197">
        <v>0.75268470790377973</v>
      </c>
      <c r="V31" s="20">
        <f t="shared" si="28"/>
        <v>1.6677689700090612</v>
      </c>
      <c r="W31" s="20">
        <f t="shared" si="28"/>
        <v>0</v>
      </c>
      <c r="X31" s="20">
        <f t="shared" si="28"/>
        <v>0</v>
      </c>
      <c r="Y31" s="20">
        <f t="shared" si="28"/>
        <v>0</v>
      </c>
      <c r="Z31" s="20">
        <f t="shared" si="29"/>
        <v>0.98714627743596994</v>
      </c>
      <c r="AA31" s="20">
        <f t="shared" si="30"/>
        <v>0</v>
      </c>
      <c r="AB31" s="20">
        <f t="shared" si="30"/>
        <v>0</v>
      </c>
      <c r="AC31" s="20">
        <f t="shared" si="30"/>
        <v>0</v>
      </c>
      <c r="AD31" s="20">
        <f t="shared" si="31"/>
        <v>0.98714627743596994</v>
      </c>
      <c r="AE31" s="20">
        <f t="shared" si="32"/>
        <v>12.971084539864822</v>
      </c>
      <c r="AF31" s="20">
        <f t="shared" si="32"/>
        <v>0</v>
      </c>
      <c r="AG31" s="20">
        <f t="shared" si="32"/>
        <v>0</v>
      </c>
      <c r="AH31" s="20">
        <f t="shared" si="32"/>
        <v>0</v>
      </c>
      <c r="AI31" s="20">
        <f t="shared" si="33"/>
        <v>10.348596259126953</v>
      </c>
      <c r="AJ31" s="20">
        <f t="shared" si="34"/>
        <v>0</v>
      </c>
      <c r="AK31" s="20">
        <f t="shared" si="34"/>
        <v>0</v>
      </c>
      <c r="AL31" s="20">
        <f t="shared" si="34"/>
        <v>0</v>
      </c>
      <c r="AM31" s="20">
        <f t="shared" si="35"/>
        <v>10.348596259126953</v>
      </c>
      <c r="AO31">
        <f t="shared" si="36"/>
        <v>1.2208038013050639</v>
      </c>
      <c r="AP31">
        <f t="shared" si="36"/>
        <v>0</v>
      </c>
      <c r="AQ31">
        <f t="shared" si="36"/>
        <v>0</v>
      </c>
      <c r="AR31">
        <f t="shared" si="36"/>
        <v>0</v>
      </c>
      <c r="AS31">
        <f t="shared" si="37"/>
        <v>1.2208038013050639</v>
      </c>
      <c r="AU31">
        <f t="shared" si="38"/>
        <v>12.798108993662302</v>
      </c>
      <c r="AV31">
        <f t="shared" si="39"/>
        <v>0</v>
      </c>
      <c r="AW31">
        <f t="shared" si="39"/>
        <v>0</v>
      </c>
      <c r="AX31">
        <f t="shared" si="39"/>
        <v>0</v>
      </c>
      <c r="AY31">
        <f t="shared" si="40"/>
        <v>12.798108993662302</v>
      </c>
    </row>
    <row r="32" spans="1:53" ht="15" x14ac:dyDescent="0.25">
      <c r="A32" s="1"/>
      <c r="B32" s="2"/>
      <c r="C32" s="1" t="s">
        <v>10</v>
      </c>
      <c r="D32">
        <v>0</v>
      </c>
      <c r="E32" s="360">
        <v>1.1971000000000001</v>
      </c>
      <c r="F32">
        <v>0</v>
      </c>
      <c r="G32">
        <v>0</v>
      </c>
      <c r="H32">
        <v>0</v>
      </c>
      <c r="J32">
        <v>0</v>
      </c>
      <c r="K32" s="14">
        <v>2.8251047800000872E-3</v>
      </c>
      <c r="L32">
        <v>0</v>
      </c>
      <c r="M32">
        <v>0</v>
      </c>
      <c r="N32">
        <v>0</v>
      </c>
      <c r="O32" s="20"/>
      <c r="P32" s="20"/>
      <c r="Q32" s="438">
        <v>0.28932827229960412</v>
      </c>
      <c r="R32" s="197">
        <v>0.49</v>
      </c>
      <c r="S32" s="197">
        <v>2.42</v>
      </c>
      <c r="T32" s="197">
        <v>0.50078889239507718</v>
      </c>
      <c r="U32" s="197">
        <v>0.75268470790377973</v>
      </c>
      <c r="V32" s="20">
        <f t="shared" si="28"/>
        <v>1.6946066225707892</v>
      </c>
      <c r="W32" s="20">
        <f t="shared" si="28"/>
        <v>0</v>
      </c>
      <c r="X32" s="20">
        <f t="shared" si="28"/>
        <v>0</v>
      </c>
      <c r="Y32" s="20">
        <f t="shared" si="28"/>
        <v>0</v>
      </c>
      <c r="Z32" s="20">
        <f t="shared" si="29"/>
        <v>1.0030313846047918</v>
      </c>
      <c r="AA32" s="20">
        <f t="shared" si="30"/>
        <v>0</v>
      </c>
      <c r="AB32" s="20">
        <f t="shared" si="30"/>
        <v>0</v>
      </c>
      <c r="AC32" s="20">
        <f t="shared" si="30"/>
        <v>0</v>
      </c>
      <c r="AD32" s="20">
        <f t="shared" si="31"/>
        <v>1.0030313846047918</v>
      </c>
      <c r="AE32" s="20">
        <f t="shared" si="32"/>
        <v>8.373462886564381</v>
      </c>
      <c r="AF32" s="20">
        <f t="shared" si="32"/>
        <v>0</v>
      </c>
      <c r="AG32" s="20">
        <f t="shared" si="32"/>
        <v>0</v>
      </c>
      <c r="AH32" s="20">
        <f t="shared" si="32"/>
        <v>0</v>
      </c>
      <c r="AI32" s="20">
        <f t="shared" si="33"/>
        <v>6.6805197697633378</v>
      </c>
      <c r="AJ32" s="20">
        <f t="shared" si="34"/>
        <v>0</v>
      </c>
      <c r="AK32" s="20">
        <f t="shared" si="34"/>
        <v>0</v>
      </c>
      <c r="AL32" s="20">
        <f t="shared" si="34"/>
        <v>0</v>
      </c>
      <c r="AM32" s="20">
        <f t="shared" si="35"/>
        <v>6.6805197697633378</v>
      </c>
      <c r="AO32">
        <f t="shared" si="36"/>
        <v>1.2404489133407459</v>
      </c>
      <c r="AP32">
        <f t="shared" si="36"/>
        <v>0</v>
      </c>
      <c r="AQ32">
        <f t="shared" si="36"/>
        <v>0</v>
      </c>
      <c r="AR32">
        <f t="shared" si="36"/>
        <v>0</v>
      </c>
      <c r="AS32">
        <f t="shared" si="37"/>
        <v>1.2404489133407459</v>
      </c>
      <c r="AU32">
        <f t="shared" si="38"/>
        <v>8.2617987992663195</v>
      </c>
      <c r="AV32">
        <f t="shared" si="39"/>
        <v>0</v>
      </c>
      <c r="AW32">
        <f t="shared" si="39"/>
        <v>0</v>
      </c>
      <c r="AX32">
        <f t="shared" si="39"/>
        <v>0</v>
      </c>
      <c r="AY32">
        <f t="shared" si="40"/>
        <v>8.2617987992663195</v>
      </c>
    </row>
    <row r="33" spans="1:53" ht="15" x14ac:dyDescent="0.25">
      <c r="A33" s="1"/>
      <c r="B33" s="2"/>
      <c r="C33" s="1" t="s">
        <v>11</v>
      </c>
      <c r="D33">
        <v>0</v>
      </c>
      <c r="E33" s="360">
        <v>9.5062999999999995</v>
      </c>
      <c r="F33">
        <v>0</v>
      </c>
      <c r="G33">
        <v>0</v>
      </c>
      <c r="H33">
        <v>0</v>
      </c>
      <c r="J33">
        <v>0</v>
      </c>
      <c r="K33" s="14">
        <v>9.3638368422762763</v>
      </c>
      <c r="L33">
        <v>0</v>
      </c>
      <c r="M33">
        <v>0</v>
      </c>
      <c r="N33">
        <v>0</v>
      </c>
      <c r="O33" s="20"/>
      <c r="P33" s="20"/>
      <c r="Q33" s="438">
        <v>0.31077102973280546</v>
      </c>
      <c r="R33" s="197">
        <v>0.49</v>
      </c>
      <c r="S33" s="197">
        <v>2.42</v>
      </c>
      <c r="T33" s="197">
        <v>0.50078889239507718</v>
      </c>
      <c r="U33" s="197">
        <v>0.75268470790377973</v>
      </c>
      <c r="V33" s="20">
        <f t="shared" si="28"/>
        <v>5.4607327916148742</v>
      </c>
      <c r="W33" s="20">
        <f t="shared" si="28"/>
        <v>0</v>
      </c>
      <c r="X33" s="20">
        <f t="shared" si="28"/>
        <v>0</v>
      </c>
      <c r="Y33" s="20">
        <f t="shared" si="28"/>
        <v>0</v>
      </c>
      <c r="Z33" s="20">
        <f t="shared" si="29"/>
        <v>3.2321875177266715</v>
      </c>
      <c r="AA33" s="20">
        <f t="shared" si="30"/>
        <v>0</v>
      </c>
      <c r="AB33" s="20">
        <f t="shared" si="30"/>
        <v>0</v>
      </c>
      <c r="AC33" s="20">
        <f t="shared" si="30"/>
        <v>0</v>
      </c>
      <c r="AD33" s="20">
        <f t="shared" si="31"/>
        <v>3.2321875177266715</v>
      </c>
      <c r="AE33" s="20">
        <f t="shared" si="32"/>
        <v>41.855052819173686</v>
      </c>
      <c r="AF33" s="20">
        <f t="shared" si="32"/>
        <v>0</v>
      </c>
      <c r="AG33" s="20">
        <f t="shared" si="32"/>
        <v>0</v>
      </c>
      <c r="AH33" s="20">
        <f t="shared" si="32"/>
        <v>0</v>
      </c>
      <c r="AI33" s="20">
        <f t="shared" si="33"/>
        <v>33.39281628293017</v>
      </c>
      <c r="AJ33" s="20">
        <f t="shared" si="34"/>
        <v>0</v>
      </c>
      <c r="AK33" s="20">
        <f t="shared" si="34"/>
        <v>0</v>
      </c>
      <c r="AL33" s="20">
        <f t="shared" si="34"/>
        <v>0</v>
      </c>
      <c r="AM33" s="20">
        <f t="shared" si="35"/>
        <v>33.39281628293017</v>
      </c>
      <c r="AO33">
        <f t="shared" si="36"/>
        <v>3.9972463031725742</v>
      </c>
      <c r="AP33">
        <f t="shared" si="36"/>
        <v>0</v>
      </c>
      <c r="AQ33">
        <f t="shared" si="36"/>
        <v>0</v>
      </c>
      <c r="AR33">
        <f t="shared" si="36"/>
        <v>0</v>
      </c>
      <c r="AS33">
        <f t="shared" si="37"/>
        <v>3.9972463031725742</v>
      </c>
      <c r="AU33">
        <f t="shared" si="38"/>
        <v>41.296895897099738</v>
      </c>
      <c r="AV33">
        <f t="shared" si="39"/>
        <v>0</v>
      </c>
      <c r="AW33">
        <f t="shared" si="39"/>
        <v>0</v>
      </c>
      <c r="AX33">
        <f t="shared" si="39"/>
        <v>0</v>
      </c>
      <c r="AY33">
        <f t="shared" si="40"/>
        <v>41.296895897099738</v>
      </c>
    </row>
    <row r="34" spans="1:53" ht="15" x14ac:dyDescent="0.25">
      <c r="A34" s="1"/>
      <c r="B34" s="2"/>
      <c r="C34" s="1" t="s">
        <v>12</v>
      </c>
      <c r="D34">
        <v>0</v>
      </c>
      <c r="E34" s="360">
        <v>0</v>
      </c>
      <c r="F34">
        <v>0</v>
      </c>
      <c r="G34">
        <v>0</v>
      </c>
      <c r="H34">
        <v>0</v>
      </c>
      <c r="J34">
        <v>0</v>
      </c>
      <c r="K34" s="14">
        <v>0</v>
      </c>
      <c r="L34">
        <v>0</v>
      </c>
      <c r="M34">
        <v>0</v>
      </c>
      <c r="N34">
        <v>0</v>
      </c>
      <c r="O34" s="20"/>
      <c r="P34" s="20"/>
      <c r="Q34" s="438"/>
      <c r="R34" s="197">
        <v>0.49</v>
      </c>
      <c r="S34" s="197">
        <v>2.42</v>
      </c>
      <c r="T34" s="197">
        <v>0.50078889239507718</v>
      </c>
      <c r="U34" s="197">
        <v>0.75268470790377973</v>
      </c>
      <c r="V34" s="20">
        <f t="shared" si="28"/>
        <v>0</v>
      </c>
      <c r="W34" s="20">
        <f t="shared" si="28"/>
        <v>0</v>
      </c>
      <c r="X34" s="20">
        <f t="shared" si="28"/>
        <v>0</v>
      </c>
      <c r="Y34" s="20">
        <f t="shared" si="28"/>
        <v>0</v>
      </c>
      <c r="Z34" s="20">
        <f t="shared" si="29"/>
        <v>0</v>
      </c>
      <c r="AA34" s="20">
        <f t="shared" si="30"/>
        <v>0</v>
      </c>
      <c r="AB34" s="20">
        <f t="shared" si="30"/>
        <v>0</v>
      </c>
      <c r="AC34" s="20">
        <f t="shared" si="30"/>
        <v>0</v>
      </c>
      <c r="AD34" s="20">
        <f t="shared" si="31"/>
        <v>0</v>
      </c>
      <c r="AE34" s="20">
        <f t="shared" si="32"/>
        <v>0</v>
      </c>
      <c r="AF34" s="20">
        <f t="shared" si="32"/>
        <v>0</v>
      </c>
      <c r="AG34" s="20">
        <f t="shared" si="32"/>
        <v>0</v>
      </c>
      <c r="AH34" s="20">
        <f t="shared" si="32"/>
        <v>0</v>
      </c>
      <c r="AI34" s="20">
        <f t="shared" si="33"/>
        <v>0</v>
      </c>
      <c r="AJ34" s="20">
        <f t="shared" si="34"/>
        <v>0</v>
      </c>
      <c r="AK34" s="20">
        <f t="shared" si="34"/>
        <v>0</v>
      </c>
      <c r="AL34" s="20">
        <f t="shared" si="34"/>
        <v>0</v>
      </c>
      <c r="AM34" s="20">
        <f t="shared" si="35"/>
        <v>0</v>
      </c>
      <c r="AO34">
        <f t="shared" si="36"/>
        <v>0</v>
      </c>
      <c r="AP34">
        <f t="shared" si="36"/>
        <v>0</v>
      </c>
      <c r="AQ34">
        <f t="shared" si="36"/>
        <v>0</v>
      </c>
      <c r="AR34">
        <f t="shared" si="36"/>
        <v>0</v>
      </c>
      <c r="AS34">
        <f t="shared" si="37"/>
        <v>0</v>
      </c>
      <c r="AU34">
        <f t="shared" si="38"/>
        <v>0</v>
      </c>
      <c r="AV34">
        <f t="shared" si="39"/>
        <v>0</v>
      </c>
      <c r="AW34">
        <f t="shared" si="39"/>
        <v>0</v>
      </c>
      <c r="AX34">
        <f t="shared" si="39"/>
        <v>0</v>
      </c>
      <c r="AY34">
        <f t="shared" si="40"/>
        <v>0</v>
      </c>
    </row>
    <row r="35" spans="1:53" ht="15" x14ac:dyDescent="0.25">
      <c r="A35" s="1"/>
      <c r="B35" s="2"/>
      <c r="C35" s="1" t="s">
        <v>13</v>
      </c>
      <c r="D35">
        <v>0</v>
      </c>
      <c r="E35" s="360">
        <v>4.8399999999999999E-2</v>
      </c>
      <c r="F35">
        <v>0</v>
      </c>
      <c r="G35">
        <v>0</v>
      </c>
      <c r="H35">
        <v>0</v>
      </c>
      <c r="J35">
        <v>0</v>
      </c>
      <c r="K35" s="14">
        <v>-0.1467011429</v>
      </c>
      <c r="L35">
        <v>0</v>
      </c>
      <c r="M35">
        <v>0</v>
      </c>
      <c r="N35">
        <v>0</v>
      </c>
      <c r="O35" s="20"/>
      <c r="P35" s="20"/>
      <c r="Q35" s="438">
        <v>0.31077102973280551</v>
      </c>
      <c r="R35" s="197">
        <v>0.49</v>
      </c>
      <c r="S35" s="197">
        <v>2.42</v>
      </c>
      <c r="T35" s="197">
        <v>0.50078889239507718</v>
      </c>
      <c r="U35" s="197">
        <v>0.75268470790377973</v>
      </c>
      <c r="V35" s="20">
        <f t="shared" si="28"/>
        <v>7.3702457411432151E-2</v>
      </c>
      <c r="W35" s="20">
        <f t="shared" si="28"/>
        <v>0</v>
      </c>
      <c r="X35" s="20">
        <f t="shared" si="28"/>
        <v>0</v>
      </c>
      <c r="Y35" s="20">
        <f t="shared" si="28"/>
        <v>0</v>
      </c>
      <c r="Z35" s="20">
        <f t="shared" si="29"/>
        <v>4.3624211614383901E-2</v>
      </c>
      <c r="AA35" s="20">
        <f t="shared" si="30"/>
        <v>0</v>
      </c>
      <c r="AB35" s="20">
        <f t="shared" si="30"/>
        <v>0</v>
      </c>
      <c r="AC35" s="20">
        <f t="shared" si="30"/>
        <v>0</v>
      </c>
      <c r="AD35" s="20">
        <f t="shared" si="31"/>
        <v>4.3624211614383901E-2</v>
      </c>
      <c r="AE35" s="20">
        <f t="shared" si="32"/>
        <v>0.36399989170544039</v>
      </c>
      <c r="AF35" s="20">
        <f t="shared" si="32"/>
        <v>0</v>
      </c>
      <c r="AG35" s="20">
        <f t="shared" si="32"/>
        <v>0</v>
      </c>
      <c r="AH35" s="20">
        <f t="shared" si="32"/>
        <v>0</v>
      </c>
      <c r="AI35" s="20">
        <f t="shared" si="33"/>
        <v>0.29040655051229763</v>
      </c>
      <c r="AJ35" s="20">
        <f t="shared" si="34"/>
        <v>0</v>
      </c>
      <c r="AK35" s="20">
        <f t="shared" si="34"/>
        <v>0</v>
      </c>
      <c r="AL35" s="20">
        <f t="shared" si="34"/>
        <v>0</v>
      </c>
      <c r="AM35" s="20">
        <f t="shared" si="35"/>
        <v>0.29040655051229763</v>
      </c>
      <c r="AO35">
        <f t="shared" si="36"/>
        <v>5.3950062503508568E-2</v>
      </c>
      <c r="AP35">
        <f t="shared" si="36"/>
        <v>0</v>
      </c>
      <c r="AQ35">
        <f t="shared" si="36"/>
        <v>0</v>
      </c>
      <c r="AR35">
        <f t="shared" si="36"/>
        <v>0</v>
      </c>
      <c r="AS35">
        <f t="shared" si="37"/>
        <v>5.3950062503508568E-2</v>
      </c>
      <c r="AU35">
        <f t="shared" si="38"/>
        <v>0.35914578101855849</v>
      </c>
      <c r="AV35">
        <f t="shared" si="39"/>
        <v>0</v>
      </c>
      <c r="AW35">
        <f t="shared" si="39"/>
        <v>0</v>
      </c>
      <c r="AX35">
        <f t="shared" si="39"/>
        <v>0</v>
      </c>
      <c r="AY35">
        <f t="shared" si="40"/>
        <v>0.35914578101855849</v>
      </c>
    </row>
    <row r="36" spans="1:53" ht="15" x14ac:dyDescent="0.25">
      <c r="A36" s="7"/>
      <c r="B36" s="8" t="s">
        <v>14</v>
      </c>
      <c r="C36" s="7"/>
      <c r="D36" s="357">
        <f t="shared" ref="D36:H36" si="41">SUM(D30:D35)</f>
        <v>0</v>
      </c>
      <c r="E36" s="363">
        <f>SUM(E30:E35)</f>
        <v>38.101399999999998</v>
      </c>
      <c r="F36" s="357">
        <f t="shared" si="41"/>
        <v>0</v>
      </c>
      <c r="G36" s="357">
        <f t="shared" si="41"/>
        <v>0</v>
      </c>
      <c r="H36" s="357">
        <f t="shared" si="41"/>
        <v>0</v>
      </c>
      <c r="J36">
        <v>0</v>
      </c>
      <c r="K36" s="14">
        <v>16.910007590729276</v>
      </c>
      <c r="L36">
        <v>0</v>
      </c>
      <c r="M36">
        <v>0</v>
      </c>
      <c r="N36">
        <v>0</v>
      </c>
      <c r="O36" s="20"/>
      <c r="P36" s="20"/>
      <c r="Q36" s="438">
        <v>0.26586614281650922</v>
      </c>
      <c r="R36" s="197"/>
      <c r="S36" s="197"/>
      <c r="T36" s="197"/>
      <c r="U36" s="197"/>
      <c r="BA36" s="319">
        <f>(E36*10000*Q36*AU$10)</f>
        <v>125276.13016409191</v>
      </c>
    </row>
    <row r="37" spans="1:53" ht="15" x14ac:dyDescent="0.25">
      <c r="A37" s="5"/>
      <c r="B37" s="9" t="s">
        <v>15</v>
      </c>
      <c r="C37" s="5"/>
      <c r="E37" s="363">
        <f>SUM(E36)</f>
        <v>38.101399999999998</v>
      </c>
      <c r="H37" s="358">
        <f>SUM(D36:H36)</f>
        <v>38.101399999999998</v>
      </c>
      <c r="K37" s="14"/>
      <c r="N37">
        <v>0</v>
      </c>
      <c r="O37" s="20"/>
      <c r="P37" s="20"/>
      <c r="Q37" s="438"/>
      <c r="R37" s="197"/>
      <c r="S37" s="197"/>
      <c r="T37" s="197"/>
      <c r="U37" s="197"/>
    </row>
    <row r="38" spans="1:53" ht="15.75" x14ac:dyDescent="0.25">
      <c r="A38" s="1"/>
      <c r="B38" s="2"/>
      <c r="C38" s="1"/>
      <c r="E38" s="362"/>
      <c r="K38" s="14"/>
      <c r="O38" s="20"/>
      <c r="P38" s="20"/>
      <c r="Q38" s="439"/>
      <c r="R38" s="197"/>
      <c r="S38" s="197"/>
      <c r="T38" s="197"/>
      <c r="U38" s="197"/>
    </row>
    <row r="39" spans="1:53" ht="15" x14ac:dyDescent="0.25">
      <c r="A39" s="1">
        <v>4</v>
      </c>
      <c r="B39" s="2" t="s">
        <v>18</v>
      </c>
      <c r="C39" s="1" t="s">
        <v>8</v>
      </c>
      <c r="D39">
        <v>0</v>
      </c>
      <c r="E39" s="360">
        <v>96.525899999999993</v>
      </c>
      <c r="F39">
        <v>0</v>
      </c>
      <c r="G39">
        <v>0</v>
      </c>
      <c r="H39">
        <v>0</v>
      </c>
      <c r="J39">
        <v>0</v>
      </c>
      <c r="K39" s="14">
        <v>93.906445392392087</v>
      </c>
      <c r="L39">
        <v>0</v>
      </c>
      <c r="M39">
        <v>0</v>
      </c>
      <c r="N39">
        <v>0</v>
      </c>
      <c r="O39" s="20"/>
      <c r="P39" s="20"/>
      <c r="Q39" s="438">
        <v>0.37715420594656113</v>
      </c>
      <c r="R39" s="197">
        <v>0.19500000000000001</v>
      </c>
      <c r="S39" s="197">
        <v>1.22</v>
      </c>
      <c r="T39" s="197">
        <v>0.4144562334217507</v>
      </c>
      <c r="U39" s="197">
        <v>0.6566321730950142</v>
      </c>
      <c r="V39" s="20">
        <f t="shared" ref="V39:Y44" si="42">IF(K39&gt;0,((E39-K39)*$Q39*$R39*10)+(K39*$O$12*$Q39*$R39*10),(E39*$Q39*$R39*10))</f>
        <v>27.324745590037722</v>
      </c>
      <c r="W39" s="20">
        <f t="shared" si="42"/>
        <v>0</v>
      </c>
      <c r="X39" s="20">
        <f t="shared" si="42"/>
        <v>0</v>
      </c>
      <c r="Y39" s="20">
        <f t="shared" si="42"/>
        <v>0</v>
      </c>
      <c r="Z39" s="20">
        <f t="shared" ref="Z39:Z44" si="43">V39*(EXP(1.01-0.34*LN(Z$8))*(1-$T39)+(1*$T39))</f>
        <v>14.244925069228835</v>
      </c>
      <c r="AA39" s="20">
        <f t="shared" ref="AA39:AC44" si="44">W39*(EXP(1.01-0.34*LN(AA$8))*(1-$U39)+(1*$U39))</f>
        <v>0</v>
      </c>
      <c r="AB39" s="20">
        <f t="shared" si="44"/>
        <v>0</v>
      </c>
      <c r="AC39" s="20">
        <f t="shared" si="44"/>
        <v>0</v>
      </c>
      <c r="AD39" s="20">
        <f t="shared" ref="AD39:AD44" si="45">SUM(Z39:AC39)</f>
        <v>14.244925069228835</v>
      </c>
      <c r="AE39" s="20">
        <f t="shared" ref="AE39:AH44" si="46">IF(K39&gt;0,((E39-K39)*$Q39*$S39*10)+(K39*$P$12*$Q39*$S39)*10,(E39*$Q39*$S39*10))</f>
        <v>262.28919882638428</v>
      </c>
      <c r="AF39" s="20">
        <f t="shared" si="46"/>
        <v>0</v>
      </c>
      <c r="AG39" s="20">
        <f t="shared" si="46"/>
        <v>0</v>
      </c>
      <c r="AH39" s="20">
        <f t="shared" si="46"/>
        <v>0</v>
      </c>
      <c r="AI39" s="20">
        <f t="shared" ref="AI39:AI44" si="47">AE39*(EXP(1.01-0.34*LN(AI$8))*(1-$U39)+(1*$U39))</f>
        <v>188.66403027349992</v>
      </c>
      <c r="AJ39" s="20">
        <f t="shared" ref="AJ39:AL44" si="48">AF39*(EXP(1.01-0.34*LN(AJ$8))*(1-$T39)+(1*$T39))</f>
        <v>0</v>
      </c>
      <c r="AK39" s="20">
        <f t="shared" si="48"/>
        <v>0</v>
      </c>
      <c r="AL39" s="20">
        <f t="shared" si="48"/>
        <v>0</v>
      </c>
      <c r="AM39" s="20">
        <f t="shared" ref="AM39:AM44" si="49">SUM(AI39:AL39)</f>
        <v>188.66403027349992</v>
      </c>
      <c r="AO39">
        <f t="shared" ref="AO39:AR44" si="50">Z39*AO$10</f>
        <v>17.616698833115297</v>
      </c>
      <c r="AP39">
        <f t="shared" si="50"/>
        <v>0</v>
      </c>
      <c r="AQ39">
        <f t="shared" si="50"/>
        <v>0</v>
      </c>
      <c r="AR39">
        <f t="shared" si="50"/>
        <v>0</v>
      </c>
      <c r="AS39">
        <f t="shared" ref="AS39:AS44" si="51">SUM(AO39:AR39)</f>
        <v>17.616698833115297</v>
      </c>
      <c r="AU39">
        <f t="shared" ref="AU39:AU44" si="52">AI39*AU$10</f>
        <v>233.32080623923733</v>
      </c>
      <c r="AV39">
        <f t="shared" ref="AV39:AX44" si="53">AJ39*AV$10</f>
        <v>0</v>
      </c>
      <c r="AW39">
        <f t="shared" si="53"/>
        <v>0</v>
      </c>
      <c r="AX39">
        <f t="shared" si="53"/>
        <v>0</v>
      </c>
      <c r="AY39">
        <f t="shared" ref="AY39:AY44" si="54">SUM(AU39:AX39)</f>
        <v>233.32080623923733</v>
      </c>
    </row>
    <row r="40" spans="1:53" ht="15" x14ac:dyDescent="0.25">
      <c r="A40" s="1"/>
      <c r="B40" s="2"/>
      <c r="C40" s="1" t="s">
        <v>9</v>
      </c>
      <c r="D40">
        <v>0</v>
      </c>
      <c r="E40" s="360">
        <v>29.336099999999998</v>
      </c>
      <c r="F40">
        <v>0</v>
      </c>
      <c r="G40">
        <v>0</v>
      </c>
      <c r="H40">
        <v>0</v>
      </c>
      <c r="J40">
        <v>0</v>
      </c>
      <c r="K40" s="14">
        <v>29.336099999999998</v>
      </c>
      <c r="L40">
        <v>0</v>
      </c>
      <c r="M40">
        <v>0</v>
      </c>
      <c r="N40">
        <v>0</v>
      </c>
      <c r="O40" s="20"/>
      <c r="P40" s="20"/>
      <c r="Q40" s="438">
        <v>0.39430841189312221</v>
      </c>
      <c r="R40" s="197">
        <v>0.19500000000000001</v>
      </c>
      <c r="S40" s="197">
        <v>1.22</v>
      </c>
      <c r="T40" s="197">
        <v>0.4144562334217507</v>
      </c>
      <c r="U40" s="197">
        <v>0.6566321730950142</v>
      </c>
      <c r="V40" s="20">
        <f t="shared" si="42"/>
        <v>8.2952241817233912</v>
      </c>
      <c r="W40" s="20">
        <f t="shared" si="42"/>
        <v>0</v>
      </c>
      <c r="X40" s="20">
        <f t="shared" si="42"/>
        <v>0</v>
      </c>
      <c r="Y40" s="20">
        <f t="shared" si="42"/>
        <v>0</v>
      </c>
      <c r="Z40" s="20">
        <f t="shared" si="43"/>
        <v>4.3244628394339477</v>
      </c>
      <c r="AA40" s="20">
        <f t="shared" si="44"/>
        <v>0</v>
      </c>
      <c r="AB40" s="20">
        <f t="shared" si="44"/>
        <v>0</v>
      </c>
      <c r="AC40" s="20">
        <f t="shared" si="44"/>
        <v>0</v>
      </c>
      <c r="AD40" s="20">
        <f t="shared" si="45"/>
        <v>4.3244628394339477</v>
      </c>
      <c r="AE40" s="20">
        <f t="shared" si="46"/>
        <v>81.728675639994336</v>
      </c>
      <c r="AF40" s="20">
        <f t="shared" si="46"/>
        <v>0</v>
      </c>
      <c r="AG40" s="20">
        <f t="shared" si="46"/>
        <v>0</v>
      </c>
      <c r="AH40" s="20">
        <f t="shared" si="46"/>
        <v>0</v>
      </c>
      <c r="AI40" s="20">
        <f t="shared" si="47"/>
        <v>58.787252407459363</v>
      </c>
      <c r="AJ40" s="20">
        <f t="shared" si="48"/>
        <v>0</v>
      </c>
      <c r="AK40" s="20">
        <f t="shared" si="48"/>
        <v>0</v>
      </c>
      <c r="AL40" s="20">
        <f t="shared" si="48"/>
        <v>0</v>
      </c>
      <c r="AM40" s="20">
        <f t="shared" si="49"/>
        <v>58.787252407459363</v>
      </c>
      <c r="AO40">
        <f t="shared" si="50"/>
        <v>5.3480631935279623</v>
      </c>
      <c r="AP40">
        <f t="shared" si="50"/>
        <v>0</v>
      </c>
      <c r="AQ40">
        <f t="shared" si="50"/>
        <v>0</v>
      </c>
      <c r="AR40">
        <f t="shared" si="50"/>
        <v>0</v>
      </c>
      <c r="AS40">
        <f t="shared" si="51"/>
        <v>5.3480631935279623</v>
      </c>
      <c r="AU40">
        <f t="shared" si="52"/>
        <v>72.702195052304987</v>
      </c>
      <c r="AV40">
        <f t="shared" si="53"/>
        <v>0</v>
      </c>
      <c r="AW40">
        <f t="shared" si="53"/>
        <v>0</v>
      </c>
      <c r="AX40">
        <f t="shared" si="53"/>
        <v>0</v>
      </c>
      <c r="AY40">
        <f t="shared" si="54"/>
        <v>72.702195052304987</v>
      </c>
    </row>
    <row r="41" spans="1:53" ht="15" x14ac:dyDescent="0.25">
      <c r="A41" s="1"/>
      <c r="B41" s="2"/>
      <c r="C41" s="1" t="s">
        <v>10</v>
      </c>
      <c r="D41">
        <v>0</v>
      </c>
      <c r="E41" s="360">
        <v>0</v>
      </c>
      <c r="F41">
        <v>0</v>
      </c>
      <c r="G41">
        <v>0</v>
      </c>
      <c r="H41">
        <v>0</v>
      </c>
      <c r="J41">
        <v>0</v>
      </c>
      <c r="K41" s="14">
        <v>0</v>
      </c>
      <c r="L41">
        <v>0</v>
      </c>
      <c r="M41">
        <v>0</v>
      </c>
      <c r="N41">
        <v>0</v>
      </c>
      <c r="O41" s="20"/>
      <c r="P41" s="20"/>
      <c r="Q41" s="438"/>
      <c r="R41" s="197">
        <v>0.19500000000000001</v>
      </c>
      <c r="S41" s="197">
        <v>1.22</v>
      </c>
      <c r="T41" s="197">
        <v>0.4144562334217507</v>
      </c>
      <c r="U41" s="197">
        <v>0.6566321730950142</v>
      </c>
      <c r="V41" s="20">
        <f t="shared" si="42"/>
        <v>0</v>
      </c>
      <c r="W41" s="20">
        <f t="shared" si="42"/>
        <v>0</v>
      </c>
      <c r="X41" s="20">
        <f t="shared" si="42"/>
        <v>0</v>
      </c>
      <c r="Y41" s="20">
        <f t="shared" si="42"/>
        <v>0</v>
      </c>
      <c r="Z41" s="20">
        <f t="shared" si="43"/>
        <v>0</v>
      </c>
      <c r="AA41" s="20">
        <f t="shared" si="44"/>
        <v>0</v>
      </c>
      <c r="AB41" s="20">
        <f t="shared" si="44"/>
        <v>0</v>
      </c>
      <c r="AC41" s="20">
        <f t="shared" si="44"/>
        <v>0</v>
      </c>
      <c r="AD41" s="20">
        <f t="shared" si="45"/>
        <v>0</v>
      </c>
      <c r="AE41" s="20">
        <f t="shared" si="46"/>
        <v>0</v>
      </c>
      <c r="AF41" s="20">
        <f t="shared" si="46"/>
        <v>0</v>
      </c>
      <c r="AG41" s="20">
        <f t="shared" si="46"/>
        <v>0</v>
      </c>
      <c r="AH41" s="20">
        <f t="shared" si="46"/>
        <v>0</v>
      </c>
      <c r="AI41" s="20">
        <f t="shared" si="47"/>
        <v>0</v>
      </c>
      <c r="AJ41" s="20">
        <f t="shared" si="48"/>
        <v>0</v>
      </c>
      <c r="AK41" s="20">
        <f t="shared" si="48"/>
        <v>0</v>
      </c>
      <c r="AL41" s="20">
        <f t="shared" si="48"/>
        <v>0</v>
      </c>
      <c r="AM41" s="20">
        <f t="shared" si="49"/>
        <v>0</v>
      </c>
      <c r="AO41">
        <f t="shared" si="50"/>
        <v>0</v>
      </c>
      <c r="AP41">
        <f t="shared" si="50"/>
        <v>0</v>
      </c>
      <c r="AQ41">
        <f t="shared" si="50"/>
        <v>0</v>
      </c>
      <c r="AR41">
        <f t="shared" si="50"/>
        <v>0</v>
      </c>
      <c r="AS41">
        <f t="shared" si="51"/>
        <v>0</v>
      </c>
      <c r="AU41">
        <f t="shared" si="52"/>
        <v>0</v>
      </c>
      <c r="AV41">
        <f t="shared" si="53"/>
        <v>0</v>
      </c>
      <c r="AW41">
        <f t="shared" si="53"/>
        <v>0</v>
      </c>
      <c r="AX41">
        <f t="shared" si="53"/>
        <v>0</v>
      </c>
      <c r="AY41">
        <f t="shared" si="54"/>
        <v>0</v>
      </c>
    </row>
    <row r="42" spans="1:53" ht="15" x14ac:dyDescent="0.25">
      <c r="A42" s="1"/>
      <c r="B42" s="2"/>
      <c r="C42" s="1" t="s">
        <v>11</v>
      </c>
      <c r="D42">
        <v>0</v>
      </c>
      <c r="E42" s="360">
        <v>10.3987</v>
      </c>
      <c r="F42">
        <v>0</v>
      </c>
      <c r="G42">
        <v>0</v>
      </c>
      <c r="H42">
        <v>0</v>
      </c>
      <c r="J42">
        <v>0</v>
      </c>
      <c r="K42" s="14">
        <v>10.3946102895907</v>
      </c>
      <c r="L42">
        <v>0</v>
      </c>
      <c r="M42">
        <v>0</v>
      </c>
      <c r="N42">
        <v>0</v>
      </c>
      <c r="O42" s="20"/>
      <c r="P42" s="20"/>
      <c r="Q42" s="438">
        <v>0.42861682378624444</v>
      </c>
      <c r="R42" s="197">
        <v>0.19500000000000001</v>
      </c>
      <c r="S42" s="197">
        <v>1.22</v>
      </c>
      <c r="T42" s="197">
        <v>0.4144562334217507</v>
      </c>
      <c r="U42" s="197">
        <v>0.6566321730950142</v>
      </c>
      <c r="V42" s="20">
        <f t="shared" si="42"/>
        <v>3.1983907567856731</v>
      </c>
      <c r="W42" s="20">
        <f t="shared" si="42"/>
        <v>0</v>
      </c>
      <c r="X42" s="20">
        <f t="shared" si="42"/>
        <v>0</v>
      </c>
      <c r="Y42" s="20">
        <f t="shared" si="42"/>
        <v>0</v>
      </c>
      <c r="Z42" s="20">
        <f t="shared" si="43"/>
        <v>1.667383746443259</v>
      </c>
      <c r="AA42" s="20">
        <f t="shared" si="44"/>
        <v>0</v>
      </c>
      <c r="AB42" s="20">
        <f t="shared" si="44"/>
        <v>0</v>
      </c>
      <c r="AC42" s="20">
        <f t="shared" si="44"/>
        <v>0</v>
      </c>
      <c r="AD42" s="20">
        <f t="shared" si="45"/>
        <v>1.667383746443259</v>
      </c>
      <c r="AE42" s="20">
        <f t="shared" si="46"/>
        <v>31.499844869785651</v>
      </c>
      <c r="AF42" s="20">
        <f t="shared" si="46"/>
        <v>0</v>
      </c>
      <c r="AG42" s="20">
        <f t="shared" si="46"/>
        <v>0</v>
      </c>
      <c r="AH42" s="20">
        <f t="shared" si="46"/>
        <v>0</v>
      </c>
      <c r="AI42" s="20">
        <f t="shared" si="47"/>
        <v>22.657767505163395</v>
      </c>
      <c r="AJ42" s="20">
        <f t="shared" si="48"/>
        <v>0</v>
      </c>
      <c r="AK42" s="20">
        <f t="shared" si="48"/>
        <v>0</v>
      </c>
      <c r="AL42" s="20">
        <f t="shared" si="48"/>
        <v>0</v>
      </c>
      <c r="AM42" s="20">
        <f t="shared" si="49"/>
        <v>22.657767505163395</v>
      </c>
      <c r="AO42">
        <f t="shared" si="50"/>
        <v>2.0620534792263783</v>
      </c>
      <c r="AP42">
        <f t="shared" si="50"/>
        <v>0</v>
      </c>
      <c r="AQ42">
        <f t="shared" si="50"/>
        <v>0</v>
      </c>
      <c r="AR42">
        <f t="shared" si="50"/>
        <v>0</v>
      </c>
      <c r="AS42">
        <f t="shared" si="51"/>
        <v>2.0620534792263783</v>
      </c>
      <c r="AU42">
        <f t="shared" si="52"/>
        <v>28.020861073635569</v>
      </c>
      <c r="AV42">
        <f t="shared" si="53"/>
        <v>0</v>
      </c>
      <c r="AW42">
        <f t="shared" si="53"/>
        <v>0</v>
      </c>
      <c r="AX42">
        <f t="shared" si="53"/>
        <v>0</v>
      </c>
      <c r="AY42">
        <f t="shared" si="54"/>
        <v>28.020861073635569</v>
      </c>
    </row>
    <row r="43" spans="1:53" ht="15" x14ac:dyDescent="0.25">
      <c r="A43" s="1"/>
      <c r="B43" s="2"/>
      <c r="C43" s="1" t="s">
        <v>12</v>
      </c>
      <c r="D43">
        <v>0</v>
      </c>
      <c r="E43" s="360">
        <v>0</v>
      </c>
      <c r="F43">
        <v>0</v>
      </c>
      <c r="G43">
        <v>0</v>
      </c>
      <c r="H43">
        <v>0</v>
      </c>
      <c r="J43">
        <v>0</v>
      </c>
      <c r="K43" s="14">
        <v>0</v>
      </c>
      <c r="L43">
        <v>0</v>
      </c>
      <c r="M43">
        <v>0</v>
      </c>
      <c r="N43">
        <v>0</v>
      </c>
      <c r="O43" s="20"/>
      <c r="P43" s="20"/>
      <c r="Q43" s="438"/>
      <c r="R43" s="197">
        <v>0.19500000000000001</v>
      </c>
      <c r="S43" s="197">
        <v>1.22</v>
      </c>
      <c r="T43" s="197">
        <v>0.4144562334217507</v>
      </c>
      <c r="U43" s="197">
        <v>0.6566321730950142</v>
      </c>
      <c r="V43" s="20">
        <f t="shared" si="42"/>
        <v>0</v>
      </c>
      <c r="W43" s="20">
        <f t="shared" si="42"/>
        <v>0</v>
      </c>
      <c r="X43" s="20">
        <f t="shared" si="42"/>
        <v>0</v>
      </c>
      <c r="Y43" s="20">
        <f t="shared" si="42"/>
        <v>0</v>
      </c>
      <c r="Z43" s="20">
        <f t="shared" si="43"/>
        <v>0</v>
      </c>
      <c r="AA43" s="20">
        <f t="shared" si="44"/>
        <v>0</v>
      </c>
      <c r="AB43" s="20">
        <f t="shared" si="44"/>
        <v>0</v>
      </c>
      <c r="AC43" s="20">
        <f t="shared" si="44"/>
        <v>0</v>
      </c>
      <c r="AD43" s="20">
        <f t="shared" si="45"/>
        <v>0</v>
      </c>
      <c r="AE43" s="20">
        <f t="shared" si="46"/>
        <v>0</v>
      </c>
      <c r="AF43" s="20">
        <f t="shared" si="46"/>
        <v>0</v>
      </c>
      <c r="AG43" s="20">
        <f t="shared" si="46"/>
        <v>0</v>
      </c>
      <c r="AH43" s="20">
        <f t="shared" si="46"/>
        <v>0</v>
      </c>
      <c r="AI43" s="20">
        <f t="shared" si="47"/>
        <v>0</v>
      </c>
      <c r="AJ43" s="20">
        <f t="shared" si="48"/>
        <v>0</v>
      </c>
      <c r="AK43" s="20">
        <f t="shared" si="48"/>
        <v>0</v>
      </c>
      <c r="AL43" s="20">
        <f t="shared" si="48"/>
        <v>0</v>
      </c>
      <c r="AM43" s="20">
        <f t="shared" si="49"/>
        <v>0</v>
      </c>
      <c r="AO43">
        <f t="shared" si="50"/>
        <v>0</v>
      </c>
      <c r="AP43">
        <f t="shared" si="50"/>
        <v>0</v>
      </c>
      <c r="AQ43">
        <f t="shared" si="50"/>
        <v>0</v>
      </c>
      <c r="AR43">
        <f t="shared" si="50"/>
        <v>0</v>
      </c>
      <c r="AS43">
        <f t="shared" si="51"/>
        <v>0</v>
      </c>
      <c r="AU43">
        <f t="shared" si="52"/>
        <v>0</v>
      </c>
      <c r="AV43">
        <f t="shared" si="53"/>
        <v>0</v>
      </c>
      <c r="AW43">
        <f t="shared" si="53"/>
        <v>0</v>
      </c>
      <c r="AX43">
        <f t="shared" si="53"/>
        <v>0</v>
      </c>
      <c r="AY43">
        <f t="shared" si="54"/>
        <v>0</v>
      </c>
    </row>
    <row r="44" spans="1:53" ht="15" x14ac:dyDescent="0.25">
      <c r="A44" s="1"/>
      <c r="B44" s="2"/>
      <c r="C44" s="1" t="s">
        <v>13</v>
      </c>
      <c r="D44">
        <v>0</v>
      </c>
      <c r="E44" s="360">
        <v>2.7449999999999999E-2</v>
      </c>
      <c r="F44">
        <v>0</v>
      </c>
      <c r="G44">
        <v>0</v>
      </c>
      <c r="H44">
        <v>0</v>
      </c>
      <c r="J44">
        <v>0</v>
      </c>
      <c r="K44" s="14">
        <v>2.7449999999999999E-2</v>
      </c>
      <c r="L44">
        <v>0</v>
      </c>
      <c r="M44">
        <v>0</v>
      </c>
      <c r="N44">
        <v>0</v>
      </c>
      <c r="O44" s="20"/>
      <c r="P44" s="20"/>
      <c r="Q44" s="438">
        <v>0.42861682378624438</v>
      </c>
      <c r="R44" s="197">
        <v>0.19500000000000001</v>
      </c>
      <c r="S44" s="197">
        <v>1.22</v>
      </c>
      <c r="T44" s="197">
        <v>0.4144562334217507</v>
      </c>
      <c r="U44" s="197">
        <v>0.6566321730950142</v>
      </c>
      <c r="V44" s="20">
        <f t="shared" si="42"/>
        <v>8.4372568547987185E-3</v>
      </c>
      <c r="W44" s="20">
        <f t="shared" si="42"/>
        <v>0</v>
      </c>
      <c r="X44" s="20">
        <f t="shared" si="42"/>
        <v>0</v>
      </c>
      <c r="Y44" s="20">
        <f t="shared" si="42"/>
        <v>0</v>
      </c>
      <c r="Z44" s="20">
        <f t="shared" si="43"/>
        <v>4.3985072538155392E-3</v>
      </c>
      <c r="AA44" s="20">
        <f t="shared" si="44"/>
        <v>0</v>
      </c>
      <c r="AB44" s="20">
        <f t="shared" si="44"/>
        <v>0</v>
      </c>
      <c r="AC44" s="20">
        <f t="shared" si="44"/>
        <v>0</v>
      </c>
      <c r="AD44" s="20">
        <f t="shared" si="45"/>
        <v>4.3985072538155392E-3</v>
      </c>
      <c r="AE44" s="20">
        <f t="shared" si="46"/>
        <v>8.3128052198572555E-2</v>
      </c>
      <c r="AF44" s="20">
        <f t="shared" si="46"/>
        <v>0</v>
      </c>
      <c r="AG44" s="20">
        <f t="shared" si="46"/>
        <v>0</v>
      </c>
      <c r="AH44" s="20">
        <f t="shared" si="46"/>
        <v>0</v>
      </c>
      <c r="AI44" s="20">
        <f t="shared" si="47"/>
        <v>5.9793820815891546E-2</v>
      </c>
      <c r="AJ44" s="20">
        <f t="shared" si="48"/>
        <v>0</v>
      </c>
      <c r="AK44" s="20">
        <f t="shared" si="48"/>
        <v>0</v>
      </c>
      <c r="AL44" s="20">
        <f t="shared" si="48"/>
        <v>0</v>
      </c>
      <c r="AM44" s="20">
        <f t="shared" si="49"/>
        <v>5.9793820815891546E-2</v>
      </c>
      <c r="AO44">
        <f t="shared" si="50"/>
        <v>5.4396339207936767E-3</v>
      </c>
      <c r="AP44">
        <f t="shared" si="50"/>
        <v>0</v>
      </c>
      <c r="AQ44">
        <f t="shared" si="50"/>
        <v>0</v>
      </c>
      <c r="AR44">
        <f t="shared" si="50"/>
        <v>0</v>
      </c>
      <c r="AS44">
        <f t="shared" si="51"/>
        <v>5.4396339207936767E-3</v>
      </c>
      <c r="AU44">
        <f t="shared" si="52"/>
        <v>7.3947018203013068E-2</v>
      </c>
      <c r="AV44">
        <f t="shared" si="53"/>
        <v>0</v>
      </c>
      <c r="AW44">
        <f t="shared" si="53"/>
        <v>0</v>
      </c>
      <c r="AX44">
        <f t="shared" si="53"/>
        <v>0</v>
      </c>
      <c r="AY44">
        <f t="shared" si="54"/>
        <v>7.3947018203013068E-2</v>
      </c>
    </row>
    <row r="45" spans="1:53" ht="15" x14ac:dyDescent="0.25">
      <c r="A45" s="7"/>
      <c r="B45" s="8" t="s">
        <v>14</v>
      </c>
      <c r="C45" s="7"/>
      <c r="D45" s="357">
        <f t="shared" ref="D45:H45" si="55">SUM(D39:D44)</f>
        <v>0</v>
      </c>
      <c r="E45" s="363">
        <f>SUM(E39:E44)</f>
        <v>136.28814999999997</v>
      </c>
      <c r="F45" s="357">
        <f t="shared" si="55"/>
        <v>0</v>
      </c>
      <c r="G45" s="357">
        <f t="shared" si="55"/>
        <v>0</v>
      </c>
      <c r="H45" s="357">
        <f t="shared" si="55"/>
        <v>0</v>
      </c>
      <c r="J45">
        <v>0</v>
      </c>
      <c r="K45" s="14">
        <v>133.66460568198278</v>
      </c>
      <c r="L45">
        <v>0</v>
      </c>
      <c r="M45">
        <v>0</v>
      </c>
      <c r="N45">
        <v>0</v>
      </c>
      <c r="O45" s="20"/>
      <c r="P45" s="20"/>
      <c r="Q45" s="438">
        <v>0.38478358879501956</v>
      </c>
      <c r="R45" s="197"/>
      <c r="S45" s="197"/>
      <c r="T45" s="197"/>
      <c r="U45" s="197"/>
      <c r="BA45" s="319">
        <f>(E45*10000*Q45*AU$10)</f>
        <v>648543.33135928202</v>
      </c>
    </row>
    <row r="46" spans="1:53" ht="15" x14ac:dyDescent="0.25">
      <c r="A46" s="10"/>
      <c r="B46" s="9" t="s">
        <v>15</v>
      </c>
      <c r="C46" s="5"/>
      <c r="E46" s="363">
        <f>SUM(E45)</f>
        <v>136.28814999999997</v>
      </c>
      <c r="H46" s="358">
        <f>SUM(D45:H45)</f>
        <v>136.28814999999997</v>
      </c>
      <c r="K46" s="14"/>
      <c r="N46">
        <v>0</v>
      </c>
      <c r="O46" s="20"/>
      <c r="P46" s="20"/>
      <c r="Q46" s="438"/>
      <c r="R46" s="197"/>
      <c r="S46" s="197"/>
      <c r="T46" s="197"/>
      <c r="U46" s="197"/>
    </row>
    <row r="47" spans="1:53" ht="15.75" x14ac:dyDescent="0.25">
      <c r="A47" s="1"/>
      <c r="B47" s="2"/>
      <c r="C47" s="1"/>
      <c r="E47" s="361"/>
      <c r="K47" s="14"/>
      <c r="O47" s="20"/>
      <c r="P47" s="20"/>
      <c r="Q47" s="439"/>
      <c r="R47" s="197"/>
      <c r="S47" s="197"/>
      <c r="T47" s="197"/>
      <c r="U47" s="197"/>
    </row>
    <row r="48" spans="1:53" ht="15" x14ac:dyDescent="0.25">
      <c r="A48" s="1">
        <v>5</v>
      </c>
      <c r="B48" s="2" t="s">
        <v>19</v>
      </c>
      <c r="C48" s="1" t="s">
        <v>8</v>
      </c>
      <c r="D48">
        <v>0</v>
      </c>
      <c r="E48" s="360">
        <v>29.9802</v>
      </c>
      <c r="F48">
        <v>0</v>
      </c>
      <c r="G48">
        <v>0</v>
      </c>
      <c r="H48">
        <v>0</v>
      </c>
      <c r="J48">
        <v>0</v>
      </c>
      <c r="K48" s="14">
        <v>18.336432758681401</v>
      </c>
      <c r="L48">
        <v>0</v>
      </c>
      <c r="M48">
        <v>0</v>
      </c>
      <c r="N48">
        <v>0</v>
      </c>
      <c r="O48" s="20"/>
      <c r="P48" s="20"/>
      <c r="Q48" s="438">
        <v>0.42072468878434766</v>
      </c>
      <c r="R48" s="197">
        <v>0.43</v>
      </c>
      <c r="S48" s="197">
        <v>2.83</v>
      </c>
      <c r="T48" s="197">
        <v>0.76744186046511631</v>
      </c>
      <c r="U48" s="197">
        <v>0.76744186046511631</v>
      </c>
      <c r="V48" s="20">
        <f t="shared" ref="V48:Y53" si="56">IF(K48&gt;0,((E48-K48)*$Q48*$R48*10)+(K48*$O$12*$Q48*$R48*10),(E48*$Q48*$R48*10))</f>
        <v>33.264269322770268</v>
      </c>
      <c r="W48" s="20">
        <f t="shared" si="56"/>
        <v>0</v>
      </c>
      <c r="X48" s="20">
        <f t="shared" si="56"/>
        <v>0</v>
      </c>
      <c r="Y48" s="20">
        <f t="shared" si="56"/>
        <v>0</v>
      </c>
      <c r="Z48" s="20">
        <f t="shared" ref="Z48:Z53" si="57">V48*(EXP(1.01-0.34*LN(Z$8))*(1-$T48)+(1*$T48))</f>
        <v>26.940211557136127</v>
      </c>
      <c r="AA48" s="20">
        <f t="shared" ref="AA48:AC53" si="58">W48*(EXP(1.01-0.34*LN(AA$8))*(1-$U48)+(1*$U48))</f>
        <v>0</v>
      </c>
      <c r="AB48" s="20">
        <f t="shared" si="58"/>
        <v>0</v>
      </c>
      <c r="AC48" s="20">
        <f t="shared" si="58"/>
        <v>0</v>
      </c>
      <c r="AD48" s="20">
        <f t="shared" ref="AD48:AD53" si="59">SUM(Z48:AC48)</f>
        <v>26.940211557136127</v>
      </c>
      <c r="AE48" s="20">
        <f t="shared" ref="AE48:AH53" si="60">IF(K48&gt;0,((E48-K48)*$Q48*$S48*10)+(K48*$P$12*$Q48*$S48)*10,(E48*$Q48*$S48*10))</f>
        <v>265.07399791721537</v>
      </c>
      <c r="AF48" s="20">
        <f t="shared" si="60"/>
        <v>0</v>
      </c>
      <c r="AG48" s="20">
        <f t="shared" si="60"/>
        <v>0</v>
      </c>
      <c r="AH48" s="20">
        <f t="shared" si="60"/>
        <v>0</v>
      </c>
      <c r="AI48" s="20">
        <f t="shared" ref="AI48:AI53" si="61">AE48*(EXP(1.01-0.34*LN(AI$8))*(1-$U48)+(1*$U48))</f>
        <v>214.67928583951607</v>
      </c>
      <c r="AJ48" s="20">
        <f t="shared" ref="AJ48:AL53" si="62">AF48*(EXP(1.01-0.34*LN(AJ$8))*(1-$T48)+(1*$T48))</f>
        <v>0</v>
      </c>
      <c r="AK48" s="20">
        <f t="shared" si="62"/>
        <v>0</v>
      </c>
      <c r="AL48" s="20">
        <f t="shared" si="62"/>
        <v>0</v>
      </c>
      <c r="AM48" s="20">
        <f t="shared" ref="AM48:AM53" si="63">SUM(AI48:AL48)</f>
        <v>214.67928583951607</v>
      </c>
      <c r="AO48">
        <f t="shared" ref="AO48:AR53" si="64">Z48*AO$10</f>
        <v>33.316959632710244</v>
      </c>
      <c r="AP48">
        <f t="shared" si="64"/>
        <v>0</v>
      </c>
      <c r="AQ48">
        <f t="shared" si="64"/>
        <v>0</v>
      </c>
      <c r="AR48">
        <f t="shared" si="64"/>
        <v>0</v>
      </c>
      <c r="AS48">
        <f t="shared" ref="AS48:AS53" si="65">SUM(AO48:AR48)</f>
        <v>33.316959632710244</v>
      </c>
      <c r="AU48">
        <f t="shared" ref="AU48:AU53" si="66">AI48*AU$10</f>
        <v>265.49387279772952</v>
      </c>
      <c r="AV48">
        <f t="shared" ref="AV48:AX53" si="67">AJ48*AV$10</f>
        <v>0</v>
      </c>
      <c r="AW48">
        <f t="shared" si="67"/>
        <v>0</v>
      </c>
      <c r="AX48">
        <f t="shared" si="67"/>
        <v>0</v>
      </c>
      <c r="AY48">
        <f t="shared" ref="AY48:AY53" si="68">SUM(AU48:AX48)</f>
        <v>265.49387279772952</v>
      </c>
    </row>
    <row r="49" spans="1:53" ht="15" x14ac:dyDescent="0.25">
      <c r="A49" s="1"/>
      <c r="B49" s="2"/>
      <c r="C49" s="1" t="s">
        <v>9</v>
      </c>
      <c r="D49">
        <v>0</v>
      </c>
      <c r="E49" s="360">
        <v>15.0631</v>
      </c>
      <c r="F49">
        <v>0</v>
      </c>
      <c r="G49">
        <v>0</v>
      </c>
      <c r="H49">
        <v>0</v>
      </c>
      <c r="J49">
        <v>0</v>
      </c>
      <c r="K49" s="14">
        <v>3.3047109557028964</v>
      </c>
      <c r="L49">
        <v>0</v>
      </c>
      <c r="M49">
        <v>0</v>
      </c>
      <c r="N49">
        <v>0</v>
      </c>
      <c r="O49" s="20"/>
      <c r="P49" s="20"/>
      <c r="Q49" s="438">
        <v>0.43644937756869534</v>
      </c>
      <c r="R49" s="197">
        <v>0.43</v>
      </c>
      <c r="S49" s="197">
        <v>2.83</v>
      </c>
      <c r="T49" s="197">
        <v>0.76744186046511631</v>
      </c>
      <c r="U49" s="197">
        <v>0.76744186046511631</v>
      </c>
      <c r="V49" s="20">
        <f t="shared" si="56"/>
        <v>24.348168258597497</v>
      </c>
      <c r="W49" s="20">
        <f t="shared" si="56"/>
        <v>0</v>
      </c>
      <c r="X49" s="20">
        <f t="shared" si="56"/>
        <v>0</v>
      </c>
      <c r="Y49" s="20">
        <f t="shared" si="56"/>
        <v>0</v>
      </c>
      <c r="Z49" s="20">
        <f t="shared" si="57"/>
        <v>19.719200730086438</v>
      </c>
      <c r="AA49" s="20">
        <f t="shared" si="58"/>
        <v>0</v>
      </c>
      <c r="AB49" s="20">
        <f t="shared" si="58"/>
        <v>0</v>
      </c>
      <c r="AC49" s="20">
        <f t="shared" si="58"/>
        <v>0</v>
      </c>
      <c r="AD49" s="20">
        <f t="shared" si="59"/>
        <v>19.719200730086438</v>
      </c>
      <c r="AE49" s="20">
        <f t="shared" si="60"/>
        <v>168.87299595886881</v>
      </c>
      <c r="AF49" s="20">
        <f t="shared" si="60"/>
        <v>0</v>
      </c>
      <c r="AG49" s="20">
        <f t="shared" si="60"/>
        <v>0</v>
      </c>
      <c r="AH49" s="20">
        <f t="shared" si="60"/>
        <v>0</v>
      </c>
      <c r="AI49" s="20">
        <f t="shared" si="61"/>
        <v>136.76759868899586</v>
      </c>
      <c r="AJ49" s="20">
        <f t="shared" si="62"/>
        <v>0</v>
      </c>
      <c r="AK49" s="20">
        <f t="shared" si="62"/>
        <v>0</v>
      </c>
      <c r="AL49" s="20">
        <f t="shared" si="62"/>
        <v>0</v>
      </c>
      <c r="AM49" s="20">
        <f t="shared" si="63"/>
        <v>136.76759868899586</v>
      </c>
      <c r="AO49">
        <f t="shared" si="64"/>
        <v>24.386735542897895</v>
      </c>
      <c r="AP49">
        <f t="shared" si="64"/>
        <v>0</v>
      </c>
      <c r="AQ49">
        <f t="shared" si="64"/>
        <v>0</v>
      </c>
      <c r="AR49">
        <f t="shared" si="64"/>
        <v>0</v>
      </c>
      <c r="AS49">
        <f t="shared" si="65"/>
        <v>24.386735542897895</v>
      </c>
      <c r="AU49">
        <f t="shared" si="66"/>
        <v>169.14048929868116</v>
      </c>
      <c r="AV49">
        <f t="shared" si="67"/>
        <v>0</v>
      </c>
      <c r="AW49">
        <f t="shared" si="67"/>
        <v>0</v>
      </c>
      <c r="AX49">
        <f t="shared" si="67"/>
        <v>0</v>
      </c>
      <c r="AY49">
        <f t="shared" si="68"/>
        <v>169.14048929868116</v>
      </c>
    </row>
    <row r="50" spans="1:53" ht="15" x14ac:dyDescent="0.25">
      <c r="A50" s="1"/>
      <c r="B50" s="2"/>
      <c r="C50" s="1" t="s">
        <v>10</v>
      </c>
      <c r="D50">
        <v>0</v>
      </c>
      <c r="E50" s="360">
        <v>2.8757000000000001</v>
      </c>
      <c r="F50">
        <v>0</v>
      </c>
      <c r="G50">
        <v>0</v>
      </c>
      <c r="H50">
        <v>0</v>
      </c>
      <c r="J50">
        <v>0</v>
      </c>
      <c r="K50" s="14">
        <v>1.7039795236300002</v>
      </c>
      <c r="L50">
        <v>0</v>
      </c>
      <c r="M50">
        <v>0</v>
      </c>
      <c r="N50">
        <v>0</v>
      </c>
      <c r="O50" s="20"/>
      <c r="P50" s="20"/>
      <c r="Q50" s="438">
        <v>0.45217406635304302</v>
      </c>
      <c r="R50" s="197">
        <v>0.43</v>
      </c>
      <c r="S50" s="197">
        <v>2.83</v>
      </c>
      <c r="T50" s="197">
        <v>0.76744186046511631</v>
      </c>
      <c r="U50" s="197">
        <v>0.76744186046511631</v>
      </c>
      <c r="V50" s="20">
        <f t="shared" si="56"/>
        <v>3.4966432690877149</v>
      </c>
      <c r="W50" s="20">
        <f t="shared" si="56"/>
        <v>0</v>
      </c>
      <c r="X50" s="20">
        <f t="shared" si="56"/>
        <v>0</v>
      </c>
      <c r="Y50" s="20">
        <f t="shared" si="56"/>
        <v>0</v>
      </c>
      <c r="Z50" s="20">
        <f t="shared" si="57"/>
        <v>2.8318767051521112</v>
      </c>
      <c r="AA50" s="20">
        <f t="shared" si="58"/>
        <v>0</v>
      </c>
      <c r="AB50" s="20">
        <f t="shared" si="58"/>
        <v>0</v>
      </c>
      <c r="AC50" s="20">
        <f t="shared" si="58"/>
        <v>0</v>
      </c>
      <c r="AD50" s="20">
        <f t="shared" si="59"/>
        <v>2.8318767051521112</v>
      </c>
      <c r="AE50" s="20">
        <f t="shared" si="60"/>
        <v>27.621896264678341</v>
      </c>
      <c r="AF50" s="20">
        <f t="shared" si="60"/>
        <v>0</v>
      </c>
      <c r="AG50" s="20">
        <f t="shared" si="60"/>
        <v>0</v>
      </c>
      <c r="AH50" s="20">
        <f t="shared" si="60"/>
        <v>0</v>
      </c>
      <c r="AI50" s="20">
        <f t="shared" si="61"/>
        <v>22.370541849549046</v>
      </c>
      <c r="AJ50" s="20">
        <f t="shared" si="62"/>
        <v>0</v>
      </c>
      <c r="AK50" s="20">
        <f t="shared" si="62"/>
        <v>0</v>
      </c>
      <c r="AL50" s="20">
        <f t="shared" si="62"/>
        <v>0</v>
      </c>
      <c r="AM50" s="20">
        <f t="shared" si="63"/>
        <v>22.370541849549046</v>
      </c>
      <c r="AO50">
        <f t="shared" si="64"/>
        <v>3.5021819212616156</v>
      </c>
      <c r="AP50">
        <f t="shared" si="64"/>
        <v>0</v>
      </c>
      <c r="AQ50">
        <f t="shared" si="64"/>
        <v>0</v>
      </c>
      <c r="AR50">
        <f t="shared" si="64"/>
        <v>0</v>
      </c>
      <c r="AS50">
        <f t="shared" si="65"/>
        <v>3.5021819212616156</v>
      </c>
      <c r="AU50">
        <f t="shared" si="66"/>
        <v>27.665649105337302</v>
      </c>
      <c r="AV50">
        <f t="shared" si="67"/>
        <v>0</v>
      </c>
      <c r="AW50">
        <f t="shared" si="67"/>
        <v>0</v>
      </c>
      <c r="AX50">
        <f t="shared" si="67"/>
        <v>0</v>
      </c>
      <c r="AY50">
        <f t="shared" si="68"/>
        <v>27.665649105337302</v>
      </c>
    </row>
    <row r="51" spans="1:53" ht="15" x14ac:dyDescent="0.25">
      <c r="A51" s="1"/>
      <c r="B51" s="2"/>
      <c r="C51" s="1" t="s">
        <v>11</v>
      </c>
      <c r="D51">
        <v>0</v>
      </c>
      <c r="E51" s="360">
        <v>27.904800000000002</v>
      </c>
      <c r="F51">
        <v>0</v>
      </c>
      <c r="G51">
        <v>0</v>
      </c>
      <c r="H51">
        <v>0</v>
      </c>
      <c r="J51">
        <v>0</v>
      </c>
      <c r="K51" s="14">
        <v>20.401728580574702</v>
      </c>
      <c r="L51">
        <v>0</v>
      </c>
      <c r="M51">
        <v>0</v>
      </c>
      <c r="N51">
        <v>0</v>
      </c>
      <c r="O51" s="20"/>
      <c r="P51" s="20"/>
      <c r="Q51" s="438">
        <v>0.46789875513739076</v>
      </c>
      <c r="R51" s="197">
        <v>0.43</v>
      </c>
      <c r="S51" s="197">
        <v>2.83</v>
      </c>
      <c r="T51" s="197">
        <v>0.76744186046511631</v>
      </c>
      <c r="U51" s="197">
        <v>0.76744186046511631</v>
      </c>
      <c r="V51" s="20">
        <f t="shared" si="56"/>
        <v>30.191237346665396</v>
      </c>
      <c r="W51" s="20">
        <f t="shared" si="56"/>
        <v>0</v>
      </c>
      <c r="X51" s="20">
        <f t="shared" si="56"/>
        <v>0</v>
      </c>
      <c r="Y51" s="20">
        <f t="shared" si="56"/>
        <v>0</v>
      </c>
      <c r="Z51" s="20">
        <f t="shared" si="57"/>
        <v>24.451411013982796</v>
      </c>
      <c r="AA51" s="20">
        <f t="shared" si="58"/>
        <v>0</v>
      </c>
      <c r="AB51" s="20">
        <f t="shared" si="58"/>
        <v>0</v>
      </c>
      <c r="AC51" s="20">
        <f t="shared" si="58"/>
        <v>0</v>
      </c>
      <c r="AD51" s="20">
        <f t="shared" si="59"/>
        <v>24.451411013982796</v>
      </c>
      <c r="AE51" s="20">
        <f t="shared" si="60"/>
        <v>255.80431900545545</v>
      </c>
      <c r="AF51" s="20">
        <f t="shared" si="60"/>
        <v>0</v>
      </c>
      <c r="AG51" s="20">
        <f t="shared" si="60"/>
        <v>0</v>
      </c>
      <c r="AH51" s="20">
        <f t="shared" si="60"/>
        <v>0</v>
      </c>
      <c r="AI51" s="20">
        <f t="shared" si="61"/>
        <v>207.1719178427511</v>
      </c>
      <c r="AJ51" s="20">
        <f t="shared" si="62"/>
        <v>0</v>
      </c>
      <c r="AK51" s="20">
        <f t="shared" si="62"/>
        <v>0</v>
      </c>
      <c r="AL51" s="20">
        <f t="shared" si="62"/>
        <v>0</v>
      </c>
      <c r="AM51" s="20">
        <f t="shared" si="63"/>
        <v>207.1719178427511</v>
      </c>
      <c r="AO51">
        <f t="shared" si="64"/>
        <v>30.23906000099252</v>
      </c>
      <c r="AP51">
        <f t="shared" si="64"/>
        <v>0</v>
      </c>
      <c r="AQ51">
        <f t="shared" si="64"/>
        <v>0</v>
      </c>
      <c r="AR51">
        <f t="shared" si="64"/>
        <v>0</v>
      </c>
      <c r="AS51">
        <f t="shared" si="65"/>
        <v>30.23906000099252</v>
      </c>
      <c r="AU51">
        <f t="shared" si="66"/>
        <v>256.20951079613025</v>
      </c>
      <c r="AV51">
        <f t="shared" si="67"/>
        <v>0</v>
      </c>
      <c r="AW51">
        <f t="shared" si="67"/>
        <v>0</v>
      </c>
      <c r="AX51">
        <f t="shared" si="67"/>
        <v>0</v>
      </c>
      <c r="AY51">
        <f t="shared" si="68"/>
        <v>256.20951079613025</v>
      </c>
    </row>
    <row r="52" spans="1:53" ht="15" x14ac:dyDescent="0.25">
      <c r="A52" s="1"/>
      <c r="B52" s="2"/>
      <c r="C52" s="1" t="s">
        <v>12</v>
      </c>
      <c r="D52">
        <v>0</v>
      </c>
      <c r="E52" s="360">
        <v>0</v>
      </c>
      <c r="F52">
        <v>0</v>
      </c>
      <c r="G52">
        <v>0</v>
      </c>
      <c r="H52">
        <v>0</v>
      </c>
      <c r="J52">
        <v>0</v>
      </c>
      <c r="K52" s="14">
        <v>0</v>
      </c>
      <c r="L52">
        <v>0</v>
      </c>
      <c r="M52">
        <v>0</v>
      </c>
      <c r="N52">
        <v>0</v>
      </c>
      <c r="O52" s="20"/>
      <c r="P52" s="20"/>
      <c r="Q52" s="438"/>
      <c r="R52" s="197">
        <v>0.43</v>
      </c>
      <c r="S52" s="197">
        <v>2.83</v>
      </c>
      <c r="T52" s="197">
        <v>0.76744186046511631</v>
      </c>
      <c r="U52" s="197">
        <v>0.76744186046511631</v>
      </c>
      <c r="V52" s="20">
        <f t="shared" si="56"/>
        <v>0</v>
      </c>
      <c r="W52" s="20">
        <f t="shared" si="56"/>
        <v>0</v>
      </c>
      <c r="X52" s="20">
        <f t="shared" si="56"/>
        <v>0</v>
      </c>
      <c r="Y52" s="20">
        <f t="shared" si="56"/>
        <v>0</v>
      </c>
      <c r="Z52" s="20">
        <f t="shared" si="57"/>
        <v>0</v>
      </c>
      <c r="AA52" s="20">
        <f t="shared" si="58"/>
        <v>0</v>
      </c>
      <c r="AB52" s="20">
        <f t="shared" si="58"/>
        <v>0</v>
      </c>
      <c r="AC52" s="20">
        <f t="shared" si="58"/>
        <v>0</v>
      </c>
      <c r="AD52" s="20">
        <f t="shared" si="59"/>
        <v>0</v>
      </c>
      <c r="AE52" s="20">
        <f t="shared" si="60"/>
        <v>0</v>
      </c>
      <c r="AF52" s="20">
        <f t="shared" si="60"/>
        <v>0</v>
      </c>
      <c r="AG52" s="20">
        <f t="shared" si="60"/>
        <v>0</v>
      </c>
      <c r="AH52" s="20">
        <f t="shared" si="60"/>
        <v>0</v>
      </c>
      <c r="AI52" s="20">
        <f t="shared" si="61"/>
        <v>0</v>
      </c>
      <c r="AJ52" s="20">
        <f t="shared" si="62"/>
        <v>0</v>
      </c>
      <c r="AK52" s="20">
        <f t="shared" si="62"/>
        <v>0</v>
      </c>
      <c r="AL52" s="20">
        <f t="shared" si="62"/>
        <v>0</v>
      </c>
      <c r="AM52" s="20">
        <f t="shared" si="63"/>
        <v>0</v>
      </c>
      <c r="AO52">
        <f t="shared" si="64"/>
        <v>0</v>
      </c>
      <c r="AP52">
        <f t="shared" si="64"/>
        <v>0</v>
      </c>
      <c r="AQ52">
        <f t="shared" si="64"/>
        <v>0</v>
      </c>
      <c r="AR52">
        <f t="shared" si="64"/>
        <v>0</v>
      </c>
      <c r="AS52">
        <f t="shared" si="65"/>
        <v>0</v>
      </c>
      <c r="AU52">
        <f t="shared" si="66"/>
        <v>0</v>
      </c>
      <c r="AV52">
        <f t="shared" si="67"/>
        <v>0</v>
      </c>
      <c r="AW52">
        <f t="shared" si="67"/>
        <v>0</v>
      </c>
      <c r="AX52">
        <f t="shared" si="67"/>
        <v>0</v>
      </c>
      <c r="AY52">
        <f t="shared" si="68"/>
        <v>0</v>
      </c>
    </row>
    <row r="53" spans="1:53" ht="15" x14ac:dyDescent="0.25">
      <c r="A53" s="1"/>
      <c r="B53" s="2"/>
      <c r="C53" s="1" t="s">
        <v>13</v>
      </c>
      <c r="D53">
        <v>0</v>
      </c>
      <c r="E53" s="360">
        <v>7.3499999999999996E-2</v>
      </c>
      <c r="F53">
        <v>0</v>
      </c>
      <c r="G53">
        <v>0</v>
      </c>
      <c r="H53">
        <v>0</v>
      </c>
      <c r="J53">
        <v>0</v>
      </c>
      <c r="K53" s="14">
        <v>5.4110147222699995E-2</v>
      </c>
      <c r="L53">
        <v>0</v>
      </c>
      <c r="M53">
        <v>0</v>
      </c>
      <c r="N53">
        <v>0</v>
      </c>
      <c r="O53" s="20"/>
      <c r="P53" s="20"/>
      <c r="Q53" s="438">
        <v>0.46789875513739082</v>
      </c>
      <c r="R53" s="197">
        <v>0.43</v>
      </c>
      <c r="S53" s="197">
        <v>2.83</v>
      </c>
      <c r="T53" s="197">
        <v>0.76744186046511631</v>
      </c>
      <c r="U53" s="197">
        <v>0.76744186046511631</v>
      </c>
      <c r="V53" s="20">
        <f t="shared" si="56"/>
        <v>7.904801883070714E-2</v>
      </c>
      <c r="W53" s="20">
        <f t="shared" si="56"/>
        <v>0</v>
      </c>
      <c r="X53" s="20">
        <f t="shared" si="56"/>
        <v>0</v>
      </c>
      <c r="Y53" s="20">
        <f t="shared" si="56"/>
        <v>0</v>
      </c>
      <c r="Z53" s="20">
        <f t="shared" si="57"/>
        <v>6.4019754343859397E-2</v>
      </c>
      <c r="AA53" s="20">
        <f t="shared" si="58"/>
        <v>0</v>
      </c>
      <c r="AB53" s="20">
        <f t="shared" si="58"/>
        <v>0</v>
      </c>
      <c r="AC53" s="20">
        <f t="shared" si="58"/>
        <v>0</v>
      </c>
      <c r="AD53" s="20">
        <f t="shared" si="59"/>
        <v>6.4019754343859397E-2</v>
      </c>
      <c r="AE53" s="20">
        <f t="shared" si="60"/>
        <v>0.67169900512703706</v>
      </c>
      <c r="AF53" s="20">
        <f t="shared" si="60"/>
        <v>0</v>
      </c>
      <c r="AG53" s="20">
        <f t="shared" si="60"/>
        <v>0</v>
      </c>
      <c r="AH53" s="20">
        <f t="shared" si="60"/>
        <v>0</v>
      </c>
      <c r="AI53" s="20">
        <f t="shared" si="61"/>
        <v>0.54399852061242338</v>
      </c>
      <c r="AJ53" s="20">
        <f t="shared" si="62"/>
        <v>0</v>
      </c>
      <c r="AK53" s="20">
        <f t="shared" si="62"/>
        <v>0</v>
      </c>
      <c r="AL53" s="20">
        <f t="shared" si="62"/>
        <v>0</v>
      </c>
      <c r="AM53" s="20">
        <f t="shared" si="63"/>
        <v>0.54399852061242338</v>
      </c>
      <c r="AO53">
        <f t="shared" si="64"/>
        <v>7.9173230197050914E-2</v>
      </c>
      <c r="AP53">
        <f t="shared" si="64"/>
        <v>0</v>
      </c>
      <c r="AQ53">
        <f t="shared" si="64"/>
        <v>0</v>
      </c>
      <c r="AR53">
        <f t="shared" si="64"/>
        <v>0</v>
      </c>
      <c r="AS53">
        <f t="shared" si="65"/>
        <v>7.9173230197050914E-2</v>
      </c>
      <c r="AU53">
        <f t="shared" si="66"/>
        <v>0.67276297044138389</v>
      </c>
      <c r="AV53">
        <f t="shared" si="67"/>
        <v>0</v>
      </c>
      <c r="AW53">
        <f t="shared" si="67"/>
        <v>0</v>
      </c>
      <c r="AX53">
        <f t="shared" si="67"/>
        <v>0</v>
      </c>
      <c r="AY53">
        <f t="shared" si="68"/>
        <v>0.67276297044138389</v>
      </c>
    </row>
    <row r="54" spans="1:53" ht="15" x14ac:dyDescent="0.25">
      <c r="A54" s="7"/>
      <c r="B54" s="8" t="s">
        <v>14</v>
      </c>
      <c r="C54" s="7"/>
      <c r="D54" s="357">
        <f t="shared" ref="D54:H54" si="69">SUM(D48:D53)</f>
        <v>0</v>
      </c>
      <c r="E54" s="363">
        <f>SUM(E48:E53)</f>
        <v>75.897300000000001</v>
      </c>
      <c r="F54" s="357">
        <f t="shared" si="69"/>
        <v>0</v>
      </c>
      <c r="G54" s="357">
        <f t="shared" si="69"/>
        <v>0</v>
      </c>
      <c r="H54" s="357">
        <f t="shared" si="69"/>
        <v>0</v>
      </c>
      <c r="J54">
        <v>0</v>
      </c>
      <c r="K54" s="14">
        <v>43.800961965811702</v>
      </c>
      <c r="L54">
        <v>0</v>
      </c>
      <c r="M54">
        <v>0</v>
      </c>
      <c r="N54">
        <v>0</v>
      </c>
      <c r="O54" s="20"/>
      <c r="P54" s="20"/>
      <c r="Q54" s="438">
        <v>0.44242706443337798</v>
      </c>
      <c r="R54" s="197"/>
      <c r="S54" s="197"/>
      <c r="T54" s="197"/>
      <c r="U54" s="197"/>
      <c r="BA54" s="319">
        <f>(E54*10000*Q54*AU$10)</f>
        <v>415271.73585596588</v>
      </c>
    </row>
    <row r="55" spans="1:53" ht="15" x14ac:dyDescent="0.25">
      <c r="A55" s="10"/>
      <c r="B55" s="9" t="s">
        <v>15</v>
      </c>
      <c r="C55" s="5"/>
      <c r="E55" s="363">
        <f>SUM(E54)</f>
        <v>75.897300000000001</v>
      </c>
      <c r="H55" s="358">
        <f>SUM(D54:H54)</f>
        <v>75.897300000000001</v>
      </c>
      <c r="K55" s="14"/>
      <c r="N55">
        <v>0</v>
      </c>
      <c r="O55" s="20"/>
      <c r="P55" s="20"/>
      <c r="Q55" s="438"/>
      <c r="R55" s="197"/>
      <c r="S55" s="197"/>
      <c r="T55" s="197"/>
      <c r="U55" s="197"/>
    </row>
    <row r="56" spans="1:53" ht="15.75" x14ac:dyDescent="0.25">
      <c r="A56" s="1"/>
      <c r="B56" s="2"/>
      <c r="C56" s="1"/>
      <c r="E56" s="361"/>
      <c r="K56" s="14"/>
      <c r="O56" s="20"/>
      <c r="P56" s="20"/>
      <c r="Q56" s="439"/>
      <c r="R56" s="197"/>
      <c r="S56" s="197"/>
      <c r="T56" s="197"/>
      <c r="U56" s="197"/>
    </row>
    <row r="57" spans="1:53" ht="15" x14ac:dyDescent="0.25">
      <c r="A57" s="1">
        <v>6</v>
      </c>
      <c r="B57" s="2" t="s">
        <v>20</v>
      </c>
      <c r="C57" s="1" t="s">
        <v>8</v>
      </c>
      <c r="D57">
        <v>0</v>
      </c>
      <c r="E57" s="360">
        <v>11.9978</v>
      </c>
      <c r="F57">
        <v>0</v>
      </c>
      <c r="G57">
        <v>0</v>
      </c>
      <c r="H57">
        <v>0</v>
      </c>
      <c r="J57">
        <v>0</v>
      </c>
      <c r="K57" s="14">
        <v>11.908647118760999</v>
      </c>
      <c r="L57">
        <v>0</v>
      </c>
      <c r="M57">
        <v>0</v>
      </c>
      <c r="N57">
        <v>0</v>
      </c>
      <c r="O57" s="20"/>
      <c r="P57" s="20"/>
      <c r="Q57" s="438">
        <v>0.46429517162213418</v>
      </c>
      <c r="R57" s="197">
        <v>0.33900000000000002</v>
      </c>
      <c r="S57" s="197">
        <v>1.9830000000000001</v>
      </c>
      <c r="T57" s="197">
        <v>0.76146788990825687</v>
      </c>
      <c r="U57" s="197">
        <v>0.76146788990825687</v>
      </c>
      <c r="V57" s="20">
        <f t="shared" ref="V57:Y62" si="70">IF(K57&gt;0,((E57-K57)*$Q57*$R57*10)+(K57*$O$12*$Q57*$R57*10),(E57*$Q57*$R57*10))</f>
        <v>7.0333724859474165</v>
      </c>
      <c r="W57" s="20">
        <f t="shared" si="70"/>
        <v>0</v>
      </c>
      <c r="X57" s="20">
        <f t="shared" si="70"/>
        <v>0</v>
      </c>
      <c r="Y57" s="20">
        <f t="shared" si="70"/>
        <v>0</v>
      </c>
      <c r="Z57" s="20">
        <f t="shared" ref="Z57:Z62" si="71">V57*(EXP(1.01-0.34*LN(Z$8))*(1-$T57)+(1*$T57))</f>
        <v>5.6618694800733378</v>
      </c>
      <c r="AA57" s="20">
        <f t="shared" ref="AA57:AC62" si="72">W57*(EXP(1.01-0.34*LN(AA$8))*(1-$U57)+(1*$U57))</f>
        <v>0</v>
      </c>
      <c r="AB57" s="20">
        <f t="shared" si="72"/>
        <v>0</v>
      </c>
      <c r="AC57" s="20">
        <f t="shared" si="72"/>
        <v>0</v>
      </c>
      <c r="AD57" s="20">
        <f t="shared" ref="AD57:AD62" si="73">SUM(Z57:AC57)</f>
        <v>5.6618694800733378</v>
      </c>
      <c r="AE57" s="20">
        <f t="shared" ref="AE57:AH62" si="74">IF(K57&gt;0,((E57-K57)*$Q57*$S57*10)+(K57*$P$12*$Q57*$S57)*10,(E57*$Q57*$S57*10))</f>
        <v>64.318166255493054</v>
      </c>
      <c r="AF57" s="20">
        <f t="shared" si="74"/>
        <v>0</v>
      </c>
      <c r="AG57" s="20">
        <f t="shared" si="74"/>
        <v>0</v>
      </c>
      <c r="AH57" s="20">
        <f t="shared" si="74"/>
        <v>0</v>
      </c>
      <c r="AI57" s="20">
        <f>AE57*(EXP(1.01-0.34*LN(AI$8))*(1-$U57)+(1*$U57))</f>
        <v>51.77616616549853</v>
      </c>
      <c r="AJ57" s="20">
        <f t="shared" ref="AJ57:AL62" si="75">AF57*(EXP(1.01-0.34*LN(AJ$8))*(1-$T57)+(1*$T57))</f>
        <v>0</v>
      </c>
      <c r="AK57" s="20">
        <f t="shared" si="75"/>
        <v>0</v>
      </c>
      <c r="AL57" s="20">
        <f t="shared" si="75"/>
        <v>0</v>
      </c>
      <c r="AM57" s="20">
        <f t="shared" ref="AM57:AM62" si="76">SUM(AI57:AL57)</f>
        <v>51.77616616549853</v>
      </c>
      <c r="AO57">
        <f t="shared" ref="AO57:AR62" si="77">Z57*AO$10</f>
        <v>7.0020339860066967</v>
      </c>
      <c r="AP57">
        <f t="shared" si="77"/>
        <v>0</v>
      </c>
      <c r="AQ57">
        <f t="shared" si="77"/>
        <v>0</v>
      </c>
      <c r="AR57">
        <f t="shared" si="77"/>
        <v>0</v>
      </c>
      <c r="AS57">
        <f t="shared" ref="AS57:AS62" si="78">SUM(AO57:AR57)</f>
        <v>7.0020339860066967</v>
      </c>
      <c r="AU57">
        <f t="shared" ref="AU57:AU62" si="79">AI57*AU$10</f>
        <v>64.031584696872031</v>
      </c>
      <c r="AV57">
        <f t="shared" ref="AV57:AX62" si="80">AJ57*AV$10</f>
        <v>0</v>
      </c>
      <c r="AW57">
        <f t="shared" si="80"/>
        <v>0</v>
      </c>
      <c r="AX57">
        <f t="shared" si="80"/>
        <v>0</v>
      </c>
      <c r="AY57">
        <f t="shared" ref="AY57:AY62" si="81">SUM(AU57:AX57)</f>
        <v>64.031584696872031</v>
      </c>
    </row>
    <row r="58" spans="1:53" ht="15" x14ac:dyDescent="0.25">
      <c r="A58" s="1"/>
      <c r="B58" s="2"/>
      <c r="C58" s="1" t="s">
        <v>9</v>
      </c>
      <c r="D58">
        <v>0</v>
      </c>
      <c r="E58" s="360">
        <v>3.8092000000000001</v>
      </c>
      <c r="F58">
        <v>0</v>
      </c>
      <c r="G58">
        <v>0</v>
      </c>
      <c r="H58">
        <v>0</v>
      </c>
      <c r="J58">
        <v>0</v>
      </c>
      <c r="K58" s="14">
        <v>2.2897921524700005</v>
      </c>
      <c r="L58">
        <v>0</v>
      </c>
      <c r="M58">
        <v>0</v>
      </c>
      <c r="N58">
        <v>0</v>
      </c>
      <c r="O58" s="20"/>
      <c r="P58" s="20"/>
      <c r="Q58" s="438">
        <v>0.47859034324426847</v>
      </c>
      <c r="R58" s="197">
        <v>0.33900000000000002</v>
      </c>
      <c r="S58" s="197">
        <v>1.9830000000000001</v>
      </c>
      <c r="T58" s="197">
        <v>0.76146788990825687</v>
      </c>
      <c r="U58" s="197">
        <v>0.76146788990825687</v>
      </c>
      <c r="V58" s="20">
        <f t="shared" si="70"/>
        <v>3.8313211976544141</v>
      </c>
      <c r="W58" s="20">
        <f t="shared" si="70"/>
        <v>0</v>
      </c>
      <c r="X58" s="20">
        <f t="shared" si="70"/>
        <v>0</v>
      </c>
      <c r="Y58" s="20">
        <f t="shared" si="70"/>
        <v>0</v>
      </c>
      <c r="Z58" s="20">
        <f t="shared" si="71"/>
        <v>3.0842160856258869</v>
      </c>
      <c r="AA58" s="20">
        <f t="shared" si="72"/>
        <v>0</v>
      </c>
      <c r="AB58" s="20">
        <f t="shared" si="72"/>
        <v>0</v>
      </c>
      <c r="AC58" s="20">
        <f t="shared" si="72"/>
        <v>0</v>
      </c>
      <c r="AD58" s="20">
        <f t="shared" si="73"/>
        <v>3.0842160856258869</v>
      </c>
      <c r="AE58" s="20">
        <f t="shared" si="74"/>
        <v>27.005024066342408</v>
      </c>
      <c r="AF58" s="20">
        <f t="shared" si="74"/>
        <v>0</v>
      </c>
      <c r="AG58" s="20">
        <f t="shared" si="74"/>
        <v>0</v>
      </c>
      <c r="AH58" s="20">
        <f t="shared" si="74"/>
        <v>0</v>
      </c>
      <c r="AI58" s="20">
        <f t="shared" ref="AI58:AI62" si="82">AE58*(EXP(1.01-0.34*LN(AI$8))*(1-$U58)+(1*$U58))</f>
        <v>21.739062146269095</v>
      </c>
      <c r="AJ58" s="20">
        <f t="shared" si="75"/>
        <v>0</v>
      </c>
      <c r="AK58" s="20">
        <f t="shared" si="75"/>
        <v>0</v>
      </c>
      <c r="AL58" s="20">
        <f t="shared" si="75"/>
        <v>0</v>
      </c>
      <c r="AM58" s="20">
        <f t="shared" si="76"/>
        <v>21.739062146269095</v>
      </c>
      <c r="AO58">
        <f t="shared" si="77"/>
        <v>3.8142500330935341</v>
      </c>
      <c r="AP58">
        <f t="shared" si="77"/>
        <v>0</v>
      </c>
      <c r="AQ58">
        <f t="shared" si="77"/>
        <v>0</v>
      </c>
      <c r="AR58">
        <f t="shared" si="77"/>
        <v>0</v>
      </c>
      <c r="AS58">
        <f t="shared" si="78"/>
        <v>3.8142500330935341</v>
      </c>
      <c r="AU58">
        <f t="shared" si="79"/>
        <v>26.884698156290987</v>
      </c>
      <c r="AV58">
        <f t="shared" si="80"/>
        <v>0</v>
      </c>
      <c r="AW58">
        <f t="shared" si="80"/>
        <v>0</v>
      </c>
      <c r="AX58">
        <f t="shared" si="80"/>
        <v>0</v>
      </c>
      <c r="AY58">
        <f t="shared" si="81"/>
        <v>26.884698156290987</v>
      </c>
    </row>
    <row r="59" spans="1:53" ht="15" x14ac:dyDescent="0.25">
      <c r="A59" s="1"/>
      <c r="B59" s="2"/>
      <c r="C59" s="1" t="s">
        <v>10</v>
      </c>
      <c r="D59">
        <v>0</v>
      </c>
      <c r="E59" s="360">
        <v>0.1384</v>
      </c>
      <c r="F59">
        <v>0</v>
      </c>
      <c r="G59">
        <v>0</v>
      </c>
      <c r="H59">
        <v>0</v>
      </c>
      <c r="J59">
        <v>0</v>
      </c>
      <c r="K59" s="14">
        <v>-8.809080921500001E-2</v>
      </c>
      <c r="L59">
        <v>0</v>
      </c>
      <c r="M59">
        <v>0</v>
      </c>
      <c r="N59">
        <v>0</v>
      </c>
      <c r="O59" s="20"/>
      <c r="P59" s="20"/>
      <c r="Q59" s="438">
        <v>0.49288551486640281</v>
      </c>
      <c r="R59" s="197">
        <v>0.33900000000000002</v>
      </c>
      <c r="S59" s="197">
        <v>1.9830000000000001</v>
      </c>
      <c r="T59" s="197">
        <v>0.76146788990825687</v>
      </c>
      <c r="U59" s="197">
        <v>0.76146788990825687</v>
      </c>
      <c r="V59" s="20">
        <f t="shared" si="70"/>
        <v>0.23125005432295939</v>
      </c>
      <c r="W59" s="20">
        <f t="shared" si="70"/>
        <v>0</v>
      </c>
      <c r="X59" s="20">
        <f t="shared" si="70"/>
        <v>0</v>
      </c>
      <c r="Y59" s="20">
        <f t="shared" si="70"/>
        <v>0</v>
      </c>
      <c r="Z59" s="20">
        <f t="shared" si="71"/>
        <v>0.18615644592298278</v>
      </c>
      <c r="AA59" s="20">
        <f t="shared" si="72"/>
        <v>0</v>
      </c>
      <c r="AB59" s="20">
        <f t="shared" si="72"/>
        <v>0</v>
      </c>
      <c r="AC59" s="20">
        <f t="shared" si="72"/>
        <v>0</v>
      </c>
      <c r="AD59" s="20">
        <f t="shared" si="73"/>
        <v>0.18615644592298278</v>
      </c>
      <c r="AE59" s="20">
        <f t="shared" si="74"/>
        <v>1.3527104947564261</v>
      </c>
      <c r="AF59" s="20">
        <f t="shared" si="74"/>
        <v>0</v>
      </c>
      <c r="AG59" s="20">
        <f t="shared" si="74"/>
        <v>0</v>
      </c>
      <c r="AH59" s="20">
        <f t="shared" si="74"/>
        <v>0</v>
      </c>
      <c r="AI59" s="20">
        <f t="shared" si="82"/>
        <v>1.0889328385406336</v>
      </c>
      <c r="AJ59" s="20">
        <f t="shared" si="75"/>
        <v>0</v>
      </c>
      <c r="AK59" s="20">
        <f t="shared" si="75"/>
        <v>0</v>
      </c>
      <c r="AL59" s="20">
        <f t="shared" si="75"/>
        <v>0</v>
      </c>
      <c r="AM59" s="20">
        <f t="shared" si="76"/>
        <v>1.0889328385406336</v>
      </c>
      <c r="AO59">
        <f t="shared" si="77"/>
        <v>0.23021967667295279</v>
      </c>
      <c r="AP59">
        <f t="shared" si="77"/>
        <v>0</v>
      </c>
      <c r="AQ59">
        <f t="shared" si="77"/>
        <v>0</v>
      </c>
      <c r="AR59">
        <f t="shared" si="77"/>
        <v>0</v>
      </c>
      <c r="AS59">
        <f t="shared" si="78"/>
        <v>0.23021967667295279</v>
      </c>
      <c r="AU59">
        <f t="shared" si="79"/>
        <v>1.3466832414232015</v>
      </c>
      <c r="AV59">
        <f t="shared" si="80"/>
        <v>0</v>
      </c>
      <c r="AW59">
        <f t="shared" si="80"/>
        <v>0</v>
      </c>
      <c r="AX59">
        <f t="shared" si="80"/>
        <v>0</v>
      </c>
      <c r="AY59">
        <f t="shared" si="81"/>
        <v>1.3466832414232015</v>
      </c>
    </row>
    <row r="60" spans="1:53" ht="15" x14ac:dyDescent="0.25">
      <c r="A60" s="1"/>
      <c r="B60" s="2"/>
      <c r="C60" s="1" t="s">
        <v>11</v>
      </c>
      <c r="D60">
        <v>0</v>
      </c>
      <c r="E60" s="360">
        <v>2.6183000000000001</v>
      </c>
      <c r="F60">
        <v>0</v>
      </c>
      <c r="G60">
        <v>0</v>
      </c>
      <c r="H60">
        <v>0</v>
      </c>
      <c r="J60">
        <v>0</v>
      </c>
      <c r="K60" s="14">
        <v>2.1201244640930001</v>
      </c>
      <c r="L60">
        <v>0</v>
      </c>
      <c r="M60">
        <v>0</v>
      </c>
      <c r="N60">
        <v>0</v>
      </c>
      <c r="O60" s="20"/>
      <c r="P60" s="20"/>
      <c r="Q60" s="438">
        <v>0.50718068648853698</v>
      </c>
      <c r="R60" s="197">
        <v>0.33900000000000002</v>
      </c>
      <c r="S60" s="197">
        <v>1.9830000000000001</v>
      </c>
      <c r="T60" s="197">
        <v>0.76146788990825687</v>
      </c>
      <c r="U60" s="197">
        <v>0.76146788990825687</v>
      </c>
      <c r="V60" s="20">
        <f t="shared" si="70"/>
        <v>2.1970715517563946</v>
      </c>
      <c r="W60" s="20">
        <f t="shared" si="70"/>
        <v>0</v>
      </c>
      <c r="X60" s="20">
        <f t="shared" si="70"/>
        <v>0</v>
      </c>
      <c r="Y60" s="20">
        <f t="shared" si="70"/>
        <v>0</v>
      </c>
      <c r="Z60" s="20">
        <f t="shared" si="71"/>
        <v>1.7686440451264194</v>
      </c>
      <c r="AA60" s="20">
        <f t="shared" si="72"/>
        <v>0</v>
      </c>
      <c r="AB60" s="20">
        <f t="shared" si="72"/>
        <v>0</v>
      </c>
      <c r="AC60" s="20">
        <f t="shared" si="72"/>
        <v>0</v>
      </c>
      <c r="AD60" s="20">
        <f t="shared" si="73"/>
        <v>1.7686440451264194</v>
      </c>
      <c r="AE60" s="20">
        <f t="shared" si="74"/>
        <v>17.359096918668516</v>
      </c>
      <c r="AF60" s="20">
        <f t="shared" si="74"/>
        <v>0</v>
      </c>
      <c r="AG60" s="20">
        <f t="shared" si="74"/>
        <v>0</v>
      </c>
      <c r="AH60" s="20">
        <f t="shared" si="74"/>
        <v>0</v>
      </c>
      <c r="AI60" s="20">
        <f t="shared" si="82"/>
        <v>13.974084444100804</v>
      </c>
      <c r="AJ60" s="20">
        <f t="shared" si="75"/>
        <v>0</v>
      </c>
      <c r="AK60" s="20">
        <f t="shared" si="75"/>
        <v>0</v>
      </c>
      <c r="AL60" s="20">
        <f t="shared" si="75"/>
        <v>0</v>
      </c>
      <c r="AM60" s="20">
        <f t="shared" si="76"/>
        <v>13.974084444100804</v>
      </c>
      <c r="AO60">
        <f t="shared" si="77"/>
        <v>2.1872820906078427</v>
      </c>
      <c r="AP60">
        <f t="shared" si="77"/>
        <v>0</v>
      </c>
      <c r="AQ60">
        <f t="shared" si="77"/>
        <v>0</v>
      </c>
      <c r="AR60">
        <f t="shared" si="77"/>
        <v>0</v>
      </c>
      <c r="AS60">
        <f t="shared" si="78"/>
        <v>2.1872820906078427</v>
      </c>
      <c r="AU60">
        <f t="shared" si="79"/>
        <v>17.281750232019462</v>
      </c>
      <c r="AV60">
        <f t="shared" si="80"/>
        <v>0</v>
      </c>
      <c r="AW60">
        <f t="shared" si="80"/>
        <v>0</v>
      </c>
      <c r="AX60">
        <f t="shared" si="80"/>
        <v>0</v>
      </c>
      <c r="AY60">
        <f t="shared" si="81"/>
        <v>17.281750232019462</v>
      </c>
    </row>
    <row r="61" spans="1:53" ht="15" x14ac:dyDescent="0.25">
      <c r="A61" s="1"/>
      <c r="B61" s="2"/>
      <c r="C61" s="1" t="s">
        <v>12</v>
      </c>
      <c r="D61">
        <v>0</v>
      </c>
      <c r="E61" s="360">
        <v>0</v>
      </c>
      <c r="F61">
        <v>0</v>
      </c>
      <c r="G61">
        <v>0</v>
      </c>
      <c r="H61">
        <v>0</v>
      </c>
      <c r="J61">
        <v>0</v>
      </c>
      <c r="K61" s="14">
        <v>0</v>
      </c>
      <c r="L61">
        <v>0</v>
      </c>
      <c r="M61">
        <v>0</v>
      </c>
      <c r="N61">
        <v>0</v>
      </c>
      <c r="O61" s="20"/>
      <c r="P61" s="20"/>
      <c r="Q61" s="438"/>
      <c r="R61" s="197">
        <v>0.33900000000000002</v>
      </c>
      <c r="S61" s="197">
        <v>1.9830000000000001</v>
      </c>
      <c r="T61" s="197">
        <v>0.76146788990825687</v>
      </c>
      <c r="U61" s="197">
        <v>0.76146788990825687</v>
      </c>
      <c r="V61" s="20">
        <f t="shared" si="70"/>
        <v>0</v>
      </c>
      <c r="W61" s="20">
        <f t="shared" si="70"/>
        <v>0</v>
      </c>
      <c r="X61" s="20">
        <f t="shared" si="70"/>
        <v>0</v>
      </c>
      <c r="Y61" s="20">
        <f t="shared" si="70"/>
        <v>0</v>
      </c>
      <c r="Z61" s="20">
        <f t="shared" si="71"/>
        <v>0</v>
      </c>
      <c r="AA61" s="20">
        <f t="shared" si="72"/>
        <v>0</v>
      </c>
      <c r="AB61" s="20">
        <f t="shared" si="72"/>
        <v>0</v>
      </c>
      <c r="AC61" s="20">
        <f t="shared" si="72"/>
        <v>0</v>
      </c>
      <c r="AD61" s="20">
        <f t="shared" si="73"/>
        <v>0</v>
      </c>
      <c r="AE61" s="20">
        <f t="shared" si="74"/>
        <v>0</v>
      </c>
      <c r="AF61" s="20">
        <f t="shared" si="74"/>
        <v>0</v>
      </c>
      <c r="AG61" s="20">
        <f t="shared" si="74"/>
        <v>0</v>
      </c>
      <c r="AH61" s="20">
        <f t="shared" si="74"/>
        <v>0</v>
      </c>
      <c r="AI61" s="20">
        <f t="shared" si="82"/>
        <v>0</v>
      </c>
      <c r="AJ61" s="20">
        <f t="shared" si="75"/>
        <v>0</v>
      </c>
      <c r="AK61" s="20">
        <f t="shared" si="75"/>
        <v>0</v>
      </c>
      <c r="AL61" s="20">
        <f t="shared" si="75"/>
        <v>0</v>
      </c>
      <c r="AM61" s="20">
        <f t="shared" si="76"/>
        <v>0</v>
      </c>
      <c r="AO61">
        <f t="shared" si="77"/>
        <v>0</v>
      </c>
      <c r="AP61">
        <f t="shared" si="77"/>
        <v>0</v>
      </c>
      <c r="AQ61">
        <f t="shared" si="77"/>
        <v>0</v>
      </c>
      <c r="AR61">
        <f t="shared" si="77"/>
        <v>0</v>
      </c>
      <c r="AS61">
        <f t="shared" si="78"/>
        <v>0</v>
      </c>
      <c r="AU61">
        <f t="shared" si="79"/>
        <v>0</v>
      </c>
      <c r="AV61">
        <f t="shared" si="80"/>
        <v>0</v>
      </c>
      <c r="AW61">
        <f t="shared" si="80"/>
        <v>0</v>
      </c>
      <c r="AX61">
        <f t="shared" si="80"/>
        <v>0</v>
      </c>
      <c r="AY61">
        <f t="shared" si="81"/>
        <v>0</v>
      </c>
    </row>
    <row r="62" spans="1:53" ht="15" x14ac:dyDescent="0.25">
      <c r="A62" s="1"/>
      <c r="B62" s="2"/>
      <c r="C62" s="1" t="s">
        <v>13</v>
      </c>
      <c r="D62">
        <v>0</v>
      </c>
      <c r="E62" s="360">
        <v>1.4E-3</v>
      </c>
      <c r="F62">
        <v>0</v>
      </c>
      <c r="G62">
        <v>0</v>
      </c>
      <c r="H62">
        <v>0</v>
      </c>
      <c r="J62">
        <v>0</v>
      </c>
      <c r="K62" s="14">
        <v>1.4E-3</v>
      </c>
      <c r="L62">
        <v>0</v>
      </c>
      <c r="M62">
        <v>0</v>
      </c>
      <c r="N62">
        <v>0</v>
      </c>
      <c r="O62" s="20"/>
      <c r="P62" s="20"/>
      <c r="Q62" s="438">
        <v>0.50718068648853709</v>
      </c>
      <c r="R62" s="197">
        <v>0.33900000000000002</v>
      </c>
      <c r="S62" s="197">
        <v>1.9830000000000001</v>
      </c>
      <c r="T62" s="197">
        <v>0.76146788990825687</v>
      </c>
      <c r="U62" s="197">
        <v>0.76146788990825687</v>
      </c>
      <c r="V62" s="20">
        <f t="shared" si="70"/>
        <v>8.8520842308696776E-4</v>
      </c>
      <c r="W62" s="20">
        <f t="shared" si="70"/>
        <v>0</v>
      </c>
      <c r="X62" s="20">
        <f t="shared" si="70"/>
        <v>0</v>
      </c>
      <c r="Y62" s="20">
        <f t="shared" si="70"/>
        <v>0</v>
      </c>
      <c r="Z62" s="20">
        <f t="shared" si="71"/>
        <v>7.1259336316876814E-4</v>
      </c>
      <c r="AA62" s="20">
        <f t="shared" si="72"/>
        <v>0</v>
      </c>
      <c r="AB62" s="20">
        <f t="shared" si="72"/>
        <v>0</v>
      </c>
      <c r="AC62" s="20">
        <f t="shared" si="72"/>
        <v>0</v>
      </c>
      <c r="AD62" s="20">
        <f t="shared" si="73"/>
        <v>7.1259336316876814E-4</v>
      </c>
      <c r="AE62" s="20">
        <f t="shared" si="74"/>
        <v>8.1543560121951075E-3</v>
      </c>
      <c r="AF62" s="20">
        <f t="shared" si="74"/>
        <v>0</v>
      </c>
      <c r="AG62" s="20">
        <f t="shared" si="74"/>
        <v>0</v>
      </c>
      <c r="AH62" s="20">
        <f t="shared" si="74"/>
        <v>0</v>
      </c>
      <c r="AI62" s="20">
        <f t="shared" si="82"/>
        <v>6.5642619564575668E-3</v>
      </c>
      <c r="AJ62" s="20">
        <f t="shared" si="75"/>
        <v>0</v>
      </c>
      <c r="AK62" s="20">
        <f t="shared" si="75"/>
        <v>0</v>
      </c>
      <c r="AL62" s="20">
        <f t="shared" si="75"/>
        <v>0</v>
      </c>
      <c r="AM62" s="20">
        <f t="shared" si="76"/>
        <v>6.5642619564575668E-3</v>
      </c>
      <c r="AO62">
        <f t="shared" si="77"/>
        <v>8.8126421223081548E-4</v>
      </c>
      <c r="AP62">
        <f t="shared" si="77"/>
        <v>0</v>
      </c>
      <c r="AQ62">
        <f t="shared" si="77"/>
        <v>0</v>
      </c>
      <c r="AR62">
        <f t="shared" si="77"/>
        <v>0</v>
      </c>
      <c r="AS62">
        <f t="shared" si="78"/>
        <v>8.8126421223081548E-4</v>
      </c>
      <c r="AU62">
        <f t="shared" si="79"/>
        <v>8.118022761551073E-3</v>
      </c>
      <c r="AV62">
        <f t="shared" si="80"/>
        <v>0</v>
      </c>
      <c r="AW62">
        <f t="shared" si="80"/>
        <v>0</v>
      </c>
      <c r="AX62">
        <f t="shared" si="80"/>
        <v>0</v>
      </c>
      <c r="AY62">
        <f t="shared" si="81"/>
        <v>8.118022761551073E-3</v>
      </c>
    </row>
    <row r="63" spans="1:53" ht="15" x14ac:dyDescent="0.25">
      <c r="A63" s="7"/>
      <c r="B63" s="8" t="s">
        <v>14</v>
      </c>
      <c r="C63" s="7"/>
      <c r="D63" s="357">
        <f t="shared" ref="D63:H63" si="83">SUM(D57:D62)</f>
        <v>0</v>
      </c>
      <c r="E63" s="363">
        <f>SUM(E57:E62)</f>
        <v>18.565100000000001</v>
      </c>
      <c r="F63" s="357">
        <f t="shared" si="83"/>
        <v>0</v>
      </c>
      <c r="G63" s="357">
        <f t="shared" si="83"/>
        <v>0</v>
      </c>
      <c r="H63" s="357">
        <f t="shared" si="83"/>
        <v>0</v>
      </c>
      <c r="J63">
        <v>0</v>
      </c>
      <c r="K63" s="14">
        <v>16.231872926109002</v>
      </c>
      <c r="L63">
        <v>0</v>
      </c>
      <c r="M63">
        <v>0</v>
      </c>
      <c r="N63">
        <v>0</v>
      </c>
      <c r="O63" s="20"/>
      <c r="P63" s="20"/>
      <c r="Q63" s="438">
        <v>0.4734929273327716</v>
      </c>
      <c r="R63" s="197"/>
      <c r="S63" s="197"/>
      <c r="T63" s="197"/>
      <c r="U63" s="197"/>
      <c r="BA63" s="319">
        <f>(E63*10000*Q63*AU$10)</f>
        <v>108711.41532380546</v>
      </c>
    </row>
    <row r="64" spans="1:53" ht="15" x14ac:dyDescent="0.25">
      <c r="A64" s="10"/>
      <c r="B64" s="9" t="s">
        <v>15</v>
      </c>
      <c r="C64" s="5"/>
      <c r="E64" s="363">
        <f>SUM(E63)</f>
        <v>18.565100000000001</v>
      </c>
      <c r="H64" s="358">
        <f>SUM(D63:H63)</f>
        <v>18.565100000000001</v>
      </c>
      <c r="K64" s="14"/>
      <c r="N64">
        <v>0</v>
      </c>
      <c r="O64" s="20"/>
      <c r="P64" s="20"/>
      <c r="Q64" s="438"/>
      <c r="R64" s="197"/>
      <c r="S64" s="197"/>
      <c r="T64" s="197"/>
      <c r="U64" s="197"/>
    </row>
    <row r="65" spans="1:53" ht="15.75" x14ac:dyDescent="0.25">
      <c r="A65" s="3"/>
      <c r="B65" s="11"/>
      <c r="C65" s="3"/>
      <c r="E65" s="361"/>
      <c r="K65" s="14"/>
      <c r="O65" s="20"/>
      <c r="P65" s="20"/>
      <c r="Q65" s="439"/>
      <c r="R65" s="197"/>
      <c r="S65" s="197"/>
      <c r="T65" s="197"/>
      <c r="U65" s="197"/>
    </row>
    <row r="66" spans="1:53" ht="15" x14ac:dyDescent="0.25">
      <c r="A66" s="3">
        <v>7</v>
      </c>
      <c r="B66" s="11" t="s">
        <v>21</v>
      </c>
      <c r="C66" s="3" t="s">
        <v>8</v>
      </c>
      <c r="D66">
        <v>0</v>
      </c>
      <c r="E66" s="360">
        <v>6.2215999999999996</v>
      </c>
      <c r="F66">
        <v>0</v>
      </c>
      <c r="G66">
        <v>0</v>
      </c>
      <c r="H66">
        <v>0</v>
      </c>
      <c r="J66">
        <v>0</v>
      </c>
      <c r="K66" s="14">
        <v>3.0276691686005992</v>
      </c>
      <c r="L66">
        <v>0</v>
      </c>
      <c r="M66">
        <v>0</v>
      </c>
      <c r="N66">
        <v>0</v>
      </c>
      <c r="O66" s="20"/>
      <c r="P66" s="20"/>
      <c r="Q66" s="438">
        <v>3.730443981182581E-2</v>
      </c>
      <c r="R66" s="197">
        <v>0.15</v>
      </c>
      <c r="S66" s="197">
        <v>1.18</v>
      </c>
      <c r="T66" s="197">
        <v>0.46666666666666673</v>
      </c>
      <c r="U66" s="197">
        <v>0.6566321730950142</v>
      </c>
      <c r="V66" s="20">
        <f t="shared" ref="V66:Y71" si="84">IF(K66&gt;0,((E66-K66)*$Q66*$R66*10)+(K66*$O$12*$Q66*$R66*10),(E66*$Q66*$R66*10))</f>
        <v>0.24102560987867921</v>
      </c>
      <c r="W66" s="20">
        <f t="shared" si="84"/>
        <v>0</v>
      </c>
      <c r="X66" s="20">
        <f t="shared" si="84"/>
        <v>0</v>
      </c>
      <c r="Y66" s="20">
        <f t="shared" si="84"/>
        <v>0</v>
      </c>
      <c r="Z66" s="20">
        <f t="shared" ref="Z66:Z71" si="85">V66*(EXP(1.01-0.34*LN(Z$8))*(1-$T66)+(1*$T66))</f>
        <v>0.13593879864439187</v>
      </c>
      <c r="AA66" s="20">
        <f t="shared" ref="AA66:AC71" si="86">W66*(EXP(1.01-0.34*LN(AA$8))*(1-$U66)+(1*$U66))</f>
        <v>0</v>
      </c>
      <c r="AB66" s="20">
        <f t="shared" si="86"/>
        <v>0</v>
      </c>
      <c r="AC66" s="20">
        <f t="shared" si="86"/>
        <v>0</v>
      </c>
      <c r="AD66" s="20">
        <f t="shared" ref="AD66:AD71" si="87">SUM(Z66:AC66)</f>
        <v>0.13593879864439187</v>
      </c>
      <c r="AE66" s="20">
        <f t="shared" ref="AE66:AH71" si="88">IF(K66&gt;0,((E66-K66)*$Q66*$S66*10)+(K66*$P$12*$Q66*$S66)*10,(E66*$Q66*$S66*10))</f>
        <v>2.1777838285847881</v>
      </c>
      <c r="AF66" s="20">
        <f t="shared" si="88"/>
        <v>0</v>
      </c>
      <c r="AG66" s="20">
        <f t="shared" si="88"/>
        <v>0</v>
      </c>
      <c r="AH66" s="20">
        <f t="shared" si="88"/>
        <v>0</v>
      </c>
      <c r="AI66" s="20">
        <f t="shared" ref="AI66:AI71" si="89">AE66*(EXP(1.01-0.34*LN(AI$8))*(1-$U66)+(1*$U66))</f>
        <v>1.566475005466099</v>
      </c>
      <c r="AJ66" s="20">
        <f t="shared" ref="AJ66:AL71" si="90">AF66*(EXP(1.01-0.34*LN(AJ$8))*(1-$T66)+(1*$T66))</f>
        <v>0</v>
      </c>
      <c r="AK66" s="20">
        <f t="shared" si="90"/>
        <v>0</v>
      </c>
      <c r="AL66" s="20">
        <f t="shared" si="90"/>
        <v>0</v>
      </c>
      <c r="AM66" s="20">
        <f t="shared" ref="AM66:AM71" si="91">SUM(AI66:AL66)</f>
        <v>1.566475005466099</v>
      </c>
      <c r="AO66">
        <f t="shared" ref="AO66:AR71" si="92">Z66*AO$10</f>
        <v>0.16811551228351942</v>
      </c>
      <c r="AP66">
        <f t="shared" si="92"/>
        <v>0</v>
      </c>
      <c r="AQ66">
        <f t="shared" si="92"/>
        <v>0</v>
      </c>
      <c r="AR66">
        <f t="shared" si="92"/>
        <v>0</v>
      </c>
      <c r="AS66">
        <f t="shared" ref="AS66:AS71" si="93">SUM(AO66:AR66)</f>
        <v>0.16811551228351942</v>
      </c>
      <c r="AU66">
        <f t="shared" ref="AU66:AU71" si="94">AI66*AU$10</f>
        <v>1.9372596392599244</v>
      </c>
      <c r="AV66">
        <f t="shared" ref="AV66:AX71" si="95">AJ66*AV$10</f>
        <v>0</v>
      </c>
      <c r="AW66">
        <f t="shared" si="95"/>
        <v>0</v>
      </c>
      <c r="AX66">
        <f t="shared" si="95"/>
        <v>0</v>
      </c>
      <c r="AY66">
        <f t="shared" ref="AY66:AY71" si="96">SUM(AU66:AX66)</f>
        <v>1.9372596392599244</v>
      </c>
    </row>
    <row r="67" spans="1:53" ht="15" x14ac:dyDescent="0.25">
      <c r="A67" s="3"/>
      <c r="B67" s="11"/>
      <c r="C67" s="3" t="s">
        <v>9</v>
      </c>
      <c r="D67">
        <v>0</v>
      </c>
      <c r="E67" s="360">
        <v>3.8833000000000002</v>
      </c>
      <c r="F67">
        <v>0</v>
      </c>
      <c r="G67">
        <v>0</v>
      </c>
      <c r="H67">
        <v>0</v>
      </c>
      <c r="J67">
        <v>0</v>
      </c>
      <c r="K67" s="14">
        <v>-24.426011909499998</v>
      </c>
      <c r="L67">
        <v>0</v>
      </c>
      <c r="M67">
        <v>0</v>
      </c>
      <c r="N67">
        <v>0</v>
      </c>
      <c r="O67" s="20"/>
      <c r="P67" s="20"/>
      <c r="Q67" s="438">
        <v>6.5608879623651625E-2</v>
      </c>
      <c r="R67" s="197">
        <v>0.15</v>
      </c>
      <c r="S67" s="197">
        <v>1.18</v>
      </c>
      <c r="T67" s="197">
        <v>0.46666666666666673</v>
      </c>
      <c r="U67" s="197">
        <v>0.6566321730950142</v>
      </c>
      <c r="V67" s="20">
        <f t="shared" si="84"/>
        <v>0.38216844336378958</v>
      </c>
      <c r="W67" s="20">
        <f t="shared" si="84"/>
        <v>0</v>
      </c>
      <c r="X67" s="20">
        <f t="shared" si="84"/>
        <v>0</v>
      </c>
      <c r="Y67" s="20">
        <f t="shared" si="84"/>
        <v>0</v>
      </c>
      <c r="Z67" s="20">
        <f t="shared" si="85"/>
        <v>0.2155435644238004</v>
      </c>
      <c r="AA67" s="20">
        <f t="shared" si="86"/>
        <v>0</v>
      </c>
      <c r="AB67" s="20">
        <f t="shared" si="86"/>
        <v>0</v>
      </c>
      <c r="AC67" s="20">
        <f t="shared" si="86"/>
        <v>0</v>
      </c>
      <c r="AD67" s="20">
        <f t="shared" si="87"/>
        <v>0.2155435644238004</v>
      </c>
      <c r="AE67" s="20">
        <f t="shared" si="88"/>
        <v>3.0063917544618111</v>
      </c>
      <c r="AF67" s="20">
        <f t="shared" si="88"/>
        <v>0</v>
      </c>
      <c r="AG67" s="20">
        <f t="shared" si="88"/>
        <v>0</v>
      </c>
      <c r="AH67" s="20">
        <f t="shared" si="88"/>
        <v>0</v>
      </c>
      <c r="AI67" s="20">
        <f t="shared" si="89"/>
        <v>2.1624908212603371</v>
      </c>
      <c r="AJ67" s="20">
        <f t="shared" si="90"/>
        <v>0</v>
      </c>
      <c r="AK67" s="20">
        <f t="shared" si="90"/>
        <v>0</v>
      </c>
      <c r="AL67" s="20">
        <f t="shared" si="90"/>
        <v>0</v>
      </c>
      <c r="AM67" s="20">
        <f t="shared" si="91"/>
        <v>2.1624908212603371</v>
      </c>
      <c r="AO67">
        <f t="shared" si="92"/>
        <v>0.26656272612291393</v>
      </c>
      <c r="AP67">
        <f t="shared" si="92"/>
        <v>0</v>
      </c>
      <c r="AQ67">
        <f t="shared" si="92"/>
        <v>0</v>
      </c>
      <c r="AR67">
        <f t="shared" si="92"/>
        <v>0</v>
      </c>
      <c r="AS67">
        <f t="shared" si="93"/>
        <v>0.26656272612291393</v>
      </c>
      <c r="AU67">
        <f t="shared" si="94"/>
        <v>2.6743523986526587</v>
      </c>
      <c r="AV67">
        <f t="shared" si="95"/>
        <v>0</v>
      </c>
      <c r="AW67">
        <f t="shared" si="95"/>
        <v>0</v>
      </c>
      <c r="AX67">
        <f t="shared" si="95"/>
        <v>0</v>
      </c>
      <c r="AY67">
        <f t="shared" si="96"/>
        <v>2.6743523986526587</v>
      </c>
    </row>
    <row r="68" spans="1:53" ht="15" x14ac:dyDescent="0.25">
      <c r="A68" s="3"/>
      <c r="B68" s="11"/>
      <c r="C68" s="3" t="s">
        <v>10</v>
      </c>
      <c r="D68">
        <v>0</v>
      </c>
      <c r="E68" s="360">
        <v>0</v>
      </c>
      <c r="F68">
        <v>0</v>
      </c>
      <c r="G68">
        <v>0</v>
      </c>
      <c r="H68">
        <v>0</v>
      </c>
      <c r="J68">
        <v>0</v>
      </c>
      <c r="K68" s="14">
        <v>0</v>
      </c>
      <c r="L68">
        <v>0</v>
      </c>
      <c r="M68">
        <v>0</v>
      </c>
      <c r="N68">
        <v>0</v>
      </c>
      <c r="O68" s="20"/>
      <c r="P68" s="20"/>
      <c r="Q68" s="438"/>
      <c r="R68" s="197">
        <v>0.15</v>
      </c>
      <c r="S68" s="197">
        <v>1.18</v>
      </c>
      <c r="T68" s="197">
        <v>0.46666666666666673</v>
      </c>
      <c r="U68" s="197">
        <v>0.6566321730950142</v>
      </c>
      <c r="V68" s="20">
        <f t="shared" si="84"/>
        <v>0</v>
      </c>
      <c r="W68" s="20">
        <f t="shared" si="84"/>
        <v>0</v>
      </c>
      <c r="X68" s="20">
        <f t="shared" si="84"/>
        <v>0</v>
      </c>
      <c r="Y68" s="20">
        <f t="shared" si="84"/>
        <v>0</v>
      </c>
      <c r="Z68" s="20">
        <f t="shared" si="85"/>
        <v>0</v>
      </c>
      <c r="AA68" s="20">
        <f t="shared" si="86"/>
        <v>0</v>
      </c>
      <c r="AB68" s="20">
        <f t="shared" si="86"/>
        <v>0</v>
      </c>
      <c r="AC68" s="20">
        <f t="shared" si="86"/>
        <v>0</v>
      </c>
      <c r="AD68" s="20">
        <f t="shared" si="87"/>
        <v>0</v>
      </c>
      <c r="AE68" s="20">
        <f t="shared" si="88"/>
        <v>0</v>
      </c>
      <c r="AF68" s="20">
        <f t="shared" si="88"/>
        <v>0</v>
      </c>
      <c r="AG68" s="20">
        <f t="shared" si="88"/>
        <v>0</v>
      </c>
      <c r="AH68" s="20">
        <f t="shared" si="88"/>
        <v>0</v>
      </c>
      <c r="AI68" s="20">
        <f t="shared" si="89"/>
        <v>0</v>
      </c>
      <c r="AJ68" s="20">
        <f t="shared" si="90"/>
        <v>0</v>
      </c>
      <c r="AK68" s="20">
        <f t="shared" si="90"/>
        <v>0</v>
      </c>
      <c r="AL68" s="20">
        <f t="shared" si="90"/>
        <v>0</v>
      </c>
      <c r="AM68" s="20">
        <f t="shared" si="91"/>
        <v>0</v>
      </c>
      <c r="AO68">
        <f t="shared" si="92"/>
        <v>0</v>
      </c>
      <c r="AP68">
        <f t="shared" si="92"/>
        <v>0</v>
      </c>
      <c r="AQ68">
        <f t="shared" si="92"/>
        <v>0</v>
      </c>
      <c r="AR68">
        <f t="shared" si="92"/>
        <v>0</v>
      </c>
      <c r="AS68">
        <f t="shared" si="93"/>
        <v>0</v>
      </c>
      <c r="AU68">
        <f t="shared" si="94"/>
        <v>0</v>
      </c>
      <c r="AV68">
        <f t="shared" si="95"/>
        <v>0</v>
      </c>
      <c r="AW68">
        <f t="shared" si="95"/>
        <v>0</v>
      </c>
      <c r="AX68">
        <f t="shared" si="95"/>
        <v>0</v>
      </c>
      <c r="AY68">
        <f t="shared" si="96"/>
        <v>0</v>
      </c>
    </row>
    <row r="69" spans="1:53" ht="15" x14ac:dyDescent="0.25">
      <c r="A69" s="3"/>
      <c r="B69" s="11"/>
      <c r="C69" s="3" t="s">
        <v>11</v>
      </c>
      <c r="D69">
        <v>0</v>
      </c>
      <c r="E69" s="360">
        <v>0.13730000000000001</v>
      </c>
      <c r="F69">
        <v>0</v>
      </c>
      <c r="G69">
        <v>0</v>
      </c>
      <c r="H69">
        <v>0</v>
      </c>
      <c r="J69">
        <v>0</v>
      </c>
      <c r="K69" s="14">
        <v>-0.29315512371429997</v>
      </c>
      <c r="L69">
        <v>0</v>
      </c>
      <c r="M69">
        <v>0</v>
      </c>
      <c r="N69">
        <v>0</v>
      </c>
      <c r="O69" s="20"/>
      <c r="P69" s="20"/>
      <c r="Q69" s="438">
        <v>0.12221775924730324</v>
      </c>
      <c r="R69" s="197">
        <v>0.15</v>
      </c>
      <c r="S69" s="197">
        <v>1.18</v>
      </c>
      <c r="T69" s="197">
        <v>0.46666666666666673</v>
      </c>
      <c r="U69" s="197">
        <v>0.6566321730950142</v>
      </c>
      <c r="V69" s="20">
        <f t="shared" si="84"/>
        <v>2.5170747516982103E-2</v>
      </c>
      <c r="W69" s="20">
        <f t="shared" si="84"/>
        <v>0</v>
      </c>
      <c r="X69" s="20">
        <f t="shared" si="84"/>
        <v>0</v>
      </c>
      <c r="Y69" s="20">
        <f t="shared" si="84"/>
        <v>0</v>
      </c>
      <c r="Z69" s="20">
        <f t="shared" si="85"/>
        <v>1.4196338638712161E-2</v>
      </c>
      <c r="AA69" s="20">
        <f t="shared" si="86"/>
        <v>0</v>
      </c>
      <c r="AB69" s="20">
        <f t="shared" si="86"/>
        <v>0</v>
      </c>
      <c r="AC69" s="20">
        <f t="shared" si="86"/>
        <v>0</v>
      </c>
      <c r="AD69" s="20">
        <f t="shared" si="87"/>
        <v>1.4196338638712161E-2</v>
      </c>
      <c r="AE69" s="20">
        <f t="shared" si="88"/>
        <v>0.19800988046692589</v>
      </c>
      <c r="AF69" s="20">
        <f t="shared" si="88"/>
        <v>0</v>
      </c>
      <c r="AG69" s="20">
        <f t="shared" si="88"/>
        <v>0</v>
      </c>
      <c r="AH69" s="20">
        <f t="shared" si="88"/>
        <v>0</v>
      </c>
      <c r="AI69" s="20">
        <f t="shared" si="89"/>
        <v>0.14242806127747545</v>
      </c>
      <c r="AJ69" s="20">
        <f t="shared" si="90"/>
        <v>0</v>
      </c>
      <c r="AK69" s="20">
        <f t="shared" si="90"/>
        <v>0</v>
      </c>
      <c r="AL69" s="20">
        <f t="shared" si="90"/>
        <v>0</v>
      </c>
      <c r="AM69" s="20">
        <f t="shared" si="91"/>
        <v>0.14242806127747545</v>
      </c>
      <c r="AO69">
        <f t="shared" si="92"/>
        <v>1.7556611994495326E-2</v>
      </c>
      <c r="AP69">
        <f t="shared" si="92"/>
        <v>0</v>
      </c>
      <c r="AQ69">
        <f t="shared" si="92"/>
        <v>0</v>
      </c>
      <c r="AR69">
        <f t="shared" si="92"/>
        <v>0</v>
      </c>
      <c r="AS69">
        <f t="shared" si="93"/>
        <v>1.7556611994495326E-2</v>
      </c>
      <c r="AU69">
        <f t="shared" si="94"/>
        <v>0.17614078338185388</v>
      </c>
      <c r="AV69">
        <f t="shared" si="95"/>
        <v>0</v>
      </c>
      <c r="AW69">
        <f t="shared" si="95"/>
        <v>0</v>
      </c>
      <c r="AX69">
        <f t="shared" si="95"/>
        <v>0</v>
      </c>
      <c r="AY69">
        <f t="shared" si="96"/>
        <v>0.17614078338185388</v>
      </c>
    </row>
    <row r="70" spans="1:53" ht="15" x14ac:dyDescent="0.25">
      <c r="A70" s="3"/>
      <c r="B70" s="12"/>
      <c r="C70" s="3" t="s">
        <v>12</v>
      </c>
      <c r="D70">
        <v>0</v>
      </c>
      <c r="E70" s="360">
        <v>0</v>
      </c>
      <c r="F70">
        <v>0</v>
      </c>
      <c r="G70">
        <v>0</v>
      </c>
      <c r="H70">
        <v>0</v>
      </c>
      <c r="J70">
        <v>0</v>
      </c>
      <c r="K70" s="14">
        <v>0</v>
      </c>
      <c r="L70">
        <v>0</v>
      </c>
      <c r="M70">
        <v>0</v>
      </c>
      <c r="N70">
        <v>0</v>
      </c>
      <c r="O70" s="20"/>
      <c r="P70" s="20"/>
      <c r="Q70" s="438"/>
      <c r="R70" s="197">
        <v>0.15</v>
      </c>
      <c r="S70" s="197">
        <v>1.18</v>
      </c>
      <c r="T70" s="197">
        <v>0.46666666666666673</v>
      </c>
      <c r="U70" s="197">
        <v>0.6566321730950142</v>
      </c>
      <c r="V70" s="20">
        <f t="shared" si="84"/>
        <v>0</v>
      </c>
      <c r="W70" s="20">
        <f t="shared" si="84"/>
        <v>0</v>
      </c>
      <c r="X70" s="20">
        <f t="shared" si="84"/>
        <v>0</v>
      </c>
      <c r="Y70" s="20">
        <f t="shared" si="84"/>
        <v>0</v>
      </c>
      <c r="Z70" s="20">
        <f t="shared" si="85"/>
        <v>0</v>
      </c>
      <c r="AA70" s="20">
        <f t="shared" si="86"/>
        <v>0</v>
      </c>
      <c r="AB70" s="20">
        <f t="shared" si="86"/>
        <v>0</v>
      </c>
      <c r="AC70" s="20">
        <f t="shared" si="86"/>
        <v>0</v>
      </c>
      <c r="AD70" s="20">
        <f t="shared" si="87"/>
        <v>0</v>
      </c>
      <c r="AE70" s="20">
        <f t="shared" si="88"/>
        <v>0</v>
      </c>
      <c r="AF70" s="20">
        <f t="shared" si="88"/>
        <v>0</v>
      </c>
      <c r="AG70" s="20">
        <f t="shared" si="88"/>
        <v>0</v>
      </c>
      <c r="AH70" s="20">
        <f t="shared" si="88"/>
        <v>0</v>
      </c>
      <c r="AI70" s="20">
        <f t="shared" si="89"/>
        <v>0</v>
      </c>
      <c r="AJ70" s="20">
        <f t="shared" si="90"/>
        <v>0</v>
      </c>
      <c r="AK70" s="20">
        <f t="shared" si="90"/>
        <v>0</v>
      </c>
      <c r="AL70" s="20">
        <f t="shared" si="90"/>
        <v>0</v>
      </c>
      <c r="AM70" s="20">
        <f t="shared" si="91"/>
        <v>0</v>
      </c>
      <c r="AO70">
        <f t="shared" si="92"/>
        <v>0</v>
      </c>
      <c r="AP70">
        <f t="shared" si="92"/>
        <v>0</v>
      </c>
      <c r="AQ70">
        <f t="shared" si="92"/>
        <v>0</v>
      </c>
      <c r="AR70">
        <f t="shared" si="92"/>
        <v>0</v>
      </c>
      <c r="AS70">
        <f t="shared" si="93"/>
        <v>0</v>
      </c>
      <c r="AU70">
        <f t="shared" si="94"/>
        <v>0</v>
      </c>
      <c r="AV70">
        <f t="shared" si="95"/>
        <v>0</v>
      </c>
      <c r="AW70">
        <f t="shared" si="95"/>
        <v>0</v>
      </c>
      <c r="AX70">
        <f t="shared" si="95"/>
        <v>0</v>
      </c>
      <c r="AY70">
        <f t="shared" si="96"/>
        <v>0</v>
      </c>
    </row>
    <row r="71" spans="1:53" ht="15" x14ac:dyDescent="0.25">
      <c r="A71" s="3"/>
      <c r="B71" s="12"/>
      <c r="C71" s="3" t="s">
        <v>13</v>
      </c>
      <c r="D71">
        <v>0</v>
      </c>
      <c r="E71" s="360">
        <v>0</v>
      </c>
      <c r="F71">
        <v>0</v>
      </c>
      <c r="G71">
        <v>0</v>
      </c>
      <c r="H71">
        <v>0</v>
      </c>
      <c r="J71">
        <v>0</v>
      </c>
      <c r="K71" s="14">
        <v>-3.8476341248699999</v>
      </c>
      <c r="L71">
        <v>0</v>
      </c>
      <c r="M71">
        <v>0</v>
      </c>
      <c r="N71">
        <v>0</v>
      </c>
      <c r="O71" s="20"/>
      <c r="P71" s="20"/>
      <c r="Q71" s="438"/>
      <c r="R71" s="197">
        <v>0.15</v>
      </c>
      <c r="S71" s="197">
        <v>1.18</v>
      </c>
      <c r="T71" s="197">
        <v>0.46666666666666673</v>
      </c>
      <c r="U71" s="197">
        <v>0.6566321730950142</v>
      </c>
      <c r="V71" s="20">
        <f t="shared" si="84"/>
        <v>0</v>
      </c>
      <c r="W71" s="20">
        <f t="shared" si="84"/>
        <v>0</v>
      </c>
      <c r="X71" s="20">
        <f t="shared" si="84"/>
        <v>0</v>
      </c>
      <c r="Y71" s="20">
        <f t="shared" si="84"/>
        <v>0</v>
      </c>
      <c r="Z71" s="20">
        <f t="shared" si="85"/>
        <v>0</v>
      </c>
      <c r="AA71" s="20">
        <f t="shared" si="86"/>
        <v>0</v>
      </c>
      <c r="AB71" s="20">
        <f t="shared" si="86"/>
        <v>0</v>
      </c>
      <c r="AC71" s="20">
        <f t="shared" si="86"/>
        <v>0</v>
      </c>
      <c r="AD71" s="20">
        <f t="shared" si="87"/>
        <v>0</v>
      </c>
      <c r="AE71" s="20">
        <f t="shared" si="88"/>
        <v>0</v>
      </c>
      <c r="AF71" s="20">
        <f t="shared" si="88"/>
        <v>0</v>
      </c>
      <c r="AG71" s="20">
        <f t="shared" si="88"/>
        <v>0</v>
      </c>
      <c r="AH71" s="20">
        <f t="shared" si="88"/>
        <v>0</v>
      </c>
      <c r="AI71" s="20">
        <f t="shared" si="89"/>
        <v>0</v>
      </c>
      <c r="AJ71" s="20">
        <f t="shared" si="90"/>
        <v>0</v>
      </c>
      <c r="AK71" s="20">
        <f t="shared" si="90"/>
        <v>0</v>
      </c>
      <c r="AL71" s="20">
        <f t="shared" si="90"/>
        <v>0</v>
      </c>
      <c r="AM71" s="20">
        <f t="shared" si="91"/>
        <v>0</v>
      </c>
      <c r="AO71">
        <f t="shared" si="92"/>
        <v>0</v>
      </c>
      <c r="AP71">
        <f t="shared" si="92"/>
        <v>0</v>
      </c>
      <c r="AQ71">
        <f t="shared" si="92"/>
        <v>0</v>
      </c>
      <c r="AR71">
        <f t="shared" si="92"/>
        <v>0</v>
      </c>
      <c r="AS71">
        <f t="shared" si="93"/>
        <v>0</v>
      </c>
      <c r="AU71">
        <f t="shared" si="94"/>
        <v>0</v>
      </c>
      <c r="AV71">
        <f t="shared" si="95"/>
        <v>0</v>
      </c>
      <c r="AW71">
        <f t="shared" si="95"/>
        <v>0</v>
      </c>
      <c r="AX71">
        <f t="shared" si="95"/>
        <v>0</v>
      </c>
      <c r="AY71">
        <f t="shared" si="96"/>
        <v>0</v>
      </c>
    </row>
    <row r="72" spans="1:53" ht="15" x14ac:dyDescent="0.25">
      <c r="A72" s="7"/>
      <c r="B72" s="8" t="s">
        <v>14</v>
      </c>
      <c r="C72" s="7"/>
      <c r="D72" s="357">
        <f t="shared" ref="D72:H72" si="97">SUM(D66:D71)</f>
        <v>0</v>
      </c>
      <c r="E72" s="363">
        <f>SUM(E66:E71)</f>
        <v>10.2422</v>
      </c>
      <c r="F72" s="357">
        <f t="shared" si="97"/>
        <v>0</v>
      </c>
      <c r="G72" s="357">
        <f t="shared" si="97"/>
        <v>0</v>
      </c>
      <c r="H72" s="357">
        <f t="shared" si="97"/>
        <v>0</v>
      </c>
      <c r="J72">
        <v>0</v>
      </c>
      <c r="K72" s="14">
        <v>-25.539131989483696</v>
      </c>
      <c r="L72">
        <v>0</v>
      </c>
      <c r="M72">
        <v>0</v>
      </c>
      <c r="N72">
        <v>0</v>
      </c>
      <c r="O72" s="20"/>
      <c r="P72" s="20"/>
      <c r="Q72" s="438">
        <v>4.9174275382284721E-2</v>
      </c>
      <c r="R72" s="197"/>
      <c r="S72" s="197"/>
      <c r="T72" s="197"/>
      <c r="U72" s="197"/>
      <c r="BA72" s="319">
        <f>(E72*10000*Q72*AU$10)</f>
        <v>6228.6737239838385</v>
      </c>
    </row>
    <row r="73" spans="1:53" ht="15" x14ac:dyDescent="0.25">
      <c r="A73" s="10"/>
      <c r="B73" s="9" t="s">
        <v>15</v>
      </c>
      <c r="C73" s="5"/>
      <c r="E73" s="363">
        <f>SUM(E72)</f>
        <v>10.2422</v>
      </c>
      <c r="H73" s="358">
        <f>SUM(D72:H72)</f>
        <v>10.2422</v>
      </c>
      <c r="K73" s="14"/>
      <c r="N73">
        <v>0</v>
      </c>
      <c r="O73" s="20"/>
      <c r="P73" s="20"/>
      <c r="Q73" s="438"/>
      <c r="R73" s="197"/>
      <c r="S73" s="197"/>
      <c r="T73" s="197"/>
      <c r="U73" s="197"/>
    </row>
    <row r="74" spans="1:53" ht="15.75" x14ac:dyDescent="0.25">
      <c r="A74" s="1"/>
      <c r="B74" s="2"/>
      <c r="C74" s="1"/>
      <c r="E74" s="361"/>
      <c r="K74" s="14"/>
      <c r="O74" s="20"/>
      <c r="P74" s="20"/>
      <c r="Q74" s="439"/>
      <c r="R74" s="197"/>
      <c r="S74" s="197"/>
      <c r="T74" s="197"/>
      <c r="U74" s="197"/>
    </row>
    <row r="75" spans="1:53" ht="15" x14ac:dyDescent="0.25">
      <c r="A75" s="1">
        <v>8</v>
      </c>
      <c r="B75" s="2" t="s">
        <v>22</v>
      </c>
      <c r="C75" s="1" t="s">
        <v>8</v>
      </c>
      <c r="D75">
        <v>0</v>
      </c>
      <c r="E75" s="360">
        <v>7.4356</v>
      </c>
      <c r="F75">
        <v>0</v>
      </c>
      <c r="G75">
        <v>0</v>
      </c>
      <c r="H75">
        <v>0</v>
      </c>
      <c r="J75">
        <v>0</v>
      </c>
      <c r="K75">
        <v>0</v>
      </c>
      <c r="L75">
        <v>0</v>
      </c>
      <c r="M75">
        <v>0</v>
      </c>
      <c r="N75">
        <v>0</v>
      </c>
      <c r="O75" s="20"/>
      <c r="P75" s="20"/>
      <c r="Q75" s="438">
        <v>3.7304439811825817E-2</v>
      </c>
      <c r="R75" s="197">
        <v>5.6499999999999995E-2</v>
      </c>
      <c r="S75" s="197">
        <v>1.25</v>
      </c>
      <c r="T75" s="197">
        <v>0.50078889239507718</v>
      </c>
      <c r="U75" s="197">
        <v>0.75268470790377973</v>
      </c>
      <c r="V75" s="20">
        <f t="shared" ref="V75:Y80" si="98">IF(K75&gt;0,((E75-K75)*$Q75*$R75*10)+(K75*$O$12*$Q75*$R75*10),(E75*$Q75*$R75*10))</f>
        <v>0.15672020435561876</v>
      </c>
      <c r="W75" s="20">
        <f t="shared" si="98"/>
        <v>0</v>
      </c>
      <c r="X75" s="20">
        <f t="shared" si="98"/>
        <v>0</v>
      </c>
      <c r="Y75" s="20">
        <f t="shared" si="98"/>
        <v>0</v>
      </c>
      <c r="Z75" s="20">
        <f t="shared" ref="Z75:Z80" si="99">V75*(EXP(1.01-0.34*LN(Z$8))*(1-$T75)+(1*$T75))</f>
        <v>9.2762108607772578E-2</v>
      </c>
      <c r="AA75" s="20">
        <f t="shared" ref="AA75:AC80" si="100">W75*(EXP(1.01-0.34*LN(AA$8))*(1-$U75)+(1*$U75))</f>
        <v>0</v>
      </c>
      <c r="AB75" s="20">
        <f t="shared" si="100"/>
        <v>0</v>
      </c>
      <c r="AC75" s="20">
        <f t="shared" si="100"/>
        <v>0</v>
      </c>
      <c r="AD75" s="20">
        <f t="shared" ref="AD75:AD80" si="101">SUM(Z75:AC75)</f>
        <v>9.2762108607772578E-2</v>
      </c>
      <c r="AE75" s="20">
        <f t="shared" ref="AE75:AH80" si="102">IF(K75&gt;0,((E75-K75)*$Q75*$S75*10)+(K75*$P$12*$Q75*$S75)*10,(E75*$Q75*$S75*10))</f>
        <v>3.4672611583101505</v>
      </c>
      <c r="AF75" s="20">
        <f t="shared" si="102"/>
        <v>0</v>
      </c>
      <c r="AG75" s="20">
        <f t="shared" si="102"/>
        <v>0</v>
      </c>
      <c r="AH75" s="20">
        <f t="shared" si="102"/>
        <v>0</v>
      </c>
      <c r="AI75" s="20">
        <f t="shared" ref="AI75:AI80" si="103">AE75*(EXP(1.01-0.34*LN(AI$8))*(1-$U75)+(1*$U75))</f>
        <v>2.7662517919784171</v>
      </c>
      <c r="AJ75" s="20">
        <f t="shared" ref="AJ75:AL80" si="104">AF75*(EXP(1.01-0.34*LN(AJ$8))*(1-$T75)+(1*$T75))</f>
        <v>0</v>
      </c>
      <c r="AK75" s="20">
        <f t="shared" si="104"/>
        <v>0</v>
      </c>
      <c r="AL75" s="20">
        <f t="shared" si="104"/>
        <v>0</v>
      </c>
      <c r="AM75" s="20">
        <f t="shared" ref="AM75:AM80" si="105">SUM(AI75:AL75)</f>
        <v>2.7662517919784171</v>
      </c>
      <c r="AO75">
        <f t="shared" ref="AO75:AR80" si="106">Z75*AO$10</f>
        <v>0.11471889971523234</v>
      </c>
      <c r="AP75">
        <f t="shared" si="106"/>
        <v>0</v>
      </c>
      <c r="AQ75">
        <f t="shared" si="106"/>
        <v>0</v>
      </c>
      <c r="AR75">
        <f t="shared" si="106"/>
        <v>0</v>
      </c>
      <c r="AS75">
        <f t="shared" ref="AS75:AS80" si="107">SUM(AO75:AR75)</f>
        <v>0.11471889971523234</v>
      </c>
      <c r="AU75">
        <f t="shared" ref="AU75:AU80" si="108">AI75*AU$10</f>
        <v>3.4210235911397082</v>
      </c>
      <c r="AV75">
        <f t="shared" ref="AV75:AX80" si="109">AJ75*AV$10</f>
        <v>0</v>
      </c>
      <c r="AW75">
        <f t="shared" si="109"/>
        <v>0</v>
      </c>
      <c r="AX75">
        <f t="shared" si="109"/>
        <v>0</v>
      </c>
      <c r="AY75">
        <f t="shared" ref="AY75:AY80" si="110">SUM(AU75:AX75)</f>
        <v>3.4210235911397082</v>
      </c>
    </row>
    <row r="76" spans="1:53" ht="15" x14ac:dyDescent="0.25">
      <c r="A76" s="1"/>
      <c r="B76" s="2"/>
      <c r="C76" s="1" t="s">
        <v>9</v>
      </c>
      <c r="D76">
        <v>0</v>
      </c>
      <c r="E76" s="360">
        <v>0</v>
      </c>
      <c r="F76">
        <v>0</v>
      </c>
      <c r="G76">
        <v>0</v>
      </c>
      <c r="H76">
        <v>0</v>
      </c>
      <c r="J76">
        <v>0</v>
      </c>
      <c r="K76">
        <v>0</v>
      </c>
      <c r="L76">
        <v>0</v>
      </c>
      <c r="M76">
        <v>0</v>
      </c>
      <c r="N76">
        <v>0</v>
      </c>
      <c r="O76" s="20"/>
      <c r="P76" s="20"/>
      <c r="Q76" s="438"/>
      <c r="R76" s="197">
        <v>5.6499999999999995E-2</v>
      </c>
      <c r="S76" s="197">
        <v>1.25</v>
      </c>
      <c r="T76" s="197">
        <v>0.50078889239507718</v>
      </c>
      <c r="U76" s="197">
        <v>0.75268470790377973</v>
      </c>
      <c r="V76" s="20">
        <f t="shared" si="98"/>
        <v>0</v>
      </c>
      <c r="W76" s="20">
        <f t="shared" si="98"/>
        <v>0</v>
      </c>
      <c r="X76" s="20">
        <f t="shared" si="98"/>
        <v>0</v>
      </c>
      <c r="Y76" s="20">
        <f t="shared" si="98"/>
        <v>0</v>
      </c>
      <c r="Z76" s="20">
        <f t="shared" si="99"/>
        <v>0</v>
      </c>
      <c r="AA76" s="20">
        <f t="shared" si="100"/>
        <v>0</v>
      </c>
      <c r="AB76" s="20">
        <f t="shared" si="100"/>
        <v>0</v>
      </c>
      <c r="AC76" s="20">
        <f t="shared" si="100"/>
        <v>0</v>
      </c>
      <c r="AD76" s="20">
        <f t="shared" si="101"/>
        <v>0</v>
      </c>
      <c r="AE76" s="20">
        <f t="shared" si="102"/>
        <v>0</v>
      </c>
      <c r="AF76" s="20">
        <f t="shared" si="102"/>
        <v>0</v>
      </c>
      <c r="AG76" s="20">
        <f t="shared" si="102"/>
        <v>0</v>
      </c>
      <c r="AH76" s="20">
        <f t="shared" si="102"/>
        <v>0</v>
      </c>
      <c r="AI76" s="20">
        <f t="shared" si="103"/>
        <v>0</v>
      </c>
      <c r="AJ76" s="20">
        <f t="shared" si="104"/>
        <v>0</v>
      </c>
      <c r="AK76" s="20">
        <f t="shared" si="104"/>
        <v>0</v>
      </c>
      <c r="AL76" s="20">
        <f t="shared" si="104"/>
        <v>0</v>
      </c>
      <c r="AM76" s="20">
        <f t="shared" si="105"/>
        <v>0</v>
      </c>
      <c r="AO76">
        <f t="shared" si="106"/>
        <v>0</v>
      </c>
      <c r="AP76">
        <f t="shared" si="106"/>
        <v>0</v>
      </c>
      <c r="AQ76">
        <f t="shared" si="106"/>
        <v>0</v>
      </c>
      <c r="AR76">
        <f t="shared" si="106"/>
        <v>0</v>
      </c>
      <c r="AS76">
        <f t="shared" si="107"/>
        <v>0</v>
      </c>
      <c r="AU76">
        <f t="shared" si="108"/>
        <v>0</v>
      </c>
      <c r="AV76">
        <f t="shared" si="109"/>
        <v>0</v>
      </c>
      <c r="AW76">
        <f t="shared" si="109"/>
        <v>0</v>
      </c>
      <c r="AX76">
        <f t="shared" si="109"/>
        <v>0</v>
      </c>
      <c r="AY76">
        <f t="shared" si="110"/>
        <v>0</v>
      </c>
    </row>
    <row r="77" spans="1:53" ht="15" x14ac:dyDescent="0.25">
      <c r="A77" s="1"/>
      <c r="B77" s="2"/>
      <c r="C77" s="1" t="s">
        <v>10</v>
      </c>
      <c r="D77">
        <v>0</v>
      </c>
      <c r="E77" s="360">
        <v>0</v>
      </c>
      <c r="F77">
        <v>0</v>
      </c>
      <c r="G77">
        <v>0</v>
      </c>
      <c r="H77">
        <v>0</v>
      </c>
      <c r="J77">
        <v>0</v>
      </c>
      <c r="K77">
        <v>0</v>
      </c>
      <c r="L77">
        <v>0</v>
      </c>
      <c r="M77">
        <v>0</v>
      </c>
      <c r="N77">
        <v>0</v>
      </c>
      <c r="O77" s="20"/>
      <c r="P77" s="20"/>
      <c r="Q77" s="438"/>
      <c r="R77" s="197">
        <v>5.6499999999999995E-2</v>
      </c>
      <c r="S77" s="197">
        <v>1.25</v>
      </c>
      <c r="T77" s="197">
        <v>0.50078889239507718</v>
      </c>
      <c r="U77" s="197">
        <v>0.75268470790377973</v>
      </c>
      <c r="V77" s="20">
        <f t="shared" si="98"/>
        <v>0</v>
      </c>
      <c r="W77" s="20">
        <f t="shared" si="98"/>
        <v>0</v>
      </c>
      <c r="X77" s="20">
        <f t="shared" si="98"/>
        <v>0</v>
      </c>
      <c r="Y77" s="20">
        <f t="shared" si="98"/>
        <v>0</v>
      </c>
      <c r="Z77" s="20">
        <f t="shared" si="99"/>
        <v>0</v>
      </c>
      <c r="AA77" s="20">
        <f t="shared" si="100"/>
        <v>0</v>
      </c>
      <c r="AB77" s="20">
        <f t="shared" si="100"/>
        <v>0</v>
      </c>
      <c r="AC77" s="20">
        <f t="shared" si="100"/>
        <v>0</v>
      </c>
      <c r="AD77" s="20">
        <f t="shared" si="101"/>
        <v>0</v>
      </c>
      <c r="AE77" s="20">
        <f t="shared" si="102"/>
        <v>0</v>
      </c>
      <c r="AF77" s="20">
        <f t="shared" si="102"/>
        <v>0</v>
      </c>
      <c r="AG77" s="20">
        <f t="shared" si="102"/>
        <v>0</v>
      </c>
      <c r="AH77" s="20">
        <f t="shared" si="102"/>
        <v>0</v>
      </c>
      <c r="AI77" s="20">
        <f t="shared" si="103"/>
        <v>0</v>
      </c>
      <c r="AJ77" s="20">
        <f t="shared" si="104"/>
        <v>0</v>
      </c>
      <c r="AK77" s="20">
        <f t="shared" si="104"/>
        <v>0</v>
      </c>
      <c r="AL77" s="20">
        <f t="shared" si="104"/>
        <v>0</v>
      </c>
      <c r="AM77" s="20">
        <f t="shared" si="105"/>
        <v>0</v>
      </c>
      <c r="AO77">
        <f t="shared" si="106"/>
        <v>0</v>
      </c>
      <c r="AP77">
        <f t="shared" si="106"/>
        <v>0</v>
      </c>
      <c r="AQ77">
        <f t="shared" si="106"/>
        <v>0</v>
      </c>
      <c r="AR77">
        <f t="shared" si="106"/>
        <v>0</v>
      </c>
      <c r="AS77">
        <f t="shared" si="107"/>
        <v>0</v>
      </c>
      <c r="AU77">
        <f t="shared" si="108"/>
        <v>0</v>
      </c>
      <c r="AV77">
        <f t="shared" si="109"/>
        <v>0</v>
      </c>
      <c r="AW77">
        <f t="shared" si="109"/>
        <v>0</v>
      </c>
      <c r="AX77">
        <f t="shared" si="109"/>
        <v>0</v>
      </c>
      <c r="AY77">
        <f t="shared" si="110"/>
        <v>0</v>
      </c>
    </row>
    <row r="78" spans="1:53" ht="15" x14ac:dyDescent="0.25">
      <c r="A78" s="1"/>
      <c r="B78" s="2"/>
      <c r="C78" s="1" t="s">
        <v>11</v>
      </c>
      <c r="D78">
        <v>0</v>
      </c>
      <c r="E78" s="360">
        <v>0.4214</v>
      </c>
      <c r="F78">
        <v>0</v>
      </c>
      <c r="G78">
        <v>0</v>
      </c>
      <c r="H78">
        <v>0</v>
      </c>
      <c r="J78">
        <v>0</v>
      </c>
      <c r="K78">
        <v>0</v>
      </c>
      <c r="L78">
        <v>0</v>
      </c>
      <c r="M78">
        <v>0</v>
      </c>
      <c r="N78">
        <v>0</v>
      </c>
      <c r="O78" s="20"/>
      <c r="P78" s="20"/>
      <c r="Q78" s="438">
        <v>0.12221775924730326</v>
      </c>
      <c r="R78" s="197">
        <v>5.6499999999999995E-2</v>
      </c>
      <c r="S78" s="197">
        <v>1.25</v>
      </c>
      <c r="T78" s="197">
        <v>0.50078889239507718</v>
      </c>
      <c r="U78" s="197">
        <v>0.75268470790377973</v>
      </c>
      <c r="V78" s="20">
        <f t="shared" si="98"/>
        <v>2.9098948516949677E-2</v>
      </c>
      <c r="W78" s="20">
        <f t="shared" si="98"/>
        <v>0</v>
      </c>
      <c r="X78" s="20">
        <f t="shared" si="98"/>
        <v>0</v>
      </c>
      <c r="Y78" s="20">
        <f t="shared" si="98"/>
        <v>0</v>
      </c>
      <c r="Z78" s="20">
        <f t="shared" si="99"/>
        <v>1.7223559870916502E-2</v>
      </c>
      <c r="AA78" s="20">
        <f t="shared" si="100"/>
        <v>0</v>
      </c>
      <c r="AB78" s="20">
        <f t="shared" si="100"/>
        <v>0</v>
      </c>
      <c r="AC78" s="20">
        <f t="shared" si="100"/>
        <v>0</v>
      </c>
      <c r="AD78" s="20">
        <f t="shared" si="101"/>
        <v>1.7223559870916502E-2</v>
      </c>
      <c r="AE78" s="20">
        <f t="shared" si="102"/>
        <v>0.64378204683516982</v>
      </c>
      <c r="AF78" s="20">
        <f t="shared" si="102"/>
        <v>0</v>
      </c>
      <c r="AG78" s="20">
        <f t="shared" si="102"/>
        <v>0</v>
      </c>
      <c r="AH78" s="20">
        <f t="shared" si="102"/>
        <v>0</v>
      </c>
      <c r="AI78" s="20">
        <f t="shared" si="103"/>
        <v>0.5136224701254597</v>
      </c>
      <c r="AJ78" s="20">
        <f t="shared" si="104"/>
        <v>0</v>
      </c>
      <c r="AK78" s="20">
        <f t="shared" si="104"/>
        <v>0</v>
      </c>
      <c r="AL78" s="20">
        <f t="shared" si="104"/>
        <v>0</v>
      </c>
      <c r="AM78" s="20">
        <f t="shared" si="105"/>
        <v>0.5136224701254597</v>
      </c>
      <c r="AO78">
        <f t="shared" si="106"/>
        <v>2.1300376492362435E-2</v>
      </c>
      <c r="AP78">
        <f t="shared" si="106"/>
        <v>0</v>
      </c>
      <c r="AQ78">
        <f t="shared" si="106"/>
        <v>0</v>
      </c>
      <c r="AR78">
        <f t="shared" si="106"/>
        <v>0</v>
      </c>
      <c r="AS78">
        <f t="shared" si="107"/>
        <v>2.1300376492362435E-2</v>
      </c>
      <c r="AU78">
        <f t="shared" si="108"/>
        <v>0.63519690880415591</v>
      </c>
      <c r="AV78">
        <f t="shared" si="109"/>
        <v>0</v>
      </c>
      <c r="AW78">
        <f t="shared" si="109"/>
        <v>0</v>
      </c>
      <c r="AX78">
        <f t="shared" si="109"/>
        <v>0</v>
      </c>
      <c r="AY78">
        <f t="shared" si="110"/>
        <v>0.63519690880415591</v>
      </c>
    </row>
    <row r="79" spans="1:53" ht="15" x14ac:dyDescent="0.25">
      <c r="A79" s="1"/>
      <c r="B79" s="13"/>
      <c r="C79" s="1" t="s">
        <v>12</v>
      </c>
      <c r="D79">
        <v>0</v>
      </c>
      <c r="E79" s="360">
        <v>0</v>
      </c>
      <c r="F79">
        <v>0</v>
      </c>
      <c r="G79">
        <v>0</v>
      </c>
      <c r="H79">
        <v>0</v>
      </c>
      <c r="J79">
        <v>0</v>
      </c>
      <c r="K79">
        <v>0</v>
      </c>
      <c r="L79">
        <v>0</v>
      </c>
      <c r="M79">
        <v>0</v>
      </c>
      <c r="N79">
        <v>0</v>
      </c>
      <c r="O79" s="20"/>
      <c r="P79" s="20"/>
      <c r="Q79" s="438"/>
      <c r="R79" s="197">
        <v>5.6499999999999995E-2</v>
      </c>
      <c r="S79" s="197">
        <v>1.25</v>
      </c>
      <c r="T79" s="197">
        <v>0.50078889239507718</v>
      </c>
      <c r="U79" s="197">
        <v>0.75268470790377973</v>
      </c>
      <c r="V79" s="20">
        <f t="shared" si="98"/>
        <v>0</v>
      </c>
      <c r="W79" s="20">
        <f t="shared" si="98"/>
        <v>0</v>
      </c>
      <c r="X79" s="20">
        <f t="shared" si="98"/>
        <v>0</v>
      </c>
      <c r="Y79" s="20">
        <f t="shared" si="98"/>
        <v>0</v>
      </c>
      <c r="Z79" s="20">
        <f t="shared" si="99"/>
        <v>0</v>
      </c>
      <c r="AA79" s="20">
        <f t="shared" si="100"/>
        <v>0</v>
      </c>
      <c r="AB79" s="20">
        <f t="shared" si="100"/>
        <v>0</v>
      </c>
      <c r="AC79" s="20">
        <f t="shared" si="100"/>
        <v>0</v>
      </c>
      <c r="AD79" s="20">
        <f t="shared" si="101"/>
        <v>0</v>
      </c>
      <c r="AE79" s="20">
        <f t="shared" si="102"/>
        <v>0</v>
      </c>
      <c r="AF79" s="20">
        <f t="shared" si="102"/>
        <v>0</v>
      </c>
      <c r="AG79" s="20">
        <f t="shared" si="102"/>
        <v>0</v>
      </c>
      <c r="AH79" s="20">
        <f t="shared" si="102"/>
        <v>0</v>
      </c>
      <c r="AI79" s="20">
        <f t="shared" si="103"/>
        <v>0</v>
      </c>
      <c r="AJ79" s="20">
        <f t="shared" si="104"/>
        <v>0</v>
      </c>
      <c r="AK79" s="20">
        <f t="shared" si="104"/>
        <v>0</v>
      </c>
      <c r="AL79" s="20">
        <f t="shared" si="104"/>
        <v>0</v>
      </c>
      <c r="AM79" s="20">
        <f t="shared" si="105"/>
        <v>0</v>
      </c>
      <c r="AO79">
        <f t="shared" si="106"/>
        <v>0</v>
      </c>
      <c r="AP79">
        <f t="shared" si="106"/>
        <v>0</v>
      </c>
      <c r="AQ79">
        <f t="shared" si="106"/>
        <v>0</v>
      </c>
      <c r="AR79">
        <f t="shared" si="106"/>
        <v>0</v>
      </c>
      <c r="AS79">
        <f t="shared" si="107"/>
        <v>0</v>
      </c>
      <c r="AU79">
        <f t="shared" si="108"/>
        <v>0</v>
      </c>
      <c r="AV79">
        <f t="shared" si="109"/>
        <v>0</v>
      </c>
      <c r="AW79">
        <f t="shared" si="109"/>
        <v>0</v>
      </c>
      <c r="AX79">
        <f t="shared" si="109"/>
        <v>0</v>
      </c>
      <c r="AY79">
        <f t="shared" si="110"/>
        <v>0</v>
      </c>
    </row>
    <row r="80" spans="1:53" ht="15" x14ac:dyDescent="0.25">
      <c r="A80" s="1"/>
      <c r="B80" s="13"/>
      <c r="C80" s="1" t="s">
        <v>13</v>
      </c>
      <c r="D80">
        <v>0</v>
      </c>
      <c r="E80" s="360">
        <v>0</v>
      </c>
      <c r="F80">
        <v>0</v>
      </c>
      <c r="G80">
        <v>0</v>
      </c>
      <c r="H80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20"/>
      <c r="P80" s="20"/>
      <c r="Q80" s="438"/>
      <c r="R80" s="197">
        <v>5.6499999999999995E-2</v>
      </c>
      <c r="S80" s="197">
        <v>1.25</v>
      </c>
      <c r="T80" s="197">
        <v>0.50078889239507718</v>
      </c>
      <c r="U80" s="197">
        <v>0.75268470790377973</v>
      </c>
      <c r="V80" s="20">
        <f t="shared" si="98"/>
        <v>0</v>
      </c>
      <c r="W80" s="20">
        <f t="shared" si="98"/>
        <v>0</v>
      </c>
      <c r="X80" s="20">
        <f t="shared" si="98"/>
        <v>0</v>
      </c>
      <c r="Y80" s="20">
        <f t="shared" si="98"/>
        <v>0</v>
      </c>
      <c r="Z80" s="20">
        <f t="shared" si="99"/>
        <v>0</v>
      </c>
      <c r="AA80" s="20">
        <f t="shared" si="100"/>
        <v>0</v>
      </c>
      <c r="AB80" s="20">
        <f t="shared" si="100"/>
        <v>0</v>
      </c>
      <c r="AC80" s="20">
        <f t="shared" si="100"/>
        <v>0</v>
      </c>
      <c r="AD80" s="20">
        <f t="shared" si="101"/>
        <v>0</v>
      </c>
      <c r="AE80" s="20">
        <f t="shared" si="102"/>
        <v>0</v>
      </c>
      <c r="AF80" s="20">
        <f t="shared" si="102"/>
        <v>0</v>
      </c>
      <c r="AG80" s="20">
        <f t="shared" si="102"/>
        <v>0</v>
      </c>
      <c r="AH80" s="20">
        <f t="shared" si="102"/>
        <v>0</v>
      </c>
      <c r="AI80" s="20">
        <f t="shared" si="103"/>
        <v>0</v>
      </c>
      <c r="AJ80" s="20">
        <f t="shared" si="104"/>
        <v>0</v>
      </c>
      <c r="AK80" s="20">
        <f t="shared" si="104"/>
        <v>0</v>
      </c>
      <c r="AL80" s="20">
        <f t="shared" si="104"/>
        <v>0</v>
      </c>
      <c r="AM80" s="20">
        <f t="shared" si="105"/>
        <v>0</v>
      </c>
      <c r="AO80">
        <f t="shared" si="106"/>
        <v>0</v>
      </c>
      <c r="AP80">
        <f t="shared" si="106"/>
        <v>0</v>
      </c>
      <c r="AQ80">
        <f t="shared" si="106"/>
        <v>0</v>
      </c>
      <c r="AR80">
        <f t="shared" si="106"/>
        <v>0</v>
      </c>
      <c r="AS80">
        <f t="shared" si="107"/>
        <v>0</v>
      </c>
      <c r="AU80">
        <f t="shared" si="108"/>
        <v>0</v>
      </c>
      <c r="AV80">
        <f t="shared" si="109"/>
        <v>0</v>
      </c>
      <c r="AW80">
        <f t="shared" si="109"/>
        <v>0</v>
      </c>
      <c r="AX80">
        <f t="shared" si="109"/>
        <v>0</v>
      </c>
      <c r="AY80">
        <f t="shared" si="110"/>
        <v>0</v>
      </c>
    </row>
    <row r="81" spans="1:53" ht="15" x14ac:dyDescent="0.25">
      <c r="A81" s="7"/>
      <c r="B81" s="8" t="s">
        <v>14</v>
      </c>
      <c r="C81" s="7"/>
      <c r="D81" s="357">
        <f t="shared" ref="D81:H81" si="111">SUM(D75:D80)</f>
        <v>0</v>
      </c>
      <c r="E81" s="363">
        <f>SUM(E75:E80)</f>
        <v>7.8570000000000002</v>
      </c>
      <c r="F81" s="357">
        <f t="shared" si="111"/>
        <v>0</v>
      </c>
      <c r="G81" s="357">
        <f t="shared" si="111"/>
        <v>0</v>
      </c>
      <c r="H81" s="357">
        <f t="shared" si="111"/>
        <v>0</v>
      </c>
      <c r="J81">
        <v>0</v>
      </c>
      <c r="K81">
        <v>0</v>
      </c>
      <c r="L81">
        <v>0</v>
      </c>
      <c r="M81">
        <v>0</v>
      </c>
      <c r="N81">
        <v>0</v>
      </c>
      <c r="O81" s="20"/>
      <c r="P81" s="20"/>
      <c r="Q81" s="438">
        <v>4.1858655518852698E-2</v>
      </c>
      <c r="R81" s="197"/>
      <c r="S81" s="197"/>
      <c r="T81" s="197"/>
      <c r="U81" s="197"/>
      <c r="BA81" s="319">
        <f>(E81*10000*Q81*AU$10)</f>
        <v>4067.3017054425741</v>
      </c>
    </row>
    <row r="82" spans="1:53" ht="15" x14ac:dyDescent="0.25">
      <c r="A82" s="10"/>
      <c r="B82" s="9" t="s">
        <v>15</v>
      </c>
      <c r="C82" s="5"/>
      <c r="E82" s="363">
        <f>SUM(E81)</f>
        <v>7.8570000000000002</v>
      </c>
      <c r="H82" s="358">
        <f>SUM(D81:H81)</f>
        <v>7.8570000000000002</v>
      </c>
      <c r="K82" s="14"/>
      <c r="N82">
        <v>0</v>
      </c>
      <c r="O82" s="20"/>
      <c r="P82" s="20"/>
      <c r="Q82" s="438"/>
      <c r="R82" s="197"/>
      <c r="S82" s="197"/>
      <c r="T82" s="197"/>
      <c r="U82" s="197"/>
    </row>
    <row r="83" spans="1:53" ht="15.75" x14ac:dyDescent="0.25">
      <c r="A83" s="1"/>
      <c r="B83" s="2"/>
      <c r="C83" s="1"/>
      <c r="E83" s="361"/>
      <c r="K83" s="14"/>
      <c r="O83" s="20"/>
      <c r="P83" s="20"/>
      <c r="Q83" s="439"/>
      <c r="R83" s="197"/>
      <c r="S83" s="197"/>
      <c r="T83" s="197"/>
      <c r="U83" s="197"/>
    </row>
    <row r="84" spans="1:53" ht="15" x14ac:dyDescent="0.25">
      <c r="A84" s="1">
        <v>9</v>
      </c>
      <c r="B84" s="2" t="s">
        <v>23</v>
      </c>
      <c r="C84" s="1" t="s">
        <v>8</v>
      </c>
      <c r="D84">
        <v>0</v>
      </c>
      <c r="E84" s="360">
        <v>112.6026</v>
      </c>
      <c r="F84">
        <v>0</v>
      </c>
      <c r="G84">
        <v>0</v>
      </c>
      <c r="H84">
        <v>0</v>
      </c>
      <c r="J84">
        <v>0</v>
      </c>
      <c r="K84">
        <v>0</v>
      </c>
      <c r="L84">
        <v>0</v>
      </c>
      <c r="M84">
        <v>0</v>
      </c>
      <c r="N84">
        <v>0</v>
      </c>
      <c r="O84" s="20"/>
      <c r="P84" s="20"/>
      <c r="Q84" s="438">
        <v>3.7304439811825817E-2</v>
      </c>
      <c r="R84" s="197">
        <v>0.38700000000000001</v>
      </c>
      <c r="S84" s="197">
        <v>2.48</v>
      </c>
      <c r="T84" s="197">
        <v>0.72182006204756977</v>
      </c>
      <c r="U84" s="197">
        <v>0.90789473684210531</v>
      </c>
      <c r="V84" s="20">
        <f t="shared" ref="V84:Y89" si="112">IF(K84&gt;0,((E84-K84)*$Q84*$R84*10)+(K84*$O$12*$Q84*$R84*10),(E84*$Q84*$R84*10))</f>
        <v>16.256232658554225</v>
      </c>
      <c r="W84" s="20">
        <f t="shared" si="112"/>
        <v>0</v>
      </c>
      <c r="X84" s="20">
        <f t="shared" si="112"/>
        <v>0</v>
      </c>
      <c r="Y84" s="20">
        <f t="shared" si="112"/>
        <v>0</v>
      </c>
      <c r="Z84" s="20">
        <f t="shared" ref="Z84:Z89" si="113">V84*(EXP(1.01-0.34*LN(Z$8))*(1-$T84)+(1*$T84))</f>
        <v>12.559381140395271</v>
      </c>
      <c r="AA84" s="20">
        <f t="shared" ref="AA84:AC89" si="114">W84*(EXP(1.01-0.34*LN(AA$8))*(1-$U84)+(1*$U84))</f>
        <v>0</v>
      </c>
      <c r="AB84" s="20">
        <f t="shared" si="114"/>
        <v>0</v>
      </c>
      <c r="AC84" s="20">
        <f t="shared" si="114"/>
        <v>0</v>
      </c>
      <c r="AD84" s="20">
        <f t="shared" ref="AD84:AD89" si="115">SUM(Z84:AC84)</f>
        <v>12.559381140395271</v>
      </c>
      <c r="AE84" s="20">
        <f t="shared" ref="AE84:AH89" si="116">IF(K84&gt;0,((E84-K84)*$Q84*$S84*10)+(K84*$P$12*$Q84*$S84)*10,(E84*$Q84*$S84*10))</f>
        <v>104.1743074760064</v>
      </c>
      <c r="AF84" s="20">
        <f t="shared" si="116"/>
        <v>0</v>
      </c>
      <c r="AG84" s="20">
        <f t="shared" si="116"/>
        <v>0</v>
      </c>
      <c r="AH84" s="20">
        <f t="shared" si="116"/>
        <v>0</v>
      </c>
      <c r="AI84" s="20">
        <f t="shared" ref="AI84:AI89" si="117">AE84*(EXP(1.01-0.34*LN(AI$8))*(1-$U84)+(1*$U84))</f>
        <v>96.330419810916041</v>
      </c>
      <c r="AJ84" s="20">
        <f t="shared" ref="AJ84:AL89" si="118">AF84*(EXP(1.01-0.34*LN(AJ$8))*(1-$T84)+(1*$T84))</f>
        <v>0</v>
      </c>
      <c r="AK84" s="20">
        <f t="shared" si="118"/>
        <v>0</v>
      </c>
      <c r="AL84" s="20">
        <f t="shared" si="118"/>
        <v>0</v>
      </c>
      <c r="AM84" s="20">
        <f t="shared" ref="AM84:AM89" si="119">SUM(AI84:AL84)</f>
        <v>96.330419810916041</v>
      </c>
      <c r="AO84">
        <f t="shared" ref="AO84:AR89" si="120">Z84*AO$10</f>
        <v>15.53218665632683</v>
      </c>
      <c r="AP84">
        <f t="shared" si="120"/>
        <v>0</v>
      </c>
      <c r="AQ84">
        <f t="shared" si="120"/>
        <v>0</v>
      </c>
      <c r="AR84">
        <f t="shared" si="120"/>
        <v>0</v>
      </c>
      <c r="AS84">
        <f t="shared" ref="AS84:AS89" si="121">SUM(AO84:AR84)</f>
        <v>15.53218665632683</v>
      </c>
      <c r="AU84">
        <f t="shared" ref="AU84:AU89" si="122">AI84*AU$10</f>
        <v>119.13183018015985</v>
      </c>
      <c r="AV84">
        <f t="shared" ref="AV84:AX89" si="123">AJ84*AV$10</f>
        <v>0</v>
      </c>
      <c r="AW84">
        <f t="shared" si="123"/>
        <v>0</v>
      </c>
      <c r="AX84">
        <f t="shared" si="123"/>
        <v>0</v>
      </c>
      <c r="AY84">
        <f t="shared" ref="AY84:AY89" si="124">SUM(AU84:AX84)</f>
        <v>119.13183018015985</v>
      </c>
    </row>
    <row r="85" spans="1:53" ht="15" x14ac:dyDescent="0.25">
      <c r="A85" s="1"/>
      <c r="B85" s="2"/>
      <c r="C85" s="1" t="s">
        <v>9</v>
      </c>
      <c r="D85">
        <v>0</v>
      </c>
      <c r="E85" s="360">
        <v>16.2562</v>
      </c>
      <c r="F85">
        <v>0</v>
      </c>
      <c r="G85">
        <v>0</v>
      </c>
      <c r="H85">
        <v>0</v>
      </c>
      <c r="J85">
        <v>0</v>
      </c>
      <c r="K85">
        <v>0</v>
      </c>
      <c r="L85">
        <v>0</v>
      </c>
      <c r="M85">
        <v>0</v>
      </c>
      <c r="N85">
        <v>0</v>
      </c>
      <c r="O85" s="20"/>
      <c r="P85" s="20"/>
      <c r="Q85" s="438">
        <v>6.5608879623651625E-2</v>
      </c>
      <c r="R85" s="197">
        <v>0.38700000000000001</v>
      </c>
      <c r="S85" s="197">
        <v>2.48</v>
      </c>
      <c r="T85" s="197">
        <v>0.72182006204756977</v>
      </c>
      <c r="U85" s="197">
        <v>0.90789473684210531</v>
      </c>
      <c r="V85" s="20">
        <f t="shared" si="112"/>
        <v>4.1275526367900817</v>
      </c>
      <c r="W85" s="20">
        <f t="shared" si="112"/>
        <v>0</v>
      </c>
      <c r="X85" s="20">
        <f t="shared" si="112"/>
        <v>0</v>
      </c>
      <c r="Y85" s="20">
        <f t="shared" si="112"/>
        <v>0</v>
      </c>
      <c r="Z85" s="20">
        <f t="shared" si="113"/>
        <v>3.1889003947794481</v>
      </c>
      <c r="AA85" s="20">
        <f t="shared" si="114"/>
        <v>0</v>
      </c>
      <c r="AB85" s="20">
        <f t="shared" si="114"/>
        <v>0</v>
      </c>
      <c r="AC85" s="20">
        <f t="shared" si="114"/>
        <v>0</v>
      </c>
      <c r="AD85" s="20">
        <f t="shared" si="115"/>
        <v>3.1889003947794481</v>
      </c>
      <c r="AE85" s="20">
        <f t="shared" si="116"/>
        <v>26.450466509662537</v>
      </c>
      <c r="AF85" s="20">
        <f t="shared" si="116"/>
        <v>0</v>
      </c>
      <c r="AG85" s="20">
        <f t="shared" si="116"/>
        <v>0</v>
      </c>
      <c r="AH85" s="20">
        <f t="shared" si="116"/>
        <v>0</v>
      </c>
      <c r="AI85" s="20">
        <f t="shared" si="117"/>
        <v>24.458857512993049</v>
      </c>
      <c r="AJ85" s="20">
        <f t="shared" si="118"/>
        <v>0</v>
      </c>
      <c r="AK85" s="20">
        <f t="shared" si="118"/>
        <v>0</v>
      </c>
      <c r="AL85" s="20">
        <f t="shared" si="118"/>
        <v>0</v>
      </c>
      <c r="AM85" s="20">
        <f t="shared" si="119"/>
        <v>24.458857512993049</v>
      </c>
      <c r="AO85">
        <f t="shared" si="120"/>
        <v>3.943713118223743</v>
      </c>
      <c r="AP85">
        <f t="shared" si="120"/>
        <v>0</v>
      </c>
      <c r="AQ85">
        <f t="shared" si="120"/>
        <v>0</v>
      </c>
      <c r="AR85">
        <f t="shared" si="120"/>
        <v>0</v>
      </c>
      <c r="AS85">
        <f t="shared" si="121"/>
        <v>3.943713118223743</v>
      </c>
      <c r="AU85">
        <f t="shared" si="122"/>
        <v>30.248269086318501</v>
      </c>
      <c r="AV85">
        <f t="shared" si="123"/>
        <v>0</v>
      </c>
      <c r="AW85">
        <f t="shared" si="123"/>
        <v>0</v>
      </c>
      <c r="AX85">
        <f t="shared" si="123"/>
        <v>0</v>
      </c>
      <c r="AY85">
        <f t="shared" si="124"/>
        <v>30.248269086318501</v>
      </c>
    </row>
    <row r="86" spans="1:53" ht="15" x14ac:dyDescent="0.25">
      <c r="A86" s="1"/>
      <c r="B86" s="2"/>
      <c r="C86" s="1" t="s">
        <v>10</v>
      </c>
      <c r="D86">
        <v>0</v>
      </c>
      <c r="E86" s="360">
        <v>0.92589999999999995</v>
      </c>
      <c r="F86">
        <v>0</v>
      </c>
      <c r="G86">
        <v>0</v>
      </c>
      <c r="H86">
        <v>0</v>
      </c>
      <c r="J86">
        <v>0</v>
      </c>
      <c r="K86">
        <v>0</v>
      </c>
      <c r="L86">
        <v>0</v>
      </c>
      <c r="M86">
        <v>0</v>
      </c>
      <c r="N86">
        <v>0</v>
      </c>
      <c r="O86" s="20"/>
      <c r="P86" s="20"/>
      <c r="Q86" s="438">
        <v>9.3913319435477427E-2</v>
      </c>
      <c r="R86" s="197">
        <v>0.38700000000000001</v>
      </c>
      <c r="S86" s="197">
        <v>2.48</v>
      </c>
      <c r="T86" s="197">
        <v>0.72182006204756977</v>
      </c>
      <c r="U86" s="197">
        <v>0.90789473684210531</v>
      </c>
      <c r="V86" s="20">
        <f t="shared" si="112"/>
        <v>0.33651330534074408</v>
      </c>
      <c r="W86" s="20">
        <f t="shared" si="112"/>
        <v>0</v>
      </c>
      <c r="X86" s="20">
        <f t="shared" si="112"/>
        <v>0</v>
      </c>
      <c r="Y86" s="20">
        <f t="shared" si="112"/>
        <v>0</v>
      </c>
      <c r="Z86" s="20">
        <f t="shared" si="113"/>
        <v>0.25998636642079764</v>
      </c>
      <c r="AA86" s="20">
        <f t="shared" si="114"/>
        <v>0</v>
      </c>
      <c r="AB86" s="20">
        <f t="shared" si="114"/>
        <v>0</v>
      </c>
      <c r="AC86" s="20">
        <f t="shared" si="114"/>
        <v>0</v>
      </c>
      <c r="AD86" s="20">
        <f t="shared" si="115"/>
        <v>0.25998636642079764</v>
      </c>
      <c r="AE86" s="20">
        <f t="shared" si="116"/>
        <v>2.156467693139652</v>
      </c>
      <c r="AF86" s="20">
        <f t="shared" si="116"/>
        <v>0</v>
      </c>
      <c r="AG86" s="20">
        <f t="shared" si="116"/>
        <v>0</v>
      </c>
      <c r="AH86" s="20">
        <f t="shared" si="116"/>
        <v>0</v>
      </c>
      <c r="AI86" s="20">
        <f t="shared" si="117"/>
        <v>1.9940947362349</v>
      </c>
      <c r="AJ86" s="20">
        <f t="shared" si="118"/>
        <v>0</v>
      </c>
      <c r="AK86" s="20">
        <f t="shared" si="118"/>
        <v>0</v>
      </c>
      <c r="AL86" s="20">
        <f t="shared" si="118"/>
        <v>0</v>
      </c>
      <c r="AM86" s="20">
        <f t="shared" si="119"/>
        <v>1.9940947362349</v>
      </c>
      <c r="AO86">
        <f t="shared" si="120"/>
        <v>0.32152513935260041</v>
      </c>
      <c r="AP86">
        <f t="shared" si="120"/>
        <v>0</v>
      </c>
      <c r="AQ86">
        <f t="shared" si="120"/>
        <v>0</v>
      </c>
      <c r="AR86">
        <f t="shared" si="120"/>
        <v>0</v>
      </c>
      <c r="AS86">
        <f t="shared" si="121"/>
        <v>0.32152513935260041</v>
      </c>
      <c r="AU86">
        <f t="shared" si="122"/>
        <v>2.4660969603017007</v>
      </c>
      <c r="AV86">
        <f t="shared" si="123"/>
        <v>0</v>
      </c>
      <c r="AW86">
        <f t="shared" si="123"/>
        <v>0</v>
      </c>
      <c r="AX86">
        <f t="shared" si="123"/>
        <v>0</v>
      </c>
      <c r="AY86">
        <f t="shared" si="124"/>
        <v>2.4660969603017007</v>
      </c>
    </row>
    <row r="87" spans="1:53" ht="15" x14ac:dyDescent="0.25">
      <c r="A87" s="1"/>
      <c r="B87" s="2"/>
      <c r="C87" s="1" t="s">
        <v>11</v>
      </c>
      <c r="D87">
        <v>0</v>
      </c>
      <c r="E87" s="360">
        <v>101.6451</v>
      </c>
      <c r="F87">
        <v>0</v>
      </c>
      <c r="G87">
        <v>0</v>
      </c>
      <c r="H87">
        <v>0</v>
      </c>
      <c r="J87">
        <v>0</v>
      </c>
      <c r="K87">
        <v>0</v>
      </c>
      <c r="L87">
        <v>0</v>
      </c>
      <c r="M87">
        <v>0</v>
      </c>
      <c r="N87">
        <v>0</v>
      </c>
      <c r="O87" s="20"/>
      <c r="P87" s="20"/>
      <c r="Q87" s="438">
        <v>0.12221775924730324</v>
      </c>
      <c r="R87" s="197">
        <v>0.38700000000000001</v>
      </c>
      <c r="S87" s="197">
        <v>2.48</v>
      </c>
      <c r="T87" s="197">
        <v>0.72182006204756977</v>
      </c>
      <c r="U87" s="197">
        <v>0.90789473684210531</v>
      </c>
      <c r="V87" s="20">
        <f t="shared" si="112"/>
        <v>48.076376715011406</v>
      </c>
      <c r="W87" s="20">
        <f t="shared" si="112"/>
        <v>0</v>
      </c>
      <c r="X87" s="20">
        <f t="shared" si="112"/>
        <v>0</v>
      </c>
      <c r="Y87" s="20">
        <f t="shared" si="112"/>
        <v>0</v>
      </c>
      <c r="Z87" s="20">
        <f t="shared" si="113"/>
        <v>37.143263860419758</v>
      </c>
      <c r="AA87" s="20">
        <f t="shared" si="114"/>
        <v>0</v>
      </c>
      <c r="AB87" s="20">
        <f t="shared" si="114"/>
        <v>0</v>
      </c>
      <c r="AC87" s="20">
        <f t="shared" si="114"/>
        <v>0</v>
      </c>
      <c r="AD87" s="20">
        <f t="shared" si="115"/>
        <v>37.143263860419758</v>
      </c>
      <c r="AE87" s="20">
        <f t="shared" si="116"/>
        <v>308.08634173960792</v>
      </c>
      <c r="AF87" s="20">
        <f t="shared" si="116"/>
        <v>0</v>
      </c>
      <c r="AG87" s="20">
        <f t="shared" si="116"/>
        <v>0</v>
      </c>
      <c r="AH87" s="20">
        <f t="shared" si="116"/>
        <v>0</v>
      </c>
      <c r="AI87" s="20">
        <f t="shared" si="117"/>
        <v>284.88873462990176</v>
      </c>
      <c r="AJ87" s="20">
        <f t="shared" si="118"/>
        <v>0</v>
      </c>
      <c r="AK87" s="20">
        <f t="shared" si="118"/>
        <v>0</v>
      </c>
      <c r="AL87" s="20">
        <f t="shared" si="118"/>
        <v>0</v>
      </c>
      <c r="AM87" s="20">
        <f t="shared" si="119"/>
        <v>284.88873462990176</v>
      </c>
      <c r="AO87">
        <f t="shared" si="120"/>
        <v>45.935074416181109</v>
      </c>
      <c r="AP87">
        <f t="shared" si="120"/>
        <v>0</v>
      </c>
      <c r="AQ87">
        <f t="shared" si="120"/>
        <v>0</v>
      </c>
      <c r="AR87">
        <f t="shared" si="120"/>
        <v>0</v>
      </c>
      <c r="AS87">
        <f t="shared" si="121"/>
        <v>45.935074416181109</v>
      </c>
      <c r="AU87">
        <f t="shared" si="122"/>
        <v>352.3218981167995</v>
      </c>
      <c r="AV87">
        <f t="shared" si="123"/>
        <v>0</v>
      </c>
      <c r="AW87">
        <f t="shared" si="123"/>
        <v>0</v>
      </c>
      <c r="AX87">
        <f t="shared" si="123"/>
        <v>0</v>
      </c>
      <c r="AY87">
        <f t="shared" si="124"/>
        <v>352.3218981167995</v>
      </c>
    </row>
    <row r="88" spans="1:53" ht="15" x14ac:dyDescent="0.25">
      <c r="A88" s="1"/>
      <c r="B88" s="2"/>
      <c r="C88" s="1" t="s">
        <v>12</v>
      </c>
      <c r="D88">
        <v>0</v>
      </c>
      <c r="E88" s="360">
        <v>0</v>
      </c>
      <c r="F88">
        <v>0</v>
      </c>
      <c r="G88">
        <v>0</v>
      </c>
      <c r="H88">
        <v>0</v>
      </c>
      <c r="J88">
        <v>0</v>
      </c>
      <c r="K88">
        <v>0</v>
      </c>
      <c r="L88">
        <v>0</v>
      </c>
      <c r="M88">
        <v>0</v>
      </c>
      <c r="N88">
        <v>0</v>
      </c>
      <c r="O88" s="20"/>
      <c r="P88" s="20"/>
      <c r="Q88" s="438"/>
      <c r="R88" s="197">
        <v>0.38700000000000001</v>
      </c>
      <c r="S88" s="197">
        <v>2.48</v>
      </c>
      <c r="T88" s="197">
        <v>0.72182006204756977</v>
      </c>
      <c r="U88" s="197">
        <v>0.90789473684210531</v>
      </c>
      <c r="V88" s="20">
        <f t="shared" si="112"/>
        <v>0</v>
      </c>
      <c r="W88" s="20">
        <f t="shared" si="112"/>
        <v>0</v>
      </c>
      <c r="X88" s="20">
        <f t="shared" si="112"/>
        <v>0</v>
      </c>
      <c r="Y88" s="20">
        <f t="shared" si="112"/>
        <v>0</v>
      </c>
      <c r="Z88" s="20">
        <f t="shared" si="113"/>
        <v>0</v>
      </c>
      <c r="AA88" s="20">
        <f t="shared" si="114"/>
        <v>0</v>
      </c>
      <c r="AB88" s="20">
        <f t="shared" si="114"/>
        <v>0</v>
      </c>
      <c r="AC88" s="20">
        <f t="shared" si="114"/>
        <v>0</v>
      </c>
      <c r="AD88" s="20">
        <f t="shared" si="115"/>
        <v>0</v>
      </c>
      <c r="AE88" s="20">
        <f t="shared" si="116"/>
        <v>0</v>
      </c>
      <c r="AF88" s="20">
        <f t="shared" si="116"/>
        <v>0</v>
      </c>
      <c r="AG88" s="20">
        <f t="shared" si="116"/>
        <v>0</v>
      </c>
      <c r="AH88" s="20">
        <f t="shared" si="116"/>
        <v>0</v>
      </c>
      <c r="AI88" s="20">
        <f t="shared" si="117"/>
        <v>0</v>
      </c>
      <c r="AJ88" s="20">
        <f t="shared" si="118"/>
        <v>0</v>
      </c>
      <c r="AK88" s="20">
        <f t="shared" si="118"/>
        <v>0</v>
      </c>
      <c r="AL88" s="20">
        <f t="shared" si="118"/>
        <v>0</v>
      </c>
      <c r="AM88" s="20">
        <f t="shared" si="119"/>
        <v>0</v>
      </c>
      <c r="AO88">
        <f t="shared" si="120"/>
        <v>0</v>
      </c>
      <c r="AP88">
        <f t="shared" si="120"/>
        <v>0</v>
      </c>
      <c r="AQ88">
        <f t="shared" si="120"/>
        <v>0</v>
      </c>
      <c r="AR88">
        <f t="shared" si="120"/>
        <v>0</v>
      </c>
      <c r="AS88">
        <f t="shared" si="121"/>
        <v>0</v>
      </c>
      <c r="AU88">
        <f t="shared" si="122"/>
        <v>0</v>
      </c>
      <c r="AV88">
        <f t="shared" si="123"/>
        <v>0</v>
      </c>
      <c r="AW88">
        <f t="shared" si="123"/>
        <v>0</v>
      </c>
      <c r="AX88">
        <f t="shared" si="123"/>
        <v>0</v>
      </c>
      <c r="AY88">
        <f t="shared" si="124"/>
        <v>0</v>
      </c>
    </row>
    <row r="89" spans="1:53" ht="15" x14ac:dyDescent="0.25">
      <c r="A89" s="1"/>
      <c r="B89" s="2"/>
      <c r="C89" s="1" t="s">
        <v>13</v>
      </c>
      <c r="D89">
        <v>0</v>
      </c>
      <c r="E89" s="360">
        <v>0.3357</v>
      </c>
      <c r="F89">
        <v>0</v>
      </c>
      <c r="G89">
        <v>0</v>
      </c>
      <c r="H89">
        <v>0</v>
      </c>
      <c r="J89">
        <v>0</v>
      </c>
      <c r="K89">
        <v>0</v>
      </c>
      <c r="L89">
        <v>0</v>
      </c>
      <c r="M89">
        <v>0</v>
      </c>
      <c r="N89">
        <v>0</v>
      </c>
      <c r="O89" s="20"/>
      <c r="P89" s="20"/>
      <c r="Q89" s="438">
        <v>0.12221775924730326</v>
      </c>
      <c r="R89" s="197">
        <v>0.38700000000000001</v>
      </c>
      <c r="S89" s="197">
        <v>2.48</v>
      </c>
      <c r="T89" s="197">
        <v>0.72182006204756977</v>
      </c>
      <c r="U89" s="197">
        <v>0.90789473684210531</v>
      </c>
      <c r="V89" s="20">
        <f t="shared" si="112"/>
        <v>0.15878030188596726</v>
      </c>
      <c r="W89" s="20">
        <f t="shared" si="112"/>
        <v>0</v>
      </c>
      <c r="X89" s="20">
        <f t="shared" si="112"/>
        <v>0</v>
      </c>
      <c r="Y89" s="20">
        <f t="shared" si="112"/>
        <v>0</v>
      </c>
      <c r="Z89" s="20">
        <f t="shared" si="113"/>
        <v>0.1226718619780286</v>
      </c>
      <c r="AA89" s="20">
        <f t="shared" si="114"/>
        <v>0</v>
      </c>
      <c r="AB89" s="20">
        <f t="shared" si="114"/>
        <v>0</v>
      </c>
      <c r="AC89" s="20">
        <f t="shared" si="114"/>
        <v>0</v>
      </c>
      <c r="AD89" s="20">
        <f t="shared" si="115"/>
        <v>0.1226718619780286</v>
      </c>
      <c r="AE89" s="20">
        <f t="shared" si="116"/>
        <v>1.0175068441271287</v>
      </c>
      <c r="AF89" s="20">
        <f t="shared" si="116"/>
        <v>0</v>
      </c>
      <c r="AG89" s="20">
        <f t="shared" si="116"/>
        <v>0</v>
      </c>
      <c r="AH89" s="20">
        <f t="shared" si="116"/>
        <v>0</v>
      </c>
      <c r="AI89" s="20">
        <f t="shared" si="117"/>
        <v>0.9408928538144784</v>
      </c>
      <c r="AJ89" s="20">
        <f t="shared" si="118"/>
        <v>0</v>
      </c>
      <c r="AK89" s="20">
        <f t="shared" si="118"/>
        <v>0</v>
      </c>
      <c r="AL89" s="20">
        <f t="shared" si="118"/>
        <v>0</v>
      </c>
      <c r="AM89" s="20">
        <f t="shared" si="119"/>
        <v>0.9408928538144784</v>
      </c>
      <c r="AO89">
        <f t="shared" si="120"/>
        <v>0.15170829170822794</v>
      </c>
      <c r="AP89">
        <f t="shared" si="120"/>
        <v>0</v>
      </c>
      <c r="AQ89">
        <f t="shared" si="120"/>
        <v>0</v>
      </c>
      <c r="AR89">
        <f t="shared" si="120"/>
        <v>0</v>
      </c>
      <c r="AS89">
        <f t="shared" si="121"/>
        <v>0.15170829170822794</v>
      </c>
      <c r="AU89">
        <f t="shared" si="122"/>
        <v>1.1636021923123654</v>
      </c>
      <c r="AV89">
        <f t="shared" si="123"/>
        <v>0</v>
      </c>
      <c r="AW89">
        <f t="shared" si="123"/>
        <v>0</v>
      </c>
      <c r="AX89">
        <f t="shared" si="123"/>
        <v>0</v>
      </c>
      <c r="AY89">
        <f t="shared" si="124"/>
        <v>1.1636021923123654</v>
      </c>
    </row>
    <row r="90" spans="1:53" ht="15" x14ac:dyDescent="0.25">
      <c r="A90" s="7"/>
      <c r="B90" s="8" t="s">
        <v>14</v>
      </c>
      <c r="C90" s="7"/>
      <c r="D90" s="357">
        <f t="shared" ref="D90:H90" si="125">SUM(D84:D89)</f>
        <v>0</v>
      </c>
      <c r="E90" s="363">
        <f>SUM(E84:E89)</f>
        <v>231.7655</v>
      </c>
      <c r="F90" s="357">
        <f t="shared" si="125"/>
        <v>0</v>
      </c>
      <c r="G90" s="357">
        <f t="shared" si="125"/>
        <v>0</v>
      </c>
      <c r="H90" s="357">
        <f t="shared" si="125"/>
        <v>0</v>
      </c>
      <c r="J90">
        <v>0</v>
      </c>
      <c r="K90">
        <v>0</v>
      </c>
      <c r="L90">
        <v>0</v>
      </c>
      <c r="M90">
        <v>0</v>
      </c>
      <c r="N90">
        <v>0</v>
      </c>
      <c r="O90" s="20"/>
      <c r="P90" s="20"/>
      <c r="Q90" s="438">
        <v>7.687920414386866E-2</v>
      </c>
      <c r="R90" s="197"/>
      <c r="S90" s="197"/>
      <c r="T90" s="197"/>
      <c r="U90" s="197"/>
      <c r="BA90" s="319">
        <f>(E90*10000*Q90*AU$10)</f>
        <v>220354.55287406759</v>
      </c>
    </row>
    <row r="91" spans="1:53" ht="15" x14ac:dyDescent="0.25">
      <c r="A91" s="10"/>
      <c r="B91" s="9" t="s">
        <v>15</v>
      </c>
      <c r="C91" s="5"/>
      <c r="E91" s="363">
        <f>SUM(E90)</f>
        <v>231.7655</v>
      </c>
      <c r="H91" s="358">
        <f>SUM(D90:H90)</f>
        <v>231.7655</v>
      </c>
      <c r="K91" s="14"/>
      <c r="N91">
        <v>0</v>
      </c>
      <c r="O91" s="20"/>
      <c r="P91" s="20"/>
      <c r="Q91" s="438"/>
      <c r="R91" s="197"/>
      <c r="S91" s="197"/>
      <c r="T91" s="197"/>
      <c r="U91" s="197"/>
    </row>
    <row r="92" spans="1:53" ht="15.75" x14ac:dyDescent="0.25">
      <c r="A92" s="1"/>
      <c r="B92" s="2"/>
      <c r="C92" s="1"/>
      <c r="E92" s="361"/>
      <c r="K92" s="14"/>
      <c r="O92" s="20"/>
      <c r="P92" s="20"/>
      <c r="Q92" s="439"/>
      <c r="R92" s="197"/>
      <c r="S92" s="197"/>
      <c r="T92" s="197"/>
      <c r="U92" s="197"/>
    </row>
    <row r="93" spans="1:53" ht="15" x14ac:dyDescent="0.25">
      <c r="A93" s="1">
        <v>10</v>
      </c>
      <c r="B93" s="2" t="s">
        <v>24</v>
      </c>
      <c r="C93" s="1" t="s">
        <v>8</v>
      </c>
      <c r="D93">
        <v>0</v>
      </c>
      <c r="E93" s="360">
        <v>125.95440000000001</v>
      </c>
      <c r="F93">
        <v>0</v>
      </c>
      <c r="G93">
        <v>0</v>
      </c>
      <c r="H93">
        <v>0</v>
      </c>
      <c r="J93">
        <v>0</v>
      </c>
      <c r="K93">
        <v>0</v>
      </c>
      <c r="L93">
        <v>0</v>
      </c>
      <c r="M93">
        <v>0</v>
      </c>
      <c r="N93">
        <v>0</v>
      </c>
      <c r="O93" s="20"/>
      <c r="P93" s="20"/>
      <c r="Q93" s="438">
        <v>3.730443981182581E-2</v>
      </c>
      <c r="R93" s="197">
        <v>0.66599999999999993</v>
      </c>
      <c r="S93" s="197">
        <v>4.5549999999999997</v>
      </c>
      <c r="T93" s="197">
        <v>0.60039794540960334</v>
      </c>
      <c r="U93" s="197">
        <v>0.90789473684210531</v>
      </c>
      <c r="V93" s="20">
        <f t="shared" ref="V93:Y98" si="126">IF(K93&gt;0,((E93-K93)*$Q93*$R93*10)+(K93*$O$12*$Q93*$R93*10),(E93*$Q93*$R93*10))</f>
        <v>31.293064503338648</v>
      </c>
      <c r="W93" s="20">
        <f t="shared" si="126"/>
        <v>0</v>
      </c>
      <c r="X93" s="20">
        <f t="shared" si="126"/>
        <v>0</v>
      </c>
      <c r="Y93" s="20">
        <f t="shared" si="126"/>
        <v>0</v>
      </c>
      <c r="Z93" s="20">
        <f t="shared" ref="Z93:Z98" si="127">V93*(EXP(1.01-0.34*LN(Z$8))*(1-$T93)+(1*$T93))</f>
        <v>21.070447183946332</v>
      </c>
      <c r="AA93" s="20">
        <f t="shared" ref="AA93:AC98" si="128">W93*(EXP(1.01-0.34*LN(AA$8))*(1-$U93)+(1*$U93))</f>
        <v>0</v>
      </c>
      <c r="AB93" s="20">
        <f t="shared" si="128"/>
        <v>0</v>
      </c>
      <c r="AC93" s="20">
        <f t="shared" si="128"/>
        <v>0</v>
      </c>
      <c r="AD93" s="20">
        <f t="shared" ref="AD93:AD98" si="129">SUM(Z93:AC93)</f>
        <v>21.070447183946332</v>
      </c>
      <c r="AE93" s="20">
        <f t="shared" ref="AE93:AH98" si="130">IF(K93&gt;0,((E93-K93)*$Q93*$S93*10)+(K93*$P$12*$Q93*$S93)*10,(E93*$Q93*$S93*10))</f>
        <v>214.02388710616751</v>
      </c>
      <c r="AF93" s="20">
        <f t="shared" si="130"/>
        <v>0</v>
      </c>
      <c r="AG93" s="20">
        <f t="shared" si="130"/>
        <v>0</v>
      </c>
      <c r="AH93" s="20">
        <f t="shared" si="130"/>
        <v>0</v>
      </c>
      <c r="AI93" s="20">
        <f t="shared" ref="AI93:AI98" si="131">AE93*(EXP(1.01-0.34*LN(AI$8))*(1-$U93)+(1*$U93))</f>
        <v>197.90878762740766</v>
      </c>
      <c r="AJ93" s="20">
        <f t="shared" ref="AJ93:AL98" si="132">AF93*(EXP(1.01-0.34*LN(AJ$8))*(1-$T93)+(1*$T93))</f>
        <v>0</v>
      </c>
      <c r="AK93" s="20">
        <f t="shared" si="132"/>
        <v>0</v>
      </c>
      <c r="AL93" s="20">
        <f t="shared" si="132"/>
        <v>0</v>
      </c>
      <c r="AM93" s="20">
        <f t="shared" ref="AM93:AM98" si="133">SUM(AI93:AL93)</f>
        <v>197.90878762740766</v>
      </c>
      <c r="AO93">
        <f t="shared" ref="AO93:AR98" si="134">Z93*AO$10</f>
        <v>26.057822032386426</v>
      </c>
      <c r="AP93">
        <f t="shared" si="134"/>
        <v>0</v>
      </c>
      <c r="AQ93">
        <f t="shared" si="134"/>
        <v>0</v>
      </c>
      <c r="AR93">
        <f t="shared" si="134"/>
        <v>0</v>
      </c>
      <c r="AS93">
        <f t="shared" ref="AS93:AS98" si="135">SUM(AO93:AR93)</f>
        <v>26.057822032386426</v>
      </c>
      <c r="AU93">
        <f t="shared" ref="AU93:AU98" si="136">AI93*AU$10</f>
        <v>244.75379765881505</v>
      </c>
      <c r="AV93">
        <f t="shared" ref="AV93:AX98" si="137">AJ93*AV$10</f>
        <v>0</v>
      </c>
      <c r="AW93">
        <f t="shared" si="137"/>
        <v>0</v>
      </c>
      <c r="AX93">
        <f t="shared" si="137"/>
        <v>0</v>
      </c>
      <c r="AY93">
        <f t="shared" ref="AY93:AY98" si="138">SUM(AU93:AX93)</f>
        <v>244.75379765881505</v>
      </c>
    </row>
    <row r="94" spans="1:53" ht="15" x14ac:dyDescent="0.25">
      <c r="A94" s="1"/>
      <c r="B94" s="2"/>
      <c r="C94" s="1" t="s">
        <v>9</v>
      </c>
      <c r="D94">
        <v>0</v>
      </c>
      <c r="E94" s="360">
        <v>5.7535999999999996</v>
      </c>
      <c r="F94">
        <v>0</v>
      </c>
      <c r="G94">
        <v>0</v>
      </c>
      <c r="H94">
        <v>0</v>
      </c>
      <c r="J94">
        <v>0</v>
      </c>
      <c r="K94">
        <v>0</v>
      </c>
      <c r="L94">
        <v>0</v>
      </c>
      <c r="M94">
        <v>0</v>
      </c>
      <c r="N94">
        <v>0</v>
      </c>
      <c r="O94" s="20"/>
      <c r="P94" s="20"/>
      <c r="Q94" s="438">
        <v>6.5608879623651625E-2</v>
      </c>
      <c r="R94" s="197">
        <v>0.66599999999999993</v>
      </c>
      <c r="S94" s="197">
        <v>4.5549999999999997</v>
      </c>
      <c r="T94" s="197">
        <v>0.60039794540960334</v>
      </c>
      <c r="U94" s="197">
        <v>0.90789473684210531</v>
      </c>
      <c r="V94" s="20">
        <f t="shared" si="126"/>
        <v>2.5140650836855953</v>
      </c>
      <c r="W94" s="20">
        <f t="shared" si="126"/>
        <v>0</v>
      </c>
      <c r="X94" s="20">
        <f t="shared" si="126"/>
        <v>0</v>
      </c>
      <c r="Y94" s="20">
        <f t="shared" si="126"/>
        <v>0</v>
      </c>
      <c r="Z94" s="20">
        <f t="shared" si="127"/>
        <v>1.6927864497626728</v>
      </c>
      <c r="AA94" s="20">
        <f t="shared" si="128"/>
        <v>0</v>
      </c>
      <c r="AB94" s="20">
        <f t="shared" si="128"/>
        <v>0</v>
      </c>
      <c r="AC94" s="20">
        <f t="shared" si="128"/>
        <v>0</v>
      </c>
      <c r="AD94" s="20">
        <f t="shared" si="129"/>
        <v>1.6927864497626728</v>
      </c>
      <c r="AE94" s="20">
        <f t="shared" si="130"/>
        <v>17.194544228510338</v>
      </c>
      <c r="AF94" s="20">
        <f t="shared" si="130"/>
        <v>0</v>
      </c>
      <c r="AG94" s="20">
        <f t="shared" si="130"/>
        <v>0</v>
      </c>
      <c r="AH94" s="20">
        <f t="shared" si="130"/>
        <v>0</v>
      </c>
      <c r="AI94" s="20">
        <f t="shared" si="131"/>
        <v>15.899867290898568</v>
      </c>
      <c r="AJ94" s="20">
        <f t="shared" si="132"/>
        <v>0</v>
      </c>
      <c r="AK94" s="20">
        <f t="shared" si="132"/>
        <v>0</v>
      </c>
      <c r="AL94" s="20">
        <f t="shared" si="132"/>
        <v>0</v>
      </c>
      <c r="AM94" s="20">
        <f t="shared" si="133"/>
        <v>15.899867290898568</v>
      </c>
      <c r="AO94">
        <f t="shared" si="134"/>
        <v>2.0934690024214975</v>
      </c>
      <c r="AP94">
        <f t="shared" si="134"/>
        <v>0</v>
      </c>
      <c r="AQ94">
        <f t="shared" si="134"/>
        <v>0</v>
      </c>
      <c r="AR94">
        <f t="shared" si="134"/>
        <v>0</v>
      </c>
      <c r="AS94">
        <f t="shared" si="135"/>
        <v>2.0934690024214975</v>
      </c>
      <c r="AU94">
        <f t="shared" si="136"/>
        <v>19.663365878654258</v>
      </c>
      <c r="AV94">
        <f t="shared" si="137"/>
        <v>0</v>
      </c>
      <c r="AW94">
        <f t="shared" si="137"/>
        <v>0</v>
      </c>
      <c r="AX94">
        <f t="shared" si="137"/>
        <v>0</v>
      </c>
      <c r="AY94">
        <f t="shared" si="138"/>
        <v>19.663365878654258</v>
      </c>
    </row>
    <row r="95" spans="1:53" ht="15" x14ac:dyDescent="0.25">
      <c r="A95" s="1"/>
      <c r="B95" s="2"/>
      <c r="C95" s="1" t="s">
        <v>10</v>
      </c>
      <c r="D95">
        <v>0</v>
      </c>
      <c r="E95" s="360"/>
      <c r="F95">
        <v>0</v>
      </c>
      <c r="G95">
        <v>0</v>
      </c>
      <c r="H95">
        <v>0</v>
      </c>
      <c r="J95">
        <v>0</v>
      </c>
      <c r="K95">
        <v>0</v>
      </c>
      <c r="L95">
        <v>0</v>
      </c>
      <c r="M95">
        <v>0</v>
      </c>
      <c r="N95">
        <v>0</v>
      </c>
      <c r="O95" s="20"/>
      <c r="P95" s="20"/>
      <c r="Q95" s="438"/>
      <c r="R95" s="197">
        <v>0.66599999999999993</v>
      </c>
      <c r="S95" s="197">
        <v>4.5549999999999997</v>
      </c>
      <c r="T95" s="197">
        <v>0.60039794540960334</v>
      </c>
      <c r="U95" s="197">
        <v>0.90789473684210531</v>
      </c>
      <c r="V95" s="20">
        <f t="shared" si="126"/>
        <v>0</v>
      </c>
      <c r="W95" s="20">
        <f t="shared" si="126"/>
        <v>0</v>
      </c>
      <c r="X95" s="20">
        <f t="shared" si="126"/>
        <v>0</v>
      </c>
      <c r="Y95" s="20">
        <f t="shared" si="126"/>
        <v>0</v>
      </c>
      <c r="Z95" s="20">
        <f t="shared" si="127"/>
        <v>0</v>
      </c>
      <c r="AA95" s="20">
        <f t="shared" si="128"/>
        <v>0</v>
      </c>
      <c r="AB95" s="20">
        <f t="shared" si="128"/>
        <v>0</v>
      </c>
      <c r="AC95" s="20">
        <f t="shared" si="128"/>
        <v>0</v>
      </c>
      <c r="AD95" s="20">
        <f t="shared" si="129"/>
        <v>0</v>
      </c>
      <c r="AE95" s="20">
        <f t="shared" si="130"/>
        <v>0</v>
      </c>
      <c r="AF95" s="20">
        <f t="shared" si="130"/>
        <v>0</v>
      </c>
      <c r="AG95" s="20">
        <f t="shared" si="130"/>
        <v>0</v>
      </c>
      <c r="AH95" s="20">
        <f t="shared" si="130"/>
        <v>0</v>
      </c>
      <c r="AI95" s="20">
        <f t="shared" si="131"/>
        <v>0</v>
      </c>
      <c r="AJ95" s="20">
        <f t="shared" si="132"/>
        <v>0</v>
      </c>
      <c r="AK95" s="20">
        <f t="shared" si="132"/>
        <v>0</v>
      </c>
      <c r="AL95" s="20">
        <f t="shared" si="132"/>
        <v>0</v>
      </c>
      <c r="AM95" s="20">
        <f t="shared" si="133"/>
        <v>0</v>
      </c>
      <c r="AO95">
        <f t="shared" si="134"/>
        <v>0</v>
      </c>
      <c r="AP95">
        <f t="shared" si="134"/>
        <v>0</v>
      </c>
      <c r="AQ95">
        <f t="shared" si="134"/>
        <v>0</v>
      </c>
      <c r="AR95">
        <f t="shared" si="134"/>
        <v>0</v>
      </c>
      <c r="AS95">
        <f t="shared" si="135"/>
        <v>0</v>
      </c>
      <c r="AU95">
        <f t="shared" si="136"/>
        <v>0</v>
      </c>
      <c r="AV95">
        <f t="shared" si="137"/>
        <v>0</v>
      </c>
      <c r="AW95">
        <f t="shared" si="137"/>
        <v>0</v>
      </c>
      <c r="AX95">
        <f t="shared" si="137"/>
        <v>0</v>
      </c>
      <c r="AY95">
        <f t="shared" si="138"/>
        <v>0</v>
      </c>
    </row>
    <row r="96" spans="1:53" ht="15" x14ac:dyDescent="0.25">
      <c r="A96" s="1"/>
      <c r="B96" s="2"/>
      <c r="C96" s="1" t="s">
        <v>11</v>
      </c>
      <c r="D96">
        <v>0</v>
      </c>
      <c r="E96" s="360">
        <v>55.817700000000002</v>
      </c>
      <c r="F96">
        <v>0</v>
      </c>
      <c r="G96">
        <v>0</v>
      </c>
      <c r="H96">
        <v>0</v>
      </c>
      <c r="J96">
        <v>0</v>
      </c>
      <c r="K96">
        <v>0</v>
      </c>
      <c r="L96">
        <v>0</v>
      </c>
      <c r="M96">
        <v>0</v>
      </c>
      <c r="N96">
        <v>0</v>
      </c>
      <c r="O96" s="20"/>
      <c r="P96" s="20"/>
      <c r="Q96" s="438">
        <v>0.12221775924730324</v>
      </c>
      <c r="R96" s="197">
        <v>0.66599999999999993</v>
      </c>
      <c r="S96" s="197">
        <v>4.5549999999999997</v>
      </c>
      <c r="T96" s="197">
        <v>0.60039794540960334</v>
      </c>
      <c r="U96" s="197">
        <v>0.90789473684210531</v>
      </c>
      <c r="V96" s="20">
        <f t="shared" si="126"/>
        <v>45.433948707452394</v>
      </c>
      <c r="W96" s="20">
        <f t="shared" si="126"/>
        <v>0</v>
      </c>
      <c r="X96" s="20">
        <f t="shared" si="126"/>
        <v>0</v>
      </c>
      <c r="Y96" s="20">
        <f t="shared" si="126"/>
        <v>0</v>
      </c>
      <c r="Z96" s="20">
        <f t="shared" si="127"/>
        <v>30.591878161896442</v>
      </c>
      <c r="AA96" s="20">
        <f t="shared" si="128"/>
        <v>0</v>
      </c>
      <c r="AB96" s="20">
        <f t="shared" si="128"/>
        <v>0</v>
      </c>
      <c r="AC96" s="20">
        <f t="shared" si="128"/>
        <v>0</v>
      </c>
      <c r="AD96" s="20">
        <f t="shared" si="129"/>
        <v>30.591878161896442</v>
      </c>
      <c r="AE96" s="20">
        <f t="shared" si="130"/>
        <v>310.73819273640493</v>
      </c>
      <c r="AF96" s="20">
        <f t="shared" si="130"/>
        <v>0</v>
      </c>
      <c r="AG96" s="20">
        <f t="shared" si="130"/>
        <v>0</v>
      </c>
      <c r="AH96" s="20">
        <f t="shared" si="130"/>
        <v>0</v>
      </c>
      <c r="AI96" s="20">
        <f t="shared" si="131"/>
        <v>287.34091238837914</v>
      </c>
      <c r="AJ96" s="20">
        <f t="shared" si="132"/>
        <v>0</v>
      </c>
      <c r="AK96" s="20">
        <f t="shared" si="132"/>
        <v>0</v>
      </c>
      <c r="AL96" s="20">
        <f t="shared" si="132"/>
        <v>0</v>
      </c>
      <c r="AM96" s="20">
        <f t="shared" si="133"/>
        <v>287.34091238837914</v>
      </c>
      <c r="AO96">
        <f t="shared" si="134"/>
        <v>37.832975722817331</v>
      </c>
      <c r="AP96">
        <f t="shared" si="134"/>
        <v>0</v>
      </c>
      <c r="AQ96">
        <f t="shared" si="134"/>
        <v>0</v>
      </c>
      <c r="AR96">
        <f t="shared" si="134"/>
        <v>0</v>
      </c>
      <c r="AS96">
        <f t="shared" si="135"/>
        <v>37.832975722817331</v>
      </c>
      <c r="AU96">
        <f t="shared" si="136"/>
        <v>355.35450635070845</v>
      </c>
      <c r="AV96">
        <f t="shared" si="137"/>
        <v>0</v>
      </c>
      <c r="AW96">
        <f t="shared" si="137"/>
        <v>0</v>
      </c>
      <c r="AX96">
        <f t="shared" si="137"/>
        <v>0</v>
      </c>
      <c r="AY96">
        <f t="shared" si="138"/>
        <v>355.35450635070845</v>
      </c>
    </row>
    <row r="97" spans="1:53" ht="15" x14ac:dyDescent="0.25">
      <c r="A97" s="1"/>
      <c r="B97" s="2"/>
      <c r="C97" s="1" t="s">
        <v>12</v>
      </c>
      <c r="D97">
        <v>0</v>
      </c>
      <c r="E97" s="360">
        <v>0</v>
      </c>
      <c r="F97">
        <v>0</v>
      </c>
      <c r="G97">
        <v>0</v>
      </c>
      <c r="H9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20"/>
      <c r="P97" s="20"/>
      <c r="Q97" s="438"/>
      <c r="R97" s="197">
        <v>0.66599999999999993</v>
      </c>
      <c r="S97" s="197">
        <v>4.5549999999999997</v>
      </c>
      <c r="T97" s="197">
        <v>0.60039794540960334</v>
      </c>
      <c r="U97" s="197">
        <v>0.90789473684210531</v>
      </c>
      <c r="V97" s="20">
        <f t="shared" si="126"/>
        <v>0</v>
      </c>
      <c r="W97" s="20">
        <f t="shared" si="126"/>
        <v>0</v>
      </c>
      <c r="X97" s="20">
        <f t="shared" si="126"/>
        <v>0</v>
      </c>
      <c r="Y97" s="20">
        <f t="shared" si="126"/>
        <v>0</v>
      </c>
      <c r="Z97" s="20">
        <f t="shared" si="127"/>
        <v>0</v>
      </c>
      <c r="AA97" s="20">
        <f t="shared" si="128"/>
        <v>0</v>
      </c>
      <c r="AB97" s="20">
        <f t="shared" si="128"/>
        <v>0</v>
      </c>
      <c r="AC97" s="20">
        <f t="shared" si="128"/>
        <v>0</v>
      </c>
      <c r="AD97" s="20">
        <f t="shared" si="129"/>
        <v>0</v>
      </c>
      <c r="AE97" s="20">
        <f t="shared" si="130"/>
        <v>0</v>
      </c>
      <c r="AF97" s="20">
        <f t="shared" si="130"/>
        <v>0</v>
      </c>
      <c r="AG97" s="20">
        <f t="shared" si="130"/>
        <v>0</v>
      </c>
      <c r="AH97" s="20">
        <f t="shared" si="130"/>
        <v>0</v>
      </c>
      <c r="AI97" s="20">
        <f t="shared" si="131"/>
        <v>0</v>
      </c>
      <c r="AJ97" s="20">
        <f t="shared" si="132"/>
        <v>0</v>
      </c>
      <c r="AK97" s="20">
        <f t="shared" si="132"/>
        <v>0</v>
      </c>
      <c r="AL97" s="20">
        <f t="shared" si="132"/>
        <v>0</v>
      </c>
      <c r="AM97" s="20">
        <f t="shared" si="133"/>
        <v>0</v>
      </c>
      <c r="AO97">
        <f t="shared" si="134"/>
        <v>0</v>
      </c>
      <c r="AP97">
        <f t="shared" si="134"/>
        <v>0</v>
      </c>
      <c r="AQ97">
        <f t="shared" si="134"/>
        <v>0</v>
      </c>
      <c r="AR97">
        <f t="shared" si="134"/>
        <v>0</v>
      </c>
      <c r="AS97">
        <f t="shared" si="135"/>
        <v>0</v>
      </c>
      <c r="AU97">
        <f t="shared" si="136"/>
        <v>0</v>
      </c>
      <c r="AV97">
        <f t="shared" si="137"/>
        <v>0</v>
      </c>
      <c r="AW97">
        <f t="shared" si="137"/>
        <v>0</v>
      </c>
      <c r="AX97">
        <f t="shared" si="137"/>
        <v>0</v>
      </c>
      <c r="AY97">
        <f t="shared" si="138"/>
        <v>0</v>
      </c>
    </row>
    <row r="98" spans="1:53" ht="15" x14ac:dyDescent="0.25">
      <c r="A98" s="1"/>
      <c r="B98" s="2"/>
      <c r="C98" s="1" t="s">
        <v>13</v>
      </c>
      <c r="D98">
        <v>0</v>
      </c>
      <c r="E98" s="360">
        <v>0.22670000000000001</v>
      </c>
      <c r="F98">
        <v>0</v>
      </c>
      <c r="G98">
        <v>0</v>
      </c>
      <c r="H98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20"/>
      <c r="P98" s="20"/>
      <c r="Q98" s="438">
        <v>0.12221775924730326</v>
      </c>
      <c r="R98" s="197">
        <v>0.66599999999999993</v>
      </c>
      <c r="S98" s="197">
        <v>4.5549999999999997</v>
      </c>
      <c r="T98" s="197">
        <v>0.60039794540960334</v>
      </c>
      <c r="U98" s="197">
        <v>0.90789473684210531</v>
      </c>
      <c r="V98" s="20">
        <f t="shared" si="126"/>
        <v>0.18452706170228189</v>
      </c>
      <c r="W98" s="20">
        <f t="shared" si="126"/>
        <v>0</v>
      </c>
      <c r="X98" s="20">
        <f t="shared" si="126"/>
        <v>0</v>
      </c>
      <c r="Y98" s="20">
        <f t="shared" si="126"/>
        <v>0</v>
      </c>
      <c r="Z98" s="20">
        <f t="shared" si="127"/>
        <v>0.12424694638621664</v>
      </c>
      <c r="AA98" s="20">
        <f t="shared" si="128"/>
        <v>0</v>
      </c>
      <c r="AB98" s="20">
        <f t="shared" si="128"/>
        <v>0</v>
      </c>
      <c r="AC98" s="20">
        <f t="shared" si="128"/>
        <v>0</v>
      </c>
      <c r="AD98" s="20">
        <f t="shared" si="129"/>
        <v>0.12424694638621664</v>
      </c>
      <c r="AE98" s="20">
        <f t="shared" si="130"/>
        <v>1.2620431922731143</v>
      </c>
      <c r="AF98" s="20">
        <f t="shared" si="130"/>
        <v>0</v>
      </c>
      <c r="AG98" s="20">
        <f t="shared" si="130"/>
        <v>0</v>
      </c>
      <c r="AH98" s="20">
        <f t="shared" si="130"/>
        <v>0</v>
      </c>
      <c r="AI98" s="20">
        <f t="shared" si="131"/>
        <v>1.1670166423633646</v>
      </c>
      <c r="AJ98" s="20">
        <f t="shared" si="132"/>
        <v>0</v>
      </c>
      <c r="AK98" s="20">
        <f t="shared" si="132"/>
        <v>0</v>
      </c>
      <c r="AL98" s="20">
        <f t="shared" si="132"/>
        <v>0</v>
      </c>
      <c r="AM98" s="20">
        <f t="shared" si="133"/>
        <v>1.1670166423633646</v>
      </c>
      <c r="AO98">
        <f t="shared" si="134"/>
        <v>0.1536561985958341</v>
      </c>
      <c r="AP98">
        <f t="shared" si="134"/>
        <v>0</v>
      </c>
      <c r="AQ98">
        <f t="shared" si="134"/>
        <v>0</v>
      </c>
      <c r="AR98">
        <f t="shared" si="134"/>
        <v>0</v>
      </c>
      <c r="AS98">
        <f t="shared" si="135"/>
        <v>0.1536561985958341</v>
      </c>
      <c r="AU98">
        <f t="shared" si="136"/>
        <v>1.4432494816107728</v>
      </c>
      <c r="AV98">
        <f t="shared" si="137"/>
        <v>0</v>
      </c>
      <c r="AW98">
        <f t="shared" si="137"/>
        <v>0</v>
      </c>
      <c r="AX98">
        <f t="shared" si="137"/>
        <v>0</v>
      </c>
      <c r="AY98">
        <f t="shared" si="138"/>
        <v>1.4432494816107728</v>
      </c>
    </row>
    <row r="99" spans="1:53" ht="15" x14ac:dyDescent="0.25">
      <c r="A99" s="7"/>
      <c r="B99" s="8" t="s">
        <v>14</v>
      </c>
      <c r="C99" s="7"/>
      <c r="D99" s="357">
        <f t="shared" ref="D99:H99" si="139">SUM(D93:D98)</f>
        <v>0</v>
      </c>
      <c r="E99" s="363">
        <f>SUM(E93:E98)</f>
        <v>187.75239999999999</v>
      </c>
      <c r="F99" s="357">
        <f t="shared" si="139"/>
        <v>0</v>
      </c>
      <c r="G99" s="357">
        <f t="shared" si="139"/>
        <v>0</v>
      </c>
      <c r="H99" s="357">
        <f t="shared" si="139"/>
        <v>0</v>
      </c>
      <c r="J99">
        <v>0</v>
      </c>
      <c r="K99">
        <v>0</v>
      </c>
      <c r="L99">
        <v>0</v>
      </c>
      <c r="M99">
        <v>0</v>
      </c>
      <c r="N99">
        <v>0</v>
      </c>
      <c r="O99" s="20"/>
      <c r="P99" s="20"/>
      <c r="Q99" s="438">
        <v>6.3518583890255664E-2</v>
      </c>
      <c r="R99" s="197"/>
      <c r="S99" s="197"/>
      <c r="T99" s="197"/>
      <c r="U99" s="197"/>
      <c r="BA99" s="319">
        <f>(E99*10000*Q99*AU$10)</f>
        <v>147485.95517115088</v>
      </c>
    </row>
    <row r="100" spans="1:53" ht="15" x14ac:dyDescent="0.25">
      <c r="A100" s="10"/>
      <c r="B100" s="9" t="s">
        <v>15</v>
      </c>
      <c r="C100" s="5"/>
      <c r="E100" s="363">
        <f>SUM(E99)</f>
        <v>187.75239999999999</v>
      </c>
      <c r="H100" s="358">
        <f>SUM(D99:H99)</f>
        <v>187.75239999999999</v>
      </c>
      <c r="K100" s="14"/>
      <c r="N100">
        <v>0</v>
      </c>
      <c r="O100" s="20"/>
      <c r="P100" s="20"/>
      <c r="Q100" s="438"/>
      <c r="R100" s="197"/>
      <c r="S100" s="197"/>
      <c r="T100" s="197"/>
      <c r="U100" s="197"/>
    </row>
    <row r="101" spans="1:53" ht="15.75" x14ac:dyDescent="0.25">
      <c r="A101" s="1"/>
      <c r="B101" s="2"/>
      <c r="C101" s="1"/>
      <c r="E101" s="361"/>
      <c r="K101" s="14"/>
      <c r="O101" s="20"/>
      <c r="P101" s="20"/>
      <c r="Q101" s="439"/>
      <c r="R101" s="197"/>
      <c r="S101" s="197"/>
      <c r="T101" s="197"/>
      <c r="U101" s="197"/>
    </row>
    <row r="102" spans="1:53" ht="15" x14ac:dyDescent="0.25">
      <c r="A102" s="1">
        <v>11</v>
      </c>
      <c r="B102" s="2" t="s">
        <v>25</v>
      </c>
      <c r="C102" s="1" t="s">
        <v>8</v>
      </c>
      <c r="D102">
        <v>0</v>
      </c>
      <c r="E102" s="360">
        <v>9.1846999999999994</v>
      </c>
      <c r="F102">
        <v>0</v>
      </c>
      <c r="G102">
        <v>0</v>
      </c>
      <c r="H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 s="20"/>
      <c r="P102" s="20"/>
      <c r="Q102" s="438">
        <v>3.7304439811825817E-2</v>
      </c>
      <c r="R102" s="197">
        <v>0.14000000000000001</v>
      </c>
      <c r="S102" s="197">
        <v>2.0499999999999998</v>
      </c>
      <c r="T102" s="197">
        <v>0.62857142857142845</v>
      </c>
      <c r="U102" s="197">
        <v>0.90789473684210531</v>
      </c>
      <c r="V102" s="20">
        <f t="shared" ref="V102:Y107" si="140">IF(K102&gt;0,((E102-K102)*$Q102*$R102*10)+(K102*$O$12*$Q102*$R102*10),(E102*$Q102*$R102*10))</f>
        <v>0.47968212367554725</v>
      </c>
      <c r="W102" s="20">
        <f t="shared" si="140"/>
        <v>0</v>
      </c>
      <c r="X102" s="20">
        <f t="shared" si="140"/>
        <v>0</v>
      </c>
      <c r="Y102" s="20">
        <f t="shared" si="140"/>
        <v>0</v>
      </c>
      <c r="Z102" s="20">
        <f t="shared" ref="Z102:Z107" si="141">V102*(EXP(1.01-0.34*LN(Z$8))*(1-$T102)+(1*$T102))</f>
        <v>0.33403056470305509</v>
      </c>
      <c r="AA102" s="20">
        <f t="shared" ref="AA102:AC107" si="142">W102*(EXP(1.01-0.34*LN(AA$8))*(1-$U102)+(1*$U102))</f>
        <v>0</v>
      </c>
      <c r="AB102" s="20">
        <f t="shared" si="142"/>
        <v>0</v>
      </c>
      <c r="AC102" s="20">
        <f t="shared" si="142"/>
        <v>0</v>
      </c>
      <c r="AD102" s="20">
        <f t="shared" ref="AD102:AD107" si="143">SUM(Z102:AC102)</f>
        <v>0.33403056470305509</v>
      </c>
      <c r="AE102" s="20">
        <f t="shared" ref="AE102:AH107" si="144">IF(K102&gt;0,((E102-K102)*$Q102*$S102*10)+(K102*$P$12*$Q102*$S102)*10,(E102*$Q102*$S102*10))</f>
        <v>7.0239168109633692</v>
      </c>
      <c r="AF102" s="20">
        <f t="shared" si="144"/>
        <v>0</v>
      </c>
      <c r="AG102" s="20">
        <f t="shared" si="144"/>
        <v>0</v>
      </c>
      <c r="AH102" s="20">
        <f t="shared" si="144"/>
        <v>0</v>
      </c>
      <c r="AI102" s="20">
        <f t="shared" ref="AI102:AI107" si="145">AE102*(EXP(1.01-0.34*LN(AI$8))*(1-$U102)+(1*$U102))</f>
        <v>6.4950453860506006</v>
      </c>
      <c r="AJ102" s="20">
        <f t="shared" ref="AJ102:AL107" si="146">AF102*(EXP(1.01-0.34*LN(AJ$8))*(1-$T102)+(1*$T102))</f>
        <v>0</v>
      </c>
      <c r="AK102" s="20">
        <f t="shared" si="146"/>
        <v>0</v>
      </c>
      <c r="AL102" s="20">
        <f t="shared" si="146"/>
        <v>0</v>
      </c>
      <c r="AM102" s="20">
        <f t="shared" ref="AM102:AM107" si="147">SUM(AI102:AL102)</f>
        <v>6.4950453860506006</v>
      </c>
      <c r="AO102">
        <f t="shared" ref="AO102:AR107" si="148">Z102*AO$10</f>
        <v>0.41309559936826817</v>
      </c>
      <c r="AP102">
        <f t="shared" si="148"/>
        <v>0</v>
      </c>
      <c r="AQ102">
        <f t="shared" si="148"/>
        <v>0</v>
      </c>
      <c r="AR102">
        <f t="shared" si="148"/>
        <v>0</v>
      </c>
      <c r="AS102">
        <f t="shared" ref="AS102:AS107" si="149">SUM(AO102:AR102)</f>
        <v>0.41309559936826817</v>
      </c>
      <c r="AU102">
        <f t="shared" ref="AU102:AU107" si="150">AI102*AU$10</f>
        <v>8.0324226289287779</v>
      </c>
      <c r="AV102">
        <f t="shared" ref="AV102:AX107" si="151">AJ102*AV$10</f>
        <v>0</v>
      </c>
      <c r="AW102">
        <f t="shared" si="151"/>
        <v>0</v>
      </c>
      <c r="AX102">
        <f t="shared" si="151"/>
        <v>0</v>
      </c>
      <c r="AY102">
        <f t="shared" ref="AY102:AY107" si="152">SUM(AU102:AX102)</f>
        <v>8.0324226289287779</v>
      </c>
    </row>
    <row r="103" spans="1:53" ht="15" x14ac:dyDescent="0.25">
      <c r="A103" s="1"/>
      <c r="B103" s="2"/>
      <c r="C103" s="1" t="s">
        <v>9</v>
      </c>
      <c r="D103">
        <v>0</v>
      </c>
      <c r="E103" s="360">
        <v>0</v>
      </c>
      <c r="F103">
        <v>0</v>
      </c>
      <c r="G103">
        <v>0</v>
      </c>
      <c r="H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 s="20"/>
      <c r="P103" s="20"/>
      <c r="Q103" s="438"/>
      <c r="R103" s="197">
        <v>0.14000000000000001</v>
      </c>
      <c r="S103" s="197">
        <v>2.0499999999999998</v>
      </c>
      <c r="T103" s="197">
        <v>0.62857142857142845</v>
      </c>
      <c r="U103" s="197">
        <v>0.90789473684210531</v>
      </c>
      <c r="V103" s="20">
        <f t="shared" si="140"/>
        <v>0</v>
      </c>
      <c r="W103" s="20">
        <f t="shared" si="140"/>
        <v>0</v>
      </c>
      <c r="X103" s="20">
        <f t="shared" si="140"/>
        <v>0</v>
      </c>
      <c r="Y103" s="20">
        <f t="shared" si="140"/>
        <v>0</v>
      </c>
      <c r="Z103" s="20">
        <f t="shared" si="141"/>
        <v>0</v>
      </c>
      <c r="AA103" s="20">
        <f t="shared" si="142"/>
        <v>0</v>
      </c>
      <c r="AB103" s="20">
        <f t="shared" si="142"/>
        <v>0</v>
      </c>
      <c r="AC103" s="20">
        <f t="shared" si="142"/>
        <v>0</v>
      </c>
      <c r="AD103" s="20">
        <f t="shared" si="143"/>
        <v>0</v>
      </c>
      <c r="AE103" s="20">
        <f t="shared" si="144"/>
        <v>0</v>
      </c>
      <c r="AF103" s="20">
        <f t="shared" si="144"/>
        <v>0</v>
      </c>
      <c r="AG103" s="20">
        <f t="shared" si="144"/>
        <v>0</v>
      </c>
      <c r="AH103" s="20">
        <f t="shared" si="144"/>
        <v>0</v>
      </c>
      <c r="AI103" s="20">
        <f t="shared" si="145"/>
        <v>0</v>
      </c>
      <c r="AJ103" s="20">
        <f t="shared" si="146"/>
        <v>0</v>
      </c>
      <c r="AK103" s="20">
        <f t="shared" si="146"/>
        <v>0</v>
      </c>
      <c r="AL103" s="20">
        <f t="shared" si="146"/>
        <v>0</v>
      </c>
      <c r="AM103" s="20">
        <f t="shared" si="147"/>
        <v>0</v>
      </c>
      <c r="AO103">
        <f t="shared" si="148"/>
        <v>0</v>
      </c>
      <c r="AP103">
        <f t="shared" si="148"/>
        <v>0</v>
      </c>
      <c r="AQ103">
        <f t="shared" si="148"/>
        <v>0</v>
      </c>
      <c r="AR103">
        <f t="shared" si="148"/>
        <v>0</v>
      </c>
      <c r="AS103">
        <f t="shared" si="149"/>
        <v>0</v>
      </c>
      <c r="AU103">
        <f t="shared" si="150"/>
        <v>0</v>
      </c>
      <c r="AV103">
        <f t="shared" si="151"/>
        <v>0</v>
      </c>
      <c r="AW103">
        <f t="shared" si="151"/>
        <v>0</v>
      </c>
      <c r="AX103">
        <f t="shared" si="151"/>
        <v>0</v>
      </c>
      <c r="AY103">
        <f t="shared" si="152"/>
        <v>0</v>
      </c>
    </row>
    <row r="104" spans="1:53" ht="15" x14ac:dyDescent="0.25">
      <c r="A104" s="1"/>
      <c r="B104" s="2"/>
      <c r="C104" s="1" t="s">
        <v>10</v>
      </c>
      <c r="D104">
        <v>0</v>
      </c>
      <c r="E104" s="360">
        <v>0</v>
      </c>
      <c r="F104">
        <v>0</v>
      </c>
      <c r="G104">
        <v>0</v>
      </c>
      <c r="H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 s="20"/>
      <c r="P104" s="20"/>
      <c r="Q104" s="438"/>
      <c r="R104" s="197">
        <v>0.14000000000000001</v>
      </c>
      <c r="S104" s="197">
        <v>2.0499999999999998</v>
      </c>
      <c r="T104" s="197">
        <v>0.62857142857142845</v>
      </c>
      <c r="U104" s="197">
        <v>0.90789473684210531</v>
      </c>
      <c r="V104" s="20">
        <f t="shared" si="140"/>
        <v>0</v>
      </c>
      <c r="W104" s="20">
        <f t="shared" si="140"/>
        <v>0</v>
      </c>
      <c r="X104" s="20">
        <f t="shared" si="140"/>
        <v>0</v>
      </c>
      <c r="Y104" s="20">
        <f t="shared" si="140"/>
        <v>0</v>
      </c>
      <c r="Z104" s="20">
        <f t="shared" si="141"/>
        <v>0</v>
      </c>
      <c r="AA104" s="20">
        <f t="shared" si="142"/>
        <v>0</v>
      </c>
      <c r="AB104" s="20">
        <f t="shared" si="142"/>
        <v>0</v>
      </c>
      <c r="AC104" s="20">
        <f t="shared" si="142"/>
        <v>0</v>
      </c>
      <c r="AD104" s="20">
        <f t="shared" si="143"/>
        <v>0</v>
      </c>
      <c r="AE104" s="20">
        <f t="shared" si="144"/>
        <v>0</v>
      </c>
      <c r="AF104" s="20">
        <f t="shared" si="144"/>
        <v>0</v>
      </c>
      <c r="AG104" s="20">
        <f t="shared" si="144"/>
        <v>0</v>
      </c>
      <c r="AH104" s="20">
        <f t="shared" si="144"/>
        <v>0</v>
      </c>
      <c r="AI104" s="20">
        <f t="shared" si="145"/>
        <v>0</v>
      </c>
      <c r="AJ104" s="20">
        <f t="shared" si="146"/>
        <v>0</v>
      </c>
      <c r="AK104" s="20">
        <f t="shared" si="146"/>
        <v>0</v>
      </c>
      <c r="AL104" s="20">
        <f t="shared" si="146"/>
        <v>0</v>
      </c>
      <c r="AM104" s="20">
        <f t="shared" si="147"/>
        <v>0</v>
      </c>
      <c r="AO104">
        <f t="shared" si="148"/>
        <v>0</v>
      </c>
      <c r="AP104">
        <f t="shared" si="148"/>
        <v>0</v>
      </c>
      <c r="AQ104">
        <f t="shared" si="148"/>
        <v>0</v>
      </c>
      <c r="AR104">
        <f t="shared" si="148"/>
        <v>0</v>
      </c>
      <c r="AS104">
        <f t="shared" si="149"/>
        <v>0</v>
      </c>
      <c r="AU104">
        <f t="shared" si="150"/>
        <v>0</v>
      </c>
      <c r="AV104">
        <f t="shared" si="151"/>
        <v>0</v>
      </c>
      <c r="AW104">
        <f t="shared" si="151"/>
        <v>0</v>
      </c>
      <c r="AX104">
        <f t="shared" si="151"/>
        <v>0</v>
      </c>
      <c r="AY104">
        <f t="shared" si="152"/>
        <v>0</v>
      </c>
    </row>
    <row r="105" spans="1:53" ht="15" x14ac:dyDescent="0.25">
      <c r="A105" s="1"/>
      <c r="B105" s="2"/>
      <c r="C105" s="1" t="s">
        <v>11</v>
      </c>
      <c r="D105">
        <v>0</v>
      </c>
      <c r="E105" s="360">
        <v>6.8199999999999997E-2</v>
      </c>
      <c r="F105">
        <v>0</v>
      </c>
      <c r="G105">
        <v>0</v>
      </c>
      <c r="H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 s="20"/>
      <c r="P105" s="20"/>
      <c r="Q105" s="438">
        <v>0.12221775924730324</v>
      </c>
      <c r="R105" s="197">
        <v>0.14000000000000001</v>
      </c>
      <c r="S105" s="197">
        <v>2.0499999999999998</v>
      </c>
      <c r="T105" s="197">
        <v>0.62857142857142845</v>
      </c>
      <c r="U105" s="197">
        <v>0.90789473684210531</v>
      </c>
      <c r="V105" s="20">
        <f t="shared" si="140"/>
        <v>1.1669351652932515E-2</v>
      </c>
      <c r="W105" s="20">
        <f t="shared" si="140"/>
        <v>0</v>
      </c>
      <c r="X105" s="20">
        <f t="shared" si="140"/>
        <v>0</v>
      </c>
      <c r="Y105" s="20">
        <f t="shared" si="140"/>
        <v>0</v>
      </c>
      <c r="Z105" s="20">
        <f t="shared" si="141"/>
        <v>8.1260483348428812E-3</v>
      </c>
      <c r="AA105" s="20">
        <f t="shared" si="142"/>
        <v>0</v>
      </c>
      <c r="AB105" s="20">
        <f t="shared" si="142"/>
        <v>0</v>
      </c>
      <c r="AC105" s="20">
        <f t="shared" si="142"/>
        <v>0</v>
      </c>
      <c r="AD105" s="20">
        <f t="shared" si="143"/>
        <v>8.1260483348428812E-3</v>
      </c>
      <c r="AE105" s="20">
        <f t="shared" si="144"/>
        <v>0.17087264920365466</v>
      </c>
      <c r="AF105" s="20">
        <f t="shared" si="144"/>
        <v>0</v>
      </c>
      <c r="AG105" s="20">
        <f t="shared" si="144"/>
        <v>0</v>
      </c>
      <c r="AH105" s="20">
        <f t="shared" si="144"/>
        <v>0</v>
      </c>
      <c r="AI105" s="20">
        <f t="shared" si="145"/>
        <v>0.15800665663923508</v>
      </c>
      <c r="AJ105" s="20">
        <f t="shared" si="146"/>
        <v>0</v>
      </c>
      <c r="AK105" s="20">
        <f t="shared" si="146"/>
        <v>0</v>
      </c>
      <c r="AL105" s="20">
        <f t="shared" si="146"/>
        <v>0</v>
      </c>
      <c r="AM105" s="20">
        <f t="shared" si="147"/>
        <v>0.15800665663923508</v>
      </c>
      <c r="AO105">
        <f t="shared" si="148"/>
        <v>1.004948397570019E-2</v>
      </c>
      <c r="AP105">
        <f t="shared" si="148"/>
        <v>0</v>
      </c>
      <c r="AQ105">
        <f t="shared" si="148"/>
        <v>0</v>
      </c>
      <c r="AR105">
        <f t="shared" si="148"/>
        <v>0</v>
      </c>
      <c r="AS105">
        <f t="shared" si="149"/>
        <v>1.004948397570019E-2</v>
      </c>
      <c r="AU105">
        <f t="shared" si="150"/>
        <v>0.19540683226574201</v>
      </c>
      <c r="AV105">
        <f t="shared" si="151"/>
        <v>0</v>
      </c>
      <c r="AW105">
        <f t="shared" si="151"/>
        <v>0</v>
      </c>
      <c r="AX105">
        <f t="shared" si="151"/>
        <v>0</v>
      </c>
      <c r="AY105">
        <f t="shared" si="152"/>
        <v>0.19540683226574201</v>
      </c>
    </row>
    <row r="106" spans="1:53" ht="15" x14ac:dyDescent="0.25">
      <c r="A106" s="1"/>
      <c r="B106" s="2"/>
      <c r="C106" s="1" t="s">
        <v>12</v>
      </c>
      <c r="D106">
        <v>0</v>
      </c>
      <c r="E106" s="360">
        <v>0</v>
      </c>
      <c r="F106">
        <v>0</v>
      </c>
      <c r="G106">
        <v>0</v>
      </c>
      <c r="H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 s="20"/>
      <c r="P106" s="20"/>
      <c r="Q106" s="438"/>
      <c r="R106" s="197">
        <v>0.14000000000000001</v>
      </c>
      <c r="S106" s="197">
        <v>2.0499999999999998</v>
      </c>
      <c r="T106" s="197">
        <v>0.62857142857142845</v>
      </c>
      <c r="U106" s="197">
        <v>0.90789473684210531</v>
      </c>
      <c r="V106" s="20">
        <f t="shared" si="140"/>
        <v>0</v>
      </c>
      <c r="W106" s="20">
        <f t="shared" si="140"/>
        <v>0</v>
      </c>
      <c r="X106" s="20">
        <f t="shared" si="140"/>
        <v>0</v>
      </c>
      <c r="Y106" s="20">
        <f t="shared" si="140"/>
        <v>0</v>
      </c>
      <c r="Z106" s="20">
        <f t="shared" si="141"/>
        <v>0</v>
      </c>
      <c r="AA106" s="20">
        <f t="shared" si="142"/>
        <v>0</v>
      </c>
      <c r="AB106" s="20">
        <f t="shared" si="142"/>
        <v>0</v>
      </c>
      <c r="AC106" s="20">
        <f t="shared" si="142"/>
        <v>0</v>
      </c>
      <c r="AD106" s="20">
        <f t="shared" si="143"/>
        <v>0</v>
      </c>
      <c r="AE106" s="20">
        <f t="shared" si="144"/>
        <v>0</v>
      </c>
      <c r="AF106" s="20">
        <f t="shared" si="144"/>
        <v>0</v>
      </c>
      <c r="AG106" s="20">
        <f t="shared" si="144"/>
        <v>0</v>
      </c>
      <c r="AH106" s="20">
        <f t="shared" si="144"/>
        <v>0</v>
      </c>
      <c r="AI106" s="20">
        <f t="shared" si="145"/>
        <v>0</v>
      </c>
      <c r="AJ106" s="20">
        <f t="shared" si="146"/>
        <v>0</v>
      </c>
      <c r="AK106" s="20">
        <f t="shared" si="146"/>
        <v>0</v>
      </c>
      <c r="AL106" s="20">
        <f t="shared" si="146"/>
        <v>0</v>
      </c>
      <c r="AM106" s="20">
        <f t="shared" si="147"/>
        <v>0</v>
      </c>
      <c r="AO106">
        <f t="shared" si="148"/>
        <v>0</v>
      </c>
      <c r="AP106">
        <f t="shared" si="148"/>
        <v>0</v>
      </c>
      <c r="AQ106">
        <f t="shared" si="148"/>
        <v>0</v>
      </c>
      <c r="AR106">
        <f t="shared" si="148"/>
        <v>0</v>
      </c>
      <c r="AS106">
        <f t="shared" si="149"/>
        <v>0</v>
      </c>
      <c r="AU106">
        <f t="shared" si="150"/>
        <v>0</v>
      </c>
      <c r="AV106">
        <f t="shared" si="151"/>
        <v>0</v>
      </c>
      <c r="AW106">
        <f t="shared" si="151"/>
        <v>0</v>
      </c>
      <c r="AX106">
        <f t="shared" si="151"/>
        <v>0</v>
      </c>
      <c r="AY106">
        <f t="shared" si="152"/>
        <v>0</v>
      </c>
    </row>
    <row r="107" spans="1:53" ht="15" x14ac:dyDescent="0.25">
      <c r="A107" s="1"/>
      <c r="B107" s="2"/>
      <c r="C107" s="1" t="s">
        <v>13</v>
      </c>
      <c r="D107">
        <v>0</v>
      </c>
      <c r="E107" s="360">
        <v>2.5700000000000001E-2</v>
      </c>
      <c r="F107">
        <v>0</v>
      </c>
      <c r="G107">
        <v>0</v>
      </c>
      <c r="H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0"/>
      <c r="P107" s="20"/>
      <c r="Q107" s="438">
        <v>0.12221775924730324</v>
      </c>
      <c r="R107" s="197">
        <v>0.14000000000000001</v>
      </c>
      <c r="S107" s="197">
        <v>2.0499999999999998</v>
      </c>
      <c r="T107" s="197">
        <v>0.62857142857142845</v>
      </c>
      <c r="U107" s="197">
        <v>0.90789473684210531</v>
      </c>
      <c r="V107" s="20">
        <f t="shared" si="140"/>
        <v>4.3973949777179715E-3</v>
      </c>
      <c r="W107" s="20">
        <f t="shared" si="140"/>
        <v>0</v>
      </c>
      <c r="X107" s="20">
        <f t="shared" si="140"/>
        <v>0</v>
      </c>
      <c r="Y107" s="20">
        <f t="shared" si="140"/>
        <v>0</v>
      </c>
      <c r="Z107" s="20">
        <f t="shared" si="141"/>
        <v>3.0621619091709975E-3</v>
      </c>
      <c r="AA107" s="20">
        <f t="shared" si="142"/>
        <v>0</v>
      </c>
      <c r="AB107" s="20">
        <f t="shared" si="142"/>
        <v>0</v>
      </c>
      <c r="AC107" s="20">
        <f t="shared" si="142"/>
        <v>0</v>
      </c>
      <c r="AD107" s="20">
        <f t="shared" si="143"/>
        <v>3.0621619091709975E-3</v>
      </c>
      <c r="AE107" s="20">
        <f t="shared" si="144"/>
        <v>6.4390426459441708E-2</v>
      </c>
      <c r="AF107" s="20">
        <f t="shared" si="144"/>
        <v>0</v>
      </c>
      <c r="AG107" s="20">
        <f t="shared" si="144"/>
        <v>0</v>
      </c>
      <c r="AH107" s="20">
        <f t="shared" si="144"/>
        <v>0</v>
      </c>
      <c r="AI107" s="20">
        <f t="shared" si="145"/>
        <v>5.9542097883113501E-2</v>
      </c>
      <c r="AJ107" s="20">
        <f t="shared" si="146"/>
        <v>0</v>
      </c>
      <c r="AK107" s="20">
        <f t="shared" si="146"/>
        <v>0</v>
      </c>
      <c r="AL107" s="20">
        <f t="shared" si="146"/>
        <v>0</v>
      </c>
      <c r="AM107" s="20">
        <f t="shared" si="147"/>
        <v>5.9542097883113501E-2</v>
      </c>
      <c r="AO107">
        <f t="shared" si="148"/>
        <v>3.7869756330717722E-3</v>
      </c>
      <c r="AP107">
        <f t="shared" si="148"/>
        <v>0</v>
      </c>
      <c r="AQ107">
        <f t="shared" si="148"/>
        <v>0</v>
      </c>
      <c r="AR107">
        <f t="shared" si="148"/>
        <v>0</v>
      </c>
      <c r="AS107">
        <f t="shared" si="149"/>
        <v>3.7869756330717722E-3</v>
      </c>
      <c r="AU107">
        <f t="shared" si="150"/>
        <v>7.3635712452046462E-2</v>
      </c>
      <c r="AV107">
        <f t="shared" si="151"/>
        <v>0</v>
      </c>
      <c r="AW107">
        <f t="shared" si="151"/>
        <v>0</v>
      </c>
      <c r="AX107">
        <f t="shared" si="151"/>
        <v>0</v>
      </c>
      <c r="AY107">
        <f t="shared" si="152"/>
        <v>7.3635712452046462E-2</v>
      </c>
    </row>
    <row r="108" spans="1:53" ht="15" x14ac:dyDescent="0.25">
      <c r="A108" s="7"/>
      <c r="B108" s="8" t="s">
        <v>14</v>
      </c>
      <c r="C108" s="7"/>
      <c r="D108" s="357">
        <f t="shared" ref="D108:H108" si="153">SUM(D102:D107)</f>
        <v>0</v>
      </c>
      <c r="E108" s="363">
        <f>SUM(E102:E107)</f>
        <v>9.2785999999999991</v>
      </c>
      <c r="F108" s="357">
        <f t="shared" si="153"/>
        <v>0</v>
      </c>
      <c r="G108" s="357">
        <f t="shared" si="153"/>
        <v>0</v>
      </c>
      <c r="H108" s="357">
        <f t="shared" si="153"/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 s="20"/>
      <c r="P108" s="20"/>
      <c r="Q108" s="438">
        <v>3.8163767802577797E-2</v>
      </c>
      <c r="R108" s="197"/>
      <c r="S108" s="197"/>
      <c r="T108" s="197"/>
      <c r="U108" s="197"/>
      <c r="BA108" s="319">
        <f>(E108*10000*Q108*AU$10)</f>
        <v>4379.2330564833901</v>
      </c>
    </row>
    <row r="109" spans="1:53" ht="15" x14ac:dyDescent="0.25">
      <c r="A109" s="10"/>
      <c r="B109" s="9" t="s">
        <v>15</v>
      </c>
      <c r="C109" s="5"/>
      <c r="E109" s="363">
        <f>SUM(E108)</f>
        <v>9.2785999999999991</v>
      </c>
      <c r="H109" s="358">
        <f>SUM(D108:H108)</f>
        <v>9.2785999999999991</v>
      </c>
      <c r="K109" s="14"/>
      <c r="N109">
        <v>0</v>
      </c>
      <c r="O109" s="20"/>
      <c r="P109" s="20"/>
      <c r="Q109" s="438"/>
      <c r="R109" s="197"/>
      <c r="S109" s="197"/>
      <c r="T109" s="197"/>
      <c r="U109" s="197"/>
    </row>
    <row r="110" spans="1:53" ht="15.75" x14ac:dyDescent="0.25">
      <c r="A110" s="1"/>
      <c r="B110" s="2"/>
      <c r="C110" s="1"/>
      <c r="E110" s="361"/>
      <c r="K110" s="14"/>
      <c r="O110" s="20"/>
      <c r="P110" s="20"/>
      <c r="Q110" s="439"/>
      <c r="R110" s="197"/>
      <c r="S110" s="197"/>
      <c r="T110" s="197"/>
      <c r="U110" s="197"/>
    </row>
    <row r="111" spans="1:53" ht="15" x14ac:dyDescent="0.25">
      <c r="A111" s="1">
        <v>12</v>
      </c>
      <c r="B111" s="2" t="s">
        <v>26</v>
      </c>
      <c r="C111" s="1" t="s">
        <v>8</v>
      </c>
      <c r="D111">
        <v>0</v>
      </c>
      <c r="E111" s="360"/>
      <c r="F111">
        <v>0</v>
      </c>
      <c r="G111">
        <v>0</v>
      </c>
      <c r="H111">
        <v>0</v>
      </c>
      <c r="J111">
        <v>0</v>
      </c>
      <c r="K111" s="14">
        <v>0</v>
      </c>
      <c r="L111">
        <v>0</v>
      </c>
      <c r="M111">
        <v>0</v>
      </c>
      <c r="N111">
        <v>0</v>
      </c>
      <c r="O111" s="20"/>
      <c r="P111" s="20"/>
      <c r="Q111" s="438"/>
      <c r="R111" s="197">
        <v>6.531704360902256</v>
      </c>
      <c r="S111" s="197">
        <v>78.227142857142866</v>
      </c>
      <c r="T111" s="197">
        <v>0.5825685654008439</v>
      </c>
      <c r="U111" s="197">
        <v>0.90789473684210531</v>
      </c>
      <c r="V111" s="20">
        <f t="shared" ref="V111:Y116" si="154">IF(K111&gt;0,((E111-K111)*$Q111*$R111*10)+(K111*$O$12*$Q111*$R111*10),(E111*$Q111*$R111*10))</f>
        <v>0</v>
      </c>
      <c r="W111" s="20">
        <f t="shared" si="154"/>
        <v>0</v>
      </c>
      <c r="X111" s="20">
        <f t="shared" si="154"/>
        <v>0</v>
      </c>
      <c r="Y111" s="20">
        <f t="shared" si="154"/>
        <v>0</v>
      </c>
      <c r="Z111" s="20">
        <f t="shared" ref="Z111:Z116" si="155">V111*(EXP(1.01-0.34*LN(Z$8))*(1-$T111)+(1*$T111))</f>
        <v>0</v>
      </c>
      <c r="AA111" s="20">
        <f t="shared" ref="AA111:AC116" si="156">W111*(EXP(1.01-0.34*LN(AA$8))*(1-$U111)+(1*$U111))</f>
        <v>0</v>
      </c>
      <c r="AB111" s="20">
        <f t="shared" si="156"/>
        <v>0</v>
      </c>
      <c r="AC111" s="20">
        <f t="shared" si="156"/>
        <v>0</v>
      </c>
      <c r="AD111" s="20">
        <f t="shared" ref="AD111:AD116" si="157">SUM(Z111:AC111)</f>
        <v>0</v>
      </c>
      <c r="AE111" s="20">
        <f t="shared" ref="AE111:AH116" si="158">IF(K111&gt;0,((E111-K111)*$Q111*$S111*10)+(K111*$P$12*$Q111*$S111)*10,(E111*$Q111*$S111*10))</f>
        <v>0</v>
      </c>
      <c r="AF111" s="20">
        <f t="shared" si="158"/>
        <v>0</v>
      </c>
      <c r="AG111" s="20">
        <f t="shared" si="158"/>
        <v>0</v>
      </c>
      <c r="AH111" s="20">
        <f t="shared" si="158"/>
        <v>0</v>
      </c>
      <c r="AI111" s="20">
        <f t="shared" ref="AI111:AI116" si="159">AE111*(EXP(1.01-0.34*LN(AI$8))*(1-$U111)+(1*$U111))</f>
        <v>0</v>
      </c>
      <c r="AJ111" s="20">
        <f t="shared" ref="AJ111:AL116" si="160">AF111*(EXP(1.01-0.34*LN(AJ$8))*(1-$T111)+(1*$T111))</f>
        <v>0</v>
      </c>
      <c r="AK111" s="20">
        <f t="shared" si="160"/>
        <v>0</v>
      </c>
      <c r="AL111" s="20">
        <f t="shared" si="160"/>
        <v>0</v>
      </c>
      <c r="AM111" s="20">
        <f t="shared" ref="AM111:AM116" si="161">SUM(AI111:AL111)</f>
        <v>0</v>
      </c>
      <c r="AO111">
        <f t="shared" ref="AO111:AR116" si="162">Z111*AO$10</f>
        <v>0</v>
      </c>
      <c r="AP111">
        <f t="shared" si="162"/>
        <v>0</v>
      </c>
      <c r="AQ111">
        <f t="shared" si="162"/>
        <v>0</v>
      </c>
      <c r="AR111">
        <f t="shared" si="162"/>
        <v>0</v>
      </c>
      <c r="AS111">
        <f t="shared" ref="AS111:AS116" si="163">SUM(AO111:AR111)</f>
        <v>0</v>
      </c>
      <c r="AU111">
        <f t="shared" ref="AU111:AU116" si="164">AI111*AU$10</f>
        <v>0</v>
      </c>
      <c r="AV111">
        <f t="shared" ref="AV111:AX116" si="165">AJ111*AV$10</f>
        <v>0</v>
      </c>
      <c r="AW111">
        <f t="shared" si="165"/>
        <v>0</v>
      </c>
      <c r="AX111">
        <f t="shared" si="165"/>
        <v>0</v>
      </c>
      <c r="AY111">
        <f t="shared" ref="AY111:AY116" si="166">SUM(AU111:AX111)</f>
        <v>0</v>
      </c>
    </row>
    <row r="112" spans="1:53" ht="15" x14ac:dyDescent="0.25">
      <c r="A112" s="1"/>
      <c r="B112" s="2"/>
      <c r="C112" s="1" t="s">
        <v>9</v>
      </c>
      <c r="D112">
        <v>0</v>
      </c>
      <c r="E112" s="360"/>
      <c r="F112">
        <v>0</v>
      </c>
      <c r="G112">
        <v>0</v>
      </c>
      <c r="H112">
        <v>0</v>
      </c>
      <c r="J112">
        <v>0</v>
      </c>
      <c r="K112" s="14">
        <v>0</v>
      </c>
      <c r="L112">
        <v>0</v>
      </c>
      <c r="M112">
        <v>0</v>
      </c>
      <c r="N112">
        <v>0</v>
      </c>
      <c r="O112" s="20"/>
      <c r="P112" s="20"/>
      <c r="Q112" s="438"/>
      <c r="R112" s="197">
        <v>6.531704360902256</v>
      </c>
      <c r="S112" s="197">
        <v>78.227142857142866</v>
      </c>
      <c r="T112" s="197">
        <v>0.5825685654008439</v>
      </c>
      <c r="U112" s="197">
        <v>0.90789473684210531</v>
      </c>
      <c r="V112" s="20">
        <f t="shared" si="154"/>
        <v>0</v>
      </c>
      <c r="W112" s="20">
        <f t="shared" si="154"/>
        <v>0</v>
      </c>
      <c r="X112" s="20">
        <f t="shared" si="154"/>
        <v>0</v>
      </c>
      <c r="Y112" s="20">
        <f t="shared" si="154"/>
        <v>0</v>
      </c>
      <c r="Z112" s="20">
        <f t="shared" si="155"/>
        <v>0</v>
      </c>
      <c r="AA112" s="20">
        <f t="shared" si="156"/>
        <v>0</v>
      </c>
      <c r="AB112" s="20">
        <f t="shared" si="156"/>
        <v>0</v>
      </c>
      <c r="AC112" s="20">
        <f t="shared" si="156"/>
        <v>0</v>
      </c>
      <c r="AD112" s="20">
        <f t="shared" si="157"/>
        <v>0</v>
      </c>
      <c r="AE112" s="20">
        <f t="shared" si="158"/>
        <v>0</v>
      </c>
      <c r="AF112" s="20">
        <f t="shared" si="158"/>
        <v>0</v>
      </c>
      <c r="AG112" s="20">
        <f t="shared" si="158"/>
        <v>0</v>
      </c>
      <c r="AH112" s="20">
        <f t="shared" si="158"/>
        <v>0</v>
      </c>
      <c r="AI112" s="20">
        <f t="shared" si="159"/>
        <v>0</v>
      </c>
      <c r="AJ112" s="20">
        <f t="shared" si="160"/>
        <v>0</v>
      </c>
      <c r="AK112" s="20">
        <f t="shared" si="160"/>
        <v>0</v>
      </c>
      <c r="AL112" s="20">
        <f t="shared" si="160"/>
        <v>0</v>
      </c>
      <c r="AM112" s="20">
        <f t="shared" si="161"/>
        <v>0</v>
      </c>
      <c r="AO112">
        <f t="shared" si="162"/>
        <v>0</v>
      </c>
      <c r="AP112">
        <f t="shared" si="162"/>
        <v>0</v>
      </c>
      <c r="AQ112">
        <f t="shared" si="162"/>
        <v>0</v>
      </c>
      <c r="AR112">
        <f t="shared" si="162"/>
        <v>0</v>
      </c>
      <c r="AS112">
        <f t="shared" si="163"/>
        <v>0</v>
      </c>
      <c r="AU112">
        <f t="shared" si="164"/>
        <v>0</v>
      </c>
      <c r="AV112">
        <f t="shared" si="165"/>
        <v>0</v>
      </c>
      <c r="AW112">
        <f t="shared" si="165"/>
        <v>0</v>
      </c>
      <c r="AX112">
        <f t="shared" si="165"/>
        <v>0</v>
      </c>
      <c r="AY112">
        <f t="shared" si="166"/>
        <v>0</v>
      </c>
    </row>
    <row r="113" spans="1:53" ht="15" x14ac:dyDescent="0.25">
      <c r="A113" s="1"/>
      <c r="B113" s="2"/>
      <c r="C113" s="1" t="s">
        <v>10</v>
      </c>
      <c r="D113">
        <v>0</v>
      </c>
      <c r="E113" s="360"/>
      <c r="F113">
        <v>0</v>
      </c>
      <c r="G113">
        <v>0</v>
      </c>
      <c r="H113">
        <v>0</v>
      </c>
      <c r="J113">
        <v>0</v>
      </c>
      <c r="K113" s="14">
        <v>0</v>
      </c>
      <c r="L113">
        <v>0</v>
      </c>
      <c r="M113">
        <v>0</v>
      </c>
      <c r="N113">
        <v>0</v>
      </c>
      <c r="O113" s="20"/>
      <c r="P113" s="20"/>
      <c r="Q113" s="438"/>
      <c r="R113" s="197">
        <v>6.531704360902256</v>
      </c>
      <c r="S113" s="197">
        <v>78.227142857142866</v>
      </c>
      <c r="T113" s="197">
        <v>0.5825685654008439</v>
      </c>
      <c r="U113" s="197">
        <v>0.90789473684210531</v>
      </c>
      <c r="V113" s="20">
        <f t="shared" si="154"/>
        <v>0</v>
      </c>
      <c r="W113" s="20">
        <f t="shared" si="154"/>
        <v>0</v>
      </c>
      <c r="X113" s="20">
        <f t="shared" si="154"/>
        <v>0</v>
      </c>
      <c r="Y113" s="20">
        <f t="shared" si="154"/>
        <v>0</v>
      </c>
      <c r="Z113" s="20">
        <f t="shared" si="155"/>
        <v>0</v>
      </c>
      <c r="AA113" s="20">
        <f t="shared" si="156"/>
        <v>0</v>
      </c>
      <c r="AB113" s="20">
        <f t="shared" si="156"/>
        <v>0</v>
      </c>
      <c r="AC113" s="20">
        <f t="shared" si="156"/>
        <v>0</v>
      </c>
      <c r="AD113" s="20">
        <f t="shared" si="157"/>
        <v>0</v>
      </c>
      <c r="AE113" s="20">
        <f t="shared" si="158"/>
        <v>0</v>
      </c>
      <c r="AF113" s="20">
        <f t="shared" si="158"/>
        <v>0</v>
      </c>
      <c r="AG113" s="20">
        <f t="shared" si="158"/>
        <v>0</v>
      </c>
      <c r="AH113" s="20">
        <f t="shared" si="158"/>
        <v>0</v>
      </c>
      <c r="AI113" s="20">
        <f t="shared" si="159"/>
        <v>0</v>
      </c>
      <c r="AJ113" s="20">
        <f t="shared" si="160"/>
        <v>0</v>
      </c>
      <c r="AK113" s="20">
        <f t="shared" si="160"/>
        <v>0</v>
      </c>
      <c r="AL113" s="20">
        <f t="shared" si="160"/>
        <v>0</v>
      </c>
      <c r="AM113" s="20">
        <f t="shared" si="161"/>
        <v>0</v>
      </c>
      <c r="AO113">
        <f t="shared" si="162"/>
        <v>0</v>
      </c>
      <c r="AP113">
        <f t="shared" si="162"/>
        <v>0</v>
      </c>
      <c r="AQ113">
        <f t="shared" si="162"/>
        <v>0</v>
      </c>
      <c r="AR113">
        <f t="shared" si="162"/>
        <v>0</v>
      </c>
      <c r="AS113">
        <f t="shared" si="163"/>
        <v>0</v>
      </c>
      <c r="AU113">
        <f t="shared" si="164"/>
        <v>0</v>
      </c>
      <c r="AV113">
        <f t="shared" si="165"/>
        <v>0</v>
      </c>
      <c r="AW113">
        <f t="shared" si="165"/>
        <v>0</v>
      </c>
      <c r="AX113">
        <f t="shared" si="165"/>
        <v>0</v>
      </c>
      <c r="AY113">
        <f t="shared" si="166"/>
        <v>0</v>
      </c>
    </row>
    <row r="114" spans="1:53" ht="15" x14ac:dyDescent="0.25">
      <c r="A114" s="1"/>
      <c r="B114" s="2"/>
      <c r="C114" s="1" t="s">
        <v>11</v>
      </c>
      <c r="D114">
        <v>0</v>
      </c>
      <c r="E114" s="360"/>
      <c r="F114">
        <v>0</v>
      </c>
      <c r="G114">
        <v>0</v>
      </c>
      <c r="H114">
        <v>0</v>
      </c>
      <c r="J114">
        <v>0</v>
      </c>
      <c r="K114" s="14">
        <v>0</v>
      </c>
      <c r="L114">
        <v>0</v>
      </c>
      <c r="M114">
        <v>0</v>
      </c>
      <c r="N114">
        <v>0</v>
      </c>
      <c r="O114" s="20"/>
      <c r="P114" s="20"/>
      <c r="Q114" s="438"/>
      <c r="R114" s="197">
        <v>6.531704360902256</v>
      </c>
      <c r="S114" s="197">
        <v>78.227142857142866</v>
      </c>
      <c r="T114" s="197">
        <v>0.5825685654008439</v>
      </c>
      <c r="U114" s="197">
        <v>0.90789473684210531</v>
      </c>
      <c r="V114" s="20">
        <f t="shared" si="154"/>
        <v>0</v>
      </c>
      <c r="W114" s="20">
        <f t="shared" si="154"/>
        <v>0</v>
      </c>
      <c r="X114" s="20">
        <f t="shared" si="154"/>
        <v>0</v>
      </c>
      <c r="Y114" s="20">
        <f t="shared" si="154"/>
        <v>0</v>
      </c>
      <c r="Z114" s="20">
        <f t="shared" si="155"/>
        <v>0</v>
      </c>
      <c r="AA114" s="20">
        <f t="shared" si="156"/>
        <v>0</v>
      </c>
      <c r="AB114" s="20">
        <f t="shared" si="156"/>
        <v>0</v>
      </c>
      <c r="AC114" s="20">
        <f t="shared" si="156"/>
        <v>0</v>
      </c>
      <c r="AD114" s="20">
        <f t="shared" si="157"/>
        <v>0</v>
      </c>
      <c r="AE114" s="20">
        <f t="shared" si="158"/>
        <v>0</v>
      </c>
      <c r="AF114" s="20">
        <f t="shared" si="158"/>
        <v>0</v>
      </c>
      <c r="AG114" s="20">
        <f t="shared" si="158"/>
        <v>0</v>
      </c>
      <c r="AH114" s="20">
        <f t="shared" si="158"/>
        <v>0</v>
      </c>
      <c r="AI114" s="20">
        <f t="shared" si="159"/>
        <v>0</v>
      </c>
      <c r="AJ114" s="20">
        <f t="shared" si="160"/>
        <v>0</v>
      </c>
      <c r="AK114" s="20">
        <f t="shared" si="160"/>
        <v>0</v>
      </c>
      <c r="AL114" s="20">
        <f t="shared" si="160"/>
        <v>0</v>
      </c>
      <c r="AM114" s="20">
        <f t="shared" si="161"/>
        <v>0</v>
      </c>
      <c r="AO114">
        <f t="shared" si="162"/>
        <v>0</v>
      </c>
      <c r="AP114">
        <f t="shared" si="162"/>
        <v>0</v>
      </c>
      <c r="AQ114">
        <f t="shared" si="162"/>
        <v>0</v>
      </c>
      <c r="AR114">
        <f t="shared" si="162"/>
        <v>0</v>
      </c>
      <c r="AS114">
        <f t="shared" si="163"/>
        <v>0</v>
      </c>
      <c r="AU114">
        <f t="shared" si="164"/>
        <v>0</v>
      </c>
      <c r="AV114">
        <f t="shared" si="165"/>
        <v>0</v>
      </c>
      <c r="AW114">
        <f t="shared" si="165"/>
        <v>0</v>
      </c>
      <c r="AX114">
        <f t="shared" si="165"/>
        <v>0</v>
      </c>
      <c r="AY114">
        <f t="shared" si="166"/>
        <v>0</v>
      </c>
    </row>
    <row r="115" spans="1:53" ht="15" x14ac:dyDescent="0.25">
      <c r="A115" s="1"/>
      <c r="B115" s="2"/>
      <c r="C115" s="1" t="s">
        <v>12</v>
      </c>
      <c r="D115">
        <v>0</v>
      </c>
      <c r="E115" s="360"/>
      <c r="F115">
        <v>0</v>
      </c>
      <c r="G115">
        <v>0</v>
      </c>
      <c r="H115">
        <v>0</v>
      </c>
      <c r="J115">
        <v>0</v>
      </c>
      <c r="K115" s="14">
        <v>0</v>
      </c>
      <c r="L115">
        <v>0</v>
      </c>
      <c r="M115">
        <v>0</v>
      </c>
      <c r="N115">
        <v>0</v>
      </c>
      <c r="O115" s="20"/>
      <c r="P115" s="20"/>
      <c r="Q115" s="438"/>
      <c r="R115" s="197">
        <v>6.531704360902256</v>
      </c>
      <c r="S115" s="197">
        <v>78.227142857142866</v>
      </c>
      <c r="T115" s="197">
        <v>0.5825685654008439</v>
      </c>
      <c r="U115" s="197">
        <v>0.90789473684210531</v>
      </c>
      <c r="V115" s="20">
        <f t="shared" si="154"/>
        <v>0</v>
      </c>
      <c r="W115" s="20">
        <f t="shared" si="154"/>
        <v>0</v>
      </c>
      <c r="X115" s="20">
        <f t="shared" si="154"/>
        <v>0</v>
      </c>
      <c r="Y115" s="20">
        <f t="shared" si="154"/>
        <v>0</v>
      </c>
      <c r="Z115" s="20">
        <f t="shared" si="155"/>
        <v>0</v>
      </c>
      <c r="AA115" s="20">
        <f t="shared" si="156"/>
        <v>0</v>
      </c>
      <c r="AB115" s="20">
        <f t="shared" si="156"/>
        <v>0</v>
      </c>
      <c r="AC115" s="20">
        <f t="shared" si="156"/>
        <v>0</v>
      </c>
      <c r="AD115" s="20">
        <f t="shared" si="157"/>
        <v>0</v>
      </c>
      <c r="AE115" s="20">
        <f t="shared" si="158"/>
        <v>0</v>
      </c>
      <c r="AF115" s="20">
        <f t="shared" si="158"/>
        <v>0</v>
      </c>
      <c r="AG115" s="20">
        <f t="shared" si="158"/>
        <v>0</v>
      </c>
      <c r="AH115" s="20">
        <f t="shared" si="158"/>
        <v>0</v>
      </c>
      <c r="AI115" s="20">
        <f t="shared" si="159"/>
        <v>0</v>
      </c>
      <c r="AJ115" s="20">
        <f t="shared" si="160"/>
        <v>0</v>
      </c>
      <c r="AK115" s="20">
        <f t="shared" si="160"/>
        <v>0</v>
      </c>
      <c r="AL115" s="20">
        <f t="shared" si="160"/>
        <v>0</v>
      </c>
      <c r="AM115" s="20">
        <f t="shared" si="161"/>
        <v>0</v>
      </c>
      <c r="AO115">
        <f t="shared" si="162"/>
        <v>0</v>
      </c>
      <c r="AP115">
        <f t="shared" si="162"/>
        <v>0</v>
      </c>
      <c r="AQ115">
        <f t="shared" si="162"/>
        <v>0</v>
      </c>
      <c r="AR115">
        <f t="shared" si="162"/>
        <v>0</v>
      </c>
      <c r="AS115">
        <f t="shared" si="163"/>
        <v>0</v>
      </c>
      <c r="AU115">
        <f t="shared" si="164"/>
        <v>0</v>
      </c>
      <c r="AV115">
        <f t="shared" si="165"/>
        <v>0</v>
      </c>
      <c r="AW115">
        <f t="shared" si="165"/>
        <v>0</v>
      </c>
      <c r="AX115">
        <f t="shared" si="165"/>
        <v>0</v>
      </c>
      <c r="AY115">
        <f t="shared" si="166"/>
        <v>0</v>
      </c>
    </row>
    <row r="116" spans="1:53" ht="15" x14ac:dyDescent="0.25">
      <c r="A116" s="1"/>
      <c r="B116" s="2"/>
      <c r="C116" s="1" t="s">
        <v>13</v>
      </c>
      <c r="D116">
        <v>0</v>
      </c>
      <c r="E116" s="360"/>
      <c r="F116">
        <v>0</v>
      </c>
      <c r="G116">
        <v>0</v>
      </c>
      <c r="H116">
        <v>0</v>
      </c>
      <c r="J116">
        <v>0</v>
      </c>
      <c r="K116" s="14">
        <v>0</v>
      </c>
      <c r="L116">
        <v>0</v>
      </c>
      <c r="M116">
        <v>0</v>
      </c>
      <c r="N116">
        <v>0</v>
      </c>
      <c r="O116" s="20"/>
      <c r="P116" s="20"/>
      <c r="Q116" s="438"/>
      <c r="R116" s="197">
        <v>6.531704360902256</v>
      </c>
      <c r="S116" s="197">
        <v>78.227142857142866</v>
      </c>
      <c r="T116" s="197">
        <v>0.5825685654008439</v>
      </c>
      <c r="U116" s="197">
        <v>0.90789473684210531</v>
      </c>
      <c r="V116" s="20">
        <f t="shared" si="154"/>
        <v>0</v>
      </c>
      <c r="W116" s="20">
        <f t="shared" si="154"/>
        <v>0</v>
      </c>
      <c r="X116" s="20">
        <f t="shared" si="154"/>
        <v>0</v>
      </c>
      <c r="Y116" s="20">
        <f t="shared" si="154"/>
        <v>0</v>
      </c>
      <c r="Z116" s="20">
        <f t="shared" si="155"/>
        <v>0</v>
      </c>
      <c r="AA116" s="20">
        <f t="shared" si="156"/>
        <v>0</v>
      </c>
      <c r="AB116" s="20">
        <f t="shared" si="156"/>
        <v>0</v>
      </c>
      <c r="AC116" s="20">
        <f t="shared" si="156"/>
        <v>0</v>
      </c>
      <c r="AD116" s="20">
        <f t="shared" si="157"/>
        <v>0</v>
      </c>
      <c r="AE116" s="20">
        <f t="shared" si="158"/>
        <v>0</v>
      </c>
      <c r="AF116" s="20">
        <f t="shared" si="158"/>
        <v>0</v>
      </c>
      <c r="AG116" s="20">
        <f t="shared" si="158"/>
        <v>0</v>
      </c>
      <c r="AH116" s="20">
        <f t="shared" si="158"/>
        <v>0</v>
      </c>
      <c r="AI116" s="20">
        <f t="shared" si="159"/>
        <v>0</v>
      </c>
      <c r="AJ116" s="20">
        <f t="shared" si="160"/>
        <v>0</v>
      </c>
      <c r="AK116" s="20">
        <f t="shared" si="160"/>
        <v>0</v>
      </c>
      <c r="AL116" s="20">
        <f t="shared" si="160"/>
        <v>0</v>
      </c>
      <c r="AM116" s="20">
        <f t="shared" si="161"/>
        <v>0</v>
      </c>
      <c r="AO116">
        <f t="shared" si="162"/>
        <v>0</v>
      </c>
      <c r="AP116">
        <f t="shared" si="162"/>
        <v>0</v>
      </c>
      <c r="AQ116">
        <f t="shared" si="162"/>
        <v>0</v>
      </c>
      <c r="AR116">
        <f t="shared" si="162"/>
        <v>0</v>
      </c>
      <c r="AS116">
        <f t="shared" si="163"/>
        <v>0</v>
      </c>
      <c r="AU116">
        <f t="shared" si="164"/>
        <v>0</v>
      </c>
      <c r="AV116">
        <f t="shared" si="165"/>
        <v>0</v>
      </c>
      <c r="AW116">
        <f t="shared" si="165"/>
        <v>0</v>
      </c>
      <c r="AX116">
        <f t="shared" si="165"/>
        <v>0</v>
      </c>
      <c r="AY116">
        <f t="shared" si="166"/>
        <v>0</v>
      </c>
    </row>
    <row r="117" spans="1:53" ht="15" x14ac:dyDescent="0.25">
      <c r="A117" s="7"/>
      <c r="B117" s="8" t="s">
        <v>14</v>
      </c>
      <c r="C117" s="7"/>
      <c r="D117" s="357">
        <f t="shared" ref="D117:H117" si="167">SUM(D111:D116)</f>
        <v>0</v>
      </c>
      <c r="E117" s="363">
        <f>SUM(E111:E116)</f>
        <v>0</v>
      </c>
      <c r="F117" s="357">
        <f t="shared" si="167"/>
        <v>0</v>
      </c>
      <c r="G117" s="357">
        <f t="shared" si="167"/>
        <v>0</v>
      </c>
      <c r="H117" s="357">
        <f t="shared" si="167"/>
        <v>0</v>
      </c>
      <c r="J117">
        <v>0</v>
      </c>
      <c r="K117" s="14">
        <v>0</v>
      </c>
      <c r="L117">
        <v>0</v>
      </c>
      <c r="M117">
        <v>0</v>
      </c>
      <c r="N117">
        <v>0</v>
      </c>
      <c r="O117" s="20"/>
      <c r="P117" s="20"/>
      <c r="Q117" s="438"/>
      <c r="R117" s="197"/>
      <c r="S117" s="197"/>
      <c r="T117" s="197"/>
      <c r="U117" s="197"/>
      <c r="BA117" s="319">
        <f>(E117*10000*Q117*AU$10)</f>
        <v>0</v>
      </c>
    </row>
    <row r="118" spans="1:53" ht="15" x14ac:dyDescent="0.25">
      <c r="A118" s="10"/>
      <c r="B118" s="9" t="s">
        <v>15</v>
      </c>
      <c r="C118" s="5"/>
      <c r="E118" s="363">
        <f>SUM(E117)</f>
        <v>0</v>
      </c>
      <c r="H118" s="358">
        <f>SUM(D117:H117)</f>
        <v>0</v>
      </c>
      <c r="K118" s="14"/>
      <c r="N118">
        <v>0</v>
      </c>
      <c r="O118" s="20"/>
      <c r="P118" s="20"/>
      <c r="Q118" s="438"/>
      <c r="R118" s="197"/>
      <c r="S118" s="197"/>
      <c r="T118" s="197"/>
      <c r="U118" s="197"/>
    </row>
    <row r="119" spans="1:53" ht="15.75" x14ac:dyDescent="0.25">
      <c r="A119" s="1"/>
      <c r="B119" s="2"/>
      <c r="C119" s="1"/>
      <c r="E119" s="361"/>
      <c r="K119" s="14"/>
      <c r="O119" s="20"/>
      <c r="P119" s="20"/>
      <c r="Q119" s="439"/>
      <c r="R119" s="197"/>
      <c r="S119" s="197"/>
      <c r="T119" s="197"/>
      <c r="U119" s="197"/>
    </row>
    <row r="120" spans="1:53" ht="15" x14ac:dyDescent="0.25">
      <c r="A120" s="1">
        <v>13</v>
      </c>
      <c r="B120" s="2" t="s">
        <v>27</v>
      </c>
      <c r="C120" s="1" t="s">
        <v>8</v>
      </c>
      <c r="D120">
        <v>0</v>
      </c>
      <c r="E120" s="360">
        <v>6.2455999999999996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 s="20"/>
      <c r="P120" s="20"/>
      <c r="Q120" s="438">
        <v>3.730443981182581E-2</v>
      </c>
      <c r="R120" s="197">
        <v>0.49226666666666663</v>
      </c>
      <c r="S120" s="197">
        <v>2.8337500000000002</v>
      </c>
      <c r="T120" s="197">
        <v>0.68718466195761863</v>
      </c>
      <c r="U120" s="197">
        <v>0.90789473684210531</v>
      </c>
      <c r="V120" s="20">
        <f t="shared" ref="V120:Y125" si="168">IF(K120&gt;0,((E120-K120)*$Q120*$R120*10)+(K120*$O$12*$Q120*$R120*10),(E120*$Q120*$R120*10))</f>
        <v>1.1469252606587004</v>
      </c>
      <c r="W120" s="20">
        <f t="shared" si="168"/>
        <v>0</v>
      </c>
      <c r="X120" s="20">
        <f t="shared" si="168"/>
        <v>0</v>
      </c>
      <c r="Y120" s="20">
        <f t="shared" si="168"/>
        <v>0</v>
      </c>
      <c r="Z120" s="20">
        <f t="shared" ref="Z120:Z125" si="169">V120*(EXP(1.01-0.34*LN(Z$8))*(1-$T120)+(1*$T120))</f>
        <v>0.8536270233262504</v>
      </c>
      <c r="AA120" s="20">
        <f t="shared" ref="AA120:AC125" si="170">W120*(EXP(1.01-0.34*LN(AA$8))*(1-$U120)+(1*$U120))</f>
        <v>0</v>
      </c>
      <c r="AB120" s="20">
        <f t="shared" si="170"/>
        <v>0</v>
      </c>
      <c r="AC120" s="20">
        <f t="shared" si="170"/>
        <v>0</v>
      </c>
      <c r="AD120" s="20">
        <f t="shared" ref="AD120:AD125" si="171">SUM(Z120:AC120)</f>
        <v>0.8536270233262504</v>
      </c>
      <c r="AE120" s="20">
        <f t="shared" ref="AE120:AH125" si="172">IF(K120&gt;0,((E120-K120)*$Q120*$S120*10)+(K120*$P$12*$Q120*$S120)*10,(E120*$Q120*$S120*10))</f>
        <v>6.6023147157196496</v>
      </c>
      <c r="AF120" s="20">
        <f t="shared" si="172"/>
        <v>0</v>
      </c>
      <c r="AG120" s="20">
        <f t="shared" si="172"/>
        <v>0</v>
      </c>
      <c r="AH120" s="20">
        <f t="shared" si="172"/>
        <v>0</v>
      </c>
      <c r="AI120" s="20">
        <f t="shared" ref="AI120:AI125" si="173">AE120*(EXP(1.01-0.34*LN(AI$8))*(1-$U120)+(1*$U120))</f>
        <v>6.105188157219553</v>
      </c>
      <c r="AJ120" s="20">
        <f t="shared" ref="AJ120:AL125" si="174">AF120*(EXP(1.01-0.34*LN(AJ$8))*(1-$T120)+(1*$T120))</f>
        <v>0</v>
      </c>
      <c r="AK120" s="20">
        <f t="shared" si="174"/>
        <v>0</v>
      </c>
      <c r="AL120" s="20">
        <f t="shared" si="174"/>
        <v>0</v>
      </c>
      <c r="AM120" s="20">
        <f t="shared" ref="AM120:AM125" si="175">SUM(AI120:AL120)</f>
        <v>6.105188157219553</v>
      </c>
      <c r="AO120">
        <f t="shared" ref="AO120:AR125" si="176">Z120*AO$10</f>
        <v>1.0556805397475737</v>
      </c>
      <c r="AP120">
        <f t="shared" si="176"/>
        <v>0</v>
      </c>
      <c r="AQ120">
        <f t="shared" si="176"/>
        <v>0</v>
      </c>
      <c r="AR120">
        <f t="shared" si="176"/>
        <v>0</v>
      </c>
      <c r="AS120">
        <f t="shared" ref="AS120:AS125" si="177">SUM(AO120:AR120)</f>
        <v>1.0556805397475737</v>
      </c>
      <c r="AU120">
        <f t="shared" ref="AU120:AU125" si="178">AI120*AU$10</f>
        <v>7.5502861940334203</v>
      </c>
      <c r="AV120">
        <f t="shared" ref="AV120:AX125" si="179">AJ120*AV$10</f>
        <v>0</v>
      </c>
      <c r="AW120">
        <f t="shared" si="179"/>
        <v>0</v>
      </c>
      <c r="AX120">
        <f t="shared" si="179"/>
        <v>0</v>
      </c>
      <c r="AY120">
        <f t="shared" ref="AY120:AY125" si="180">SUM(AU120:AX120)</f>
        <v>7.5502861940334203</v>
      </c>
    </row>
    <row r="121" spans="1:53" ht="15" x14ac:dyDescent="0.25">
      <c r="A121" s="1"/>
      <c r="B121" s="2"/>
      <c r="C121" s="1" t="s">
        <v>9</v>
      </c>
      <c r="D121">
        <v>0</v>
      </c>
      <c r="E121" s="360">
        <v>0.30580000000000002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20"/>
      <c r="P121" s="20"/>
      <c r="Q121" s="438">
        <v>6.5608879623651625E-2</v>
      </c>
      <c r="R121" s="197">
        <v>0.49226666666666663</v>
      </c>
      <c r="S121" s="197">
        <v>2.8337500000000002</v>
      </c>
      <c r="T121" s="197">
        <v>0.68718466195761863</v>
      </c>
      <c r="U121" s="197">
        <v>0.90789473684210531</v>
      </c>
      <c r="V121" s="20">
        <f t="shared" si="168"/>
        <v>9.8764423167820747E-2</v>
      </c>
      <c r="W121" s="20">
        <f t="shared" si="168"/>
        <v>0</v>
      </c>
      <c r="X121" s="20">
        <f t="shared" si="168"/>
        <v>0</v>
      </c>
      <c r="Y121" s="20">
        <f t="shared" si="168"/>
        <v>0</v>
      </c>
      <c r="Z121" s="20">
        <f t="shared" si="169"/>
        <v>7.3507824311813796E-2</v>
      </c>
      <c r="AA121" s="20">
        <f t="shared" si="170"/>
        <v>0</v>
      </c>
      <c r="AB121" s="20">
        <f t="shared" si="170"/>
        <v>0</v>
      </c>
      <c r="AC121" s="20">
        <f t="shared" si="170"/>
        <v>0</v>
      </c>
      <c r="AD121" s="20">
        <f t="shared" si="171"/>
        <v>7.3507824311813796E-2</v>
      </c>
      <c r="AE121" s="20">
        <f t="shared" si="172"/>
        <v>0.5685407993333127</v>
      </c>
      <c r="AF121" s="20">
        <f t="shared" si="172"/>
        <v>0</v>
      </c>
      <c r="AG121" s="20">
        <f t="shared" si="172"/>
        <v>0</v>
      </c>
      <c r="AH121" s="20">
        <f t="shared" si="172"/>
        <v>0</v>
      </c>
      <c r="AI121" s="20">
        <f t="shared" si="173"/>
        <v>0.52573206586495413</v>
      </c>
      <c r="AJ121" s="20">
        <f t="shared" si="174"/>
        <v>0</v>
      </c>
      <c r="AK121" s="20">
        <f t="shared" si="174"/>
        <v>0</v>
      </c>
      <c r="AL121" s="20">
        <f t="shared" si="174"/>
        <v>0</v>
      </c>
      <c r="AM121" s="20">
        <f t="shared" si="175"/>
        <v>0.52573206586495413</v>
      </c>
      <c r="AO121">
        <f t="shared" si="176"/>
        <v>9.0907126326420118E-2</v>
      </c>
      <c r="AP121">
        <f t="shared" si="176"/>
        <v>0</v>
      </c>
      <c r="AQ121">
        <f t="shared" si="176"/>
        <v>0</v>
      </c>
      <c r="AR121">
        <f t="shared" si="176"/>
        <v>0</v>
      </c>
      <c r="AS121">
        <f t="shared" si="177"/>
        <v>9.0907126326420118E-2</v>
      </c>
      <c r="AU121">
        <f t="shared" si="178"/>
        <v>0.65017284585518875</v>
      </c>
      <c r="AV121">
        <f t="shared" si="179"/>
        <v>0</v>
      </c>
      <c r="AW121">
        <f t="shared" si="179"/>
        <v>0</v>
      </c>
      <c r="AX121">
        <f t="shared" si="179"/>
        <v>0</v>
      </c>
      <c r="AY121">
        <f t="shared" si="180"/>
        <v>0.65017284585518875</v>
      </c>
    </row>
    <row r="122" spans="1:53" ht="15" x14ac:dyDescent="0.25">
      <c r="A122" s="1"/>
      <c r="B122" s="2"/>
      <c r="C122" s="1" t="s">
        <v>10</v>
      </c>
      <c r="D122">
        <v>0</v>
      </c>
      <c r="E122" s="360"/>
      <c r="F122">
        <v>0</v>
      </c>
      <c r="G122">
        <v>0</v>
      </c>
      <c r="H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s="20"/>
      <c r="P122" s="20"/>
      <c r="Q122" s="438"/>
      <c r="R122" s="197">
        <v>0.49226666666666663</v>
      </c>
      <c r="S122" s="197">
        <v>2.8337500000000002</v>
      </c>
      <c r="T122" s="197">
        <v>0.68718466195761863</v>
      </c>
      <c r="U122" s="197">
        <v>0.90789473684210531</v>
      </c>
      <c r="V122" s="20">
        <f t="shared" si="168"/>
        <v>0</v>
      </c>
      <c r="W122" s="20">
        <f t="shared" si="168"/>
        <v>0</v>
      </c>
      <c r="X122" s="20">
        <f t="shared" si="168"/>
        <v>0</v>
      </c>
      <c r="Y122" s="20">
        <f t="shared" si="168"/>
        <v>0</v>
      </c>
      <c r="Z122" s="20">
        <f t="shared" si="169"/>
        <v>0</v>
      </c>
      <c r="AA122" s="20">
        <f t="shared" si="170"/>
        <v>0</v>
      </c>
      <c r="AB122" s="20">
        <f t="shared" si="170"/>
        <v>0</v>
      </c>
      <c r="AC122" s="20">
        <f t="shared" si="170"/>
        <v>0</v>
      </c>
      <c r="AD122" s="20">
        <f t="shared" si="171"/>
        <v>0</v>
      </c>
      <c r="AE122" s="20">
        <f t="shared" si="172"/>
        <v>0</v>
      </c>
      <c r="AF122" s="20">
        <f t="shared" si="172"/>
        <v>0</v>
      </c>
      <c r="AG122" s="20">
        <f t="shared" si="172"/>
        <v>0</v>
      </c>
      <c r="AH122" s="20">
        <f t="shared" si="172"/>
        <v>0</v>
      </c>
      <c r="AI122" s="20">
        <f t="shared" si="173"/>
        <v>0</v>
      </c>
      <c r="AJ122" s="20">
        <f t="shared" si="174"/>
        <v>0</v>
      </c>
      <c r="AK122" s="20">
        <f t="shared" si="174"/>
        <v>0</v>
      </c>
      <c r="AL122" s="20">
        <f t="shared" si="174"/>
        <v>0</v>
      </c>
      <c r="AM122" s="20">
        <f t="shared" si="175"/>
        <v>0</v>
      </c>
      <c r="AO122">
        <f t="shared" si="176"/>
        <v>0</v>
      </c>
      <c r="AP122">
        <f t="shared" si="176"/>
        <v>0</v>
      </c>
      <c r="AQ122">
        <f t="shared" si="176"/>
        <v>0</v>
      </c>
      <c r="AR122">
        <f t="shared" si="176"/>
        <v>0</v>
      </c>
      <c r="AS122">
        <f t="shared" si="177"/>
        <v>0</v>
      </c>
      <c r="AU122">
        <f t="shared" si="178"/>
        <v>0</v>
      </c>
      <c r="AV122">
        <f t="shared" si="179"/>
        <v>0</v>
      </c>
      <c r="AW122">
        <f t="shared" si="179"/>
        <v>0</v>
      </c>
      <c r="AX122">
        <f t="shared" si="179"/>
        <v>0</v>
      </c>
      <c r="AY122">
        <f t="shared" si="180"/>
        <v>0</v>
      </c>
    </row>
    <row r="123" spans="1:53" ht="15" x14ac:dyDescent="0.25">
      <c r="A123" s="1"/>
      <c r="B123" s="2"/>
      <c r="C123" s="1" t="s">
        <v>11</v>
      </c>
      <c r="D123">
        <v>0</v>
      </c>
      <c r="E123" s="360">
        <v>1.7323999999999999</v>
      </c>
      <c r="F123">
        <v>0</v>
      </c>
      <c r="G123">
        <v>0</v>
      </c>
      <c r="H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 s="20"/>
      <c r="P123" s="20"/>
      <c r="Q123" s="438">
        <v>0.12221775924730326</v>
      </c>
      <c r="R123" s="197">
        <v>0.49226666666666663</v>
      </c>
      <c r="S123" s="197">
        <v>2.8337500000000002</v>
      </c>
      <c r="T123" s="197">
        <v>0.68718466195761863</v>
      </c>
      <c r="U123" s="197">
        <v>0.90789473684210531</v>
      </c>
      <c r="V123" s="20">
        <f t="shared" si="168"/>
        <v>1.0422764403668585</v>
      </c>
      <c r="W123" s="20">
        <f t="shared" si="168"/>
        <v>0</v>
      </c>
      <c r="X123" s="20">
        <f t="shared" si="168"/>
        <v>0</v>
      </c>
      <c r="Y123" s="20">
        <f t="shared" si="168"/>
        <v>0</v>
      </c>
      <c r="Z123" s="20">
        <f t="shared" si="169"/>
        <v>0.77573959332141795</v>
      </c>
      <c r="AA123" s="20">
        <f t="shared" si="170"/>
        <v>0</v>
      </c>
      <c r="AB123" s="20">
        <f t="shared" si="170"/>
        <v>0</v>
      </c>
      <c r="AC123" s="20">
        <f t="shared" si="170"/>
        <v>0</v>
      </c>
      <c r="AD123" s="20">
        <f t="shared" si="171"/>
        <v>0.77573959332141795</v>
      </c>
      <c r="AE123" s="20">
        <f t="shared" si="172"/>
        <v>5.9999001819262983</v>
      </c>
      <c r="AF123" s="20">
        <f t="shared" si="172"/>
        <v>0</v>
      </c>
      <c r="AG123" s="20">
        <f t="shared" si="172"/>
        <v>0</v>
      </c>
      <c r="AH123" s="20">
        <f t="shared" si="172"/>
        <v>0</v>
      </c>
      <c r="AI123" s="20">
        <f t="shared" si="173"/>
        <v>5.5481329067790686</v>
      </c>
      <c r="AJ123" s="20">
        <f t="shared" si="174"/>
        <v>0</v>
      </c>
      <c r="AK123" s="20">
        <f t="shared" si="174"/>
        <v>0</v>
      </c>
      <c r="AL123" s="20">
        <f t="shared" si="174"/>
        <v>0</v>
      </c>
      <c r="AM123" s="20">
        <f t="shared" si="175"/>
        <v>5.5481329067790686</v>
      </c>
      <c r="AO123">
        <f t="shared" si="176"/>
        <v>0.95935715506059749</v>
      </c>
      <c r="AP123">
        <f t="shared" si="176"/>
        <v>0</v>
      </c>
      <c r="AQ123">
        <f t="shared" si="176"/>
        <v>0</v>
      </c>
      <c r="AR123">
        <f t="shared" si="176"/>
        <v>0</v>
      </c>
      <c r="AS123">
        <f t="shared" si="177"/>
        <v>0.95935715506059749</v>
      </c>
      <c r="AU123">
        <f t="shared" si="178"/>
        <v>6.8613759658136733</v>
      </c>
      <c r="AV123">
        <f t="shared" si="179"/>
        <v>0</v>
      </c>
      <c r="AW123">
        <f t="shared" si="179"/>
        <v>0</v>
      </c>
      <c r="AX123">
        <f t="shared" si="179"/>
        <v>0</v>
      </c>
      <c r="AY123">
        <f t="shared" si="180"/>
        <v>6.8613759658136733</v>
      </c>
    </row>
    <row r="124" spans="1:53" ht="15" x14ac:dyDescent="0.25">
      <c r="A124" s="1"/>
      <c r="B124" s="2"/>
      <c r="C124" s="1" t="s">
        <v>12</v>
      </c>
      <c r="D124">
        <v>0</v>
      </c>
      <c r="E124" s="360"/>
      <c r="F124">
        <v>0</v>
      </c>
      <c r="G124">
        <v>0</v>
      </c>
      <c r="H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 s="20"/>
      <c r="P124" s="20"/>
      <c r="Q124" s="438"/>
      <c r="R124" s="197">
        <v>0.49226666666666663</v>
      </c>
      <c r="S124" s="197">
        <v>2.8337500000000002</v>
      </c>
      <c r="T124" s="197">
        <v>0.68718466195761863</v>
      </c>
      <c r="U124" s="197">
        <v>0.90789473684210531</v>
      </c>
      <c r="V124" s="20">
        <f t="shared" si="168"/>
        <v>0</v>
      </c>
      <c r="W124" s="20">
        <f t="shared" si="168"/>
        <v>0</v>
      </c>
      <c r="X124" s="20">
        <f t="shared" si="168"/>
        <v>0</v>
      </c>
      <c r="Y124" s="20">
        <f t="shared" si="168"/>
        <v>0</v>
      </c>
      <c r="Z124" s="20">
        <f t="shared" si="169"/>
        <v>0</v>
      </c>
      <c r="AA124" s="20">
        <f t="shared" si="170"/>
        <v>0</v>
      </c>
      <c r="AB124" s="20">
        <f t="shared" si="170"/>
        <v>0</v>
      </c>
      <c r="AC124" s="20">
        <f t="shared" si="170"/>
        <v>0</v>
      </c>
      <c r="AD124" s="20">
        <f t="shared" si="171"/>
        <v>0</v>
      </c>
      <c r="AE124" s="20">
        <f t="shared" si="172"/>
        <v>0</v>
      </c>
      <c r="AF124" s="20">
        <f t="shared" si="172"/>
        <v>0</v>
      </c>
      <c r="AG124" s="20">
        <f t="shared" si="172"/>
        <v>0</v>
      </c>
      <c r="AH124" s="20">
        <f t="shared" si="172"/>
        <v>0</v>
      </c>
      <c r="AI124" s="20">
        <f t="shared" si="173"/>
        <v>0</v>
      </c>
      <c r="AJ124" s="20">
        <f t="shared" si="174"/>
        <v>0</v>
      </c>
      <c r="AK124" s="20">
        <f t="shared" si="174"/>
        <v>0</v>
      </c>
      <c r="AL124" s="20">
        <f t="shared" si="174"/>
        <v>0</v>
      </c>
      <c r="AM124" s="20">
        <f t="shared" si="175"/>
        <v>0</v>
      </c>
      <c r="AO124">
        <f t="shared" si="176"/>
        <v>0</v>
      </c>
      <c r="AP124">
        <f t="shared" si="176"/>
        <v>0</v>
      </c>
      <c r="AQ124">
        <f t="shared" si="176"/>
        <v>0</v>
      </c>
      <c r="AR124">
        <f t="shared" si="176"/>
        <v>0</v>
      </c>
      <c r="AS124">
        <f t="shared" si="177"/>
        <v>0</v>
      </c>
      <c r="AU124">
        <f t="shared" si="178"/>
        <v>0</v>
      </c>
      <c r="AV124">
        <f t="shared" si="179"/>
        <v>0</v>
      </c>
      <c r="AW124">
        <f t="shared" si="179"/>
        <v>0</v>
      </c>
      <c r="AX124">
        <f t="shared" si="179"/>
        <v>0</v>
      </c>
      <c r="AY124">
        <f t="shared" si="180"/>
        <v>0</v>
      </c>
    </row>
    <row r="125" spans="1:53" ht="15" x14ac:dyDescent="0.25">
      <c r="A125" s="1"/>
      <c r="B125" s="2"/>
      <c r="C125" s="1" t="s">
        <v>13</v>
      </c>
      <c r="D125">
        <v>0</v>
      </c>
      <c r="E125" s="360"/>
      <c r="F125">
        <v>0</v>
      </c>
      <c r="G125">
        <v>0</v>
      </c>
      <c r="H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20"/>
      <c r="P125" s="20"/>
      <c r="Q125" s="438"/>
      <c r="R125" s="197">
        <v>0.49226666666666663</v>
      </c>
      <c r="S125" s="197">
        <v>2.8337500000000002</v>
      </c>
      <c r="T125" s="197">
        <v>0.68718466195761863</v>
      </c>
      <c r="U125" s="197">
        <v>0.90789473684210531</v>
      </c>
      <c r="V125" s="20">
        <f t="shared" si="168"/>
        <v>0</v>
      </c>
      <c r="W125" s="20">
        <f t="shared" si="168"/>
        <v>0</v>
      </c>
      <c r="X125" s="20">
        <f t="shared" si="168"/>
        <v>0</v>
      </c>
      <c r="Y125" s="20">
        <f t="shared" si="168"/>
        <v>0</v>
      </c>
      <c r="Z125" s="20">
        <f t="shared" si="169"/>
        <v>0</v>
      </c>
      <c r="AA125" s="20">
        <f t="shared" si="170"/>
        <v>0</v>
      </c>
      <c r="AB125" s="20">
        <f t="shared" si="170"/>
        <v>0</v>
      </c>
      <c r="AC125" s="20">
        <f t="shared" si="170"/>
        <v>0</v>
      </c>
      <c r="AD125" s="20">
        <f t="shared" si="171"/>
        <v>0</v>
      </c>
      <c r="AE125" s="20">
        <f t="shared" si="172"/>
        <v>0</v>
      </c>
      <c r="AF125" s="20">
        <f t="shared" si="172"/>
        <v>0</v>
      </c>
      <c r="AG125" s="20">
        <f t="shared" si="172"/>
        <v>0</v>
      </c>
      <c r="AH125" s="20">
        <f t="shared" si="172"/>
        <v>0</v>
      </c>
      <c r="AI125" s="20">
        <f t="shared" si="173"/>
        <v>0</v>
      </c>
      <c r="AJ125" s="20">
        <f t="shared" si="174"/>
        <v>0</v>
      </c>
      <c r="AK125" s="20">
        <f t="shared" si="174"/>
        <v>0</v>
      </c>
      <c r="AL125" s="20">
        <f t="shared" si="174"/>
        <v>0</v>
      </c>
      <c r="AM125" s="20">
        <f t="shared" si="175"/>
        <v>0</v>
      </c>
      <c r="AO125">
        <f t="shared" si="176"/>
        <v>0</v>
      </c>
      <c r="AP125">
        <f t="shared" si="176"/>
        <v>0</v>
      </c>
      <c r="AQ125">
        <f t="shared" si="176"/>
        <v>0</v>
      </c>
      <c r="AR125">
        <f t="shared" si="176"/>
        <v>0</v>
      </c>
      <c r="AS125">
        <f t="shared" si="177"/>
        <v>0</v>
      </c>
      <c r="AU125">
        <f t="shared" si="178"/>
        <v>0</v>
      </c>
      <c r="AV125">
        <f t="shared" si="179"/>
        <v>0</v>
      </c>
      <c r="AW125">
        <f t="shared" si="179"/>
        <v>0</v>
      </c>
      <c r="AX125">
        <f t="shared" si="179"/>
        <v>0</v>
      </c>
      <c r="AY125">
        <f t="shared" si="180"/>
        <v>0</v>
      </c>
    </row>
    <row r="126" spans="1:53" ht="15" x14ac:dyDescent="0.25">
      <c r="A126" s="7"/>
      <c r="B126" s="8" t="s">
        <v>14</v>
      </c>
      <c r="C126" s="7"/>
      <c r="D126" s="357">
        <f t="shared" ref="D126:H126" si="181">SUM(D120:D125)</f>
        <v>0</v>
      </c>
      <c r="E126" s="363">
        <f>SUM(E120:E125)</f>
        <v>8.2837999999999994</v>
      </c>
      <c r="F126" s="357">
        <f t="shared" si="181"/>
        <v>0</v>
      </c>
      <c r="G126" s="357">
        <f t="shared" si="181"/>
        <v>0</v>
      </c>
      <c r="H126" s="357">
        <f t="shared" si="181"/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 s="20"/>
      <c r="P126" s="20"/>
      <c r="Q126" s="438">
        <v>5.6107324029754477E-2</v>
      </c>
      <c r="R126" s="197"/>
      <c r="S126" s="197"/>
      <c r="T126" s="197"/>
      <c r="U126" s="197"/>
      <c r="BA126" s="319">
        <f>(E126*10000*Q126*AU$10)</f>
        <v>5747.9571488149095</v>
      </c>
    </row>
    <row r="127" spans="1:53" ht="15" x14ac:dyDescent="0.25">
      <c r="A127" s="10"/>
      <c r="B127" s="9" t="s">
        <v>15</v>
      </c>
      <c r="C127" s="5"/>
      <c r="E127" s="363">
        <f>SUM(E126)</f>
        <v>8.2837999999999994</v>
      </c>
      <c r="H127" s="358">
        <f>SUM(D126:H126)</f>
        <v>8.2837999999999994</v>
      </c>
      <c r="K127" s="14"/>
      <c r="N127">
        <v>0</v>
      </c>
      <c r="O127" s="20"/>
      <c r="P127" s="20"/>
      <c r="Q127" s="438"/>
      <c r="R127" s="197"/>
      <c r="S127" s="197"/>
      <c r="T127" s="197"/>
      <c r="U127" s="197"/>
    </row>
    <row r="128" spans="1:53" ht="15.75" x14ac:dyDescent="0.25">
      <c r="A128" s="1"/>
      <c r="B128" s="2"/>
      <c r="C128" s="1"/>
      <c r="E128" s="361"/>
      <c r="K128" s="14"/>
      <c r="O128" s="20"/>
      <c r="P128" s="20"/>
      <c r="Q128" s="439"/>
      <c r="R128" s="197"/>
      <c r="S128" s="197"/>
      <c r="T128" s="197"/>
      <c r="U128" s="197"/>
    </row>
    <row r="129" spans="1:53" ht="15" x14ac:dyDescent="0.25">
      <c r="A129" s="1">
        <v>14</v>
      </c>
      <c r="B129" s="2" t="s">
        <v>28</v>
      </c>
      <c r="C129" s="1" t="s">
        <v>8</v>
      </c>
      <c r="D129">
        <v>0</v>
      </c>
      <c r="E129" s="360">
        <v>216.33430000000001</v>
      </c>
      <c r="F129">
        <v>0</v>
      </c>
      <c r="G129">
        <v>0</v>
      </c>
      <c r="H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 s="20"/>
      <c r="P129" s="20"/>
      <c r="Q129" s="438">
        <v>3.7304439811825817E-2</v>
      </c>
      <c r="R129" s="197">
        <v>5.6499999999999995E-2</v>
      </c>
      <c r="S129" s="197">
        <v>1.25</v>
      </c>
      <c r="T129" s="197">
        <v>0.50078889239507718</v>
      </c>
      <c r="U129" s="197">
        <v>0.75268470790377973</v>
      </c>
      <c r="V129" s="20">
        <f t="shared" ref="V129:Y134" si="182">E129*$Q129*$R129*10</f>
        <v>4.5596798785746602</v>
      </c>
      <c r="W129" s="20">
        <f t="shared" si="182"/>
        <v>0</v>
      </c>
      <c r="X129" s="20">
        <f t="shared" si="182"/>
        <v>0</v>
      </c>
      <c r="Y129" s="20">
        <f t="shared" si="182"/>
        <v>0</v>
      </c>
      <c r="Z129" s="20">
        <f t="shared" ref="Z129:Z134" si="183">V129*(EXP(1.01-0.34*LN(Z$8))*(1-$T129)+(1*$T129))</f>
        <v>2.6988576351856555</v>
      </c>
      <c r="AA129" s="20">
        <f t="shared" ref="AA129:AC134" si="184">W129*(EXP(1.01-0.34*LN(AA$8))*(1-$U129)+(1*$U129))</f>
        <v>0</v>
      </c>
      <c r="AB129" s="20">
        <f t="shared" si="184"/>
        <v>0</v>
      </c>
      <c r="AC129" s="20">
        <f t="shared" si="184"/>
        <v>0</v>
      </c>
      <c r="AD129" s="20">
        <f t="shared" ref="AD129:AD134" si="185">SUM(Z129:AC129)</f>
        <v>2.6988576351856555</v>
      </c>
      <c r="AE129" s="20">
        <f t="shared" ref="AE129:AH134" si="186">E129*$Q129*$S129*10</f>
        <v>100.87787341979337</v>
      </c>
      <c r="AF129" s="20">
        <f t="shared" si="186"/>
        <v>0</v>
      </c>
      <c r="AG129" s="20">
        <f t="shared" si="186"/>
        <v>0</v>
      </c>
      <c r="AH129" s="20">
        <f t="shared" si="186"/>
        <v>0</v>
      </c>
      <c r="AI129" s="20">
        <f t="shared" ref="AI129:AI134" si="187">AE129*(EXP(1.01-0.34*LN(AI$8))*(1-$U129)+(1*$U129))</f>
        <v>80.482428457877845</v>
      </c>
      <c r="AJ129" s="20">
        <f t="shared" ref="AJ129:AL134" si="188">AF129*(EXP(1.01-0.34*LN(AJ$8))*(1-$T129)+(1*$T129))</f>
        <v>0</v>
      </c>
      <c r="AK129" s="20">
        <f t="shared" si="188"/>
        <v>0</v>
      </c>
      <c r="AL129" s="20">
        <f t="shared" si="188"/>
        <v>0</v>
      </c>
      <c r="AM129" s="20">
        <f t="shared" ref="AM129:AM134" si="189">SUM(AI129:AL129)</f>
        <v>80.482428457877845</v>
      </c>
      <c r="AO129">
        <f t="shared" ref="AO129:AR134" si="190">Z129*AO$10</f>
        <v>3.3376772374340997</v>
      </c>
      <c r="AP129">
        <f t="shared" si="190"/>
        <v>0</v>
      </c>
      <c r="AQ129">
        <f t="shared" si="190"/>
        <v>0</v>
      </c>
      <c r="AR129">
        <f t="shared" si="190"/>
        <v>0</v>
      </c>
      <c r="AS129">
        <f t="shared" ref="AS129:AS134" si="191">SUM(AO129:AR129)</f>
        <v>3.3376772374340997</v>
      </c>
      <c r="AU129">
        <f t="shared" ref="AU129:AU134" si="192">AI129*AU$10</f>
        <v>99.53261927385752</v>
      </c>
      <c r="AV129">
        <f t="shared" ref="AV129:AX134" si="193">AJ129*AV$10</f>
        <v>0</v>
      </c>
      <c r="AW129">
        <f t="shared" si="193"/>
        <v>0</v>
      </c>
      <c r="AX129">
        <f t="shared" si="193"/>
        <v>0</v>
      </c>
      <c r="AY129">
        <f t="shared" ref="AY129:AY134" si="194">SUM(AU129:AX129)</f>
        <v>99.53261927385752</v>
      </c>
    </row>
    <row r="130" spans="1:53" ht="15" x14ac:dyDescent="0.25">
      <c r="A130" s="1"/>
      <c r="B130" s="2"/>
      <c r="C130" s="1" t="s">
        <v>9</v>
      </c>
      <c r="D130">
        <v>0</v>
      </c>
      <c r="E130" s="360">
        <v>4.1064999999999996</v>
      </c>
      <c r="F130">
        <v>0</v>
      </c>
      <c r="G130">
        <v>0</v>
      </c>
      <c r="H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 s="20"/>
      <c r="P130" s="20"/>
      <c r="Q130" s="438">
        <v>6.5608879623651625E-2</v>
      </c>
      <c r="R130" s="197">
        <v>5.6499999999999995E-2</v>
      </c>
      <c r="S130" s="197">
        <v>1.25</v>
      </c>
      <c r="T130" s="197">
        <v>0.50078889239507718</v>
      </c>
      <c r="U130" s="197">
        <v>0.75268470790377973</v>
      </c>
      <c r="V130" s="20">
        <f t="shared" si="182"/>
        <v>0.15222391825860682</v>
      </c>
      <c r="W130" s="20">
        <f t="shared" si="182"/>
        <v>0</v>
      </c>
      <c r="X130" s="20">
        <f t="shared" si="182"/>
        <v>0</v>
      </c>
      <c r="Y130" s="20">
        <f t="shared" si="182"/>
        <v>0</v>
      </c>
      <c r="Z130" s="20">
        <f t="shared" si="183"/>
        <v>9.0100773517140492E-2</v>
      </c>
      <c r="AA130" s="20">
        <f t="shared" si="184"/>
        <v>0</v>
      </c>
      <c r="AB130" s="20">
        <f t="shared" si="184"/>
        <v>0</v>
      </c>
      <c r="AC130" s="20">
        <f t="shared" si="184"/>
        <v>0</v>
      </c>
      <c r="AD130" s="20">
        <f t="shared" si="185"/>
        <v>9.0100773517140492E-2</v>
      </c>
      <c r="AE130" s="20">
        <f t="shared" si="186"/>
        <v>3.367785802181567</v>
      </c>
      <c r="AF130" s="20">
        <f t="shared" si="186"/>
        <v>0</v>
      </c>
      <c r="AG130" s="20">
        <f t="shared" si="186"/>
        <v>0</v>
      </c>
      <c r="AH130" s="20">
        <f t="shared" si="186"/>
        <v>0</v>
      </c>
      <c r="AI130" s="20">
        <f t="shared" si="187"/>
        <v>2.686888320470405</v>
      </c>
      <c r="AJ130" s="20">
        <f t="shared" si="188"/>
        <v>0</v>
      </c>
      <c r="AK130" s="20">
        <f t="shared" si="188"/>
        <v>0</v>
      </c>
      <c r="AL130" s="20">
        <f t="shared" si="188"/>
        <v>0</v>
      </c>
      <c r="AM130" s="20">
        <f t="shared" si="189"/>
        <v>2.686888320470405</v>
      </c>
      <c r="AO130">
        <f t="shared" si="190"/>
        <v>0.11142762660864763</v>
      </c>
      <c r="AP130">
        <f t="shared" si="190"/>
        <v>0</v>
      </c>
      <c r="AQ130">
        <f t="shared" si="190"/>
        <v>0</v>
      </c>
      <c r="AR130">
        <f t="shared" si="190"/>
        <v>0</v>
      </c>
      <c r="AS130">
        <f t="shared" si="191"/>
        <v>0.11142762660864763</v>
      </c>
      <c r="AU130">
        <f t="shared" si="192"/>
        <v>3.3228747859257495</v>
      </c>
      <c r="AV130">
        <f t="shared" si="193"/>
        <v>0</v>
      </c>
      <c r="AW130">
        <f t="shared" si="193"/>
        <v>0</v>
      </c>
      <c r="AX130">
        <f t="shared" si="193"/>
        <v>0</v>
      </c>
      <c r="AY130">
        <f t="shared" si="194"/>
        <v>3.3228747859257495</v>
      </c>
    </row>
    <row r="131" spans="1:53" ht="15" x14ac:dyDescent="0.25">
      <c r="A131" s="1"/>
      <c r="B131" s="2"/>
      <c r="C131" s="1" t="s">
        <v>10</v>
      </c>
      <c r="D131">
        <v>0</v>
      </c>
      <c r="E131" s="360">
        <v>9.0899999999999995E-2</v>
      </c>
      <c r="F131">
        <v>0</v>
      </c>
      <c r="G131">
        <v>0</v>
      </c>
      <c r="H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 s="20"/>
      <c r="P131" s="20"/>
      <c r="Q131" s="438">
        <v>9.3913319435477427E-2</v>
      </c>
      <c r="R131" s="197">
        <v>5.6499999999999995E-2</v>
      </c>
      <c r="S131" s="197">
        <v>1.25</v>
      </c>
      <c r="T131" s="197">
        <v>0.50078889239507718</v>
      </c>
      <c r="U131" s="197">
        <v>0.75268470790377973</v>
      </c>
      <c r="V131" s="20">
        <f t="shared" si="182"/>
        <v>4.823247216226967E-3</v>
      </c>
      <c r="W131" s="20">
        <f t="shared" si="182"/>
        <v>0</v>
      </c>
      <c r="X131" s="20">
        <f t="shared" si="182"/>
        <v>0</v>
      </c>
      <c r="Y131" s="20">
        <f t="shared" si="182"/>
        <v>0</v>
      </c>
      <c r="Z131" s="20">
        <f t="shared" si="183"/>
        <v>2.8548621663263027E-3</v>
      </c>
      <c r="AA131" s="20">
        <f t="shared" si="184"/>
        <v>0</v>
      </c>
      <c r="AB131" s="20">
        <f t="shared" si="184"/>
        <v>0</v>
      </c>
      <c r="AC131" s="20">
        <f t="shared" si="184"/>
        <v>0</v>
      </c>
      <c r="AD131" s="20">
        <f t="shared" si="185"/>
        <v>2.8548621663263027E-3</v>
      </c>
      <c r="AE131" s="20">
        <f t="shared" si="186"/>
        <v>0.10670900920856123</v>
      </c>
      <c r="AF131" s="20">
        <f t="shared" si="186"/>
        <v>0</v>
      </c>
      <c r="AG131" s="20">
        <f t="shared" si="186"/>
        <v>0</v>
      </c>
      <c r="AH131" s="20">
        <f t="shared" si="186"/>
        <v>0</v>
      </c>
      <c r="AI131" s="20">
        <f t="shared" si="187"/>
        <v>8.513462772653925E-2</v>
      </c>
      <c r="AJ131" s="20">
        <f t="shared" si="188"/>
        <v>0</v>
      </c>
      <c r="AK131" s="20">
        <f t="shared" si="188"/>
        <v>0</v>
      </c>
      <c r="AL131" s="20">
        <f t="shared" si="188"/>
        <v>0</v>
      </c>
      <c r="AM131" s="20">
        <f t="shared" si="189"/>
        <v>8.513462772653925E-2</v>
      </c>
      <c r="AO131">
        <f t="shared" si="190"/>
        <v>3.5306080410957381E-3</v>
      </c>
      <c r="AP131">
        <f t="shared" si="190"/>
        <v>0</v>
      </c>
      <c r="AQ131">
        <f t="shared" si="190"/>
        <v>0</v>
      </c>
      <c r="AR131">
        <f t="shared" si="190"/>
        <v>0</v>
      </c>
      <c r="AS131">
        <f t="shared" si="191"/>
        <v>3.5306080410957381E-3</v>
      </c>
      <c r="AU131">
        <f t="shared" si="192"/>
        <v>0.10528599410941109</v>
      </c>
      <c r="AV131">
        <f t="shared" si="193"/>
        <v>0</v>
      </c>
      <c r="AW131">
        <f t="shared" si="193"/>
        <v>0</v>
      </c>
      <c r="AX131">
        <f t="shared" si="193"/>
        <v>0</v>
      </c>
      <c r="AY131">
        <f t="shared" si="194"/>
        <v>0.10528599410941109</v>
      </c>
    </row>
    <row r="132" spans="1:53" ht="15" x14ac:dyDescent="0.25">
      <c r="A132" s="1"/>
      <c r="B132" s="2"/>
      <c r="C132" s="1" t="s">
        <v>11</v>
      </c>
      <c r="D132">
        <v>0</v>
      </c>
      <c r="E132" s="360">
        <v>98.100099999999998</v>
      </c>
      <c r="F132">
        <v>0</v>
      </c>
      <c r="G132">
        <v>0</v>
      </c>
      <c r="H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 s="20"/>
      <c r="P132" s="20"/>
      <c r="Q132" s="438">
        <v>0.12221775924730323</v>
      </c>
      <c r="R132" s="197">
        <v>5.6499999999999995E-2</v>
      </c>
      <c r="S132" s="197">
        <v>1.25</v>
      </c>
      <c r="T132" s="197">
        <v>0.50078889239507718</v>
      </c>
      <c r="U132" s="197">
        <v>0.75268470790377973</v>
      </c>
      <c r="V132" s="20">
        <f t="shared" si="182"/>
        <v>6.7741095382240495</v>
      </c>
      <c r="W132" s="20">
        <f t="shared" si="182"/>
        <v>0</v>
      </c>
      <c r="X132" s="20">
        <f t="shared" si="182"/>
        <v>0</v>
      </c>
      <c r="Y132" s="20">
        <f t="shared" si="182"/>
        <v>0</v>
      </c>
      <c r="Z132" s="20">
        <f t="shared" si="183"/>
        <v>4.0095703504814795</v>
      </c>
      <c r="AA132" s="20">
        <f t="shared" si="184"/>
        <v>0</v>
      </c>
      <c r="AB132" s="20">
        <f t="shared" si="184"/>
        <v>0</v>
      </c>
      <c r="AC132" s="20">
        <f t="shared" si="184"/>
        <v>0</v>
      </c>
      <c r="AD132" s="20">
        <f t="shared" si="185"/>
        <v>4.0095703504814795</v>
      </c>
      <c r="AE132" s="20">
        <f t="shared" si="186"/>
        <v>149.86968004920465</v>
      </c>
      <c r="AF132" s="20">
        <f t="shared" si="186"/>
        <v>0</v>
      </c>
      <c r="AG132" s="20">
        <f t="shared" si="186"/>
        <v>0</v>
      </c>
      <c r="AH132" s="20">
        <f t="shared" si="186"/>
        <v>0</v>
      </c>
      <c r="AI132" s="20">
        <f t="shared" si="187"/>
        <v>119.56909274217988</v>
      </c>
      <c r="AJ132" s="20">
        <f t="shared" si="188"/>
        <v>0</v>
      </c>
      <c r="AK132" s="20">
        <f t="shared" si="188"/>
        <v>0</v>
      </c>
      <c r="AL132" s="20">
        <f t="shared" si="188"/>
        <v>0</v>
      </c>
      <c r="AM132" s="20">
        <f t="shared" si="189"/>
        <v>119.56909274217988</v>
      </c>
      <c r="AO132">
        <f t="shared" si="190"/>
        <v>4.9586356524404449</v>
      </c>
      <c r="AP132">
        <f t="shared" si="190"/>
        <v>0</v>
      </c>
      <c r="AQ132">
        <f t="shared" si="190"/>
        <v>0</v>
      </c>
      <c r="AR132">
        <f t="shared" si="190"/>
        <v>0</v>
      </c>
      <c r="AS132">
        <f t="shared" si="191"/>
        <v>4.9586356524404449</v>
      </c>
      <c r="AU132">
        <f t="shared" si="192"/>
        <v>147.87109699425383</v>
      </c>
      <c r="AV132">
        <f t="shared" si="193"/>
        <v>0</v>
      </c>
      <c r="AW132">
        <f t="shared" si="193"/>
        <v>0</v>
      </c>
      <c r="AX132">
        <f t="shared" si="193"/>
        <v>0</v>
      </c>
      <c r="AY132">
        <f t="shared" si="194"/>
        <v>147.87109699425383</v>
      </c>
    </row>
    <row r="133" spans="1:53" ht="15" x14ac:dyDescent="0.25">
      <c r="A133" s="1"/>
      <c r="B133" s="2"/>
      <c r="C133" s="1" t="s">
        <v>12</v>
      </c>
      <c r="D133">
        <v>0</v>
      </c>
      <c r="E133" s="360">
        <v>0</v>
      </c>
      <c r="F133">
        <v>0</v>
      </c>
      <c r="G133">
        <v>0</v>
      </c>
      <c r="H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 s="20"/>
      <c r="P133" s="20"/>
      <c r="Q133" s="438"/>
      <c r="R133" s="197">
        <v>5.6499999999999995E-2</v>
      </c>
      <c r="S133" s="197">
        <v>1.25</v>
      </c>
      <c r="T133" s="197">
        <v>0.50078889239507718</v>
      </c>
      <c r="U133" s="197">
        <v>0.75268470790377973</v>
      </c>
      <c r="V133" s="20">
        <f t="shared" si="182"/>
        <v>0</v>
      </c>
      <c r="W133" s="20">
        <f t="shared" si="182"/>
        <v>0</v>
      </c>
      <c r="X133" s="20">
        <f t="shared" si="182"/>
        <v>0</v>
      </c>
      <c r="Y133" s="20">
        <f t="shared" si="182"/>
        <v>0</v>
      </c>
      <c r="Z133" s="20">
        <f t="shared" si="183"/>
        <v>0</v>
      </c>
      <c r="AA133" s="20">
        <f t="shared" si="184"/>
        <v>0</v>
      </c>
      <c r="AB133" s="20">
        <f t="shared" si="184"/>
        <v>0</v>
      </c>
      <c r="AC133" s="20">
        <f t="shared" si="184"/>
        <v>0</v>
      </c>
      <c r="AD133" s="20">
        <f t="shared" si="185"/>
        <v>0</v>
      </c>
      <c r="AE133" s="20">
        <f t="shared" si="186"/>
        <v>0</v>
      </c>
      <c r="AF133" s="20">
        <f t="shared" si="186"/>
        <v>0</v>
      </c>
      <c r="AG133" s="20">
        <f t="shared" si="186"/>
        <v>0</v>
      </c>
      <c r="AH133" s="20">
        <f t="shared" si="186"/>
        <v>0</v>
      </c>
      <c r="AI133" s="20">
        <f t="shared" si="187"/>
        <v>0</v>
      </c>
      <c r="AJ133" s="20">
        <f t="shared" si="188"/>
        <v>0</v>
      </c>
      <c r="AK133" s="20">
        <f t="shared" si="188"/>
        <v>0</v>
      </c>
      <c r="AL133" s="20">
        <f t="shared" si="188"/>
        <v>0</v>
      </c>
      <c r="AM133" s="20">
        <f t="shared" si="189"/>
        <v>0</v>
      </c>
      <c r="AO133">
        <f t="shared" si="190"/>
        <v>0</v>
      </c>
      <c r="AP133">
        <f t="shared" si="190"/>
        <v>0</v>
      </c>
      <c r="AQ133">
        <f t="shared" si="190"/>
        <v>0</v>
      </c>
      <c r="AR133">
        <f t="shared" si="190"/>
        <v>0</v>
      </c>
      <c r="AS133">
        <f t="shared" si="191"/>
        <v>0</v>
      </c>
      <c r="AU133">
        <f t="shared" si="192"/>
        <v>0</v>
      </c>
      <c r="AV133">
        <f t="shared" si="193"/>
        <v>0</v>
      </c>
      <c r="AW133">
        <f t="shared" si="193"/>
        <v>0</v>
      </c>
      <c r="AX133">
        <f t="shared" si="193"/>
        <v>0</v>
      </c>
      <c r="AY133">
        <f t="shared" si="194"/>
        <v>0</v>
      </c>
    </row>
    <row r="134" spans="1:53" ht="15" x14ac:dyDescent="0.25">
      <c r="A134" s="1"/>
      <c r="B134" s="2"/>
      <c r="C134" s="1" t="s">
        <v>13</v>
      </c>
      <c r="D134">
        <v>0</v>
      </c>
      <c r="E134" s="360">
        <v>0.71750000000000003</v>
      </c>
      <c r="F134">
        <v>0</v>
      </c>
      <c r="G134">
        <v>0</v>
      </c>
      <c r="H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20"/>
      <c r="P134" s="20"/>
      <c r="Q134" s="438">
        <v>0.12221775924730326</v>
      </c>
      <c r="R134" s="197">
        <v>5.6499999999999995E-2</v>
      </c>
      <c r="S134" s="197">
        <v>1.25</v>
      </c>
      <c r="T134" s="197">
        <v>0.50078889239507718</v>
      </c>
      <c r="U134" s="197">
        <v>0.75268470790377973</v>
      </c>
      <c r="V134" s="20">
        <f t="shared" si="182"/>
        <v>4.9545551876866149E-2</v>
      </c>
      <c r="W134" s="20">
        <f t="shared" si="182"/>
        <v>0</v>
      </c>
      <c r="X134" s="20">
        <f t="shared" si="182"/>
        <v>0</v>
      </c>
      <c r="Y134" s="20">
        <f t="shared" si="182"/>
        <v>0</v>
      </c>
      <c r="Z134" s="20">
        <f t="shared" si="183"/>
        <v>2.9325828683869459E-2</v>
      </c>
      <c r="AA134" s="20">
        <f t="shared" si="184"/>
        <v>0</v>
      </c>
      <c r="AB134" s="20">
        <f t="shared" si="184"/>
        <v>0</v>
      </c>
      <c r="AC134" s="20">
        <f t="shared" si="184"/>
        <v>0</v>
      </c>
      <c r="AD134" s="20">
        <f t="shared" si="185"/>
        <v>2.9325828683869459E-2</v>
      </c>
      <c r="AE134" s="20">
        <f t="shared" si="186"/>
        <v>1.0961405282492511</v>
      </c>
      <c r="AF134" s="20">
        <f t="shared" si="186"/>
        <v>0</v>
      </c>
      <c r="AG134" s="20">
        <f t="shared" si="186"/>
        <v>0</v>
      </c>
      <c r="AH134" s="20">
        <f t="shared" si="186"/>
        <v>0</v>
      </c>
      <c r="AI134" s="20">
        <f t="shared" si="187"/>
        <v>0.87452330876843232</v>
      </c>
      <c r="AJ134" s="20">
        <f t="shared" si="188"/>
        <v>0</v>
      </c>
      <c r="AK134" s="20">
        <f t="shared" si="188"/>
        <v>0</v>
      </c>
      <c r="AL134" s="20">
        <f t="shared" si="188"/>
        <v>0</v>
      </c>
      <c r="AM134" s="20">
        <f t="shared" si="189"/>
        <v>0.87452330876843232</v>
      </c>
      <c r="AO134">
        <f t="shared" si="190"/>
        <v>3.6267252333341354E-2</v>
      </c>
      <c r="AP134">
        <f t="shared" si="190"/>
        <v>0</v>
      </c>
      <c r="AQ134">
        <f t="shared" si="190"/>
        <v>0</v>
      </c>
      <c r="AR134">
        <f t="shared" si="190"/>
        <v>0</v>
      </c>
      <c r="AS134">
        <f t="shared" si="191"/>
        <v>3.6267252333341354E-2</v>
      </c>
      <c r="AU134">
        <f t="shared" si="192"/>
        <v>1.0815229759539202</v>
      </c>
      <c r="AV134">
        <f t="shared" si="193"/>
        <v>0</v>
      </c>
      <c r="AW134">
        <f t="shared" si="193"/>
        <v>0</v>
      </c>
      <c r="AX134">
        <f t="shared" si="193"/>
        <v>0</v>
      </c>
      <c r="AY134">
        <f t="shared" si="194"/>
        <v>1.0815229759539202</v>
      </c>
    </row>
    <row r="135" spans="1:53" ht="15" x14ac:dyDescent="0.25">
      <c r="A135" s="7"/>
      <c r="B135" s="8" t="s">
        <v>14</v>
      </c>
      <c r="C135" s="7"/>
      <c r="D135" s="357">
        <f t="shared" ref="D135:H135" si="195">SUM(D129:D134)</f>
        <v>0</v>
      </c>
      <c r="E135" s="363">
        <f>SUM(E129:E134)</f>
        <v>319.34929999999997</v>
      </c>
      <c r="F135" s="357">
        <f t="shared" si="195"/>
        <v>0</v>
      </c>
      <c r="G135" s="357">
        <f t="shared" si="195"/>
        <v>0</v>
      </c>
      <c r="H135" s="357">
        <f t="shared" si="195"/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 s="20"/>
      <c r="P135" s="20"/>
      <c r="Q135" s="438">
        <v>6.395960506157676E-2</v>
      </c>
      <c r="R135" s="197"/>
      <c r="S135" s="197"/>
      <c r="T135" s="197"/>
      <c r="U135" s="197"/>
      <c r="BA135" s="319">
        <f>(E135*10000*Q135*AU$10)</f>
        <v>252601.60327971345</v>
      </c>
    </row>
    <row r="136" spans="1:53" ht="15" x14ac:dyDescent="0.25">
      <c r="A136" s="10"/>
      <c r="B136" s="9" t="s">
        <v>15</v>
      </c>
      <c r="C136" s="5"/>
      <c r="E136" s="363">
        <f>SUM(E135)</f>
        <v>319.34929999999997</v>
      </c>
      <c r="H136" s="358">
        <f>SUM(D135:H135)</f>
        <v>319.34929999999997</v>
      </c>
      <c r="K136" s="14"/>
      <c r="N136">
        <v>0</v>
      </c>
      <c r="O136" s="20"/>
      <c r="P136" s="20"/>
      <c r="Q136" s="438"/>
      <c r="R136" s="197"/>
      <c r="S136" s="197"/>
      <c r="T136" s="197"/>
      <c r="U136" s="197"/>
    </row>
    <row r="137" spans="1:53" ht="15.75" x14ac:dyDescent="0.25">
      <c r="A137" s="1"/>
      <c r="B137" s="2"/>
      <c r="C137" s="1"/>
      <c r="E137" s="361"/>
      <c r="K137" s="14"/>
      <c r="O137" s="20"/>
      <c r="P137" s="20"/>
      <c r="Q137" s="439"/>
      <c r="R137" s="197"/>
      <c r="S137" s="197"/>
      <c r="T137" s="197"/>
      <c r="U137" s="197"/>
    </row>
    <row r="138" spans="1:53" ht="15" x14ac:dyDescent="0.25">
      <c r="A138" s="1">
        <v>15</v>
      </c>
      <c r="B138" s="2" t="s">
        <v>29</v>
      </c>
      <c r="C138" s="1" t="s">
        <v>8</v>
      </c>
      <c r="D138">
        <v>0</v>
      </c>
      <c r="E138" s="360">
        <v>2.8900999999999999</v>
      </c>
      <c r="F138">
        <v>0</v>
      </c>
      <c r="G138">
        <v>0</v>
      </c>
      <c r="H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 s="20"/>
      <c r="P138" s="20"/>
      <c r="Q138" s="438">
        <v>0.76928855148664044</v>
      </c>
      <c r="R138" s="197">
        <v>2.5000000000000001E-2</v>
      </c>
      <c r="S138" s="197">
        <v>0.71599999999999997</v>
      </c>
      <c r="T138" s="197">
        <v>0.11808671869809276</v>
      </c>
      <c r="U138" s="197">
        <v>0.41263016220713056</v>
      </c>
      <c r="V138" s="20">
        <f t="shared" ref="V138:Y143" si="196">E138*$Q138*$R138*10</f>
        <v>0.55583021066288485</v>
      </c>
      <c r="W138" s="20">
        <f t="shared" si="196"/>
        <v>0</v>
      </c>
      <c r="X138" s="20">
        <f t="shared" si="196"/>
        <v>0</v>
      </c>
      <c r="Y138" s="20">
        <f t="shared" si="196"/>
        <v>0</v>
      </c>
      <c r="Z138" s="20">
        <f t="shared" ref="Z138:Z143" si="197">V138*(EXP(1.01-0.34*LN(Z$8))*(1-$T138)+(1*$T138))</f>
        <v>0.15509793142047579</v>
      </c>
      <c r="AA138" s="20">
        <f t="shared" ref="AA138:AC143" si="198">W138*(EXP(1.01-0.34*LN(AA$8))*(1-$U138)+(1*$U138))</f>
        <v>0</v>
      </c>
      <c r="AB138" s="20">
        <f t="shared" si="198"/>
        <v>0</v>
      </c>
      <c r="AC138" s="20">
        <f t="shared" si="198"/>
        <v>0</v>
      </c>
      <c r="AD138" s="20">
        <f t="shared" ref="AD138:AD143" si="199">SUM(Z138:AC138)</f>
        <v>0.15509793142047579</v>
      </c>
      <c r="AE138" s="20">
        <f t="shared" ref="AE138:AH143" si="200">E138*$Q138*$S138*10</f>
        <v>15.918977233385021</v>
      </c>
      <c r="AF138" s="20">
        <f t="shared" si="200"/>
        <v>0</v>
      </c>
      <c r="AG138" s="20">
        <f t="shared" si="200"/>
        <v>0</v>
      </c>
      <c r="AH138" s="20">
        <f t="shared" si="200"/>
        <v>0</v>
      </c>
      <c r="AI138" s="20">
        <f t="shared" ref="AI138:AI143" si="201">AE138*(EXP(1.01-0.34*LN(AI$8))*(1-$U138)+(1*$U138))</f>
        <v>8.2751106476450715</v>
      </c>
      <c r="AJ138" s="20">
        <f t="shared" ref="AJ138:AL143" si="202">AF138*(EXP(1.01-0.34*LN(AJ$8))*(1-$T138)+(1*$T138))</f>
        <v>0</v>
      </c>
      <c r="AK138" s="20">
        <f t="shared" si="202"/>
        <v>0</v>
      </c>
      <c r="AL138" s="20">
        <f t="shared" si="202"/>
        <v>0</v>
      </c>
      <c r="AM138" s="20">
        <f t="shared" ref="AM138:AM143" si="203">SUM(AI138:AL138)</f>
        <v>8.2751106476450715</v>
      </c>
      <c r="AO138">
        <f t="shared" ref="AO138:AR143" si="204">Z138*AO$10</f>
        <v>0.19180961178770239</v>
      </c>
      <c r="AP138">
        <f t="shared" si="204"/>
        <v>0</v>
      </c>
      <c r="AQ138">
        <f t="shared" si="204"/>
        <v>0</v>
      </c>
      <c r="AR138">
        <f t="shared" si="204"/>
        <v>0</v>
      </c>
      <c r="AS138">
        <f t="shared" ref="AS138:AS143" si="205">SUM(AO138:AR138)</f>
        <v>0.19180961178770239</v>
      </c>
      <c r="AU138">
        <f t="shared" ref="AU138:AU143" si="206">AI138*AU$10</f>
        <v>10.233829337942659</v>
      </c>
      <c r="AV138">
        <f t="shared" ref="AV138:AX143" si="207">AJ138*AV$10</f>
        <v>0</v>
      </c>
      <c r="AW138">
        <f t="shared" si="207"/>
        <v>0</v>
      </c>
      <c r="AX138">
        <f t="shared" si="207"/>
        <v>0</v>
      </c>
      <c r="AY138">
        <f t="shared" ref="AY138:AY143" si="208">SUM(AU138:AX138)</f>
        <v>10.233829337942659</v>
      </c>
    </row>
    <row r="139" spans="1:53" ht="15" x14ac:dyDescent="0.25">
      <c r="A139" s="1"/>
      <c r="B139" s="2"/>
      <c r="C139" s="1" t="s">
        <v>9</v>
      </c>
      <c r="D139">
        <v>0</v>
      </c>
      <c r="E139" s="360">
        <v>0.32750000000000001</v>
      </c>
      <c r="F139">
        <v>0</v>
      </c>
      <c r="G139">
        <v>0</v>
      </c>
      <c r="H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 s="20"/>
      <c r="P139" s="20"/>
      <c r="Q139" s="438">
        <v>0.77357710297328042</v>
      </c>
      <c r="R139" s="197">
        <v>2.5000000000000001E-2</v>
      </c>
      <c r="S139" s="197">
        <v>0.71599999999999997</v>
      </c>
      <c r="T139" s="197">
        <v>0.11808671869809276</v>
      </c>
      <c r="U139" s="197">
        <v>0.41263016220713056</v>
      </c>
      <c r="V139" s="20">
        <f t="shared" si="196"/>
        <v>6.3336625305937339E-2</v>
      </c>
      <c r="W139" s="20">
        <f t="shared" si="196"/>
        <v>0</v>
      </c>
      <c r="X139" s="20">
        <f t="shared" si="196"/>
        <v>0</v>
      </c>
      <c r="Y139" s="20">
        <f t="shared" si="196"/>
        <v>0</v>
      </c>
      <c r="Z139" s="20">
        <f t="shared" si="197"/>
        <v>1.7673345888107175E-2</v>
      </c>
      <c r="AA139" s="20">
        <f t="shared" si="198"/>
        <v>0</v>
      </c>
      <c r="AB139" s="20">
        <f t="shared" si="198"/>
        <v>0</v>
      </c>
      <c r="AC139" s="20">
        <f t="shared" si="198"/>
        <v>0</v>
      </c>
      <c r="AD139" s="20">
        <f t="shared" si="199"/>
        <v>1.7673345888107175E-2</v>
      </c>
      <c r="AE139" s="20">
        <f t="shared" si="200"/>
        <v>1.8139609487620454</v>
      </c>
      <c r="AF139" s="20">
        <f t="shared" si="200"/>
        <v>0</v>
      </c>
      <c r="AG139" s="20">
        <f t="shared" si="200"/>
        <v>0</v>
      </c>
      <c r="AH139" s="20">
        <f t="shared" si="200"/>
        <v>0</v>
      </c>
      <c r="AI139" s="20">
        <f t="shared" si="201"/>
        <v>0.94294547579557453</v>
      </c>
      <c r="AJ139" s="20">
        <f t="shared" si="202"/>
        <v>0</v>
      </c>
      <c r="AK139" s="20">
        <f t="shared" si="202"/>
        <v>0</v>
      </c>
      <c r="AL139" s="20">
        <f t="shared" si="202"/>
        <v>0</v>
      </c>
      <c r="AM139" s="20">
        <f t="shared" si="203"/>
        <v>0.94294547579557453</v>
      </c>
      <c r="AO139">
        <f t="shared" si="204"/>
        <v>2.1856626859822141E-2</v>
      </c>
      <c r="AP139">
        <f t="shared" si="204"/>
        <v>0</v>
      </c>
      <c r="AQ139">
        <f t="shared" si="204"/>
        <v>0</v>
      </c>
      <c r="AR139">
        <f t="shared" si="204"/>
        <v>0</v>
      </c>
      <c r="AS139">
        <f t="shared" si="205"/>
        <v>2.1856626859822141E-2</v>
      </c>
      <c r="AU139">
        <f t="shared" si="206"/>
        <v>1.166140669916387</v>
      </c>
      <c r="AV139">
        <f t="shared" si="207"/>
        <v>0</v>
      </c>
      <c r="AW139">
        <f t="shared" si="207"/>
        <v>0</v>
      </c>
      <c r="AX139">
        <f t="shared" si="207"/>
        <v>0</v>
      </c>
      <c r="AY139">
        <f t="shared" si="208"/>
        <v>1.166140669916387</v>
      </c>
    </row>
    <row r="140" spans="1:53" ht="15" x14ac:dyDescent="0.25">
      <c r="A140" s="1"/>
      <c r="B140" s="2"/>
      <c r="C140" s="1" t="s">
        <v>10</v>
      </c>
      <c r="D140">
        <v>0</v>
      </c>
      <c r="E140" s="360">
        <v>0</v>
      </c>
      <c r="F140">
        <v>0</v>
      </c>
      <c r="G140">
        <v>0</v>
      </c>
      <c r="H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 s="20"/>
      <c r="P140" s="20"/>
      <c r="Q140" s="438"/>
      <c r="R140" s="197">
        <v>2.5000000000000001E-2</v>
      </c>
      <c r="S140" s="197">
        <v>0.71599999999999997</v>
      </c>
      <c r="T140" s="197">
        <v>0.11808671869809276</v>
      </c>
      <c r="U140" s="197">
        <v>0.41263016220713056</v>
      </c>
      <c r="V140" s="20">
        <f t="shared" si="196"/>
        <v>0</v>
      </c>
      <c r="W140" s="20">
        <f t="shared" si="196"/>
        <v>0</v>
      </c>
      <c r="X140" s="20">
        <f t="shared" si="196"/>
        <v>0</v>
      </c>
      <c r="Y140" s="20">
        <f t="shared" si="196"/>
        <v>0</v>
      </c>
      <c r="Z140" s="20">
        <f t="shared" si="197"/>
        <v>0</v>
      </c>
      <c r="AA140" s="20">
        <f t="shared" si="198"/>
        <v>0</v>
      </c>
      <c r="AB140" s="20">
        <f t="shared" si="198"/>
        <v>0</v>
      </c>
      <c r="AC140" s="20">
        <f t="shared" si="198"/>
        <v>0</v>
      </c>
      <c r="AD140" s="20">
        <f t="shared" si="199"/>
        <v>0</v>
      </c>
      <c r="AE140" s="20">
        <f t="shared" si="200"/>
        <v>0</v>
      </c>
      <c r="AF140" s="20">
        <f t="shared" si="200"/>
        <v>0</v>
      </c>
      <c r="AG140" s="20">
        <f t="shared" si="200"/>
        <v>0</v>
      </c>
      <c r="AH140" s="20">
        <f t="shared" si="200"/>
        <v>0</v>
      </c>
      <c r="AI140" s="20">
        <f t="shared" si="201"/>
        <v>0</v>
      </c>
      <c r="AJ140" s="20">
        <f t="shared" si="202"/>
        <v>0</v>
      </c>
      <c r="AK140" s="20">
        <f t="shared" si="202"/>
        <v>0</v>
      </c>
      <c r="AL140" s="20">
        <f t="shared" si="202"/>
        <v>0</v>
      </c>
      <c r="AM140" s="20">
        <f t="shared" si="203"/>
        <v>0</v>
      </c>
      <c r="AO140">
        <f t="shared" si="204"/>
        <v>0</v>
      </c>
      <c r="AP140">
        <f t="shared" si="204"/>
        <v>0</v>
      </c>
      <c r="AQ140">
        <f t="shared" si="204"/>
        <v>0</v>
      </c>
      <c r="AR140">
        <f t="shared" si="204"/>
        <v>0</v>
      </c>
      <c r="AS140">
        <f t="shared" si="205"/>
        <v>0</v>
      </c>
      <c r="AU140">
        <f t="shared" si="206"/>
        <v>0</v>
      </c>
      <c r="AV140">
        <f t="shared" si="207"/>
        <v>0</v>
      </c>
      <c r="AW140">
        <f t="shared" si="207"/>
        <v>0</v>
      </c>
      <c r="AX140">
        <f t="shared" si="207"/>
        <v>0</v>
      </c>
      <c r="AY140">
        <f t="shared" si="208"/>
        <v>0</v>
      </c>
    </row>
    <row r="141" spans="1:53" ht="15" x14ac:dyDescent="0.25">
      <c r="A141" s="1"/>
      <c r="B141" s="2"/>
      <c r="C141" s="1" t="s">
        <v>11</v>
      </c>
      <c r="D141">
        <v>0</v>
      </c>
      <c r="E141" s="360">
        <v>10.4046</v>
      </c>
      <c r="F141">
        <v>0</v>
      </c>
      <c r="G141">
        <v>0</v>
      </c>
      <c r="H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 s="20"/>
      <c r="P141" s="20"/>
      <c r="Q141" s="438">
        <v>0.78215420594656104</v>
      </c>
      <c r="R141" s="197">
        <v>2.5000000000000001E-2</v>
      </c>
      <c r="S141" s="197">
        <v>0.71599999999999997</v>
      </c>
      <c r="T141" s="197">
        <v>0.11808671869809276</v>
      </c>
      <c r="U141" s="197">
        <v>0.41263016220713056</v>
      </c>
      <c r="V141" s="20">
        <f t="shared" si="196"/>
        <v>2.0345004127978972</v>
      </c>
      <c r="W141" s="20">
        <f t="shared" si="196"/>
        <v>0</v>
      </c>
      <c r="X141" s="20">
        <f t="shared" si="196"/>
        <v>0</v>
      </c>
      <c r="Y141" s="20">
        <f t="shared" si="196"/>
        <v>0</v>
      </c>
      <c r="Z141" s="20">
        <f t="shared" si="197"/>
        <v>0.56770358905597418</v>
      </c>
      <c r="AA141" s="20">
        <f t="shared" si="198"/>
        <v>0</v>
      </c>
      <c r="AB141" s="20">
        <f t="shared" si="198"/>
        <v>0</v>
      </c>
      <c r="AC141" s="20">
        <f t="shared" si="198"/>
        <v>0</v>
      </c>
      <c r="AD141" s="20">
        <f t="shared" si="199"/>
        <v>0.56770358905597418</v>
      </c>
      <c r="AE141" s="20">
        <f t="shared" si="200"/>
        <v>58.268091822531773</v>
      </c>
      <c r="AF141" s="20">
        <f t="shared" si="200"/>
        <v>0</v>
      </c>
      <c r="AG141" s="20">
        <f t="shared" si="200"/>
        <v>0</v>
      </c>
      <c r="AH141" s="20">
        <f t="shared" si="200"/>
        <v>0</v>
      </c>
      <c r="AI141" s="20">
        <f t="shared" si="201"/>
        <v>30.289314444610422</v>
      </c>
      <c r="AJ141" s="20">
        <f t="shared" si="202"/>
        <v>0</v>
      </c>
      <c r="AK141" s="20">
        <f t="shared" si="202"/>
        <v>0</v>
      </c>
      <c r="AL141" s="20">
        <f t="shared" si="202"/>
        <v>0</v>
      </c>
      <c r="AM141" s="20">
        <f t="shared" si="203"/>
        <v>30.289314444610422</v>
      </c>
      <c r="AO141">
        <f t="shared" si="204"/>
        <v>0.70207902858552318</v>
      </c>
      <c r="AP141">
        <f t="shared" si="204"/>
        <v>0</v>
      </c>
      <c r="AQ141">
        <f t="shared" si="204"/>
        <v>0</v>
      </c>
      <c r="AR141">
        <f t="shared" si="204"/>
        <v>0</v>
      </c>
      <c r="AS141">
        <f t="shared" si="205"/>
        <v>0.70207902858552318</v>
      </c>
      <c r="AU141">
        <f t="shared" si="206"/>
        <v>37.458795173649705</v>
      </c>
      <c r="AV141">
        <f t="shared" si="207"/>
        <v>0</v>
      </c>
      <c r="AW141">
        <f t="shared" si="207"/>
        <v>0</v>
      </c>
      <c r="AX141">
        <f t="shared" si="207"/>
        <v>0</v>
      </c>
      <c r="AY141">
        <f t="shared" si="208"/>
        <v>37.458795173649705</v>
      </c>
    </row>
    <row r="142" spans="1:53" ht="15" x14ac:dyDescent="0.25">
      <c r="A142" s="1"/>
      <c r="B142" s="2"/>
      <c r="C142" s="1" t="s">
        <v>12</v>
      </c>
      <c r="D142">
        <v>0</v>
      </c>
      <c r="E142" s="360">
        <v>0</v>
      </c>
      <c r="F142">
        <v>0</v>
      </c>
      <c r="G142">
        <v>0</v>
      </c>
      <c r="H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 s="20"/>
      <c r="P142" s="20"/>
      <c r="Q142" s="438"/>
      <c r="R142" s="197">
        <v>2.5000000000000001E-2</v>
      </c>
      <c r="S142" s="197">
        <v>0.71599999999999997</v>
      </c>
      <c r="T142" s="197">
        <v>0.11808671869809276</v>
      </c>
      <c r="U142" s="197">
        <v>0.41263016220713056</v>
      </c>
      <c r="V142" s="20">
        <f t="shared" si="196"/>
        <v>0</v>
      </c>
      <c r="W142" s="20">
        <f t="shared" si="196"/>
        <v>0</v>
      </c>
      <c r="X142" s="20">
        <f t="shared" si="196"/>
        <v>0</v>
      </c>
      <c r="Y142" s="20">
        <f t="shared" si="196"/>
        <v>0</v>
      </c>
      <c r="Z142" s="20">
        <f t="shared" si="197"/>
        <v>0</v>
      </c>
      <c r="AA142" s="20">
        <f t="shared" si="198"/>
        <v>0</v>
      </c>
      <c r="AB142" s="20">
        <f t="shared" si="198"/>
        <v>0</v>
      </c>
      <c r="AC142" s="20">
        <f t="shared" si="198"/>
        <v>0</v>
      </c>
      <c r="AD142" s="20">
        <f t="shared" si="199"/>
        <v>0</v>
      </c>
      <c r="AE142" s="20">
        <f t="shared" si="200"/>
        <v>0</v>
      </c>
      <c r="AF142" s="20">
        <f t="shared" si="200"/>
        <v>0</v>
      </c>
      <c r="AG142" s="20">
        <f t="shared" si="200"/>
        <v>0</v>
      </c>
      <c r="AH142" s="20">
        <f t="shared" si="200"/>
        <v>0</v>
      </c>
      <c r="AI142" s="20">
        <f t="shared" si="201"/>
        <v>0</v>
      </c>
      <c r="AJ142" s="20">
        <f t="shared" si="202"/>
        <v>0</v>
      </c>
      <c r="AK142" s="20">
        <f t="shared" si="202"/>
        <v>0</v>
      </c>
      <c r="AL142" s="20">
        <f t="shared" si="202"/>
        <v>0</v>
      </c>
      <c r="AM142" s="20">
        <f t="shared" si="203"/>
        <v>0</v>
      </c>
      <c r="AO142">
        <f t="shared" si="204"/>
        <v>0</v>
      </c>
      <c r="AP142">
        <f t="shared" si="204"/>
        <v>0</v>
      </c>
      <c r="AQ142">
        <f t="shared" si="204"/>
        <v>0</v>
      </c>
      <c r="AR142">
        <f t="shared" si="204"/>
        <v>0</v>
      </c>
      <c r="AS142">
        <f t="shared" si="205"/>
        <v>0</v>
      </c>
      <c r="AU142">
        <f t="shared" si="206"/>
        <v>0</v>
      </c>
      <c r="AV142">
        <f t="shared" si="207"/>
        <v>0</v>
      </c>
      <c r="AW142">
        <f t="shared" si="207"/>
        <v>0</v>
      </c>
      <c r="AX142">
        <f t="shared" si="207"/>
        <v>0</v>
      </c>
      <c r="AY142">
        <f t="shared" si="208"/>
        <v>0</v>
      </c>
    </row>
    <row r="143" spans="1:53" ht="15" x14ac:dyDescent="0.25">
      <c r="A143" s="1"/>
      <c r="B143" s="2"/>
      <c r="C143" s="1" t="s">
        <v>13</v>
      </c>
      <c r="D143">
        <v>0</v>
      </c>
      <c r="E143" s="360">
        <v>9.9110999999999994</v>
      </c>
      <c r="F143">
        <v>0</v>
      </c>
      <c r="G143">
        <v>0</v>
      </c>
      <c r="H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20"/>
      <c r="P143" s="20"/>
      <c r="Q143" s="438">
        <v>0.78215420594656104</v>
      </c>
      <c r="R143" s="197">
        <v>2.5000000000000001E-2</v>
      </c>
      <c r="S143" s="197">
        <v>0.71599999999999997</v>
      </c>
      <c r="T143" s="197">
        <v>0.11808671869809276</v>
      </c>
      <c r="U143" s="197">
        <v>0.41263016220713056</v>
      </c>
      <c r="V143" s="20">
        <f t="shared" si="196"/>
        <v>1.9380021376392405</v>
      </c>
      <c r="W143" s="20">
        <f t="shared" si="196"/>
        <v>0</v>
      </c>
      <c r="X143" s="20">
        <f t="shared" si="196"/>
        <v>0</v>
      </c>
      <c r="Y143" s="20">
        <f t="shared" si="196"/>
        <v>0</v>
      </c>
      <c r="Z143" s="20">
        <f t="shared" si="197"/>
        <v>0.54077687191171853</v>
      </c>
      <c r="AA143" s="20">
        <f t="shared" si="198"/>
        <v>0</v>
      </c>
      <c r="AB143" s="20">
        <f t="shared" si="198"/>
        <v>0</v>
      </c>
      <c r="AC143" s="20">
        <f t="shared" si="198"/>
        <v>0</v>
      </c>
      <c r="AD143" s="20">
        <f t="shared" si="199"/>
        <v>0.54077687191171853</v>
      </c>
      <c r="AE143" s="20">
        <f t="shared" si="200"/>
        <v>55.504381221987842</v>
      </c>
      <c r="AF143" s="20">
        <f t="shared" si="200"/>
        <v>0</v>
      </c>
      <c r="AG143" s="20">
        <f t="shared" si="200"/>
        <v>0</v>
      </c>
      <c r="AH143" s="20">
        <f t="shared" si="200"/>
        <v>0</v>
      </c>
      <c r="AI143" s="20">
        <f t="shared" si="201"/>
        <v>28.852663667222032</v>
      </c>
      <c r="AJ143" s="20">
        <f t="shared" si="202"/>
        <v>0</v>
      </c>
      <c r="AK143" s="20">
        <f t="shared" si="202"/>
        <v>0</v>
      </c>
      <c r="AL143" s="20">
        <f t="shared" si="202"/>
        <v>0</v>
      </c>
      <c r="AM143" s="20">
        <f t="shared" si="203"/>
        <v>28.852663667222032</v>
      </c>
      <c r="AO143">
        <f t="shared" si="204"/>
        <v>0.66877875749322224</v>
      </c>
      <c r="AP143">
        <f t="shared" si="204"/>
        <v>0</v>
      </c>
      <c r="AQ143">
        <f t="shared" si="204"/>
        <v>0</v>
      </c>
      <c r="AR143">
        <f t="shared" si="204"/>
        <v>0</v>
      </c>
      <c r="AS143">
        <f t="shared" si="205"/>
        <v>0.66877875749322224</v>
      </c>
      <c r="AU143">
        <f t="shared" si="206"/>
        <v>35.682089157253486</v>
      </c>
      <c r="AV143">
        <f t="shared" si="207"/>
        <v>0</v>
      </c>
      <c r="AW143">
        <f t="shared" si="207"/>
        <v>0</v>
      </c>
      <c r="AX143">
        <f t="shared" si="207"/>
        <v>0</v>
      </c>
      <c r="AY143">
        <f t="shared" si="208"/>
        <v>35.682089157253486</v>
      </c>
    </row>
    <row r="144" spans="1:53" ht="15" x14ac:dyDescent="0.25">
      <c r="A144" s="7"/>
      <c r="B144" s="8" t="s">
        <v>14</v>
      </c>
      <c r="C144" s="7"/>
      <c r="D144" s="357">
        <f t="shared" ref="D144:H144" si="209">SUM(D138:D143)</f>
        <v>0</v>
      </c>
      <c r="E144" s="363">
        <f>SUM(E138:E143)</f>
        <v>23.533299999999997</v>
      </c>
      <c r="F144" s="357">
        <f t="shared" si="209"/>
        <v>0</v>
      </c>
      <c r="G144" s="357">
        <f t="shared" si="209"/>
        <v>0</v>
      </c>
      <c r="H144" s="357">
        <f t="shared" si="209"/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 s="20"/>
      <c r="P144" s="20"/>
      <c r="Q144" s="438">
        <v>0.78045482552909462</v>
      </c>
      <c r="R144" s="197"/>
      <c r="S144" s="197"/>
      <c r="T144" s="197"/>
      <c r="U144" s="197"/>
      <c r="BA144" s="319">
        <f>(E144*10000*Q144*AU$10)</f>
        <v>227140.70120673001</v>
      </c>
    </row>
    <row r="145" spans="1:53" ht="15" x14ac:dyDescent="0.25">
      <c r="A145" s="10"/>
      <c r="B145" s="9" t="s">
        <v>15</v>
      </c>
      <c r="C145" s="5"/>
      <c r="E145" s="363">
        <f>SUM(E144)</f>
        <v>23.533299999999997</v>
      </c>
      <c r="H145" s="358">
        <f>SUM(D144:H144)</f>
        <v>23.533299999999997</v>
      </c>
      <c r="K145" s="14"/>
      <c r="N145">
        <v>0</v>
      </c>
      <c r="O145" s="20"/>
      <c r="P145" s="20"/>
      <c r="Q145" s="438"/>
      <c r="R145" s="197"/>
      <c r="S145" s="197"/>
      <c r="T145" s="197"/>
      <c r="U145" s="197"/>
    </row>
    <row r="146" spans="1:53" ht="15.75" x14ac:dyDescent="0.25">
      <c r="A146" s="1"/>
      <c r="B146" s="2"/>
      <c r="C146" s="1"/>
      <c r="E146" s="361"/>
      <c r="K146" s="14"/>
      <c r="O146" s="20"/>
      <c r="P146" s="20"/>
      <c r="Q146" s="439"/>
      <c r="R146" s="197"/>
      <c r="S146" s="197"/>
      <c r="T146" s="197"/>
      <c r="U146" s="197"/>
    </row>
    <row r="147" spans="1:53" ht="15" x14ac:dyDescent="0.25">
      <c r="A147" s="1">
        <v>16</v>
      </c>
      <c r="B147" s="2" t="s">
        <v>30</v>
      </c>
      <c r="C147" s="1" t="s">
        <v>8</v>
      </c>
      <c r="D147">
        <v>0</v>
      </c>
      <c r="E147" s="360">
        <v>72.439700000000002</v>
      </c>
      <c r="F147">
        <v>0</v>
      </c>
      <c r="G147">
        <v>0</v>
      </c>
      <c r="H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 s="20"/>
      <c r="P147" s="20"/>
      <c r="Q147" s="438">
        <v>0.68214758581106705</v>
      </c>
      <c r="R147" s="197">
        <v>5.6499999999999995E-2</v>
      </c>
      <c r="S147" s="197">
        <v>1.25</v>
      </c>
      <c r="T147" s="197">
        <v>0.50650413159351704</v>
      </c>
      <c r="U147" s="197">
        <v>0.77519673403474398</v>
      </c>
      <c r="V147" s="20">
        <f t="shared" ref="V147:Y152" si="210">E147*$Q147*$R147*10</f>
        <v>27.919230056611042</v>
      </c>
      <c r="W147" s="20">
        <f t="shared" si="210"/>
        <v>0</v>
      </c>
      <c r="X147" s="20">
        <f t="shared" si="210"/>
        <v>0</v>
      </c>
      <c r="Y147" s="20">
        <f t="shared" si="210"/>
        <v>0</v>
      </c>
      <c r="Z147" s="20">
        <f t="shared" ref="Z147:Z152" si="211">V147*(EXP(1.01-0.34*LN(Z$8))*(1-$T147)+(1*$T147))</f>
        <v>16.655732893873939</v>
      </c>
      <c r="AA147" s="20">
        <f t="shared" ref="AA147:AC152" si="212">W147*(EXP(1.01-0.34*LN(AA$8))*(1-$U147)+(1*$U147))</f>
        <v>0</v>
      </c>
      <c r="AB147" s="20">
        <f t="shared" si="212"/>
        <v>0</v>
      </c>
      <c r="AC147" s="20">
        <f t="shared" si="212"/>
        <v>0</v>
      </c>
      <c r="AD147" s="20">
        <f t="shared" ref="AD147:AD152" si="213">SUM(Z147:AC147)</f>
        <v>16.655732893873939</v>
      </c>
      <c r="AE147" s="20">
        <f t="shared" ref="AE147:AH152" si="214">E147*$Q147*$S147*10</f>
        <v>617.6820808984744</v>
      </c>
      <c r="AF147" s="20">
        <f t="shared" si="214"/>
        <v>0</v>
      </c>
      <c r="AG147" s="20">
        <f t="shared" si="214"/>
        <v>0</v>
      </c>
      <c r="AH147" s="20">
        <f t="shared" si="214"/>
        <v>0</v>
      </c>
      <c r="AI147" s="20">
        <f t="shared" ref="AI147:AI152" si="215">AE147*(EXP(1.01-0.34*LN(AI$8))*(1-$U147)+(1*$U147))</f>
        <v>504.16690811654632</v>
      </c>
      <c r="AJ147" s="20">
        <f t="shared" ref="AJ147:AL152" si="216">AF147*(EXP(1.01-0.34*LN(AJ$8))*(1-$T147)+(1*$T147))</f>
        <v>0</v>
      </c>
      <c r="AK147" s="20">
        <f t="shared" si="216"/>
        <v>0</v>
      </c>
      <c r="AL147" s="20">
        <f t="shared" si="216"/>
        <v>0</v>
      </c>
      <c r="AM147" s="20">
        <f t="shared" ref="AM147:AM152" si="217">SUM(AI147:AL147)</f>
        <v>504.16690811654632</v>
      </c>
      <c r="AO147">
        <f t="shared" ref="AO147:AR152" si="218">Z147*AO$10</f>
        <v>20.598144869853897</v>
      </c>
      <c r="AP147">
        <f t="shared" si="218"/>
        <v>0</v>
      </c>
      <c r="AQ147">
        <f t="shared" si="218"/>
        <v>0</v>
      </c>
      <c r="AR147">
        <f t="shared" si="218"/>
        <v>0</v>
      </c>
      <c r="AS147">
        <f t="shared" ref="AS147:AS152" si="219">SUM(AO147:AR147)</f>
        <v>20.598144869853897</v>
      </c>
      <c r="AU147">
        <f t="shared" ref="AU147:AU152" si="220">AI147*AU$10</f>
        <v>623.5032152677328</v>
      </c>
      <c r="AV147">
        <f t="shared" ref="AV147:AX152" si="221">AJ147*AV$10</f>
        <v>0</v>
      </c>
      <c r="AW147">
        <f t="shared" si="221"/>
        <v>0</v>
      </c>
      <c r="AX147">
        <f t="shared" si="221"/>
        <v>0</v>
      </c>
      <c r="AY147">
        <f t="shared" ref="AY147:AY152" si="222">SUM(AU147:AX147)</f>
        <v>623.5032152677328</v>
      </c>
    </row>
    <row r="148" spans="1:53" ht="15" x14ac:dyDescent="0.25">
      <c r="A148" s="1"/>
      <c r="B148" s="2"/>
      <c r="C148" s="1" t="s">
        <v>9</v>
      </c>
      <c r="D148">
        <v>0</v>
      </c>
      <c r="E148" s="360">
        <v>6.3832000000000004</v>
      </c>
      <c r="F148">
        <v>0</v>
      </c>
      <c r="G148">
        <v>0</v>
      </c>
      <c r="H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 s="20"/>
      <c r="P148" s="20"/>
      <c r="Q148" s="438">
        <v>0.68929517162213416</v>
      </c>
      <c r="R148" s="197">
        <v>5.6499999999999995E-2</v>
      </c>
      <c r="S148" s="197">
        <v>1.25</v>
      </c>
      <c r="T148" s="197">
        <v>0.50650413159351704</v>
      </c>
      <c r="U148" s="197">
        <v>0.77519673403474398</v>
      </c>
      <c r="V148" s="20">
        <f t="shared" si="210"/>
        <v>2.4859485508165995</v>
      </c>
      <c r="W148" s="20">
        <f t="shared" si="210"/>
        <v>0</v>
      </c>
      <c r="X148" s="20">
        <f t="shared" si="210"/>
        <v>0</v>
      </c>
      <c r="Y148" s="20">
        <f t="shared" si="210"/>
        <v>0</v>
      </c>
      <c r="Z148" s="20">
        <f t="shared" si="211"/>
        <v>1.4830385711338716</v>
      </c>
      <c r="AA148" s="20">
        <f t="shared" si="212"/>
        <v>0</v>
      </c>
      <c r="AB148" s="20">
        <f t="shared" si="212"/>
        <v>0</v>
      </c>
      <c r="AC148" s="20">
        <f t="shared" si="212"/>
        <v>0</v>
      </c>
      <c r="AD148" s="20">
        <f t="shared" si="213"/>
        <v>1.4830385711338716</v>
      </c>
      <c r="AE148" s="20">
        <f t="shared" si="214"/>
        <v>54.998861743730089</v>
      </c>
      <c r="AF148" s="20">
        <f t="shared" si="214"/>
        <v>0</v>
      </c>
      <c r="AG148" s="20">
        <f t="shared" si="214"/>
        <v>0</v>
      </c>
      <c r="AH148" s="20">
        <f t="shared" si="214"/>
        <v>0</v>
      </c>
      <c r="AI148" s="20">
        <f t="shared" si="215"/>
        <v>44.891388195901747</v>
      </c>
      <c r="AJ148" s="20">
        <f t="shared" si="216"/>
        <v>0</v>
      </c>
      <c r="AK148" s="20">
        <f t="shared" si="216"/>
        <v>0</v>
      </c>
      <c r="AL148" s="20">
        <f t="shared" si="216"/>
        <v>0</v>
      </c>
      <c r="AM148" s="20">
        <f t="shared" si="217"/>
        <v>44.891388195901747</v>
      </c>
      <c r="AO148">
        <f t="shared" si="218"/>
        <v>1.8340738009212589</v>
      </c>
      <c r="AP148">
        <f t="shared" si="218"/>
        <v>0</v>
      </c>
      <c r="AQ148">
        <f t="shared" si="218"/>
        <v>0</v>
      </c>
      <c r="AR148">
        <f t="shared" si="218"/>
        <v>0</v>
      </c>
      <c r="AS148">
        <f t="shared" si="219"/>
        <v>1.8340738009212589</v>
      </c>
      <c r="AU148">
        <f t="shared" si="220"/>
        <v>55.51717978187169</v>
      </c>
      <c r="AV148">
        <f t="shared" si="221"/>
        <v>0</v>
      </c>
      <c r="AW148">
        <f t="shared" si="221"/>
        <v>0</v>
      </c>
      <c r="AX148">
        <f t="shared" si="221"/>
        <v>0</v>
      </c>
      <c r="AY148">
        <f t="shared" si="222"/>
        <v>55.51717978187169</v>
      </c>
    </row>
    <row r="149" spans="1:53" ht="15" x14ac:dyDescent="0.25">
      <c r="A149" s="1"/>
      <c r="B149" s="2"/>
      <c r="C149" s="1" t="s">
        <v>10</v>
      </c>
      <c r="D149">
        <v>0</v>
      </c>
      <c r="E149" s="360">
        <v>0</v>
      </c>
      <c r="F149">
        <v>0</v>
      </c>
      <c r="G149">
        <v>0</v>
      </c>
      <c r="H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 s="20"/>
      <c r="P149" s="20"/>
      <c r="Q149" s="438"/>
      <c r="R149" s="197">
        <v>5.6499999999999995E-2</v>
      </c>
      <c r="S149" s="197">
        <v>1.25</v>
      </c>
      <c r="T149" s="197">
        <v>0.50650413159351704</v>
      </c>
      <c r="U149" s="197">
        <v>0.77519673403474398</v>
      </c>
      <c r="V149" s="20">
        <f t="shared" si="210"/>
        <v>0</v>
      </c>
      <c r="W149" s="20">
        <f t="shared" si="210"/>
        <v>0</v>
      </c>
      <c r="X149" s="20">
        <f t="shared" si="210"/>
        <v>0</v>
      </c>
      <c r="Y149" s="20">
        <f t="shared" si="210"/>
        <v>0</v>
      </c>
      <c r="Z149" s="20">
        <f t="shared" si="211"/>
        <v>0</v>
      </c>
      <c r="AA149" s="20">
        <f t="shared" si="212"/>
        <v>0</v>
      </c>
      <c r="AB149" s="20">
        <f t="shared" si="212"/>
        <v>0</v>
      </c>
      <c r="AC149" s="20">
        <f t="shared" si="212"/>
        <v>0</v>
      </c>
      <c r="AD149" s="20">
        <f t="shared" si="213"/>
        <v>0</v>
      </c>
      <c r="AE149" s="20">
        <f t="shared" si="214"/>
        <v>0</v>
      </c>
      <c r="AF149" s="20">
        <f t="shared" si="214"/>
        <v>0</v>
      </c>
      <c r="AG149" s="20">
        <f t="shared" si="214"/>
        <v>0</v>
      </c>
      <c r="AH149" s="20">
        <f t="shared" si="214"/>
        <v>0</v>
      </c>
      <c r="AI149" s="20">
        <f t="shared" si="215"/>
        <v>0</v>
      </c>
      <c r="AJ149" s="20">
        <f t="shared" si="216"/>
        <v>0</v>
      </c>
      <c r="AK149" s="20">
        <f t="shared" si="216"/>
        <v>0</v>
      </c>
      <c r="AL149" s="20">
        <f t="shared" si="216"/>
        <v>0</v>
      </c>
      <c r="AM149" s="20">
        <f t="shared" si="217"/>
        <v>0</v>
      </c>
      <c r="AO149">
        <f t="shared" si="218"/>
        <v>0</v>
      </c>
      <c r="AP149">
        <f t="shared" si="218"/>
        <v>0</v>
      </c>
      <c r="AQ149">
        <f t="shared" si="218"/>
        <v>0</v>
      </c>
      <c r="AR149">
        <f t="shared" si="218"/>
        <v>0</v>
      </c>
      <c r="AS149">
        <f t="shared" si="219"/>
        <v>0</v>
      </c>
      <c r="AU149">
        <f t="shared" si="220"/>
        <v>0</v>
      </c>
      <c r="AV149">
        <f t="shared" si="221"/>
        <v>0</v>
      </c>
      <c r="AW149">
        <f t="shared" si="221"/>
        <v>0</v>
      </c>
      <c r="AX149">
        <f t="shared" si="221"/>
        <v>0</v>
      </c>
      <c r="AY149">
        <f t="shared" si="222"/>
        <v>0</v>
      </c>
    </row>
    <row r="150" spans="1:53" ht="15" x14ac:dyDescent="0.25">
      <c r="A150" s="1"/>
      <c r="B150" s="2"/>
      <c r="C150" s="1" t="s">
        <v>11</v>
      </c>
      <c r="D150">
        <v>0</v>
      </c>
      <c r="E150" s="360">
        <v>1282.5646999999999</v>
      </c>
      <c r="F150">
        <v>0</v>
      </c>
      <c r="G150">
        <v>0</v>
      </c>
      <c r="H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s="20"/>
      <c r="P150" s="20"/>
      <c r="Q150" s="438">
        <v>0.7035903432442685</v>
      </c>
      <c r="R150" s="197">
        <v>5.6499999999999995E-2</v>
      </c>
      <c r="S150" s="197">
        <v>1.25</v>
      </c>
      <c r="T150" s="197">
        <v>0.50650413159351704</v>
      </c>
      <c r="U150" s="197">
        <v>0.77519673403474398</v>
      </c>
      <c r="V150" s="20">
        <f t="shared" si="210"/>
        <v>509.85607769087994</v>
      </c>
      <c r="W150" s="20">
        <f t="shared" si="210"/>
        <v>0</v>
      </c>
      <c r="X150" s="20">
        <f t="shared" si="210"/>
        <v>0</v>
      </c>
      <c r="Y150" s="20">
        <f t="shared" si="210"/>
        <v>0</v>
      </c>
      <c r="Z150" s="20">
        <f t="shared" si="211"/>
        <v>304.16406996605889</v>
      </c>
      <c r="AA150" s="20">
        <f t="shared" si="212"/>
        <v>0</v>
      </c>
      <c r="AB150" s="20">
        <f t="shared" si="212"/>
        <v>0</v>
      </c>
      <c r="AC150" s="20">
        <f t="shared" si="212"/>
        <v>0</v>
      </c>
      <c r="AD150" s="20">
        <f t="shared" si="213"/>
        <v>304.16406996605889</v>
      </c>
      <c r="AE150" s="20">
        <f t="shared" si="214"/>
        <v>11280.001718824778</v>
      </c>
      <c r="AF150" s="20">
        <f t="shared" si="214"/>
        <v>0</v>
      </c>
      <c r="AG150" s="20">
        <f t="shared" si="214"/>
        <v>0</v>
      </c>
      <c r="AH150" s="20">
        <f t="shared" si="214"/>
        <v>0</v>
      </c>
      <c r="AI150" s="20">
        <f t="shared" si="215"/>
        <v>9207.0075626234066</v>
      </c>
      <c r="AJ150" s="20">
        <f t="shared" si="216"/>
        <v>0</v>
      </c>
      <c r="AK150" s="20">
        <f t="shared" si="216"/>
        <v>0</v>
      </c>
      <c r="AL150" s="20">
        <f t="shared" si="216"/>
        <v>0</v>
      </c>
      <c r="AM150" s="20">
        <f t="shared" si="217"/>
        <v>9207.0075626234066</v>
      </c>
      <c r="AO150">
        <f t="shared" si="218"/>
        <v>376.15970532702499</v>
      </c>
      <c r="AP150">
        <f t="shared" si="218"/>
        <v>0</v>
      </c>
      <c r="AQ150">
        <f t="shared" si="218"/>
        <v>0</v>
      </c>
      <c r="AR150">
        <f t="shared" si="218"/>
        <v>0</v>
      </c>
      <c r="AS150">
        <f t="shared" si="219"/>
        <v>376.15970532702499</v>
      </c>
      <c r="AU150">
        <f t="shared" si="220"/>
        <v>11386.306252696366</v>
      </c>
      <c r="AV150">
        <f t="shared" si="221"/>
        <v>0</v>
      </c>
      <c r="AW150">
        <f t="shared" si="221"/>
        <v>0</v>
      </c>
      <c r="AX150">
        <f t="shared" si="221"/>
        <v>0</v>
      </c>
      <c r="AY150">
        <f t="shared" si="222"/>
        <v>11386.306252696366</v>
      </c>
    </row>
    <row r="151" spans="1:53" ht="15" x14ac:dyDescent="0.25">
      <c r="A151" s="1"/>
      <c r="B151" s="2"/>
      <c r="C151" s="1" t="s">
        <v>12</v>
      </c>
      <c r="D151">
        <v>0</v>
      </c>
      <c r="E151" s="360">
        <v>0</v>
      </c>
      <c r="F151">
        <v>0</v>
      </c>
      <c r="G151">
        <v>0</v>
      </c>
      <c r="H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 s="20"/>
      <c r="P151" s="20"/>
      <c r="Q151" s="438"/>
      <c r="R151" s="197">
        <v>5.6499999999999995E-2</v>
      </c>
      <c r="S151" s="197">
        <v>1.25</v>
      </c>
      <c r="T151" s="197">
        <v>0.50650413159351704</v>
      </c>
      <c r="U151" s="197">
        <v>0.77519673403474398</v>
      </c>
      <c r="V151" s="20">
        <f t="shared" si="210"/>
        <v>0</v>
      </c>
      <c r="W151" s="20">
        <f t="shared" si="210"/>
        <v>0</v>
      </c>
      <c r="X151" s="20">
        <f t="shared" si="210"/>
        <v>0</v>
      </c>
      <c r="Y151" s="20">
        <f t="shared" si="210"/>
        <v>0</v>
      </c>
      <c r="Z151" s="20">
        <f t="shared" si="211"/>
        <v>0</v>
      </c>
      <c r="AA151" s="20">
        <f t="shared" si="212"/>
        <v>0</v>
      </c>
      <c r="AB151" s="20">
        <f t="shared" si="212"/>
        <v>0</v>
      </c>
      <c r="AC151" s="20">
        <f t="shared" si="212"/>
        <v>0</v>
      </c>
      <c r="AD151" s="20">
        <f t="shared" si="213"/>
        <v>0</v>
      </c>
      <c r="AE151" s="20">
        <f t="shared" si="214"/>
        <v>0</v>
      </c>
      <c r="AF151" s="20">
        <f t="shared" si="214"/>
        <v>0</v>
      </c>
      <c r="AG151" s="20">
        <f t="shared" si="214"/>
        <v>0</v>
      </c>
      <c r="AH151" s="20">
        <f t="shared" si="214"/>
        <v>0</v>
      </c>
      <c r="AI151" s="20">
        <f t="shared" si="215"/>
        <v>0</v>
      </c>
      <c r="AJ151" s="20">
        <f t="shared" si="216"/>
        <v>0</v>
      </c>
      <c r="AK151" s="20">
        <f t="shared" si="216"/>
        <v>0</v>
      </c>
      <c r="AL151" s="20">
        <f t="shared" si="216"/>
        <v>0</v>
      </c>
      <c r="AM151" s="20">
        <f t="shared" si="217"/>
        <v>0</v>
      </c>
      <c r="AO151">
        <f t="shared" si="218"/>
        <v>0</v>
      </c>
      <c r="AP151">
        <f t="shared" si="218"/>
        <v>0</v>
      </c>
      <c r="AQ151">
        <f t="shared" si="218"/>
        <v>0</v>
      </c>
      <c r="AR151">
        <f t="shared" si="218"/>
        <v>0</v>
      </c>
      <c r="AS151">
        <f t="shared" si="219"/>
        <v>0</v>
      </c>
      <c r="AU151">
        <f t="shared" si="220"/>
        <v>0</v>
      </c>
      <c r="AV151">
        <f t="shared" si="221"/>
        <v>0</v>
      </c>
      <c r="AW151">
        <f t="shared" si="221"/>
        <v>0</v>
      </c>
      <c r="AX151">
        <f t="shared" si="221"/>
        <v>0</v>
      </c>
      <c r="AY151">
        <f t="shared" si="222"/>
        <v>0</v>
      </c>
    </row>
    <row r="152" spans="1:53" ht="15" x14ac:dyDescent="0.25">
      <c r="A152" s="1"/>
      <c r="B152" s="2"/>
      <c r="C152" s="1" t="s">
        <v>13</v>
      </c>
      <c r="D152">
        <v>0</v>
      </c>
      <c r="E152" s="360">
        <v>29.971499999999999</v>
      </c>
      <c r="F152">
        <v>0</v>
      </c>
      <c r="G152">
        <v>0</v>
      </c>
      <c r="H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20"/>
      <c r="P152" s="20"/>
      <c r="Q152" s="438">
        <v>0.7035903432442685</v>
      </c>
      <c r="R152" s="197">
        <v>5.6499999999999995E-2</v>
      </c>
      <c r="S152" s="197">
        <v>1.25</v>
      </c>
      <c r="T152" s="197">
        <v>0.50650413159351704</v>
      </c>
      <c r="U152" s="197">
        <v>0.77519673403474398</v>
      </c>
      <c r="V152" s="20">
        <f t="shared" si="210"/>
        <v>11.914526754488259</v>
      </c>
      <c r="W152" s="20">
        <f t="shared" si="210"/>
        <v>0</v>
      </c>
      <c r="X152" s="20">
        <f t="shared" si="210"/>
        <v>0</v>
      </c>
      <c r="Y152" s="20">
        <f t="shared" si="210"/>
        <v>0</v>
      </c>
      <c r="Z152" s="20">
        <f t="shared" si="211"/>
        <v>7.1078312251910045</v>
      </c>
      <c r="AA152" s="20">
        <f t="shared" si="212"/>
        <v>0</v>
      </c>
      <c r="AB152" s="20">
        <f t="shared" si="212"/>
        <v>0</v>
      </c>
      <c r="AC152" s="20">
        <f t="shared" si="212"/>
        <v>0</v>
      </c>
      <c r="AD152" s="20">
        <f t="shared" si="213"/>
        <v>7.1078312251910045</v>
      </c>
      <c r="AE152" s="20">
        <f t="shared" si="214"/>
        <v>263.59572465681993</v>
      </c>
      <c r="AF152" s="20">
        <f t="shared" si="214"/>
        <v>0</v>
      </c>
      <c r="AG152" s="20">
        <f t="shared" si="214"/>
        <v>0</v>
      </c>
      <c r="AH152" s="20">
        <f t="shared" si="214"/>
        <v>0</v>
      </c>
      <c r="AI152" s="20">
        <f t="shared" si="215"/>
        <v>215.15314366843828</v>
      </c>
      <c r="AJ152" s="20">
        <f t="shared" si="216"/>
        <v>0</v>
      </c>
      <c r="AK152" s="20">
        <f t="shared" si="216"/>
        <v>0</v>
      </c>
      <c r="AL152" s="20">
        <f t="shared" si="216"/>
        <v>0</v>
      </c>
      <c r="AM152" s="20">
        <f t="shared" si="217"/>
        <v>215.15314366843828</v>
      </c>
      <c r="AO152">
        <f t="shared" si="218"/>
        <v>8.790254876193714</v>
      </c>
      <c r="AP152">
        <f t="shared" si="218"/>
        <v>0</v>
      </c>
      <c r="AQ152">
        <f t="shared" si="218"/>
        <v>0</v>
      </c>
      <c r="AR152">
        <f t="shared" si="218"/>
        <v>0</v>
      </c>
      <c r="AS152">
        <f t="shared" si="219"/>
        <v>8.790254876193714</v>
      </c>
      <c r="AU152">
        <f t="shared" si="220"/>
        <v>266.07989277475758</v>
      </c>
      <c r="AV152">
        <f t="shared" si="221"/>
        <v>0</v>
      </c>
      <c r="AW152">
        <f t="shared" si="221"/>
        <v>0</v>
      </c>
      <c r="AX152">
        <f t="shared" si="221"/>
        <v>0</v>
      </c>
      <c r="AY152">
        <f t="shared" si="222"/>
        <v>266.07989277475758</v>
      </c>
    </row>
    <row r="153" spans="1:53" ht="15" x14ac:dyDescent="0.25">
      <c r="A153" s="7"/>
      <c r="B153" s="8" t="s">
        <v>14</v>
      </c>
      <c r="C153" s="7"/>
      <c r="D153" s="357">
        <f t="shared" ref="D153:H153" si="223">SUM(D147:D152)</f>
        <v>0</v>
      </c>
      <c r="E153" s="363">
        <f>SUM(E147:E152)</f>
        <v>1391.3591000000001</v>
      </c>
      <c r="F153" s="357">
        <f t="shared" si="223"/>
        <v>0</v>
      </c>
      <c r="G153" s="357">
        <f t="shared" si="223"/>
        <v>0</v>
      </c>
      <c r="H153" s="357">
        <f t="shared" si="223"/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 s="20"/>
      <c r="P153" s="20"/>
      <c r="Q153" s="438">
        <v>0.70240836523792027</v>
      </c>
      <c r="R153" s="197"/>
      <c r="S153" s="197"/>
      <c r="T153" s="197"/>
      <c r="U153" s="197"/>
      <c r="BA153" s="319">
        <f>(E153*10000*Q153*AU$10)</f>
        <v>12086297.184095444</v>
      </c>
    </row>
    <row r="154" spans="1:53" ht="15" x14ac:dyDescent="0.25">
      <c r="A154" s="10"/>
      <c r="B154" s="9" t="s">
        <v>15</v>
      </c>
      <c r="C154" s="5"/>
      <c r="E154" s="363">
        <f>SUM(E153)</f>
        <v>1391.3591000000001</v>
      </c>
      <c r="H154" s="358">
        <f>SUM(D153:H153)</f>
        <v>1391.3591000000001</v>
      </c>
      <c r="K154" s="14"/>
      <c r="N154">
        <v>0</v>
      </c>
      <c r="O154" s="20"/>
      <c r="P154" s="20"/>
      <c r="Q154" s="438"/>
      <c r="R154" s="197"/>
      <c r="S154" s="197"/>
      <c r="T154" s="197"/>
      <c r="U154" s="197"/>
    </row>
    <row r="155" spans="1:53" ht="15.75" x14ac:dyDescent="0.25">
      <c r="A155" s="1"/>
      <c r="B155" s="2"/>
      <c r="C155" s="1"/>
      <c r="E155" s="361"/>
      <c r="K155" s="14"/>
      <c r="O155" s="20"/>
      <c r="P155" s="20"/>
      <c r="Q155" s="439"/>
      <c r="R155" s="197"/>
      <c r="S155" s="197"/>
      <c r="T155" s="197"/>
      <c r="U155" s="197"/>
    </row>
    <row r="156" spans="1:53" ht="15" x14ac:dyDescent="0.25">
      <c r="A156" s="1">
        <v>17</v>
      </c>
      <c r="B156" s="2" t="s">
        <v>31</v>
      </c>
      <c r="C156" s="1" t="s">
        <v>8</v>
      </c>
      <c r="D156">
        <v>0</v>
      </c>
      <c r="E156" s="360"/>
      <c r="F156">
        <v>0</v>
      </c>
      <c r="G156">
        <v>0</v>
      </c>
      <c r="H156">
        <v>0</v>
      </c>
      <c r="J156">
        <v>0</v>
      </c>
      <c r="K156" s="14">
        <v>0</v>
      </c>
      <c r="L156">
        <v>0</v>
      </c>
      <c r="M156">
        <v>0</v>
      </c>
      <c r="N156">
        <v>0</v>
      </c>
      <c r="O156" s="20"/>
      <c r="P156" s="20"/>
      <c r="Q156" s="438"/>
      <c r="R156" s="197"/>
      <c r="S156" s="197"/>
      <c r="T156" s="197"/>
      <c r="U156" s="197"/>
      <c r="V156" s="20">
        <f t="shared" ref="V156:Y161" si="224">IF(K156&gt;0,((E156-K156)*$Q156*$R156*10)+(K156*$O$12*$Q156*$R156*10),(E156*$Q156*$R156*10))</f>
        <v>0</v>
      </c>
      <c r="W156" s="20">
        <f t="shared" si="224"/>
        <v>0</v>
      </c>
      <c r="X156" s="20">
        <f t="shared" si="224"/>
        <v>0</v>
      </c>
      <c r="Y156" s="20">
        <f t="shared" si="224"/>
        <v>0</v>
      </c>
      <c r="Z156" s="20">
        <f t="shared" ref="Z156:Z161" si="225">V156*(EXP(1.01-0.34*LN(Z$8))*(1-$T156)+(1*$T156))</f>
        <v>0</v>
      </c>
      <c r="AA156" s="20">
        <f t="shared" ref="AA156:AC161" si="226">W156*(EXP(1.01-0.34*LN(AA$8))*(1-$U156)+(1*$U156))</f>
        <v>0</v>
      </c>
      <c r="AB156" s="20">
        <f t="shared" si="226"/>
        <v>0</v>
      </c>
      <c r="AC156" s="20">
        <f t="shared" si="226"/>
        <v>0</v>
      </c>
      <c r="AD156" s="20">
        <f t="shared" ref="AD156:AD161" si="227">SUM(Z156:AC156)</f>
        <v>0</v>
      </c>
      <c r="AE156" s="20">
        <f t="shared" ref="AE156:AH161" si="228">IF(K156&gt;0,((E156-K156)*$Q156*$S156*10)+(K156*$P$12*$Q156*$S156)*10,(E156*$Q156*$S156*10))</f>
        <v>0</v>
      </c>
      <c r="AF156" s="20">
        <f t="shared" si="228"/>
        <v>0</v>
      </c>
      <c r="AG156" s="20">
        <f t="shared" si="228"/>
        <v>0</v>
      </c>
      <c r="AH156" s="20">
        <f t="shared" si="228"/>
        <v>0</v>
      </c>
      <c r="AI156" s="20">
        <f t="shared" ref="AI156:AI161" si="229">AE156*(EXP(1.01-0.34*LN(AI$8))*(1-$U156)+(1*$U156))</f>
        <v>0</v>
      </c>
      <c r="AJ156" s="20">
        <f t="shared" ref="AJ156:AL161" si="230">AF156*(EXP(1.01-0.34*LN(AJ$8))*(1-$T156)+(1*$T156))</f>
        <v>0</v>
      </c>
      <c r="AK156" s="20">
        <f t="shared" si="230"/>
        <v>0</v>
      </c>
      <c r="AL156" s="20">
        <f t="shared" si="230"/>
        <v>0</v>
      </c>
      <c r="AM156" s="20">
        <f t="shared" ref="AM156:AM161" si="231">SUM(AI156:AL156)</f>
        <v>0</v>
      </c>
      <c r="AO156">
        <f t="shared" ref="AO156:AR161" si="232">Z156*AO$10</f>
        <v>0</v>
      </c>
      <c r="AP156">
        <f t="shared" si="232"/>
        <v>0</v>
      </c>
      <c r="AQ156">
        <f t="shared" si="232"/>
        <v>0</v>
      </c>
      <c r="AR156">
        <f t="shared" si="232"/>
        <v>0</v>
      </c>
      <c r="AS156">
        <f t="shared" ref="AS156:AS161" si="233">SUM(AO156:AR156)</f>
        <v>0</v>
      </c>
      <c r="AU156">
        <f t="shared" ref="AU156:AU161" si="234">AI156*AU$10</f>
        <v>0</v>
      </c>
      <c r="AV156">
        <f t="shared" ref="AV156:AX161" si="235">AJ156*AV$10</f>
        <v>0</v>
      </c>
      <c r="AW156">
        <f t="shared" si="235"/>
        <v>0</v>
      </c>
      <c r="AX156">
        <f t="shared" si="235"/>
        <v>0</v>
      </c>
      <c r="AY156">
        <f t="shared" ref="AY156:AY161" si="236">SUM(AU156:AX156)</f>
        <v>0</v>
      </c>
    </row>
    <row r="157" spans="1:53" ht="15" x14ac:dyDescent="0.25">
      <c r="A157" s="1"/>
      <c r="B157" s="2"/>
      <c r="C157" s="1" t="s">
        <v>9</v>
      </c>
      <c r="D157">
        <v>0</v>
      </c>
      <c r="E157" s="360"/>
      <c r="F157">
        <v>0</v>
      </c>
      <c r="G157">
        <v>0</v>
      </c>
      <c r="H157">
        <v>0</v>
      </c>
      <c r="J157">
        <v>0</v>
      </c>
      <c r="K157" s="14">
        <v>0</v>
      </c>
      <c r="L157">
        <v>0</v>
      </c>
      <c r="M157">
        <v>0</v>
      </c>
      <c r="N157">
        <v>0</v>
      </c>
      <c r="O157" s="20"/>
      <c r="P157" s="20"/>
      <c r="Q157" s="438"/>
      <c r="R157" s="197"/>
      <c r="S157" s="197"/>
      <c r="T157" s="197"/>
      <c r="U157" s="197"/>
      <c r="V157" s="20">
        <f t="shared" si="224"/>
        <v>0</v>
      </c>
      <c r="W157" s="20">
        <f t="shared" si="224"/>
        <v>0</v>
      </c>
      <c r="X157" s="20">
        <f t="shared" si="224"/>
        <v>0</v>
      </c>
      <c r="Y157" s="20">
        <f t="shared" si="224"/>
        <v>0</v>
      </c>
      <c r="Z157" s="20">
        <f t="shared" si="225"/>
        <v>0</v>
      </c>
      <c r="AA157" s="20">
        <f t="shared" si="226"/>
        <v>0</v>
      </c>
      <c r="AB157" s="20">
        <f t="shared" si="226"/>
        <v>0</v>
      </c>
      <c r="AC157" s="20">
        <f t="shared" si="226"/>
        <v>0</v>
      </c>
      <c r="AD157" s="20">
        <f t="shared" si="227"/>
        <v>0</v>
      </c>
      <c r="AE157" s="20">
        <f t="shared" si="228"/>
        <v>0</v>
      </c>
      <c r="AF157" s="20">
        <f t="shared" si="228"/>
        <v>0</v>
      </c>
      <c r="AG157" s="20">
        <f t="shared" si="228"/>
        <v>0</v>
      </c>
      <c r="AH157" s="20">
        <f t="shared" si="228"/>
        <v>0</v>
      </c>
      <c r="AI157" s="20">
        <f t="shared" si="229"/>
        <v>0</v>
      </c>
      <c r="AJ157" s="20">
        <f t="shared" si="230"/>
        <v>0</v>
      </c>
      <c r="AK157" s="20">
        <f t="shared" si="230"/>
        <v>0</v>
      </c>
      <c r="AL157" s="20">
        <f t="shared" si="230"/>
        <v>0</v>
      </c>
      <c r="AM157" s="20">
        <f t="shared" si="231"/>
        <v>0</v>
      </c>
      <c r="AO157">
        <f t="shared" si="232"/>
        <v>0</v>
      </c>
      <c r="AP157">
        <f t="shared" si="232"/>
        <v>0</v>
      </c>
      <c r="AQ157">
        <f t="shared" si="232"/>
        <v>0</v>
      </c>
      <c r="AR157">
        <f t="shared" si="232"/>
        <v>0</v>
      </c>
      <c r="AS157">
        <f t="shared" si="233"/>
        <v>0</v>
      </c>
      <c r="AU157">
        <f t="shared" si="234"/>
        <v>0</v>
      </c>
      <c r="AV157">
        <f t="shared" si="235"/>
        <v>0</v>
      </c>
      <c r="AW157">
        <f t="shared" si="235"/>
        <v>0</v>
      </c>
      <c r="AX157">
        <f t="shared" si="235"/>
        <v>0</v>
      </c>
      <c r="AY157">
        <f t="shared" si="236"/>
        <v>0</v>
      </c>
    </row>
    <row r="158" spans="1:53" ht="15" x14ac:dyDescent="0.25">
      <c r="A158" s="1"/>
      <c r="B158" s="2"/>
      <c r="C158" s="1" t="s">
        <v>10</v>
      </c>
      <c r="D158">
        <v>0</v>
      </c>
      <c r="E158" s="360"/>
      <c r="F158">
        <v>0</v>
      </c>
      <c r="G158">
        <v>0</v>
      </c>
      <c r="H158">
        <v>0</v>
      </c>
      <c r="J158">
        <v>0</v>
      </c>
      <c r="K158" s="14">
        <v>0</v>
      </c>
      <c r="L158">
        <v>0</v>
      </c>
      <c r="M158">
        <v>0</v>
      </c>
      <c r="N158">
        <v>0</v>
      </c>
      <c r="O158" s="20"/>
      <c r="P158" s="20"/>
      <c r="Q158" s="438"/>
      <c r="R158" s="197"/>
      <c r="S158" s="197"/>
      <c r="T158" s="197"/>
      <c r="U158" s="197"/>
      <c r="V158" s="20">
        <f t="shared" si="224"/>
        <v>0</v>
      </c>
      <c r="W158" s="20">
        <f t="shared" si="224"/>
        <v>0</v>
      </c>
      <c r="X158" s="20">
        <f t="shared" si="224"/>
        <v>0</v>
      </c>
      <c r="Y158" s="20">
        <f t="shared" si="224"/>
        <v>0</v>
      </c>
      <c r="Z158" s="20">
        <f t="shared" si="225"/>
        <v>0</v>
      </c>
      <c r="AA158" s="20">
        <f t="shared" si="226"/>
        <v>0</v>
      </c>
      <c r="AB158" s="20">
        <f t="shared" si="226"/>
        <v>0</v>
      </c>
      <c r="AC158" s="20">
        <f t="shared" si="226"/>
        <v>0</v>
      </c>
      <c r="AD158" s="20">
        <f t="shared" si="227"/>
        <v>0</v>
      </c>
      <c r="AE158" s="20">
        <f t="shared" si="228"/>
        <v>0</v>
      </c>
      <c r="AF158" s="20">
        <f t="shared" si="228"/>
        <v>0</v>
      </c>
      <c r="AG158" s="20">
        <f t="shared" si="228"/>
        <v>0</v>
      </c>
      <c r="AH158" s="20">
        <f t="shared" si="228"/>
        <v>0</v>
      </c>
      <c r="AI158" s="20">
        <f t="shared" si="229"/>
        <v>0</v>
      </c>
      <c r="AJ158" s="20">
        <f t="shared" si="230"/>
        <v>0</v>
      </c>
      <c r="AK158" s="20">
        <f t="shared" si="230"/>
        <v>0</v>
      </c>
      <c r="AL158" s="20">
        <f t="shared" si="230"/>
        <v>0</v>
      </c>
      <c r="AM158" s="20">
        <f t="shared" si="231"/>
        <v>0</v>
      </c>
      <c r="AO158">
        <f t="shared" si="232"/>
        <v>0</v>
      </c>
      <c r="AP158">
        <f t="shared" si="232"/>
        <v>0</v>
      </c>
      <c r="AQ158">
        <f t="shared" si="232"/>
        <v>0</v>
      </c>
      <c r="AR158">
        <f t="shared" si="232"/>
        <v>0</v>
      </c>
      <c r="AS158">
        <f t="shared" si="233"/>
        <v>0</v>
      </c>
      <c r="AU158">
        <f t="shared" si="234"/>
        <v>0</v>
      </c>
      <c r="AV158">
        <f t="shared" si="235"/>
        <v>0</v>
      </c>
      <c r="AW158">
        <f t="shared" si="235"/>
        <v>0</v>
      </c>
      <c r="AX158">
        <f t="shared" si="235"/>
        <v>0</v>
      </c>
      <c r="AY158">
        <f t="shared" si="236"/>
        <v>0</v>
      </c>
    </row>
    <row r="159" spans="1:53" ht="15" x14ac:dyDescent="0.25">
      <c r="A159" s="1"/>
      <c r="B159" s="2"/>
      <c r="C159" s="1" t="s">
        <v>11</v>
      </c>
      <c r="D159">
        <v>0</v>
      </c>
      <c r="E159" s="360"/>
      <c r="F159">
        <v>0</v>
      </c>
      <c r="G159">
        <v>0</v>
      </c>
      <c r="H159">
        <v>0</v>
      </c>
      <c r="J159">
        <v>0</v>
      </c>
      <c r="K159" s="14">
        <v>0</v>
      </c>
      <c r="L159">
        <v>0</v>
      </c>
      <c r="M159">
        <v>0</v>
      </c>
      <c r="N159">
        <v>0</v>
      </c>
      <c r="O159" s="20"/>
      <c r="P159" s="20"/>
      <c r="Q159" s="438"/>
      <c r="R159" s="197"/>
      <c r="S159" s="197"/>
      <c r="T159" s="197"/>
      <c r="U159" s="197"/>
      <c r="V159" s="20">
        <f t="shared" si="224"/>
        <v>0</v>
      </c>
      <c r="W159" s="20">
        <f t="shared" si="224"/>
        <v>0</v>
      </c>
      <c r="X159" s="20">
        <f t="shared" si="224"/>
        <v>0</v>
      </c>
      <c r="Y159" s="20">
        <f t="shared" si="224"/>
        <v>0</v>
      </c>
      <c r="Z159" s="20">
        <f t="shared" si="225"/>
        <v>0</v>
      </c>
      <c r="AA159" s="20">
        <f t="shared" si="226"/>
        <v>0</v>
      </c>
      <c r="AB159" s="20">
        <f t="shared" si="226"/>
        <v>0</v>
      </c>
      <c r="AC159" s="20">
        <f t="shared" si="226"/>
        <v>0</v>
      </c>
      <c r="AD159" s="20">
        <f t="shared" si="227"/>
        <v>0</v>
      </c>
      <c r="AE159" s="20">
        <f t="shared" si="228"/>
        <v>0</v>
      </c>
      <c r="AF159" s="20">
        <f t="shared" si="228"/>
        <v>0</v>
      </c>
      <c r="AG159" s="20">
        <f t="shared" si="228"/>
        <v>0</v>
      </c>
      <c r="AH159" s="20">
        <f t="shared" si="228"/>
        <v>0</v>
      </c>
      <c r="AI159" s="20">
        <f t="shared" si="229"/>
        <v>0</v>
      </c>
      <c r="AJ159" s="20">
        <f t="shared" si="230"/>
        <v>0</v>
      </c>
      <c r="AK159" s="20">
        <f t="shared" si="230"/>
        <v>0</v>
      </c>
      <c r="AL159" s="20">
        <f t="shared" si="230"/>
        <v>0</v>
      </c>
      <c r="AM159" s="20">
        <f t="shared" si="231"/>
        <v>0</v>
      </c>
      <c r="AO159">
        <f t="shared" si="232"/>
        <v>0</v>
      </c>
      <c r="AP159">
        <f t="shared" si="232"/>
        <v>0</v>
      </c>
      <c r="AQ159">
        <f t="shared" si="232"/>
        <v>0</v>
      </c>
      <c r="AR159">
        <f t="shared" si="232"/>
        <v>0</v>
      </c>
      <c r="AS159">
        <f t="shared" si="233"/>
        <v>0</v>
      </c>
      <c r="AU159">
        <f t="shared" si="234"/>
        <v>0</v>
      </c>
      <c r="AV159">
        <f t="shared" si="235"/>
        <v>0</v>
      </c>
      <c r="AW159">
        <f t="shared" si="235"/>
        <v>0</v>
      </c>
      <c r="AX159">
        <f t="shared" si="235"/>
        <v>0</v>
      </c>
      <c r="AY159">
        <f t="shared" si="236"/>
        <v>0</v>
      </c>
    </row>
    <row r="160" spans="1:53" ht="15" x14ac:dyDescent="0.25">
      <c r="A160" s="1"/>
      <c r="B160" s="2"/>
      <c r="C160" s="1" t="s">
        <v>12</v>
      </c>
      <c r="D160">
        <v>0</v>
      </c>
      <c r="E160" s="360"/>
      <c r="F160">
        <v>0</v>
      </c>
      <c r="G160">
        <v>0</v>
      </c>
      <c r="H160">
        <v>0</v>
      </c>
      <c r="J160">
        <v>0</v>
      </c>
      <c r="K160" s="14">
        <v>0</v>
      </c>
      <c r="L160">
        <v>0</v>
      </c>
      <c r="M160">
        <v>0</v>
      </c>
      <c r="N160">
        <v>0</v>
      </c>
      <c r="O160" s="20"/>
      <c r="P160" s="20"/>
      <c r="Q160" s="438"/>
      <c r="R160" s="197"/>
      <c r="S160" s="197"/>
      <c r="T160" s="197"/>
      <c r="U160" s="197"/>
      <c r="V160" s="20">
        <f t="shared" si="224"/>
        <v>0</v>
      </c>
      <c r="W160" s="20">
        <f t="shared" si="224"/>
        <v>0</v>
      </c>
      <c r="X160" s="20">
        <f t="shared" si="224"/>
        <v>0</v>
      </c>
      <c r="Y160" s="20">
        <f t="shared" si="224"/>
        <v>0</v>
      </c>
      <c r="Z160" s="20">
        <f t="shared" si="225"/>
        <v>0</v>
      </c>
      <c r="AA160" s="20">
        <f t="shared" si="226"/>
        <v>0</v>
      </c>
      <c r="AB160" s="20">
        <f t="shared" si="226"/>
        <v>0</v>
      </c>
      <c r="AC160" s="20">
        <f t="shared" si="226"/>
        <v>0</v>
      </c>
      <c r="AD160" s="20">
        <f t="shared" si="227"/>
        <v>0</v>
      </c>
      <c r="AE160" s="20">
        <f t="shared" si="228"/>
        <v>0</v>
      </c>
      <c r="AF160" s="20">
        <f t="shared" si="228"/>
        <v>0</v>
      </c>
      <c r="AG160" s="20">
        <f t="shared" si="228"/>
        <v>0</v>
      </c>
      <c r="AH160" s="20">
        <f t="shared" si="228"/>
        <v>0</v>
      </c>
      <c r="AI160" s="20">
        <f t="shared" si="229"/>
        <v>0</v>
      </c>
      <c r="AJ160" s="20">
        <f t="shared" si="230"/>
        <v>0</v>
      </c>
      <c r="AK160" s="20">
        <f t="shared" si="230"/>
        <v>0</v>
      </c>
      <c r="AL160" s="20">
        <f t="shared" si="230"/>
        <v>0</v>
      </c>
      <c r="AM160" s="20">
        <f t="shared" si="231"/>
        <v>0</v>
      </c>
      <c r="AO160">
        <f t="shared" si="232"/>
        <v>0</v>
      </c>
      <c r="AP160">
        <f t="shared" si="232"/>
        <v>0</v>
      </c>
      <c r="AQ160">
        <f t="shared" si="232"/>
        <v>0</v>
      </c>
      <c r="AR160">
        <f t="shared" si="232"/>
        <v>0</v>
      </c>
      <c r="AS160">
        <f t="shared" si="233"/>
        <v>0</v>
      </c>
      <c r="AU160">
        <f t="shared" si="234"/>
        <v>0</v>
      </c>
      <c r="AV160">
        <f t="shared" si="235"/>
        <v>0</v>
      </c>
      <c r="AW160">
        <f t="shared" si="235"/>
        <v>0</v>
      </c>
      <c r="AX160">
        <f t="shared" si="235"/>
        <v>0</v>
      </c>
      <c r="AY160">
        <f t="shared" si="236"/>
        <v>0</v>
      </c>
    </row>
    <row r="161" spans="1:53" ht="15" x14ac:dyDescent="0.25">
      <c r="A161" s="1"/>
      <c r="B161" s="2"/>
      <c r="C161" s="1" t="s">
        <v>13</v>
      </c>
      <c r="D161">
        <v>0</v>
      </c>
      <c r="E161" s="360"/>
      <c r="F161">
        <v>0</v>
      </c>
      <c r="G161">
        <v>0</v>
      </c>
      <c r="H161">
        <v>0</v>
      </c>
      <c r="J161">
        <v>0</v>
      </c>
      <c r="K161" s="14">
        <v>0</v>
      </c>
      <c r="L161">
        <v>0</v>
      </c>
      <c r="M161">
        <v>0</v>
      </c>
      <c r="N161">
        <v>0</v>
      </c>
      <c r="O161" s="20"/>
      <c r="P161" s="20"/>
      <c r="Q161" s="438"/>
      <c r="R161" s="197"/>
      <c r="S161" s="197"/>
      <c r="T161" s="197"/>
      <c r="U161" s="197"/>
      <c r="V161" s="20">
        <f t="shared" si="224"/>
        <v>0</v>
      </c>
      <c r="W161" s="20">
        <f t="shared" si="224"/>
        <v>0</v>
      </c>
      <c r="X161" s="20">
        <f t="shared" si="224"/>
        <v>0</v>
      </c>
      <c r="Y161" s="20">
        <f t="shared" si="224"/>
        <v>0</v>
      </c>
      <c r="Z161" s="20">
        <f t="shared" si="225"/>
        <v>0</v>
      </c>
      <c r="AA161" s="20">
        <f t="shared" si="226"/>
        <v>0</v>
      </c>
      <c r="AB161" s="20">
        <f t="shared" si="226"/>
        <v>0</v>
      </c>
      <c r="AC161" s="20">
        <f t="shared" si="226"/>
        <v>0</v>
      </c>
      <c r="AD161" s="20">
        <f t="shared" si="227"/>
        <v>0</v>
      </c>
      <c r="AE161" s="20">
        <f t="shared" si="228"/>
        <v>0</v>
      </c>
      <c r="AF161" s="20">
        <f t="shared" si="228"/>
        <v>0</v>
      </c>
      <c r="AG161" s="20">
        <f t="shared" si="228"/>
        <v>0</v>
      </c>
      <c r="AH161" s="20">
        <f t="shared" si="228"/>
        <v>0</v>
      </c>
      <c r="AI161" s="20">
        <f t="shared" si="229"/>
        <v>0</v>
      </c>
      <c r="AJ161" s="20">
        <f t="shared" si="230"/>
        <v>0</v>
      </c>
      <c r="AK161" s="20">
        <f t="shared" si="230"/>
        <v>0</v>
      </c>
      <c r="AL161" s="20">
        <f t="shared" si="230"/>
        <v>0</v>
      </c>
      <c r="AM161" s="20">
        <f t="shared" si="231"/>
        <v>0</v>
      </c>
      <c r="AO161">
        <f t="shared" si="232"/>
        <v>0</v>
      </c>
      <c r="AP161">
        <f t="shared" si="232"/>
        <v>0</v>
      </c>
      <c r="AQ161">
        <f t="shared" si="232"/>
        <v>0</v>
      </c>
      <c r="AR161">
        <f t="shared" si="232"/>
        <v>0</v>
      </c>
      <c r="AS161">
        <f t="shared" si="233"/>
        <v>0</v>
      </c>
      <c r="AU161">
        <f t="shared" si="234"/>
        <v>0</v>
      </c>
      <c r="AV161">
        <f t="shared" si="235"/>
        <v>0</v>
      </c>
      <c r="AW161">
        <f t="shared" si="235"/>
        <v>0</v>
      </c>
      <c r="AX161">
        <f t="shared" si="235"/>
        <v>0</v>
      </c>
      <c r="AY161">
        <f t="shared" si="236"/>
        <v>0</v>
      </c>
    </row>
    <row r="162" spans="1:53" ht="15" x14ac:dyDescent="0.25">
      <c r="A162" s="7"/>
      <c r="B162" s="8" t="s">
        <v>14</v>
      </c>
      <c r="C162" s="7"/>
      <c r="D162" s="357">
        <f t="shared" ref="D162:H162" si="237">SUM(D156:D161)</f>
        <v>0</v>
      </c>
      <c r="E162" s="363">
        <f>SUM(E156:E161)</f>
        <v>0</v>
      </c>
      <c r="F162" s="357">
        <f t="shared" si="237"/>
        <v>0</v>
      </c>
      <c r="G162" s="357">
        <f t="shared" si="237"/>
        <v>0</v>
      </c>
      <c r="H162" s="357">
        <f t="shared" si="237"/>
        <v>0</v>
      </c>
      <c r="J162">
        <v>0</v>
      </c>
      <c r="K162" s="14">
        <v>0</v>
      </c>
      <c r="L162">
        <v>0</v>
      </c>
      <c r="M162">
        <v>0</v>
      </c>
      <c r="N162">
        <v>0</v>
      </c>
      <c r="O162" s="20"/>
      <c r="P162" s="20"/>
      <c r="Q162" s="438"/>
      <c r="R162" s="197"/>
      <c r="S162" s="197"/>
      <c r="T162" s="197"/>
      <c r="U162" s="197"/>
      <c r="BA162" s="319">
        <f>(E162*10000*Q162*AU$10)</f>
        <v>0</v>
      </c>
    </row>
    <row r="163" spans="1:53" ht="15" x14ac:dyDescent="0.25">
      <c r="A163" s="10"/>
      <c r="B163" s="9" t="s">
        <v>15</v>
      </c>
      <c r="C163" s="5"/>
      <c r="E163" s="363">
        <f>SUM(E162)</f>
        <v>0</v>
      </c>
      <c r="H163" s="358">
        <f>SUM(D162:H162)</f>
        <v>0</v>
      </c>
      <c r="K163" s="14"/>
      <c r="N163">
        <v>0</v>
      </c>
      <c r="O163" s="20"/>
      <c r="P163" s="20"/>
      <c r="Q163" s="438"/>
      <c r="R163" s="197"/>
      <c r="S163" s="197"/>
      <c r="T163" s="197"/>
      <c r="U163" s="197"/>
    </row>
    <row r="164" spans="1:53" ht="15.75" x14ac:dyDescent="0.25">
      <c r="A164" s="1"/>
      <c r="B164" s="2"/>
      <c r="C164" s="1"/>
      <c r="E164" s="361"/>
      <c r="K164" s="14"/>
      <c r="O164" s="20"/>
      <c r="P164" s="20"/>
      <c r="Q164" s="439"/>
      <c r="R164" s="197"/>
      <c r="S164" s="197"/>
      <c r="T164" s="197"/>
      <c r="U164" s="197"/>
    </row>
    <row r="165" spans="1:53" ht="15" x14ac:dyDescent="0.25">
      <c r="A165" s="1">
        <v>18</v>
      </c>
      <c r="B165" s="2" t="s">
        <v>709</v>
      </c>
      <c r="C165" s="1" t="s">
        <v>8</v>
      </c>
      <c r="D165">
        <v>0</v>
      </c>
      <c r="E165" s="360"/>
      <c r="F165">
        <v>0</v>
      </c>
      <c r="G165">
        <v>0</v>
      </c>
      <c r="H165">
        <v>0</v>
      </c>
      <c r="J165">
        <v>0</v>
      </c>
      <c r="K165" s="14">
        <v>0</v>
      </c>
      <c r="L165">
        <v>0</v>
      </c>
      <c r="M165">
        <v>0</v>
      </c>
      <c r="N165">
        <v>0</v>
      </c>
      <c r="O165" s="20"/>
      <c r="P165" s="20"/>
      <c r="Q165" s="438"/>
      <c r="R165" s="197">
        <v>0.66599999999999993</v>
      </c>
      <c r="S165" s="197">
        <v>4.5549999999999997</v>
      </c>
      <c r="T165" s="197">
        <v>0.60039794540960334</v>
      </c>
      <c r="U165" s="197">
        <v>0.90789473684210531</v>
      </c>
      <c r="V165" s="20">
        <f t="shared" ref="V165:Y170" si="238">IF(K165&gt;0,((E165-K165)*$Q165*$R165*10)+(K165*$O$12*$Q165*$R165*10),(E165*$Q165*$R165*10))</f>
        <v>0</v>
      </c>
      <c r="W165" s="20">
        <f t="shared" si="238"/>
        <v>0</v>
      </c>
      <c r="X165" s="20">
        <f t="shared" si="238"/>
        <v>0</v>
      </c>
      <c r="Y165" s="20">
        <f t="shared" si="238"/>
        <v>0</v>
      </c>
      <c r="Z165" s="20">
        <f t="shared" ref="Z165:Z170" si="239">V165*(EXP(1.01-0.34*LN(Z$8))*(1-$T165)+(1*$T165))</f>
        <v>0</v>
      </c>
      <c r="AA165" s="20">
        <f t="shared" ref="AA165:AC170" si="240">W165*(EXP(1.01-0.34*LN(AA$8))*(1-$U165)+(1*$U165))</f>
        <v>0</v>
      </c>
      <c r="AB165" s="20">
        <f t="shared" si="240"/>
        <v>0</v>
      </c>
      <c r="AC165" s="20">
        <f t="shared" si="240"/>
        <v>0</v>
      </c>
      <c r="AD165" s="20">
        <f t="shared" ref="AD165:AD170" si="241">SUM(Z165:AC165)</f>
        <v>0</v>
      </c>
      <c r="AE165" s="20">
        <f t="shared" ref="AE165:AH170" si="242">IF(K165&gt;0,((E165-K165)*$Q165*$S165*10)+(K165*$P$12*$Q165*$S165)*10,(E165*$Q165*$S165*10))</f>
        <v>0</v>
      </c>
      <c r="AF165" s="20">
        <f t="shared" si="242"/>
        <v>0</v>
      </c>
      <c r="AG165" s="20">
        <f t="shared" si="242"/>
        <v>0</v>
      </c>
      <c r="AH165" s="20">
        <f t="shared" si="242"/>
        <v>0</v>
      </c>
      <c r="AI165" s="20">
        <f t="shared" ref="AI165:AI170" si="243">AE165*(EXP(1.01-0.34*LN(AI$8))*(1-$U165)+(1*$U165))</f>
        <v>0</v>
      </c>
      <c r="AJ165" s="20">
        <f t="shared" ref="AJ165:AL170" si="244">AF165*(EXP(1.01-0.34*LN(AJ$8))*(1-$T165)+(1*$T165))</f>
        <v>0</v>
      </c>
      <c r="AK165" s="20">
        <f t="shared" si="244"/>
        <v>0</v>
      </c>
      <c r="AL165" s="20">
        <f t="shared" si="244"/>
        <v>0</v>
      </c>
      <c r="AM165" s="20">
        <f t="shared" ref="AM165:AM170" si="245">SUM(AI165:AL165)</f>
        <v>0</v>
      </c>
      <c r="AO165">
        <f t="shared" ref="AO165:AR170" si="246">Z165*AO$10</f>
        <v>0</v>
      </c>
      <c r="AP165">
        <f t="shared" si="246"/>
        <v>0</v>
      </c>
      <c r="AQ165">
        <f t="shared" si="246"/>
        <v>0</v>
      </c>
      <c r="AR165">
        <f t="shared" si="246"/>
        <v>0</v>
      </c>
      <c r="AS165">
        <f t="shared" ref="AS165:AS170" si="247">SUM(AO165:AR165)</f>
        <v>0</v>
      </c>
      <c r="AU165">
        <f t="shared" ref="AU165:AU170" si="248">AI165*AU$10</f>
        <v>0</v>
      </c>
      <c r="AV165">
        <f t="shared" ref="AV165:AX170" si="249">AJ165*AV$10</f>
        <v>0</v>
      </c>
      <c r="AW165">
        <f t="shared" si="249"/>
        <v>0</v>
      </c>
      <c r="AX165">
        <f t="shared" si="249"/>
        <v>0</v>
      </c>
      <c r="AY165">
        <f t="shared" ref="AY165:AY170" si="250">SUM(AU165:AX165)</f>
        <v>0</v>
      </c>
    </row>
    <row r="166" spans="1:53" ht="15" x14ac:dyDescent="0.25">
      <c r="A166" s="1"/>
      <c r="B166" s="2"/>
      <c r="C166" s="1" t="s">
        <v>9</v>
      </c>
      <c r="D166">
        <v>0</v>
      </c>
      <c r="E166" s="360"/>
      <c r="F166">
        <v>0</v>
      </c>
      <c r="G166">
        <v>0</v>
      </c>
      <c r="H166">
        <v>0</v>
      </c>
      <c r="J166">
        <v>0</v>
      </c>
      <c r="K166" s="14">
        <v>0</v>
      </c>
      <c r="L166">
        <v>0</v>
      </c>
      <c r="M166">
        <v>0</v>
      </c>
      <c r="N166">
        <v>0</v>
      </c>
      <c r="O166" s="20"/>
      <c r="P166" s="20"/>
      <c r="Q166" s="438"/>
      <c r="R166" s="197">
        <v>0.66599999999999993</v>
      </c>
      <c r="S166" s="197">
        <v>4.5549999999999997</v>
      </c>
      <c r="T166" s="197">
        <v>0.60039794540960334</v>
      </c>
      <c r="U166" s="197">
        <v>0.90789473684210531</v>
      </c>
      <c r="V166" s="20">
        <f t="shared" si="238"/>
        <v>0</v>
      </c>
      <c r="W166" s="20">
        <f t="shared" si="238"/>
        <v>0</v>
      </c>
      <c r="X166" s="20">
        <f t="shared" si="238"/>
        <v>0</v>
      </c>
      <c r="Y166" s="20">
        <f t="shared" si="238"/>
        <v>0</v>
      </c>
      <c r="Z166" s="20">
        <f t="shared" si="239"/>
        <v>0</v>
      </c>
      <c r="AA166" s="20">
        <f t="shared" si="240"/>
        <v>0</v>
      </c>
      <c r="AB166" s="20">
        <f t="shared" si="240"/>
        <v>0</v>
      </c>
      <c r="AC166" s="20">
        <f t="shared" si="240"/>
        <v>0</v>
      </c>
      <c r="AD166" s="20">
        <f t="shared" si="241"/>
        <v>0</v>
      </c>
      <c r="AE166" s="20">
        <f t="shared" si="242"/>
        <v>0</v>
      </c>
      <c r="AF166" s="20">
        <f t="shared" si="242"/>
        <v>0</v>
      </c>
      <c r="AG166" s="20">
        <f t="shared" si="242"/>
        <v>0</v>
      </c>
      <c r="AH166" s="20">
        <f t="shared" si="242"/>
        <v>0</v>
      </c>
      <c r="AI166" s="20">
        <f t="shared" si="243"/>
        <v>0</v>
      </c>
      <c r="AJ166" s="20">
        <f t="shared" si="244"/>
        <v>0</v>
      </c>
      <c r="AK166" s="20">
        <f t="shared" si="244"/>
        <v>0</v>
      </c>
      <c r="AL166" s="20">
        <f t="shared" si="244"/>
        <v>0</v>
      </c>
      <c r="AM166" s="20">
        <f t="shared" si="245"/>
        <v>0</v>
      </c>
      <c r="AO166">
        <f t="shared" si="246"/>
        <v>0</v>
      </c>
      <c r="AP166">
        <f t="shared" si="246"/>
        <v>0</v>
      </c>
      <c r="AQ166">
        <f t="shared" si="246"/>
        <v>0</v>
      </c>
      <c r="AR166">
        <f t="shared" si="246"/>
        <v>0</v>
      </c>
      <c r="AS166">
        <f t="shared" si="247"/>
        <v>0</v>
      </c>
      <c r="AU166">
        <f t="shared" si="248"/>
        <v>0</v>
      </c>
      <c r="AV166">
        <f t="shared" si="249"/>
        <v>0</v>
      </c>
      <c r="AW166">
        <f t="shared" si="249"/>
        <v>0</v>
      </c>
      <c r="AX166">
        <f t="shared" si="249"/>
        <v>0</v>
      </c>
      <c r="AY166">
        <f t="shared" si="250"/>
        <v>0</v>
      </c>
    </row>
    <row r="167" spans="1:53" ht="15" x14ac:dyDescent="0.25">
      <c r="A167" s="1"/>
      <c r="B167" s="2"/>
      <c r="C167" s="1" t="s">
        <v>10</v>
      </c>
      <c r="D167">
        <v>0</v>
      </c>
      <c r="E167" s="360"/>
      <c r="F167">
        <v>0</v>
      </c>
      <c r="G167">
        <v>0</v>
      </c>
      <c r="H167">
        <v>0</v>
      </c>
      <c r="J167">
        <v>0</v>
      </c>
      <c r="K167" s="14">
        <v>0</v>
      </c>
      <c r="L167">
        <v>0</v>
      </c>
      <c r="M167">
        <v>0</v>
      </c>
      <c r="N167">
        <v>0</v>
      </c>
      <c r="O167" s="20"/>
      <c r="P167" s="20"/>
      <c r="Q167" s="438"/>
      <c r="R167" s="197">
        <v>0.66599999999999993</v>
      </c>
      <c r="S167" s="197">
        <v>4.5549999999999997</v>
      </c>
      <c r="T167" s="197">
        <v>0.60039794540960334</v>
      </c>
      <c r="U167" s="197">
        <v>0.90789473684210531</v>
      </c>
      <c r="V167" s="20">
        <f t="shared" si="238"/>
        <v>0</v>
      </c>
      <c r="W167" s="20">
        <f t="shared" si="238"/>
        <v>0</v>
      </c>
      <c r="X167" s="20">
        <f t="shared" si="238"/>
        <v>0</v>
      </c>
      <c r="Y167" s="20">
        <f t="shared" si="238"/>
        <v>0</v>
      </c>
      <c r="Z167" s="20">
        <f t="shared" si="239"/>
        <v>0</v>
      </c>
      <c r="AA167" s="20">
        <f t="shared" si="240"/>
        <v>0</v>
      </c>
      <c r="AB167" s="20">
        <f t="shared" si="240"/>
        <v>0</v>
      </c>
      <c r="AC167" s="20">
        <f t="shared" si="240"/>
        <v>0</v>
      </c>
      <c r="AD167" s="20">
        <f t="shared" si="241"/>
        <v>0</v>
      </c>
      <c r="AE167" s="20">
        <f t="shared" si="242"/>
        <v>0</v>
      </c>
      <c r="AF167" s="20">
        <f t="shared" si="242"/>
        <v>0</v>
      </c>
      <c r="AG167" s="20">
        <f t="shared" si="242"/>
        <v>0</v>
      </c>
      <c r="AH167" s="20">
        <f t="shared" si="242"/>
        <v>0</v>
      </c>
      <c r="AI167" s="20">
        <f t="shared" si="243"/>
        <v>0</v>
      </c>
      <c r="AJ167" s="20">
        <f t="shared" si="244"/>
        <v>0</v>
      </c>
      <c r="AK167" s="20">
        <f t="shared" si="244"/>
        <v>0</v>
      </c>
      <c r="AL167" s="20">
        <f t="shared" si="244"/>
        <v>0</v>
      </c>
      <c r="AM167" s="20">
        <f t="shared" si="245"/>
        <v>0</v>
      </c>
      <c r="AO167">
        <f t="shared" si="246"/>
        <v>0</v>
      </c>
      <c r="AP167">
        <f t="shared" si="246"/>
        <v>0</v>
      </c>
      <c r="AQ167">
        <f t="shared" si="246"/>
        <v>0</v>
      </c>
      <c r="AR167">
        <f t="shared" si="246"/>
        <v>0</v>
      </c>
      <c r="AS167">
        <f t="shared" si="247"/>
        <v>0</v>
      </c>
      <c r="AU167">
        <f t="shared" si="248"/>
        <v>0</v>
      </c>
      <c r="AV167">
        <f t="shared" si="249"/>
        <v>0</v>
      </c>
      <c r="AW167">
        <f t="shared" si="249"/>
        <v>0</v>
      </c>
      <c r="AX167">
        <f t="shared" si="249"/>
        <v>0</v>
      </c>
      <c r="AY167">
        <f t="shared" si="250"/>
        <v>0</v>
      </c>
    </row>
    <row r="168" spans="1:53" ht="15" x14ac:dyDescent="0.25">
      <c r="A168" s="1"/>
      <c r="B168" s="2"/>
      <c r="C168" s="1" t="s">
        <v>11</v>
      </c>
      <c r="D168">
        <v>0</v>
      </c>
      <c r="E168" s="360">
        <v>137.8776</v>
      </c>
      <c r="F168">
        <v>0</v>
      </c>
      <c r="G168">
        <v>0</v>
      </c>
      <c r="H168">
        <v>0</v>
      </c>
      <c r="J168">
        <v>0</v>
      </c>
      <c r="K168" s="14">
        <v>6.583568409723739E-5</v>
      </c>
      <c r="L168">
        <v>0</v>
      </c>
      <c r="M168">
        <v>0</v>
      </c>
      <c r="N168">
        <v>0</v>
      </c>
      <c r="O168" s="20"/>
      <c r="P168" s="20"/>
      <c r="Q168" s="438">
        <v>0.13007414551753252</v>
      </c>
      <c r="R168" s="197">
        <v>0.66599999999999993</v>
      </c>
      <c r="S168" s="197">
        <v>4.5549999999999997</v>
      </c>
      <c r="T168" s="197">
        <v>0.60039794540960334</v>
      </c>
      <c r="U168" s="197">
        <v>0.90789473684210531</v>
      </c>
      <c r="V168" s="20">
        <f t="shared" si="238"/>
        <v>119.4424752409878</v>
      </c>
      <c r="W168" s="20">
        <f t="shared" si="238"/>
        <v>0</v>
      </c>
      <c r="X168" s="20">
        <f t="shared" si="238"/>
        <v>0</v>
      </c>
      <c r="Y168" s="20">
        <f t="shared" si="238"/>
        <v>0</v>
      </c>
      <c r="Z168" s="20">
        <f t="shared" si="239"/>
        <v>80.423774597612322</v>
      </c>
      <c r="AA168" s="20">
        <f t="shared" si="240"/>
        <v>0</v>
      </c>
      <c r="AB168" s="20">
        <f t="shared" si="240"/>
        <v>0</v>
      </c>
      <c r="AC168" s="20">
        <f t="shared" si="240"/>
        <v>0</v>
      </c>
      <c r="AD168" s="20">
        <f t="shared" si="241"/>
        <v>80.423774597612322</v>
      </c>
      <c r="AE168" s="20">
        <f t="shared" si="242"/>
        <v>816.90770215568068</v>
      </c>
      <c r="AF168" s="20">
        <f t="shared" si="242"/>
        <v>0</v>
      </c>
      <c r="AG168" s="20">
        <f t="shared" si="242"/>
        <v>0</v>
      </c>
      <c r="AH168" s="20">
        <f t="shared" si="242"/>
        <v>0</v>
      </c>
      <c r="AI168" s="20">
        <f t="shared" si="243"/>
        <v>755.39798441714811</v>
      </c>
      <c r="AJ168" s="20">
        <f t="shared" si="244"/>
        <v>0</v>
      </c>
      <c r="AK168" s="20">
        <f t="shared" si="244"/>
        <v>0</v>
      </c>
      <c r="AL168" s="20">
        <f t="shared" si="244"/>
        <v>0</v>
      </c>
      <c r="AM168" s="20">
        <f t="shared" si="245"/>
        <v>755.39798441714811</v>
      </c>
      <c r="AO168">
        <f t="shared" si="246"/>
        <v>99.46008204486715</v>
      </c>
      <c r="AP168">
        <f t="shared" si="246"/>
        <v>0</v>
      </c>
      <c r="AQ168">
        <f t="shared" si="246"/>
        <v>0</v>
      </c>
      <c r="AR168">
        <f t="shared" si="246"/>
        <v>0</v>
      </c>
      <c r="AS168">
        <f t="shared" si="247"/>
        <v>99.46008204486715</v>
      </c>
      <c r="AU168">
        <f t="shared" si="248"/>
        <v>934.20068732868697</v>
      </c>
      <c r="AV168">
        <f t="shared" si="249"/>
        <v>0</v>
      </c>
      <c r="AW168">
        <f t="shared" si="249"/>
        <v>0</v>
      </c>
      <c r="AX168">
        <f t="shared" si="249"/>
        <v>0</v>
      </c>
      <c r="AY168">
        <f t="shared" si="250"/>
        <v>934.20068732868697</v>
      </c>
    </row>
    <row r="169" spans="1:53" ht="15" x14ac:dyDescent="0.25">
      <c r="A169" s="1"/>
      <c r="B169" s="2"/>
      <c r="C169" s="1" t="s">
        <v>12</v>
      </c>
      <c r="D169">
        <v>0</v>
      </c>
      <c r="E169" s="360"/>
      <c r="F169">
        <v>0</v>
      </c>
      <c r="G169">
        <v>0</v>
      </c>
      <c r="H169">
        <v>0</v>
      </c>
      <c r="J169">
        <v>0</v>
      </c>
      <c r="K169" s="14">
        <v>0</v>
      </c>
      <c r="L169">
        <v>0</v>
      </c>
      <c r="M169">
        <v>0</v>
      </c>
      <c r="N169">
        <v>0</v>
      </c>
      <c r="O169" s="20"/>
      <c r="P169" s="20"/>
      <c r="Q169" s="438"/>
      <c r="R169" s="197">
        <v>0.66599999999999993</v>
      </c>
      <c r="S169" s="197">
        <v>4.5549999999999997</v>
      </c>
      <c r="T169" s="197">
        <v>0.60039794540960334</v>
      </c>
      <c r="U169" s="197">
        <v>0.90789473684210531</v>
      </c>
      <c r="V169" s="20">
        <f t="shared" si="238"/>
        <v>0</v>
      </c>
      <c r="W169" s="20">
        <f t="shared" si="238"/>
        <v>0</v>
      </c>
      <c r="X169" s="20">
        <f t="shared" si="238"/>
        <v>0</v>
      </c>
      <c r="Y169" s="20">
        <f t="shared" si="238"/>
        <v>0</v>
      </c>
      <c r="Z169" s="20">
        <f t="shared" si="239"/>
        <v>0</v>
      </c>
      <c r="AA169" s="20">
        <f t="shared" si="240"/>
        <v>0</v>
      </c>
      <c r="AB169" s="20">
        <f t="shared" si="240"/>
        <v>0</v>
      </c>
      <c r="AC169" s="20">
        <f t="shared" si="240"/>
        <v>0</v>
      </c>
      <c r="AD169" s="20">
        <f t="shared" si="241"/>
        <v>0</v>
      </c>
      <c r="AE169" s="20">
        <f t="shared" si="242"/>
        <v>0</v>
      </c>
      <c r="AF169" s="20">
        <f t="shared" si="242"/>
        <v>0</v>
      </c>
      <c r="AG169" s="20">
        <f t="shared" si="242"/>
        <v>0</v>
      </c>
      <c r="AH169" s="20">
        <f t="shared" si="242"/>
        <v>0</v>
      </c>
      <c r="AI169" s="20">
        <f t="shared" si="243"/>
        <v>0</v>
      </c>
      <c r="AJ169" s="20">
        <f t="shared" si="244"/>
        <v>0</v>
      </c>
      <c r="AK169" s="20">
        <f t="shared" si="244"/>
        <v>0</v>
      </c>
      <c r="AL169" s="20">
        <f t="shared" si="244"/>
        <v>0</v>
      </c>
      <c r="AM169" s="20">
        <f t="shared" si="245"/>
        <v>0</v>
      </c>
      <c r="AO169">
        <f t="shared" si="246"/>
        <v>0</v>
      </c>
      <c r="AP169">
        <f t="shared" si="246"/>
        <v>0</v>
      </c>
      <c r="AQ169">
        <f t="shared" si="246"/>
        <v>0</v>
      </c>
      <c r="AR169">
        <f t="shared" si="246"/>
        <v>0</v>
      </c>
      <c r="AS169">
        <f t="shared" si="247"/>
        <v>0</v>
      </c>
      <c r="AU169">
        <f t="shared" si="248"/>
        <v>0</v>
      </c>
      <c r="AV169">
        <f t="shared" si="249"/>
        <v>0</v>
      </c>
      <c r="AW169">
        <f t="shared" si="249"/>
        <v>0</v>
      </c>
      <c r="AX169">
        <f t="shared" si="249"/>
        <v>0</v>
      </c>
      <c r="AY169">
        <f t="shared" si="250"/>
        <v>0</v>
      </c>
    </row>
    <row r="170" spans="1:53" ht="15" x14ac:dyDescent="0.25">
      <c r="A170" s="1"/>
      <c r="B170" s="2"/>
      <c r="C170" s="1" t="s">
        <v>13</v>
      </c>
      <c r="D170">
        <v>0</v>
      </c>
      <c r="E170" s="360"/>
      <c r="F170">
        <v>0</v>
      </c>
      <c r="G170">
        <v>0</v>
      </c>
      <c r="H170">
        <v>0</v>
      </c>
      <c r="J170">
        <v>0</v>
      </c>
      <c r="K170" s="14">
        <v>0</v>
      </c>
      <c r="L170">
        <v>0</v>
      </c>
      <c r="M170">
        <v>0</v>
      </c>
      <c r="N170">
        <v>0</v>
      </c>
      <c r="O170" s="20"/>
      <c r="P170" s="20"/>
      <c r="Q170" s="438"/>
      <c r="R170" s="197">
        <v>0.66599999999999993</v>
      </c>
      <c r="S170" s="197">
        <v>4.5549999999999997</v>
      </c>
      <c r="T170" s="197">
        <v>0.60039794540960334</v>
      </c>
      <c r="U170" s="197">
        <v>0.90789473684210531</v>
      </c>
      <c r="V170" s="20">
        <f t="shared" si="238"/>
        <v>0</v>
      </c>
      <c r="W170" s="20">
        <f t="shared" si="238"/>
        <v>0</v>
      </c>
      <c r="X170" s="20">
        <f t="shared" si="238"/>
        <v>0</v>
      </c>
      <c r="Y170" s="20">
        <f t="shared" si="238"/>
        <v>0</v>
      </c>
      <c r="Z170" s="20">
        <f t="shared" si="239"/>
        <v>0</v>
      </c>
      <c r="AA170" s="20">
        <f t="shared" si="240"/>
        <v>0</v>
      </c>
      <c r="AB170" s="20">
        <f t="shared" si="240"/>
        <v>0</v>
      </c>
      <c r="AC170" s="20">
        <f t="shared" si="240"/>
        <v>0</v>
      </c>
      <c r="AD170" s="20">
        <f t="shared" si="241"/>
        <v>0</v>
      </c>
      <c r="AE170" s="20">
        <f t="shared" si="242"/>
        <v>0</v>
      </c>
      <c r="AF170" s="20">
        <f t="shared" si="242"/>
        <v>0</v>
      </c>
      <c r="AG170" s="20">
        <f t="shared" si="242"/>
        <v>0</v>
      </c>
      <c r="AH170" s="20">
        <f t="shared" si="242"/>
        <v>0</v>
      </c>
      <c r="AI170" s="20">
        <f t="shared" si="243"/>
        <v>0</v>
      </c>
      <c r="AJ170" s="20">
        <f t="shared" si="244"/>
        <v>0</v>
      </c>
      <c r="AK170" s="20">
        <f t="shared" si="244"/>
        <v>0</v>
      </c>
      <c r="AL170" s="20">
        <f t="shared" si="244"/>
        <v>0</v>
      </c>
      <c r="AM170" s="20">
        <f t="shared" si="245"/>
        <v>0</v>
      </c>
      <c r="AO170">
        <f t="shared" si="246"/>
        <v>0</v>
      </c>
      <c r="AP170">
        <f t="shared" si="246"/>
        <v>0</v>
      </c>
      <c r="AQ170">
        <f t="shared" si="246"/>
        <v>0</v>
      </c>
      <c r="AR170">
        <f t="shared" si="246"/>
        <v>0</v>
      </c>
      <c r="AS170">
        <f t="shared" si="247"/>
        <v>0</v>
      </c>
      <c r="AU170">
        <f t="shared" si="248"/>
        <v>0</v>
      </c>
      <c r="AV170">
        <f t="shared" si="249"/>
        <v>0</v>
      </c>
      <c r="AW170">
        <f t="shared" si="249"/>
        <v>0</v>
      </c>
      <c r="AX170">
        <f t="shared" si="249"/>
        <v>0</v>
      </c>
      <c r="AY170">
        <f t="shared" si="250"/>
        <v>0</v>
      </c>
    </row>
    <row r="171" spans="1:53" ht="15" x14ac:dyDescent="0.25">
      <c r="A171" s="7"/>
      <c r="B171" s="8" t="s">
        <v>14</v>
      </c>
      <c r="C171" s="7"/>
      <c r="D171" s="357">
        <f t="shared" ref="D171:H171" si="251">SUM(D165:D170)</f>
        <v>0</v>
      </c>
      <c r="E171" s="363">
        <f>SUM(E165:E170)</f>
        <v>137.8776</v>
      </c>
      <c r="F171" s="357">
        <f t="shared" si="251"/>
        <v>0</v>
      </c>
      <c r="G171" s="357">
        <f t="shared" si="251"/>
        <v>0</v>
      </c>
      <c r="H171" s="357">
        <f t="shared" si="251"/>
        <v>0</v>
      </c>
      <c r="J171">
        <v>0</v>
      </c>
      <c r="K171" s="14">
        <v>6.583568409723739E-5</v>
      </c>
      <c r="L171">
        <v>0</v>
      </c>
      <c r="M171">
        <v>0</v>
      </c>
      <c r="N171">
        <v>0</v>
      </c>
      <c r="O171" s="20"/>
      <c r="P171" s="20"/>
      <c r="Q171" s="438">
        <v>0.13007414551753252</v>
      </c>
      <c r="R171" s="20"/>
      <c r="S171" s="20"/>
      <c r="T171" s="20"/>
      <c r="U171" s="20"/>
      <c r="BA171" s="319">
        <f>(E171*10000*Q171*AU$10)</f>
        <v>221793.62421130267</v>
      </c>
    </row>
    <row r="172" spans="1:53" ht="15" x14ac:dyDescent="0.25">
      <c r="A172" s="1"/>
      <c r="B172" s="9" t="s">
        <v>15</v>
      </c>
      <c r="C172" s="5"/>
      <c r="E172" s="363">
        <f>SUM(E171)</f>
        <v>137.8776</v>
      </c>
      <c r="H172" s="358">
        <f>SUM(D171:H171)</f>
        <v>137.8776</v>
      </c>
      <c r="K172" s="14"/>
      <c r="N172">
        <v>0</v>
      </c>
      <c r="O172" s="20"/>
      <c r="P172" s="20"/>
      <c r="Q172" s="438"/>
      <c r="R172" s="20"/>
      <c r="S172" s="20"/>
      <c r="T172" s="20"/>
      <c r="U172" s="20"/>
    </row>
    <row r="173" spans="1:53" ht="15.75" x14ac:dyDescent="0.25">
      <c r="A173" s="1"/>
      <c r="B173" s="2"/>
      <c r="C173" s="1"/>
      <c r="E173" s="361"/>
      <c r="K173" s="14"/>
      <c r="O173" s="20"/>
      <c r="P173" s="20"/>
      <c r="Q173" s="439"/>
      <c r="R173" s="20"/>
      <c r="S173" s="20"/>
      <c r="T173" s="20"/>
      <c r="U173" s="20"/>
    </row>
    <row r="174" spans="1:53" ht="15" x14ac:dyDescent="0.25">
      <c r="A174" s="1">
        <v>19</v>
      </c>
      <c r="B174" s="154" t="s">
        <v>865</v>
      </c>
      <c r="C174" s="1" t="s">
        <v>8</v>
      </c>
      <c r="D174">
        <v>0</v>
      </c>
      <c r="E174" s="360">
        <v>0</v>
      </c>
      <c r="F174">
        <v>0</v>
      </c>
      <c r="G174">
        <v>0</v>
      </c>
      <c r="H174">
        <v>0</v>
      </c>
      <c r="J174">
        <v>0</v>
      </c>
      <c r="K174" s="14">
        <v>0</v>
      </c>
      <c r="L174">
        <v>0</v>
      </c>
      <c r="M174">
        <v>0</v>
      </c>
      <c r="N174">
        <v>0</v>
      </c>
      <c r="O174" s="20"/>
      <c r="P174" s="20"/>
      <c r="Q174" s="438"/>
      <c r="R174" s="20"/>
      <c r="S174" s="20"/>
      <c r="T174" s="20"/>
      <c r="U174" s="20"/>
    </row>
    <row r="175" spans="1:53" ht="15" x14ac:dyDescent="0.25">
      <c r="A175" s="1"/>
      <c r="B175" s="2"/>
      <c r="C175" s="1" t="s">
        <v>9</v>
      </c>
      <c r="D175">
        <v>0</v>
      </c>
      <c r="E175" s="360">
        <v>0</v>
      </c>
      <c r="F175">
        <v>0</v>
      </c>
      <c r="G175">
        <v>0</v>
      </c>
      <c r="H175">
        <v>0</v>
      </c>
      <c r="J175">
        <v>0</v>
      </c>
      <c r="K175" s="14">
        <v>0</v>
      </c>
      <c r="L175">
        <v>0</v>
      </c>
      <c r="M175">
        <v>0</v>
      </c>
      <c r="N175">
        <v>0</v>
      </c>
      <c r="O175" s="20"/>
      <c r="P175" s="20"/>
      <c r="Q175" s="438"/>
      <c r="R175" s="20"/>
      <c r="S175" s="20"/>
      <c r="T175" s="20"/>
      <c r="U175" s="20"/>
    </row>
    <row r="176" spans="1:53" ht="15" x14ac:dyDescent="0.25">
      <c r="A176" s="1"/>
      <c r="B176" s="2"/>
      <c r="C176" s="1" t="s">
        <v>10</v>
      </c>
      <c r="D176">
        <v>0</v>
      </c>
      <c r="E176" s="360">
        <v>0</v>
      </c>
      <c r="F176">
        <v>0</v>
      </c>
      <c r="G176">
        <v>0</v>
      </c>
      <c r="H176">
        <v>0</v>
      </c>
      <c r="J176">
        <v>0</v>
      </c>
      <c r="K176" s="14">
        <v>0</v>
      </c>
      <c r="L176">
        <v>0</v>
      </c>
      <c r="M176">
        <v>0</v>
      </c>
      <c r="N176">
        <v>0</v>
      </c>
      <c r="O176" s="20"/>
      <c r="P176" s="20"/>
      <c r="Q176" s="438"/>
      <c r="R176" s="20"/>
      <c r="S176" s="20"/>
      <c r="T176" s="20"/>
      <c r="U176" s="20"/>
    </row>
    <row r="177" spans="1:53" ht="15" x14ac:dyDescent="0.25">
      <c r="A177" s="1"/>
      <c r="B177" s="2"/>
      <c r="C177" s="1" t="s">
        <v>11</v>
      </c>
      <c r="D177">
        <v>0</v>
      </c>
      <c r="E177" s="360">
        <v>1.3947290000000001</v>
      </c>
      <c r="F177">
        <v>0</v>
      </c>
      <c r="G177">
        <v>0</v>
      </c>
      <c r="H177">
        <v>0</v>
      </c>
      <c r="J177">
        <v>0</v>
      </c>
      <c r="K177" s="14">
        <v>1.3220211001474524E-6</v>
      </c>
      <c r="L177">
        <v>0</v>
      </c>
      <c r="M177">
        <v>0</v>
      </c>
      <c r="N177">
        <v>0</v>
      </c>
      <c r="O177" s="20"/>
      <c r="P177" s="20"/>
      <c r="Q177" s="438">
        <v>0.90000000000000013</v>
      </c>
      <c r="R177" s="20"/>
      <c r="S177" s="20"/>
      <c r="T177" s="20"/>
      <c r="U177" s="20"/>
    </row>
    <row r="178" spans="1:53" ht="15" x14ac:dyDescent="0.25">
      <c r="A178" s="1"/>
      <c r="B178" s="2"/>
      <c r="C178" s="1" t="s">
        <v>12</v>
      </c>
      <c r="D178">
        <v>0</v>
      </c>
      <c r="E178" s="360">
        <v>0</v>
      </c>
      <c r="F178">
        <v>0</v>
      </c>
      <c r="G178">
        <v>0</v>
      </c>
      <c r="H178">
        <v>0</v>
      </c>
      <c r="J178">
        <v>0</v>
      </c>
      <c r="K178" s="14">
        <v>0</v>
      </c>
      <c r="L178">
        <v>0</v>
      </c>
      <c r="M178">
        <v>0</v>
      </c>
      <c r="N178">
        <v>0</v>
      </c>
      <c r="O178" s="20"/>
      <c r="P178" s="20"/>
      <c r="Q178" s="438"/>
      <c r="R178" s="20"/>
      <c r="S178" s="20"/>
      <c r="T178" s="20"/>
      <c r="U178" s="20"/>
    </row>
    <row r="179" spans="1:53" ht="15" x14ac:dyDescent="0.25">
      <c r="A179" s="1"/>
      <c r="B179" s="2"/>
      <c r="C179" s="1" t="s">
        <v>13</v>
      </c>
      <c r="D179">
        <v>0</v>
      </c>
      <c r="E179" s="360">
        <v>99.678190000000001</v>
      </c>
      <c r="F179">
        <v>0</v>
      </c>
      <c r="G179">
        <v>0</v>
      </c>
      <c r="H179">
        <v>0</v>
      </c>
      <c r="J179">
        <v>0</v>
      </c>
      <c r="K179" s="14">
        <v>8.7469220872549158E-5</v>
      </c>
      <c r="L179">
        <v>0</v>
      </c>
      <c r="M179">
        <v>0</v>
      </c>
      <c r="N179">
        <v>0</v>
      </c>
      <c r="O179" s="20"/>
      <c r="P179" s="20"/>
      <c r="Q179" s="438">
        <v>0.90000000000000013</v>
      </c>
      <c r="R179" s="20"/>
      <c r="S179" s="20"/>
      <c r="T179" s="20"/>
      <c r="U179" s="20"/>
    </row>
    <row r="180" spans="1:53" ht="15" x14ac:dyDescent="0.25">
      <c r="A180" s="7"/>
      <c r="B180" s="8" t="s">
        <v>14</v>
      </c>
      <c r="C180" s="7"/>
      <c r="D180" s="357">
        <f t="shared" ref="D180:H180" si="252">SUM(D174:D179)</f>
        <v>0</v>
      </c>
      <c r="E180" s="363">
        <f>SUM(E174:E179)</f>
        <v>101.072919</v>
      </c>
      <c r="F180" s="357">
        <f t="shared" si="252"/>
        <v>0</v>
      </c>
      <c r="G180" s="357">
        <f t="shared" si="252"/>
        <v>0</v>
      </c>
      <c r="H180" s="357">
        <f t="shared" si="252"/>
        <v>0</v>
      </c>
      <c r="J180">
        <v>0</v>
      </c>
      <c r="K180">
        <v>0</v>
      </c>
      <c r="L180">
        <v>0</v>
      </c>
      <c r="M180">
        <v>0</v>
      </c>
      <c r="N180">
        <v>0</v>
      </c>
      <c r="Q180" s="438">
        <v>0.9</v>
      </c>
      <c r="BA180" s="319">
        <f>(E180*10000*Q180*AU$10)</f>
        <v>1124971.9103456999</v>
      </c>
    </row>
    <row r="181" spans="1:53" ht="15" x14ac:dyDescent="0.25">
      <c r="A181" s="5"/>
      <c r="B181" s="9" t="s">
        <v>15</v>
      </c>
      <c r="C181" s="5"/>
      <c r="E181" s="363">
        <f>SUM(E180)</f>
        <v>101.072919</v>
      </c>
      <c r="H181" s="358">
        <f>SUM(D180:H180)</f>
        <v>101.072919</v>
      </c>
      <c r="N181">
        <v>0</v>
      </c>
    </row>
    <row r="182" spans="1:53" s="79" customFormat="1" ht="15" x14ac:dyDescent="0.25">
      <c r="A182" s="199"/>
      <c r="B182" s="198" t="s">
        <v>661</v>
      </c>
      <c r="C182" s="199"/>
      <c r="Q182" s="419"/>
    </row>
    <row r="183" spans="1:53" x14ac:dyDescent="0.2">
      <c r="E183" s="14">
        <f>SUM(E180,E171,E162,E153,E144,E135,E126,E117,E108,E99,E90,E81,E72,E63,E54,E45,E36,E27,E18,)</f>
        <v>2788.5663690000001</v>
      </c>
    </row>
  </sheetData>
  <pageMargins left="0.75" right="0.75" top="1" bottom="1" header="0.5" footer="0.5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BD193"/>
  <sheetViews>
    <sheetView defaultGridColor="0" colorId="11" zoomScale="75" workbookViewId="0">
      <pane xSplit="3" ySplit="11" topLeftCell="D48" activePane="bottomRight" state="frozen"/>
      <selection pane="topRight" activeCell="D1" sqref="D1"/>
      <selection pane="bottomLeft" activeCell="A14" sqref="A14"/>
      <selection pane="bottomRight" activeCell="J130" sqref="J130"/>
    </sheetView>
  </sheetViews>
  <sheetFormatPr defaultRowHeight="12.75" x14ac:dyDescent="0.2"/>
  <cols>
    <col min="2" max="2" width="26.42578125" bestFit="1" customWidth="1"/>
    <col min="4" max="4" width="16.7109375" style="80" customWidth="1"/>
    <col min="6" max="6" width="15.5703125" style="80" customWidth="1"/>
    <col min="8" max="8" width="12" bestFit="1" customWidth="1"/>
    <col min="10" max="10" width="15.7109375" style="108" bestFit="1" customWidth="1"/>
    <col min="11" max="12" width="12" bestFit="1" customWidth="1"/>
    <col min="13" max="14" width="12" customWidth="1"/>
    <col min="15" max="15" width="17.85546875" bestFit="1" customWidth="1"/>
    <col min="16" max="19" width="12" customWidth="1"/>
    <col min="21" max="21" width="11.5703125" customWidth="1"/>
    <col min="22" max="22" width="10.7109375" customWidth="1"/>
    <col min="23" max="23" width="11.42578125" customWidth="1"/>
    <col min="24" max="24" width="14.42578125" bestFit="1" customWidth="1"/>
    <col min="25" max="25" width="11.42578125" customWidth="1"/>
    <col min="26" max="26" width="13.42578125" customWidth="1"/>
    <col min="27" max="27" width="11.7109375" customWidth="1"/>
    <col min="28" max="30" width="10.85546875" customWidth="1"/>
    <col min="31" max="31" width="10.85546875" style="186" customWidth="1"/>
    <col min="53" max="53" width="24.5703125" customWidth="1"/>
    <col min="55" max="55" width="33.28515625" customWidth="1"/>
    <col min="56" max="56" width="43.42578125" bestFit="1" customWidth="1"/>
  </cols>
  <sheetData>
    <row r="1" spans="1:56" ht="15" x14ac:dyDescent="0.25">
      <c r="A1" s="15" t="s">
        <v>32</v>
      </c>
      <c r="B1" s="16"/>
      <c r="X1" s="204" t="s">
        <v>737</v>
      </c>
      <c r="Y1" s="204">
        <f>AVERAGE(AF6:AO6)</f>
        <v>1.1922451148832665</v>
      </c>
    </row>
    <row r="2" spans="1:56" ht="26.25" x14ac:dyDescent="0.25">
      <c r="A2" s="15"/>
      <c r="B2" s="16"/>
      <c r="U2" s="99" t="s">
        <v>650</v>
      </c>
      <c r="V2" s="26" t="s">
        <v>650</v>
      </c>
      <c r="W2" s="26"/>
      <c r="X2" s="99" t="s">
        <v>650</v>
      </c>
      <c r="Y2" s="99"/>
      <c r="Z2" s="28" t="s">
        <v>650</v>
      </c>
      <c r="AA2" s="124" t="s">
        <v>650</v>
      </c>
      <c r="AB2" s="124"/>
      <c r="AC2" s="28" t="s">
        <v>650</v>
      </c>
      <c r="AD2" s="28"/>
      <c r="AE2" s="187" t="s">
        <v>651</v>
      </c>
      <c r="BA2" s="219" t="s">
        <v>707</v>
      </c>
      <c r="BB2" s="220" t="s">
        <v>707</v>
      </c>
      <c r="BC2" s="111"/>
      <c r="BD2" s="25" t="s">
        <v>707</v>
      </c>
    </row>
    <row r="3" spans="1:56" ht="90" x14ac:dyDescent="0.25">
      <c r="B3" s="16"/>
      <c r="D3" s="177" t="s">
        <v>33</v>
      </c>
      <c r="F3" s="175" t="s">
        <v>34</v>
      </c>
      <c r="U3" s="99" t="s">
        <v>534</v>
      </c>
      <c r="V3" s="26" t="s">
        <v>535</v>
      </c>
      <c r="W3" s="125"/>
      <c r="X3" s="99" t="s">
        <v>738</v>
      </c>
      <c r="Y3" s="100"/>
      <c r="Z3" s="28" t="s">
        <v>536</v>
      </c>
      <c r="AA3" s="124" t="s">
        <v>537</v>
      </c>
      <c r="AB3" s="131"/>
      <c r="AC3" s="28" t="s">
        <v>739</v>
      </c>
      <c r="AD3" s="29"/>
      <c r="AE3" s="192" t="s">
        <v>651</v>
      </c>
      <c r="AF3" s="26" t="s">
        <v>653</v>
      </c>
      <c r="AG3" s="141"/>
      <c r="AH3" s="141"/>
      <c r="AI3" s="141"/>
      <c r="AJ3" s="141"/>
      <c r="AK3" s="141"/>
      <c r="AL3" s="141"/>
      <c r="AM3" s="141"/>
      <c r="AN3" s="141"/>
      <c r="AO3" s="141"/>
      <c r="AP3" s="124" t="s">
        <v>654</v>
      </c>
      <c r="AQ3" s="34"/>
      <c r="AR3" s="34"/>
      <c r="AS3" s="34"/>
      <c r="AT3" s="34"/>
      <c r="AU3" s="34"/>
      <c r="AV3" s="34"/>
      <c r="AW3" s="34"/>
      <c r="AX3" s="34"/>
      <c r="AY3" s="34"/>
      <c r="BA3" s="25" t="s">
        <v>532</v>
      </c>
      <c r="BB3" s="111" t="s">
        <v>533</v>
      </c>
      <c r="BC3" s="112"/>
      <c r="BD3" s="25" t="s">
        <v>653</v>
      </c>
    </row>
    <row r="4" spans="1:56" ht="15.75" x14ac:dyDescent="0.25">
      <c r="D4" s="178"/>
      <c r="F4" s="176"/>
      <c r="U4" s="101" t="s">
        <v>40</v>
      </c>
      <c r="V4" s="27" t="s">
        <v>40</v>
      </c>
      <c r="W4" s="126"/>
      <c r="X4" s="101" t="s">
        <v>40</v>
      </c>
      <c r="Y4" s="102"/>
      <c r="Z4" s="30" t="s">
        <v>40</v>
      </c>
      <c r="AA4" s="132" t="s">
        <v>40</v>
      </c>
      <c r="AB4" s="133"/>
      <c r="AC4" s="30" t="s">
        <v>40</v>
      </c>
      <c r="AD4" s="31"/>
      <c r="AE4" s="188"/>
      <c r="AF4" s="142">
        <v>1991</v>
      </c>
      <c r="AG4" s="142">
        <v>1992</v>
      </c>
      <c r="AH4" s="142">
        <v>1993</v>
      </c>
      <c r="AI4" s="142">
        <v>1994</v>
      </c>
      <c r="AJ4" s="142">
        <v>1995</v>
      </c>
      <c r="AK4" s="142">
        <v>1996</v>
      </c>
      <c r="AL4" s="142">
        <v>1997</v>
      </c>
      <c r="AM4" s="142">
        <v>1998</v>
      </c>
      <c r="AN4" s="142">
        <v>1999</v>
      </c>
      <c r="AO4" s="142">
        <v>2000</v>
      </c>
      <c r="AP4" s="35">
        <v>1991</v>
      </c>
      <c r="AQ4" s="35">
        <v>1992</v>
      </c>
      <c r="AR4" s="35">
        <v>1993</v>
      </c>
      <c r="AS4" s="35">
        <v>1994</v>
      </c>
      <c r="AT4" s="35">
        <v>1995</v>
      </c>
      <c r="AU4" s="35">
        <v>1996</v>
      </c>
      <c r="AV4" s="35">
        <v>1997</v>
      </c>
      <c r="AW4" s="35">
        <v>1998</v>
      </c>
      <c r="AX4" s="35">
        <v>1999</v>
      </c>
      <c r="AY4" s="35">
        <v>2000</v>
      </c>
      <c r="BA4" s="23" t="s">
        <v>40</v>
      </c>
      <c r="BB4" s="113" t="s">
        <v>40</v>
      </c>
      <c r="BC4" s="114"/>
      <c r="BD4" s="221" t="s">
        <v>710</v>
      </c>
    </row>
    <row r="5" spans="1:56" ht="15.75" x14ac:dyDescent="0.25">
      <c r="A5" s="1"/>
      <c r="B5" s="2"/>
      <c r="C5" s="3"/>
      <c r="D5" s="83" t="s">
        <v>524</v>
      </c>
      <c r="F5" s="90" t="s">
        <v>524</v>
      </c>
      <c r="U5" s="103" t="s">
        <v>524</v>
      </c>
      <c r="V5" s="93" t="s">
        <v>524</v>
      </c>
      <c r="W5" s="127"/>
      <c r="X5" s="103" t="s">
        <v>524</v>
      </c>
      <c r="Y5" s="104"/>
      <c r="Z5" s="90" t="s">
        <v>524</v>
      </c>
      <c r="AA5" s="134" t="s">
        <v>524</v>
      </c>
      <c r="AB5" s="135"/>
      <c r="AC5" s="90" t="s">
        <v>524</v>
      </c>
      <c r="AD5" s="37"/>
      <c r="AE5" s="189"/>
      <c r="AF5" s="143" t="s">
        <v>525</v>
      </c>
      <c r="AG5" s="141"/>
      <c r="AH5" s="141"/>
      <c r="AI5" s="141"/>
      <c r="AJ5" s="141"/>
      <c r="AK5" s="141"/>
      <c r="AL5" s="141"/>
      <c r="AM5" s="141"/>
      <c r="AN5" s="141"/>
      <c r="AO5" s="141"/>
      <c r="AP5" s="33" t="s">
        <v>525</v>
      </c>
      <c r="AQ5" s="34"/>
      <c r="AR5" s="34"/>
      <c r="AS5" s="34"/>
      <c r="AT5" s="34"/>
      <c r="AU5" s="34"/>
      <c r="AV5" s="34"/>
      <c r="AW5" s="34"/>
      <c r="AX5" s="34"/>
      <c r="AY5" s="34"/>
      <c r="BA5" s="96" t="s">
        <v>524</v>
      </c>
      <c r="BB5" s="115" t="s">
        <v>524</v>
      </c>
      <c r="BC5" s="116"/>
      <c r="BD5" s="221" t="s">
        <v>41</v>
      </c>
    </row>
    <row r="6" spans="1:56" ht="39" x14ac:dyDescent="0.25">
      <c r="A6" s="1"/>
      <c r="B6" s="2" t="s">
        <v>0</v>
      </c>
      <c r="C6" s="3"/>
      <c r="D6" s="84">
        <v>86</v>
      </c>
      <c r="F6" s="72">
        <v>86</v>
      </c>
      <c r="H6" s="17" t="s">
        <v>35</v>
      </c>
      <c r="I6" s="18"/>
      <c r="J6" s="146"/>
      <c r="K6" s="22" t="s">
        <v>38</v>
      </c>
      <c r="L6" s="22" t="s">
        <v>39</v>
      </c>
      <c r="M6" s="196" t="s">
        <v>659</v>
      </c>
      <c r="N6" s="196" t="s">
        <v>660</v>
      </c>
      <c r="O6" s="211" t="s">
        <v>707</v>
      </c>
      <c r="P6" s="212"/>
      <c r="Q6" s="212"/>
      <c r="R6" s="212"/>
      <c r="S6" s="212"/>
      <c r="U6" s="105">
        <v>86</v>
      </c>
      <c r="V6" s="78">
        <v>86</v>
      </c>
      <c r="W6" s="128" t="s">
        <v>42</v>
      </c>
      <c r="X6" s="105">
        <v>86</v>
      </c>
      <c r="Y6" s="106" t="s">
        <v>42</v>
      </c>
      <c r="Z6" s="72">
        <v>86</v>
      </c>
      <c r="AA6" s="136">
        <v>86</v>
      </c>
      <c r="AB6" s="137" t="s">
        <v>42</v>
      </c>
      <c r="AC6" s="72">
        <v>86</v>
      </c>
      <c r="AD6" s="32" t="s">
        <v>42</v>
      </c>
      <c r="AE6" s="190"/>
      <c r="AF6" s="144">
        <v>0.96019146253263121</v>
      </c>
      <c r="AG6" s="144">
        <v>1.3283308614162939</v>
      </c>
      <c r="AH6" s="144">
        <v>1.2419030243323705</v>
      </c>
      <c r="AI6" s="144">
        <v>1.7342859466271885</v>
      </c>
      <c r="AJ6" s="144">
        <v>1.4311818539241801</v>
      </c>
      <c r="AK6" s="144">
        <v>1.064006</v>
      </c>
      <c r="AL6" s="144">
        <v>1.2583159999999998</v>
      </c>
      <c r="AM6" s="144">
        <v>1.1066779999999998</v>
      </c>
      <c r="AN6" s="144">
        <v>1.030986</v>
      </c>
      <c r="AO6" s="144">
        <v>0.76657200000000003</v>
      </c>
      <c r="AP6" s="36">
        <v>0.96019146253263121</v>
      </c>
      <c r="AQ6" s="36">
        <v>1.3283308614162939</v>
      </c>
      <c r="AR6" s="36">
        <v>1.2419030243323705</v>
      </c>
      <c r="AS6" s="36">
        <v>1.7342859466271885</v>
      </c>
      <c r="AT6" s="36">
        <v>1.4311818539241801</v>
      </c>
      <c r="AU6" s="36">
        <v>1.064006</v>
      </c>
      <c r="AV6" s="36">
        <v>1.2583159999999998</v>
      </c>
      <c r="AW6" s="36">
        <v>1.1066779999999998</v>
      </c>
      <c r="AX6" s="36">
        <v>1.030986</v>
      </c>
      <c r="AY6" s="36">
        <v>0.76657200000000003</v>
      </c>
      <c r="BA6" s="77">
        <v>86</v>
      </c>
      <c r="BB6" s="117">
        <v>86</v>
      </c>
      <c r="BC6" s="118" t="s">
        <v>42</v>
      </c>
      <c r="BD6" s="201">
        <f>AVERAGE(AF6:AO6)</f>
        <v>1.1922451148832665</v>
      </c>
    </row>
    <row r="7" spans="1:56" ht="39" x14ac:dyDescent="0.25">
      <c r="A7" s="1"/>
      <c r="B7" s="2" t="s">
        <v>1</v>
      </c>
      <c r="C7" s="2"/>
      <c r="D7" s="85">
        <v>33</v>
      </c>
      <c r="F7" s="91">
        <v>33</v>
      </c>
      <c r="H7" s="21" t="s">
        <v>36</v>
      </c>
      <c r="I7" s="21" t="s">
        <v>37</v>
      </c>
      <c r="J7" s="148" t="s">
        <v>538</v>
      </c>
      <c r="K7" s="22"/>
      <c r="L7" s="22"/>
      <c r="M7" s="22"/>
      <c r="N7" s="22"/>
      <c r="O7" s="213" t="s">
        <v>708</v>
      </c>
      <c r="P7" s="214" t="s">
        <v>38</v>
      </c>
      <c r="Q7" s="214" t="s">
        <v>39</v>
      </c>
      <c r="R7" s="215" t="s">
        <v>659</v>
      </c>
      <c r="S7" s="215" t="s">
        <v>660</v>
      </c>
      <c r="U7" s="107">
        <v>33</v>
      </c>
      <c r="V7" s="94">
        <v>33</v>
      </c>
      <c r="W7" s="129"/>
      <c r="X7" s="107">
        <v>33</v>
      </c>
      <c r="Y7" s="108"/>
      <c r="Z7" s="91">
        <v>33</v>
      </c>
      <c r="AA7" s="138">
        <v>33</v>
      </c>
      <c r="AB7" s="139"/>
      <c r="AC7" s="91">
        <v>33</v>
      </c>
      <c r="AD7" s="73"/>
      <c r="BA7" s="97">
        <v>33</v>
      </c>
      <c r="BB7" s="119">
        <v>33</v>
      </c>
      <c r="BC7" s="120"/>
    </row>
    <row r="8" spans="1:56" ht="15.75" x14ac:dyDescent="0.25">
      <c r="A8" s="1"/>
      <c r="B8" s="2" t="s">
        <v>2</v>
      </c>
      <c r="C8" s="2"/>
      <c r="D8" s="85">
        <v>6.0513536026726937</v>
      </c>
      <c r="F8" s="91"/>
      <c r="H8" s="21"/>
      <c r="I8" s="21"/>
      <c r="J8" s="145"/>
      <c r="K8" s="22"/>
      <c r="L8" s="22"/>
      <c r="M8" s="22"/>
      <c r="N8" s="22"/>
      <c r="O8" s="22"/>
      <c r="P8" s="22"/>
      <c r="Q8" s="22"/>
      <c r="R8" s="22"/>
      <c r="S8" s="22"/>
      <c r="U8" s="107">
        <v>6.0513536026726937</v>
      </c>
      <c r="V8" s="94">
        <v>6.0513536026726937</v>
      </c>
      <c r="W8" s="129"/>
      <c r="X8" s="107">
        <v>6.0513536026726937</v>
      </c>
      <c r="Y8" s="108"/>
      <c r="Z8" s="91">
        <v>6.0513536026726937</v>
      </c>
      <c r="AA8" s="138">
        <v>6.0513536026726937</v>
      </c>
      <c r="AB8" s="139"/>
      <c r="AC8" s="91">
        <v>6.0513536026726937</v>
      </c>
      <c r="AD8" s="73"/>
      <c r="BA8" s="97">
        <v>6.0513536026726937</v>
      </c>
      <c r="BB8" s="119">
        <v>6.0513536026726937</v>
      </c>
      <c r="BC8" s="120"/>
    </row>
    <row r="9" spans="1:56" ht="15.75" x14ac:dyDescent="0.25">
      <c r="A9" s="1"/>
      <c r="B9" s="2" t="s">
        <v>3</v>
      </c>
      <c r="C9" s="2"/>
      <c r="D9" s="86">
        <v>0.1652522833169642</v>
      </c>
      <c r="F9" s="91"/>
      <c r="H9" s="21"/>
      <c r="I9" s="21"/>
      <c r="J9" s="145"/>
      <c r="K9" s="20"/>
      <c r="L9" s="20"/>
      <c r="M9" s="20"/>
      <c r="N9" s="20"/>
      <c r="O9" s="20"/>
      <c r="P9" s="20"/>
      <c r="Q9" s="20"/>
      <c r="R9" s="20"/>
      <c r="S9" s="20"/>
      <c r="U9" s="109">
        <v>0.1652522833169642</v>
      </c>
      <c r="V9" s="95">
        <v>0.1652522833169642</v>
      </c>
      <c r="W9" s="129"/>
      <c r="X9" s="109">
        <v>0.1652522833169642</v>
      </c>
      <c r="Y9" s="108"/>
      <c r="Z9" s="92">
        <v>0.1652522833169642</v>
      </c>
      <c r="AA9" s="140">
        <v>0.1652522833169642</v>
      </c>
      <c r="AB9" s="139"/>
      <c r="AC9" s="92">
        <v>0.1652522833169642</v>
      </c>
      <c r="AD9" s="73"/>
      <c r="BA9" s="98">
        <v>0.1652522833169642</v>
      </c>
      <c r="BB9" s="121">
        <v>0.1652522833169642</v>
      </c>
      <c r="BC9" s="120"/>
    </row>
    <row r="10" spans="1:56" ht="15.75" x14ac:dyDescent="0.25">
      <c r="A10" s="1"/>
      <c r="B10" s="2" t="s">
        <v>4</v>
      </c>
      <c r="C10" s="2"/>
      <c r="D10" s="85">
        <v>551.77112031249987</v>
      </c>
      <c r="F10" s="174"/>
      <c r="H10" s="20"/>
      <c r="I10" s="20"/>
      <c r="J10" s="145"/>
      <c r="K10" s="20"/>
      <c r="L10" s="20"/>
      <c r="M10" s="20"/>
      <c r="N10" s="20"/>
      <c r="O10" s="20"/>
      <c r="P10" s="20"/>
      <c r="Q10" s="20"/>
      <c r="R10" s="20"/>
      <c r="S10" s="20"/>
      <c r="U10" s="107">
        <v>551.77112031249987</v>
      </c>
      <c r="V10" s="94">
        <v>551.77112031249987</v>
      </c>
      <c r="W10" s="129"/>
      <c r="X10" s="107">
        <v>551.77112031249987</v>
      </c>
      <c r="Y10" s="108"/>
      <c r="Z10" s="91">
        <v>551.77112031249987</v>
      </c>
      <c r="AA10" s="138">
        <v>551.77112031249987</v>
      </c>
      <c r="AB10" s="139"/>
      <c r="AC10" s="91">
        <v>551.77112031249987</v>
      </c>
      <c r="AD10" s="73"/>
      <c r="BA10" s="97">
        <v>551.77112031249987</v>
      </c>
      <c r="BB10" s="119">
        <v>551.77112031249987</v>
      </c>
      <c r="BC10" s="120"/>
    </row>
    <row r="11" spans="1:56" ht="27" x14ac:dyDescent="0.25">
      <c r="A11" s="1"/>
      <c r="B11" s="2" t="s">
        <v>5</v>
      </c>
      <c r="C11" s="4" t="s">
        <v>6</v>
      </c>
      <c r="D11" s="85"/>
      <c r="F11" s="174"/>
      <c r="H11" s="20"/>
      <c r="I11" s="20"/>
      <c r="J11" s="147"/>
      <c r="K11" s="20"/>
      <c r="L11" s="20"/>
      <c r="M11" s="20"/>
      <c r="N11" s="20"/>
      <c r="O11" s="20"/>
      <c r="P11" s="20"/>
      <c r="Q11" s="20"/>
      <c r="R11" s="20"/>
      <c r="S11" s="20"/>
      <c r="U11" s="107"/>
      <c r="V11" s="130"/>
      <c r="W11" s="129"/>
      <c r="X11" s="110"/>
      <c r="Y11" s="108"/>
      <c r="Z11" s="91"/>
      <c r="AA11" s="138"/>
      <c r="AB11" s="139"/>
      <c r="AC11" s="91"/>
      <c r="AD11" s="73"/>
      <c r="BA11" s="97"/>
      <c r="BB11" s="218"/>
      <c r="BC11" s="120"/>
    </row>
    <row r="12" spans="1:56" ht="15" x14ac:dyDescent="0.25">
      <c r="A12" s="1">
        <v>1</v>
      </c>
      <c r="B12" s="2" t="s">
        <v>7</v>
      </c>
      <c r="C12" s="3" t="s">
        <v>8</v>
      </c>
      <c r="D12" s="14">
        <v>444.834</v>
      </c>
      <c r="F12" s="89">
        <v>0.68700000000001182</v>
      </c>
      <c r="H12" s="20">
        <v>0.36775204520040022</v>
      </c>
      <c r="I12" s="20">
        <v>0.57913019816794442</v>
      </c>
      <c r="J12" s="147">
        <v>5.0553467481858454E-2</v>
      </c>
      <c r="K12" s="197">
        <v>0.17699999999999999</v>
      </c>
      <c r="L12" s="197">
        <v>1.77</v>
      </c>
      <c r="M12" s="197">
        <v>0.50078889239507718</v>
      </c>
      <c r="N12" s="197">
        <v>0.75268470790377973</v>
      </c>
      <c r="O12" s="216">
        <v>1.4787297691620922E-2</v>
      </c>
      <c r="P12" s="217">
        <v>5.6499999999999995E-2</v>
      </c>
      <c r="Q12" s="217">
        <v>1.25</v>
      </c>
      <c r="R12" s="217">
        <v>0.50078889239507718</v>
      </c>
      <c r="S12" s="217">
        <v>0.75268470790377973</v>
      </c>
      <c r="U12" s="20">
        <f t="shared" ref="U12:U17" si="0">IF(F12&gt;0,((D12-F12)*$J12*$K12*10)+(F12*$H$12*$J12*$K12*10),(D12*$J12*$K12*10))</f>
        <v>39.764719172962664</v>
      </c>
      <c r="V12" s="20">
        <f t="shared" ref="V12:V17" si="1">U12*(EXP(1.01-0.34*LN(V$10))*(1-$M12)+(1*$M12))</f>
        <v>26.284934067713014</v>
      </c>
      <c r="W12" s="20">
        <f t="shared" ref="W12:Y17" si="2">SUM(V12:V12)</f>
        <v>26.284934067713014</v>
      </c>
      <c r="X12" s="20">
        <f t="shared" ref="X12:X17" si="3">V12*$Y$1</f>
        <v>31.338084237259586</v>
      </c>
      <c r="Y12" s="20">
        <f t="shared" si="2"/>
        <v>31.338084237259586</v>
      </c>
      <c r="Z12" s="20">
        <f t="shared" ref="Z12:Z17" si="4">IF(F12&gt;0,((D12-F12)*$J12*$L12*10)+(F12*$I$12*$J12*$L12)*10,(D12*$J12*$L12*10))</f>
        <v>397.777131187799</v>
      </c>
      <c r="AA12" s="20">
        <f t="shared" ref="AA12:AA17" si="5">Z12*(EXP(1.01-0.34*LN(AA$10))*(1-$N12)+(1*$N12))</f>
        <v>330.97480419506144</v>
      </c>
      <c r="AB12" s="20">
        <f t="shared" ref="AB12:AB17" si="6">SUM(AA12:AA12)</f>
        <v>330.97480419506144</v>
      </c>
      <c r="AC12" s="20">
        <f t="shared" ref="AC12:AC17" si="7">AA12*$Y$1</f>
        <v>394.60309345100762</v>
      </c>
      <c r="AD12" s="20">
        <f t="shared" ref="AD12:AD17" si="8">SUM(AC12:AC12)</f>
        <v>394.60309345100762</v>
      </c>
      <c r="AE12" s="191"/>
      <c r="AF12" s="20">
        <f>$W12*AF$6</f>
        <v>25.238569285051142</v>
      </c>
      <c r="AG12" s="20">
        <f t="shared" ref="AG12:AO12" si="9">$W12*AG$6</f>
        <v>34.915089112435716</v>
      </c>
      <c r="AH12" s="20">
        <f t="shared" si="9"/>
        <v>32.64333911306975</v>
      </c>
      <c r="AI12" s="20">
        <f t="shared" si="9"/>
        <v>45.5855917616569</v>
      </c>
      <c r="AJ12" s="20">
        <f t="shared" si="9"/>
        <v>37.618520669304353</v>
      </c>
      <c r="AK12" s="20">
        <f t="shared" si="9"/>
        <v>27.967327557651053</v>
      </c>
      <c r="AL12" s="20">
        <f t="shared" si="9"/>
        <v>33.07475309634836</v>
      </c>
      <c r="AM12" s="20">
        <f t="shared" si="9"/>
        <v>29.088958264188499</v>
      </c>
      <c r="AN12" s="20">
        <f t="shared" si="9"/>
        <v>27.099399034735168</v>
      </c>
      <c r="AO12" s="20">
        <f t="shared" si="9"/>
        <v>20.1492944781549</v>
      </c>
      <c r="AP12" s="20">
        <f>$AB12*AP$6</f>
        <v>317.7991813015073</v>
      </c>
      <c r="AQ12" s="20">
        <f t="shared" ref="AQ12:AY12" si="10">$AB12*AQ$6</f>
        <v>439.64404676351518</v>
      </c>
      <c r="AR12" s="20">
        <f t="shared" si="10"/>
        <v>411.03861030766097</v>
      </c>
      <c r="AS12" s="20">
        <f t="shared" si="10"/>
        <v>574.00495160318053</v>
      </c>
      <c r="AT12" s="20">
        <f t="shared" si="10"/>
        <v>473.68513387008051</v>
      </c>
      <c r="AU12" s="20">
        <f t="shared" si="10"/>
        <v>352.15917751237055</v>
      </c>
      <c r="AV12" s="20">
        <f t="shared" si="10"/>
        <v>416.47089171551283</v>
      </c>
      <c r="AW12" s="20">
        <f t="shared" si="10"/>
        <v>366.28253435698213</v>
      </c>
      <c r="AX12" s="20">
        <f t="shared" si="10"/>
        <v>341.2303894778496</v>
      </c>
      <c r="AY12" s="20">
        <f t="shared" si="10"/>
        <v>253.71601760141664</v>
      </c>
      <c r="BA12" s="20">
        <f t="shared" ref="BA12:BA17" si="11">D12*$O12*$P12*10</f>
        <v>3.7165094214652927</v>
      </c>
      <c r="BB12" s="20">
        <f t="shared" ref="BB12:BB17" si="12">BA12*(EXP(1.01-0.34*LN(BB$10))*(1-$R12)+(1*$R12))</f>
        <v>2.4566552244551212</v>
      </c>
      <c r="BC12" s="20">
        <f t="shared" ref="BC12:BC17" si="13">SUM(BB12:BB12)</f>
        <v>2.4566552244551212</v>
      </c>
      <c r="BD12" s="20">
        <f t="shared" ref="BD12:BD17" si="14">BC12*BD$6</f>
        <v>2.9289351903090726</v>
      </c>
    </row>
    <row r="13" spans="1:56" ht="15" x14ac:dyDescent="0.25">
      <c r="A13" s="1"/>
      <c r="B13" s="2"/>
      <c r="C13" s="1" t="s">
        <v>9</v>
      </c>
      <c r="D13" s="14">
        <v>16.209</v>
      </c>
      <c r="F13" s="89">
        <v>-30.886999999999997</v>
      </c>
      <c r="H13" s="20"/>
      <c r="I13" s="20"/>
      <c r="J13" s="147">
        <v>5.6106934963716916E-2</v>
      </c>
      <c r="K13" s="197">
        <v>0.17699999999999999</v>
      </c>
      <c r="L13" s="197">
        <v>1.77</v>
      </c>
      <c r="M13" s="197">
        <v>0.50078889239507718</v>
      </c>
      <c r="N13" s="197">
        <v>0.75268470790377973</v>
      </c>
      <c r="O13" s="216">
        <v>2.0574595383241839E-2</v>
      </c>
      <c r="P13" s="217">
        <v>5.6499999999999995E-2</v>
      </c>
      <c r="Q13" s="217">
        <v>1.25</v>
      </c>
      <c r="R13" s="217">
        <v>0.50078889239507718</v>
      </c>
      <c r="S13" s="217">
        <v>0.75268470790377973</v>
      </c>
      <c r="U13" s="20">
        <f t="shared" si="0"/>
        <v>1.6097040366235906</v>
      </c>
      <c r="V13" s="20">
        <f t="shared" si="1"/>
        <v>1.0640327745593936</v>
      </c>
      <c r="W13" s="20">
        <f t="shared" si="2"/>
        <v>1.0640327745593936</v>
      </c>
      <c r="X13" s="20">
        <f t="shared" si="3"/>
        <v>1.2685878775441251</v>
      </c>
      <c r="Y13" s="20">
        <f t="shared" si="2"/>
        <v>1.2685878775441251</v>
      </c>
      <c r="Z13" s="20">
        <f t="shared" si="4"/>
        <v>16.097040366235909</v>
      </c>
      <c r="AA13" s="20">
        <f t="shared" si="5"/>
        <v>13.393718154248548</v>
      </c>
      <c r="AB13" s="20">
        <f t="shared" si="6"/>
        <v>13.393718154248548</v>
      </c>
      <c r="AC13" s="20">
        <f t="shared" si="7"/>
        <v>15.968595039526152</v>
      </c>
      <c r="AD13" s="20">
        <f t="shared" si="8"/>
        <v>15.968595039526152</v>
      </c>
      <c r="AE13" s="191"/>
      <c r="AF13" s="20">
        <f t="shared" ref="AF13:AO17" si="15">$W13*AF$6</f>
        <v>1.0216751859868376</v>
      </c>
      <c r="AG13" s="20">
        <f t="shared" si="15"/>
        <v>1.4133875720056486</v>
      </c>
      <c r="AH13" s="20">
        <f t="shared" si="15"/>
        <v>1.3214255207140744</v>
      </c>
      <c r="AI13" s="20">
        <f t="shared" si="15"/>
        <v>1.8453370876690918</v>
      </c>
      <c r="AJ13" s="20">
        <f t="shared" si="15"/>
        <v>1.5228243989300021</v>
      </c>
      <c r="AK13" s="20">
        <f t="shared" si="15"/>
        <v>1.1321372563278422</v>
      </c>
      <c r="AL13" s="20">
        <f t="shared" si="15"/>
        <v>1.3388894647524776</v>
      </c>
      <c r="AM13" s="20">
        <f t="shared" si="15"/>
        <v>1.1775416628838404</v>
      </c>
      <c r="AN13" s="20">
        <f t="shared" si="15"/>
        <v>1.097002894111891</v>
      </c>
      <c r="AO13" s="20">
        <f t="shared" si="15"/>
        <v>0.81565773205954351</v>
      </c>
      <c r="AP13" s="20">
        <f t="shared" ref="AP13:AY17" si="16">$AB13*AP$6</f>
        <v>12.860533823277768</v>
      </c>
      <c r="AQ13" s="20">
        <f t="shared" si="16"/>
        <v>17.791289173400028</v>
      </c>
      <c r="AR13" s="20">
        <f t="shared" si="16"/>
        <v>16.633699082816648</v>
      </c>
      <c r="AS13" s="20">
        <f t="shared" si="16"/>
        <v>23.228537167998702</v>
      </c>
      <c r="AT13" s="20">
        <f t="shared" si="16"/>
        <v>19.168846378935385</v>
      </c>
      <c r="AU13" s="20">
        <f t="shared" si="16"/>
        <v>14.25099647842938</v>
      </c>
      <c r="AV13" s="20">
        <f t="shared" si="16"/>
        <v>16.853529852981413</v>
      </c>
      <c r="AW13" s="20">
        <f t="shared" si="16"/>
        <v>14.822533219507472</v>
      </c>
      <c r="AX13" s="20">
        <f t="shared" si="16"/>
        <v>13.808735904976093</v>
      </c>
      <c r="AY13" s="20">
        <f t="shared" si="16"/>
        <v>10.267249312938619</v>
      </c>
      <c r="BA13" s="20">
        <f t="shared" si="11"/>
        <v>0.18842389336033633</v>
      </c>
      <c r="BB13" s="20">
        <f t="shared" si="12"/>
        <v>0.12455034806647744</v>
      </c>
      <c r="BC13" s="20">
        <f t="shared" si="13"/>
        <v>0.12455034806647744</v>
      </c>
      <c r="BD13" s="20">
        <f t="shared" si="14"/>
        <v>0.14849454403926821</v>
      </c>
    </row>
    <row r="14" spans="1:56" ht="15" x14ac:dyDescent="0.25">
      <c r="A14" s="1"/>
      <c r="B14" s="2"/>
      <c r="C14" s="1" t="s">
        <v>10</v>
      </c>
      <c r="D14" s="14">
        <v>51.008000000000003</v>
      </c>
      <c r="F14" s="89">
        <v>-32.291999999999994</v>
      </c>
      <c r="H14" s="20"/>
      <c r="I14" s="20"/>
      <c r="J14" s="147">
        <v>6.1660402445575364E-2</v>
      </c>
      <c r="K14" s="197">
        <v>0.17699999999999999</v>
      </c>
      <c r="L14" s="197">
        <v>1.77</v>
      </c>
      <c r="M14" s="197">
        <v>0.50078889239507718</v>
      </c>
      <c r="N14" s="197">
        <v>0.75268470790377973</v>
      </c>
      <c r="O14" s="216">
        <v>2.6361893074862752E-2</v>
      </c>
      <c r="P14" s="217">
        <v>5.6499999999999995E-2</v>
      </c>
      <c r="Q14" s="217">
        <v>1.25</v>
      </c>
      <c r="R14" s="217">
        <v>0.50078889239507718</v>
      </c>
      <c r="S14" s="217">
        <v>0.75268470790377973</v>
      </c>
      <c r="U14" s="20">
        <f t="shared" si="0"/>
        <v>5.5669576400607177</v>
      </c>
      <c r="V14" s="20">
        <f t="shared" si="1"/>
        <v>3.679822656115721</v>
      </c>
      <c r="W14" s="20">
        <f t="shared" si="2"/>
        <v>3.679822656115721</v>
      </c>
      <c r="X14" s="20">
        <f t="shared" si="3"/>
        <v>4.3872505853907349</v>
      </c>
      <c r="Y14" s="20">
        <f t="shared" si="2"/>
        <v>4.3872505853907349</v>
      </c>
      <c r="Z14" s="20">
        <f t="shared" si="4"/>
        <v>55.669576400607177</v>
      </c>
      <c r="AA14" s="20">
        <f t="shared" si="5"/>
        <v>46.320478740931016</v>
      </c>
      <c r="AB14" s="20">
        <f t="shared" si="6"/>
        <v>46.320478740931016</v>
      </c>
      <c r="AC14" s="20">
        <f t="shared" si="7"/>
        <v>55.225364497929199</v>
      </c>
      <c r="AD14" s="20">
        <f t="shared" si="8"/>
        <v>55.225364497929199</v>
      </c>
      <c r="AE14" s="191"/>
      <c r="AF14" s="20">
        <f t="shared" si="15"/>
        <v>3.5333342980364657</v>
      </c>
      <c r="AG14" s="20">
        <f t="shared" si="15"/>
        <v>4.8880219986573898</v>
      </c>
      <c r="AH14" s="20">
        <f t="shared" si="15"/>
        <v>4.5699828856368905</v>
      </c>
      <c r="AI14" s="20">
        <f t="shared" si="15"/>
        <v>6.381864718581828</v>
      </c>
      <c r="AJ14" s="20">
        <f t="shared" si="15"/>
        <v>5.2664954110918982</v>
      </c>
      <c r="AK14" s="20">
        <f t="shared" si="15"/>
        <v>3.9153533850430637</v>
      </c>
      <c r="AL14" s="20">
        <f t="shared" si="15"/>
        <v>4.6303797253529089</v>
      </c>
      <c r="AM14" s="20">
        <f t="shared" si="15"/>
        <v>4.0723787774248335</v>
      </c>
      <c r="AN14" s="20">
        <f t="shared" si="15"/>
        <v>3.7938456409381227</v>
      </c>
      <c r="AO14" s="20">
        <f t="shared" si="15"/>
        <v>2.8208490131439405</v>
      </c>
      <c r="AP14" s="20">
        <f t="shared" si="16"/>
        <v>44.476528227466204</v>
      </c>
      <c r="AQ14" s="20">
        <f t="shared" si="16"/>
        <v>61.528921427156021</v>
      </c>
      <c r="AR14" s="20">
        <f t="shared" si="16"/>
        <v>57.525542636885504</v>
      </c>
      <c r="AS14" s="20">
        <f t="shared" si="16"/>
        <v>80.33295532144011</v>
      </c>
      <c r="AT14" s="20">
        <f t="shared" si="16"/>
        <v>66.293028639101223</v>
      </c>
      <c r="AU14" s="20">
        <f t="shared" si="16"/>
        <v>49.285267303223044</v>
      </c>
      <c r="AV14" s="20">
        <f t="shared" si="16"/>
        <v>58.285799527373342</v>
      </c>
      <c r="AW14" s="20">
        <f t="shared" si="16"/>
        <v>51.261854772056047</v>
      </c>
      <c r="AX14" s="20">
        <f t="shared" si="16"/>
        <v>47.755765095197503</v>
      </c>
      <c r="AY14" s="20">
        <f t="shared" si="16"/>
        <v>35.50798202939297</v>
      </c>
      <c r="BA14" s="20">
        <f t="shared" si="11"/>
        <v>0.75973710470886846</v>
      </c>
      <c r="BB14" s="20">
        <f t="shared" si="12"/>
        <v>0.50219491351634638</v>
      </c>
      <c r="BC14" s="20">
        <f t="shared" si="13"/>
        <v>0.50219491351634638</v>
      </c>
      <c r="BD14" s="20">
        <f t="shared" si="14"/>
        <v>0.59873943235908844</v>
      </c>
    </row>
    <row r="15" spans="1:56" ht="15" x14ac:dyDescent="0.25">
      <c r="A15" s="1"/>
      <c r="B15" s="2"/>
      <c r="C15" s="1" t="s">
        <v>11</v>
      </c>
      <c r="D15" s="14">
        <v>8.1329999999999991</v>
      </c>
      <c r="F15" s="89">
        <v>3.1819999999999995</v>
      </c>
      <c r="H15" s="20"/>
      <c r="I15" s="20"/>
      <c r="J15" s="147">
        <v>6.721386992743382E-2</v>
      </c>
      <c r="K15" s="197">
        <v>0.17699999999999999</v>
      </c>
      <c r="L15" s="197">
        <v>1.77</v>
      </c>
      <c r="M15" s="197">
        <v>0.50078889239507718</v>
      </c>
      <c r="N15" s="197">
        <v>0.75268470790377973</v>
      </c>
      <c r="O15" s="216">
        <v>3.2149190766483676E-2</v>
      </c>
      <c r="P15" s="217">
        <v>5.6499999999999995E-2</v>
      </c>
      <c r="Q15" s="217">
        <v>1.25</v>
      </c>
      <c r="R15" s="217">
        <v>0.50078889239507718</v>
      </c>
      <c r="S15" s="217">
        <v>0.75268470790377973</v>
      </c>
      <c r="U15" s="20">
        <f t="shared" si="0"/>
        <v>0.72822874120175984</v>
      </c>
      <c r="V15" s="20">
        <f t="shared" si="1"/>
        <v>0.48136752495203833</v>
      </c>
      <c r="W15" s="20">
        <f t="shared" si="2"/>
        <v>0.48136752495203833</v>
      </c>
      <c r="X15" s="20">
        <f t="shared" si="3"/>
        <v>0.57390808008751659</v>
      </c>
      <c r="Y15" s="20">
        <f t="shared" si="2"/>
        <v>0.57390808008751659</v>
      </c>
      <c r="Z15" s="20">
        <f t="shared" si="4"/>
        <v>8.0824761625835055</v>
      </c>
      <c r="AA15" s="20">
        <f t="shared" si="5"/>
        <v>6.7251125205067597</v>
      </c>
      <c r="AB15" s="20">
        <f t="shared" si="6"/>
        <v>6.7251125205067597</v>
      </c>
      <c r="AC15" s="20">
        <f t="shared" si="7"/>
        <v>8.0179825496144748</v>
      </c>
      <c r="AD15" s="20">
        <f t="shared" si="8"/>
        <v>8.0179825496144748</v>
      </c>
      <c r="AE15" s="191"/>
      <c r="AF15" s="20">
        <f t="shared" si="15"/>
        <v>0.46220498779941055</v>
      </c>
      <c r="AG15" s="20">
        <f t="shared" si="15"/>
        <v>0.63941533907737036</v>
      </c>
      <c r="AH15" s="20">
        <f t="shared" si="15"/>
        <v>0.59781178505332422</v>
      </c>
      <c r="AI15" s="20">
        <f t="shared" si="15"/>
        <v>0.83482893368703259</v>
      </c>
      <c r="AJ15" s="20">
        <f t="shared" si="15"/>
        <v>0.68892446677975228</v>
      </c>
      <c r="AK15" s="20">
        <f t="shared" si="15"/>
        <v>0.51217793475411855</v>
      </c>
      <c r="AL15" s="20">
        <f t="shared" si="15"/>
        <v>0.60571245852754896</v>
      </c>
      <c r="AM15" s="20">
        <f t="shared" si="15"/>
        <v>0.53271884977887174</v>
      </c>
      <c r="AN15" s="20">
        <f t="shared" si="15"/>
        <v>0.49628317908020214</v>
      </c>
      <c r="AO15" s="20">
        <f t="shared" si="15"/>
        <v>0.36900286633753393</v>
      </c>
      <c r="AP15" s="20">
        <f t="shared" si="16"/>
        <v>6.4573956267618957</v>
      </c>
      <c r="AQ15" s="20">
        <f t="shared" si="16"/>
        <v>8.9331745074862479</v>
      </c>
      <c r="AR15" s="20">
        <f t="shared" si="16"/>
        <v>8.3519375781928353</v>
      </c>
      <c r="AS15" s="20">
        <f t="shared" si="16"/>
        <v>11.663268133801424</v>
      </c>
      <c r="AT15" s="20">
        <f t="shared" si="16"/>
        <v>9.6248590049475791</v>
      </c>
      <c r="AU15" s="20">
        <f t="shared" si="16"/>
        <v>7.1555600724943158</v>
      </c>
      <c r="AV15" s="20">
        <f t="shared" si="16"/>
        <v>8.4623166863539829</v>
      </c>
      <c r="AW15" s="20">
        <f t="shared" si="16"/>
        <v>7.4425340739693784</v>
      </c>
      <c r="AX15" s="20">
        <f t="shared" si="16"/>
        <v>6.9334968570671816</v>
      </c>
      <c r="AY15" s="20">
        <f t="shared" si="16"/>
        <v>5.1552829550699082</v>
      </c>
      <c r="BA15" s="20">
        <f t="shared" si="11"/>
        <v>0.14773019320465358</v>
      </c>
      <c r="BB15" s="20">
        <f t="shared" si="12"/>
        <v>9.7651346946643527E-2</v>
      </c>
      <c r="BC15" s="20">
        <f t="shared" si="13"/>
        <v>9.7651346946643527E-2</v>
      </c>
      <c r="BD15" s="20">
        <f t="shared" si="14"/>
        <v>0.11642434135890672</v>
      </c>
    </row>
    <row r="16" spans="1:56" ht="15" x14ac:dyDescent="0.25">
      <c r="A16" s="5"/>
      <c r="B16" s="6"/>
      <c r="C16" s="5" t="s">
        <v>12</v>
      </c>
      <c r="D16" s="14">
        <v>1.357</v>
      </c>
      <c r="F16" s="89">
        <v>-1.0649999999999999</v>
      </c>
      <c r="H16" s="20"/>
      <c r="I16" s="20"/>
      <c r="J16" s="147">
        <v>6.7213869927433834E-2</v>
      </c>
      <c r="K16" s="197">
        <v>0.17699999999999999</v>
      </c>
      <c r="L16" s="197">
        <v>1.77</v>
      </c>
      <c r="M16" s="197">
        <v>0.50078889239507718</v>
      </c>
      <c r="N16" s="197">
        <v>0.75268470790377973</v>
      </c>
      <c r="O16" s="216">
        <v>3.2149190766483676E-2</v>
      </c>
      <c r="P16" s="217">
        <v>5.6499999999999995E-2</v>
      </c>
      <c r="Q16" s="217">
        <v>1.25</v>
      </c>
      <c r="R16" s="217">
        <v>0.50078889239507718</v>
      </c>
      <c r="S16" s="217">
        <v>0.75268470790377973</v>
      </c>
      <c r="U16" s="20">
        <f t="shared" si="0"/>
        <v>0.16144032204000405</v>
      </c>
      <c r="V16" s="20">
        <f t="shared" si="1"/>
        <v>0.10671389887689996</v>
      </c>
      <c r="W16" s="20">
        <f t="shared" si="2"/>
        <v>0.10671389887689996</v>
      </c>
      <c r="X16" s="20">
        <f t="shared" si="3"/>
        <v>0.12722912462613087</v>
      </c>
      <c r="Y16" s="20">
        <f t="shared" si="2"/>
        <v>0.12722912462613087</v>
      </c>
      <c r="Z16" s="20">
        <f t="shared" si="4"/>
        <v>1.6144032204000405</v>
      </c>
      <c r="AA16" s="20">
        <f t="shared" si="5"/>
        <v>1.3432818225829906</v>
      </c>
      <c r="AB16" s="20">
        <f t="shared" si="6"/>
        <v>1.3432818225829906</v>
      </c>
      <c r="AC16" s="20">
        <f t="shared" si="7"/>
        <v>1.6015211908860612</v>
      </c>
      <c r="AD16" s="20">
        <f t="shared" si="8"/>
        <v>1.6015211908860612</v>
      </c>
      <c r="AE16" s="191"/>
      <c r="AF16" s="20">
        <f t="shared" si="15"/>
        <v>0.10246577463516988</v>
      </c>
      <c r="AG16" s="20">
        <f t="shared" si="15"/>
        <v>0.14175136522024379</v>
      </c>
      <c r="AH16" s="20">
        <f t="shared" si="15"/>
        <v>0.13252831375352081</v>
      </c>
      <c r="AI16" s="20">
        <f t="shared" si="15"/>
        <v>0.18507241513200251</v>
      </c>
      <c r="AJ16" s="20">
        <f t="shared" si="15"/>
        <v>0.15272699563411915</v>
      </c>
      <c r="AK16" s="20">
        <f t="shared" si="15"/>
        <v>0.11354422868841482</v>
      </c>
      <c r="AL16" s="20">
        <f t="shared" si="15"/>
        <v>0.13427980637918521</v>
      </c>
      <c r="AM16" s="20">
        <f t="shared" si="15"/>
        <v>0.11809792418128988</v>
      </c>
      <c r="AN16" s="20">
        <f t="shared" si="15"/>
        <v>0.11002053574749958</v>
      </c>
      <c r="AO16" s="20">
        <f t="shared" si="15"/>
        <v>8.1803886889862953E-2</v>
      </c>
      <c r="AP16" s="20">
        <f t="shared" si="16"/>
        <v>1.2898077378194601</v>
      </c>
      <c r="AQ16" s="20">
        <f t="shared" si="16"/>
        <v>1.784322700516513</v>
      </c>
      <c r="AR16" s="20">
        <f t="shared" si="16"/>
        <v>1.6682257579965147</v>
      </c>
      <c r="AS16" s="20">
        <f t="shared" si="16"/>
        <v>2.3296347872654368</v>
      </c>
      <c r="AT16" s="20">
        <f t="shared" si="16"/>
        <v>1.922480569186976</v>
      </c>
      <c r="AU16" s="20">
        <f t="shared" si="16"/>
        <v>1.4292599189192374</v>
      </c>
      <c r="AV16" s="20">
        <f t="shared" si="16"/>
        <v>1.690273009865338</v>
      </c>
      <c r="AW16" s="20">
        <f t="shared" si="16"/>
        <v>1.4865804408524985</v>
      </c>
      <c r="AX16" s="20">
        <f t="shared" si="16"/>
        <v>1.3849047531375471</v>
      </c>
      <c r="AY16" s="20">
        <f t="shared" si="16"/>
        <v>1.0297222333010883</v>
      </c>
      <c r="BA16" s="20">
        <f t="shared" si="11"/>
        <v>2.4648945306616866E-2</v>
      </c>
      <c r="BB16" s="20">
        <f t="shared" si="12"/>
        <v>1.6293234698954297E-2</v>
      </c>
      <c r="BC16" s="20">
        <f t="shared" si="13"/>
        <v>1.6293234698954297E-2</v>
      </c>
      <c r="BD16" s="20">
        <f t="shared" si="14"/>
        <v>1.9425529475474788E-2</v>
      </c>
    </row>
    <row r="17" spans="1:56" ht="15" x14ac:dyDescent="0.25">
      <c r="A17" s="5"/>
      <c r="B17" s="6"/>
      <c r="C17" s="5" t="s">
        <v>13</v>
      </c>
      <c r="D17" s="14">
        <v>0</v>
      </c>
      <c r="F17" s="89">
        <v>0</v>
      </c>
      <c r="H17" s="20"/>
      <c r="I17" s="20"/>
      <c r="J17" s="147"/>
      <c r="K17" s="197">
        <v>0.17699999999999999</v>
      </c>
      <c r="L17" s="197">
        <v>1.77</v>
      </c>
      <c r="M17" s="197">
        <v>0.50078889239507718</v>
      </c>
      <c r="N17" s="197">
        <v>0.75268470790377973</v>
      </c>
      <c r="O17" s="216">
        <v>3.2149190766483676E-2</v>
      </c>
      <c r="P17" s="217">
        <v>5.6499999999999995E-2</v>
      </c>
      <c r="Q17" s="217">
        <v>1.25</v>
      </c>
      <c r="R17" s="217">
        <v>0.50078889239507718</v>
      </c>
      <c r="S17" s="217">
        <v>0.75268470790377973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2"/>
        <v>0</v>
      </c>
      <c r="Z17" s="20">
        <f t="shared" si="4"/>
        <v>0</v>
      </c>
      <c r="AA17" s="20">
        <f t="shared" si="5"/>
        <v>0</v>
      </c>
      <c r="AB17" s="20">
        <f t="shared" si="6"/>
        <v>0</v>
      </c>
      <c r="AC17" s="20">
        <f t="shared" si="7"/>
        <v>0</v>
      </c>
      <c r="AD17" s="20">
        <f t="shared" si="8"/>
        <v>0</v>
      </c>
      <c r="AE17" s="191"/>
      <c r="AF17" s="20">
        <f t="shared" si="15"/>
        <v>0</v>
      </c>
      <c r="AG17" s="20">
        <f t="shared" si="15"/>
        <v>0</v>
      </c>
      <c r="AH17" s="20">
        <f t="shared" si="15"/>
        <v>0</v>
      </c>
      <c r="AI17" s="20">
        <f t="shared" si="15"/>
        <v>0</v>
      </c>
      <c r="AJ17" s="20">
        <f t="shared" si="15"/>
        <v>0</v>
      </c>
      <c r="AK17" s="20">
        <f t="shared" si="15"/>
        <v>0</v>
      </c>
      <c r="AL17" s="20">
        <f t="shared" si="15"/>
        <v>0</v>
      </c>
      <c r="AM17" s="20">
        <f t="shared" si="15"/>
        <v>0</v>
      </c>
      <c r="AN17" s="20">
        <f t="shared" si="15"/>
        <v>0</v>
      </c>
      <c r="AO17" s="20">
        <f t="shared" si="15"/>
        <v>0</v>
      </c>
      <c r="AP17" s="20">
        <f t="shared" si="16"/>
        <v>0</v>
      </c>
      <c r="AQ17" s="20">
        <f t="shared" si="16"/>
        <v>0</v>
      </c>
      <c r="AR17" s="20">
        <f t="shared" si="16"/>
        <v>0</v>
      </c>
      <c r="AS17" s="20">
        <f t="shared" si="16"/>
        <v>0</v>
      </c>
      <c r="AT17" s="20">
        <f t="shared" si="16"/>
        <v>0</v>
      </c>
      <c r="AU17" s="20">
        <f t="shared" si="16"/>
        <v>0</v>
      </c>
      <c r="AV17" s="20">
        <f t="shared" si="16"/>
        <v>0</v>
      </c>
      <c r="AW17" s="20">
        <f t="shared" si="16"/>
        <v>0</v>
      </c>
      <c r="AX17" s="20">
        <f t="shared" si="16"/>
        <v>0</v>
      </c>
      <c r="AY17" s="20">
        <f t="shared" si="16"/>
        <v>0</v>
      </c>
      <c r="BA17" s="20">
        <f t="shared" si="11"/>
        <v>0</v>
      </c>
      <c r="BB17" s="20">
        <f t="shared" si="12"/>
        <v>0</v>
      </c>
      <c r="BC17" s="20">
        <f t="shared" si="13"/>
        <v>0</v>
      </c>
      <c r="BD17" s="20">
        <f t="shared" si="14"/>
        <v>0</v>
      </c>
    </row>
    <row r="18" spans="1:56" ht="15" x14ac:dyDescent="0.25">
      <c r="A18" s="7"/>
      <c r="B18" s="8" t="s">
        <v>14</v>
      </c>
      <c r="C18" s="7"/>
      <c r="D18" s="14">
        <f>SUM(D12:D17)</f>
        <v>521.54100000000005</v>
      </c>
      <c r="F18" s="14">
        <v>-60.375</v>
      </c>
      <c r="H18" s="20"/>
      <c r="I18" s="20"/>
      <c r="J18" s="147"/>
      <c r="K18" s="197"/>
      <c r="L18" s="197"/>
      <c r="M18" s="197"/>
      <c r="N18" s="197"/>
      <c r="O18" s="197"/>
      <c r="P18" s="197"/>
      <c r="Q18" s="197"/>
      <c r="R18" s="197"/>
      <c r="S18" s="197"/>
    </row>
    <row r="19" spans="1:56" ht="15" x14ac:dyDescent="0.25">
      <c r="A19" s="5"/>
      <c r="B19" s="9" t="s">
        <v>15</v>
      </c>
      <c r="C19" s="5"/>
      <c r="D19" s="14">
        <f>SUM(D18)</f>
        <v>521.54100000000005</v>
      </c>
      <c r="F19" s="14">
        <v>-60.375</v>
      </c>
      <c r="H19" s="20"/>
      <c r="I19" s="20"/>
      <c r="J19" s="147"/>
      <c r="K19" s="197"/>
      <c r="L19" s="197"/>
      <c r="M19" s="197"/>
      <c r="N19" s="197"/>
      <c r="O19" s="197"/>
      <c r="P19" s="197"/>
      <c r="Q19" s="197"/>
      <c r="R19" s="197"/>
      <c r="S19" s="197"/>
    </row>
    <row r="20" spans="1:56" ht="15.75" x14ac:dyDescent="0.25">
      <c r="A20" s="1"/>
      <c r="B20" s="2"/>
      <c r="C20" s="1"/>
      <c r="D20" s="87"/>
      <c r="F20" s="87"/>
      <c r="H20" s="20"/>
      <c r="I20" s="20"/>
      <c r="J20" s="147"/>
      <c r="K20" s="197"/>
      <c r="L20" s="197"/>
      <c r="M20" s="197"/>
      <c r="N20" s="197"/>
      <c r="O20" s="197"/>
      <c r="P20" s="197"/>
      <c r="Q20" s="197"/>
      <c r="R20" s="197"/>
      <c r="S20" s="197"/>
    </row>
    <row r="21" spans="1:56" ht="15" x14ac:dyDescent="0.25">
      <c r="A21" s="1">
        <v>2</v>
      </c>
      <c r="B21" s="2" t="s">
        <v>16</v>
      </c>
      <c r="C21" s="1" t="s">
        <v>8</v>
      </c>
      <c r="D21" s="14">
        <v>295.98599999999999</v>
      </c>
      <c r="F21" s="89">
        <v>152.404</v>
      </c>
      <c r="H21" s="20"/>
      <c r="I21" s="20"/>
      <c r="J21" s="147">
        <v>0.1399688919574523</v>
      </c>
      <c r="K21" s="197">
        <v>0.3</v>
      </c>
      <c r="L21" s="197">
        <v>2.29</v>
      </c>
      <c r="M21" s="197">
        <v>0.50078889239507718</v>
      </c>
      <c r="N21" s="197">
        <v>0.75268470790377973</v>
      </c>
      <c r="O21" s="216">
        <v>1.4787297691620922E-2</v>
      </c>
      <c r="P21" s="217">
        <v>5.6499999999999995E-2</v>
      </c>
      <c r="Q21" s="217">
        <v>1.25</v>
      </c>
      <c r="R21" s="217">
        <v>0.50078889239507718</v>
      </c>
      <c r="S21" s="217">
        <v>0.75268470790377973</v>
      </c>
      <c r="U21" s="20">
        <f t="shared" ref="U21:U26" si="17">IF(F21&gt;0,((D21-F21)*$J21*$K21*10)+(F21*$H$12*$J21*$K21*10),(D21*$J21*$K21*10))</f>
        <v>83.82550054129311</v>
      </c>
      <c r="V21" s="20">
        <f t="shared" ref="V21:V26" si="18">U21*(EXP(1.01-0.34*LN(V$10))*(1-$M21)+(1*$M21))</f>
        <v>55.409614370395438</v>
      </c>
      <c r="W21" s="20">
        <f t="shared" ref="W21:W26" si="19">SUM(V21:V21)</f>
        <v>55.409614370395438</v>
      </c>
      <c r="X21" s="20">
        <f t="shared" ref="X21:X26" si="20">V21*$Y$1</f>
        <v>66.061842050669597</v>
      </c>
      <c r="Y21" s="20">
        <f t="shared" ref="Y21:Y26" si="21">SUM(X21:X21)</f>
        <v>66.061842050669597</v>
      </c>
      <c r="Z21" s="20">
        <f t="shared" ref="Z21:Z26" si="22">IF(F21&gt;0,((D21-F21)*$J21*$L21*10)+(F21*$I$12*$J21*$L21)*10,(D21*$J21*$L21*10))</f>
        <v>743.12593095521345</v>
      </c>
      <c r="AA21" s="20">
        <f t="shared" ref="AA21:AA26" si="23">Z21*(EXP(1.01-0.34*LN(AA$10))*(1-$N21)+(1*$N21))</f>
        <v>618.32604291686516</v>
      </c>
      <c r="AB21" s="20">
        <f t="shared" ref="AB21:AB26" si="24">SUM(AA21:AA21)</f>
        <v>618.32604291686516</v>
      </c>
      <c r="AC21" s="20">
        <f t="shared" ref="AC21:AC26" si="25">AA21*$Y$1</f>
        <v>737.19620407273339</v>
      </c>
      <c r="AD21" s="20">
        <f t="shared" ref="AD21:AD26" si="26">SUM(AC21:AC21)</f>
        <v>737.19620407273339</v>
      </c>
      <c r="AE21" s="191"/>
      <c r="AF21" s="20">
        <f>$W21*AF$6</f>
        <v>53.203838660679097</v>
      </c>
      <c r="AG21" s="20">
        <f t="shared" ref="AG21:AO21" si="27">$W21*AG$6</f>
        <v>73.60230078737203</v>
      </c>
      <c r="AH21" s="20">
        <f t="shared" si="27"/>
        <v>68.813367663684474</v>
      </c>
      <c r="AI21" s="20">
        <f t="shared" si="27"/>
        <v>96.096115510608726</v>
      </c>
      <c r="AJ21" s="20">
        <f t="shared" si="27"/>
        <v>79.30123461984644</v>
      </c>
      <c r="AK21" s="20">
        <f t="shared" si="27"/>
        <v>58.956162147786969</v>
      </c>
      <c r="AL21" s="20">
        <f t="shared" si="27"/>
        <v>69.72280431609849</v>
      </c>
      <c r="AM21" s="20">
        <f t="shared" si="27"/>
        <v>61.320601212200472</v>
      </c>
      <c r="AN21" s="20">
        <f t="shared" si="27"/>
        <v>57.126536681276512</v>
      </c>
      <c r="AO21" s="20">
        <f t="shared" si="27"/>
        <v>42.475458907142773</v>
      </c>
      <c r="AP21" s="20">
        <f>$AB21*AP$6</f>
        <v>593.71138747035923</v>
      </c>
      <c r="AQ21" s="20">
        <f t="shared" ref="AQ21:AY21" si="28">$AB21*AQ$6</f>
        <v>821.34156522388776</v>
      </c>
      <c r="AR21" s="20">
        <f t="shared" si="28"/>
        <v>767.90098272192199</v>
      </c>
      <c r="AS21" s="20">
        <f t="shared" si="28"/>
        <v>1072.3541666643191</v>
      </c>
      <c r="AT21" s="20">
        <f t="shared" si="28"/>
        <v>884.93701243136127</v>
      </c>
      <c r="AU21" s="20">
        <f t="shared" si="28"/>
        <v>657.90261961980207</v>
      </c>
      <c r="AV21" s="20">
        <f t="shared" si="28"/>
        <v>778.04955301897792</v>
      </c>
      <c r="AW21" s="20">
        <f t="shared" si="28"/>
        <v>684.28782852315044</v>
      </c>
      <c r="AX21" s="20">
        <f t="shared" si="28"/>
        <v>637.48549368268709</v>
      </c>
      <c r="AY21" s="20">
        <f t="shared" si="28"/>
        <v>473.99143137086719</v>
      </c>
      <c r="BA21" s="20">
        <f t="shared" ref="BA21:BA26" si="29">D21*$O21*$P21*10</f>
        <v>2.4729106984219418</v>
      </c>
      <c r="BB21" s="20">
        <f t="shared" ref="BB21:BB26" si="30">BA21*(EXP(1.01-0.34*LN(BB$10))*(1-$R21)+(1*$R21))</f>
        <v>1.6346222484467767</v>
      </c>
      <c r="BC21" s="20">
        <f t="shared" ref="BC21:BC26" si="31">SUM(BB21:BB21)</f>
        <v>1.6346222484467767</v>
      </c>
      <c r="BD21" s="20">
        <f t="shared" ref="BD21:BD26" si="32">BC21*BD$6</f>
        <v>1.9488703903901707</v>
      </c>
    </row>
    <row r="22" spans="1:56" ht="15" x14ac:dyDescent="0.25">
      <c r="A22" s="1"/>
      <c r="B22" s="2"/>
      <c r="C22" s="1" t="s">
        <v>9</v>
      </c>
      <c r="D22" s="14">
        <v>38.436999999999998</v>
      </c>
      <c r="F22" s="89">
        <v>37.177999999999997</v>
      </c>
      <c r="H22" s="20"/>
      <c r="I22" s="20"/>
      <c r="J22" s="147">
        <v>0.14493778391490458</v>
      </c>
      <c r="K22" s="197">
        <v>0.3</v>
      </c>
      <c r="L22" s="197">
        <v>2.29</v>
      </c>
      <c r="M22" s="197">
        <v>0.50078889239507718</v>
      </c>
      <c r="N22" s="197">
        <v>0.75268470790377973</v>
      </c>
      <c r="O22" s="216">
        <v>2.0574595383241839E-2</v>
      </c>
      <c r="P22" s="217">
        <v>5.6499999999999995E-2</v>
      </c>
      <c r="Q22" s="217">
        <v>1.25</v>
      </c>
      <c r="R22" s="217">
        <v>0.50078889239507718</v>
      </c>
      <c r="S22" s="217">
        <v>0.75268470790377973</v>
      </c>
      <c r="U22" s="20">
        <f t="shared" si="17"/>
        <v>6.492322309965747</v>
      </c>
      <c r="V22" s="20">
        <f t="shared" si="18"/>
        <v>4.2914992841147139</v>
      </c>
      <c r="W22" s="20">
        <f t="shared" si="19"/>
        <v>4.2914992841147139</v>
      </c>
      <c r="X22" s="20">
        <f t="shared" si="20"/>
        <v>5.1165190570108026</v>
      </c>
      <c r="Y22" s="20">
        <f t="shared" si="21"/>
        <v>5.1165190570108026</v>
      </c>
      <c r="Z22" s="20">
        <f t="shared" si="22"/>
        <v>75.641401400149135</v>
      </c>
      <c r="AA22" s="20">
        <f t="shared" si="23"/>
        <v>62.93825374700755</v>
      </c>
      <c r="AB22" s="20">
        <f t="shared" si="24"/>
        <v>62.93825374700755</v>
      </c>
      <c r="AC22" s="20">
        <f t="shared" si="25"/>
        <v>75.037825569153199</v>
      </c>
      <c r="AD22" s="20">
        <f t="shared" si="26"/>
        <v>75.037825569153199</v>
      </c>
      <c r="AE22" s="191"/>
      <c r="AF22" s="20">
        <f t="shared" ref="AF22:AO26" si="33">$W22*AF$6</f>
        <v>4.1206609740718472</v>
      </c>
      <c r="AG22" s="20">
        <f t="shared" si="33"/>
        <v>5.700530940835506</v>
      </c>
      <c r="AH22" s="20">
        <f t="shared" si="33"/>
        <v>5.3296259398622663</v>
      </c>
      <c r="AI22" s="20">
        <f t="shared" si="33"/>
        <v>7.4426868984007886</v>
      </c>
      <c r="AJ22" s="20">
        <f t="shared" si="33"/>
        <v>6.1419159015535882</v>
      </c>
      <c r="AK22" s="20">
        <f t="shared" si="33"/>
        <v>4.5661809872937607</v>
      </c>
      <c r="AL22" s="20">
        <f t="shared" si="33"/>
        <v>5.4000622131900897</v>
      </c>
      <c r="AM22" s="20">
        <f t="shared" si="33"/>
        <v>4.7493078447455028</v>
      </c>
      <c r="AN22" s="20">
        <f t="shared" si="33"/>
        <v>4.424475680932292</v>
      </c>
      <c r="AO22" s="20">
        <f t="shared" si="33"/>
        <v>3.2897431892223845</v>
      </c>
      <c r="AP22" s="20">
        <f t="shared" ref="AP22:AY26" si="34">$AB22*AP$6</f>
        <v>60.432773914589035</v>
      </c>
      <c r="AQ22" s="20">
        <f t="shared" si="34"/>
        <v>83.602824815799821</v>
      </c>
      <c r="AR22" s="20">
        <f t="shared" si="34"/>
        <v>78.163207674606824</v>
      </c>
      <c r="AS22" s="20">
        <f t="shared" si="34"/>
        <v>109.15292897869118</v>
      </c>
      <c r="AT22" s="20">
        <f t="shared" si="34"/>
        <v>90.076086680392734</v>
      </c>
      <c r="AU22" s="20">
        <f t="shared" si="34"/>
        <v>66.96667961633851</v>
      </c>
      <c r="AV22" s="20">
        <f t="shared" si="34"/>
        <v>79.196211701919538</v>
      </c>
      <c r="AW22" s="20">
        <f t="shared" si="34"/>
        <v>69.652380780230814</v>
      </c>
      <c r="AX22" s="20">
        <f t="shared" si="34"/>
        <v>64.888458477612318</v>
      </c>
      <c r="AY22" s="20">
        <f t="shared" si="34"/>
        <v>48.246703051351076</v>
      </c>
      <c r="BA22" s="20">
        <f t="shared" si="29"/>
        <v>0.44681653335130156</v>
      </c>
      <c r="BB22" s="20">
        <f t="shared" si="30"/>
        <v>0.29535083772170972</v>
      </c>
      <c r="BC22" s="20">
        <f t="shared" si="31"/>
        <v>0.29535083772170972</v>
      </c>
      <c r="BD22" s="20">
        <f t="shared" si="32"/>
        <v>0.35213059345038877</v>
      </c>
    </row>
    <row r="23" spans="1:56" ht="15" x14ac:dyDescent="0.25">
      <c r="A23" s="1"/>
      <c r="B23" s="2"/>
      <c r="C23" s="1" t="s">
        <v>10</v>
      </c>
      <c r="D23" s="14">
        <v>40.880000000000003</v>
      </c>
      <c r="F23" s="89">
        <v>37.138000000000005</v>
      </c>
      <c r="H23" s="20"/>
      <c r="I23" s="20"/>
      <c r="J23" s="147">
        <v>0.14990667587235693</v>
      </c>
      <c r="K23" s="197">
        <v>0.3</v>
      </c>
      <c r="L23" s="197">
        <v>2.29</v>
      </c>
      <c r="M23" s="197">
        <v>0.50078889239507718</v>
      </c>
      <c r="N23" s="197">
        <v>0.75268470790377973</v>
      </c>
      <c r="O23" s="216">
        <v>2.6361893074862752E-2</v>
      </c>
      <c r="P23" s="217">
        <v>5.6499999999999995E-2</v>
      </c>
      <c r="Q23" s="217">
        <v>1.25</v>
      </c>
      <c r="R23" s="217">
        <v>0.50078889239507718</v>
      </c>
      <c r="S23" s="217">
        <v>0.75268470790377973</v>
      </c>
      <c r="U23" s="20">
        <f t="shared" si="17"/>
        <v>7.8249375539916128</v>
      </c>
      <c r="V23" s="20">
        <f t="shared" si="18"/>
        <v>5.1723731983624388</v>
      </c>
      <c r="W23" s="20">
        <f t="shared" si="19"/>
        <v>5.1723731983624388</v>
      </c>
      <c r="X23" s="20">
        <f t="shared" si="20"/>
        <v>6.1667366781007544</v>
      </c>
      <c r="Y23" s="20">
        <f t="shared" si="21"/>
        <v>6.1667366781007544</v>
      </c>
      <c r="Z23" s="20">
        <f t="shared" si="22"/>
        <v>86.678885841709047</v>
      </c>
      <c r="AA23" s="20">
        <f t="shared" si="23"/>
        <v>72.122113163316243</v>
      </c>
      <c r="AB23" s="20">
        <f t="shared" si="24"/>
        <v>72.122113163316243</v>
      </c>
      <c r="AC23" s="20">
        <f t="shared" si="25"/>
        <v>85.987237094021921</v>
      </c>
      <c r="AD23" s="20">
        <f t="shared" si="26"/>
        <v>85.987237094021921</v>
      </c>
      <c r="AE23" s="191"/>
      <c r="AF23" s="20">
        <f t="shared" si="33"/>
        <v>4.9664685861002136</v>
      </c>
      <c r="AG23" s="20">
        <f t="shared" si="33"/>
        <v>6.8706229461473294</v>
      </c>
      <c r="AH23" s="20">
        <f t="shared" si="33"/>
        <v>6.4235859180220087</v>
      </c>
      <c r="AI23" s="20">
        <f t="shared" si="33"/>
        <v>8.9703741486310999</v>
      </c>
      <c r="AJ23" s="20">
        <f t="shared" si="33"/>
        <v>7.4026066632200962</v>
      </c>
      <c r="AK23" s="20">
        <f t="shared" si="33"/>
        <v>5.5034361172968254</v>
      </c>
      <c r="AL23" s="20">
        <f t="shared" si="33"/>
        <v>6.508479953470629</v>
      </c>
      <c r="AM23" s="20">
        <f t="shared" si="33"/>
        <v>5.7241516264173464</v>
      </c>
      <c r="AN23" s="20">
        <f t="shared" si="33"/>
        <v>5.3326443542868969</v>
      </c>
      <c r="AO23" s="20">
        <f t="shared" si="33"/>
        <v>3.9649964674150917</v>
      </c>
      <c r="AP23" s="20">
        <f t="shared" si="34"/>
        <v>69.251037319228558</v>
      </c>
      <c r="AQ23" s="20">
        <f t="shared" si="34"/>
        <v>95.802028705391294</v>
      </c>
      <c r="AR23" s="20">
        <f t="shared" si="34"/>
        <v>89.568670458763918</v>
      </c>
      <c r="AS23" s="20">
        <f t="shared" si="34"/>
        <v>125.08036730019512</v>
      </c>
      <c r="AT23" s="20">
        <f t="shared" si="34"/>
        <v>103.21985962600445</v>
      </c>
      <c r="AU23" s="20">
        <f t="shared" si="34"/>
        <v>76.738361138447459</v>
      </c>
      <c r="AV23" s="20">
        <f t="shared" si="34"/>
        <v>90.752408947211421</v>
      </c>
      <c r="AW23" s="20">
        <f t="shared" si="34"/>
        <v>79.815955951352478</v>
      </c>
      <c r="AX23" s="20">
        <f t="shared" si="34"/>
        <v>74.356888961794752</v>
      </c>
      <c r="AY23" s="20">
        <f t="shared" si="34"/>
        <v>55.286792531829661</v>
      </c>
      <c r="BA23" s="20">
        <f t="shared" si="29"/>
        <v>0.60888591672871994</v>
      </c>
      <c r="BB23" s="20">
        <f t="shared" si="30"/>
        <v>0.40248055333571681</v>
      </c>
      <c r="BC23" s="20">
        <f t="shared" si="31"/>
        <v>0.40248055333571681</v>
      </c>
      <c r="BD23" s="20">
        <f t="shared" si="32"/>
        <v>0.47985547355002234</v>
      </c>
    </row>
    <row r="24" spans="1:56" ht="15" x14ac:dyDescent="0.25">
      <c r="A24" s="1"/>
      <c r="B24" s="2"/>
      <c r="C24" s="1" t="s">
        <v>11</v>
      </c>
      <c r="D24" s="14">
        <v>0.22600000000000001</v>
      </c>
      <c r="F24" s="89">
        <v>-0.32500000000000001</v>
      </c>
      <c r="H24" s="20"/>
      <c r="I24" s="20"/>
      <c r="J24" s="147">
        <v>0.15487556782980921</v>
      </c>
      <c r="K24" s="197">
        <v>0.3</v>
      </c>
      <c r="L24" s="197">
        <v>2.29</v>
      </c>
      <c r="M24" s="197">
        <v>0.50078889239507718</v>
      </c>
      <c r="N24" s="197">
        <v>0.75268470790377973</v>
      </c>
      <c r="O24" s="216">
        <v>3.2149190766483676E-2</v>
      </c>
      <c r="P24" s="217">
        <v>5.6499999999999995E-2</v>
      </c>
      <c r="Q24" s="217">
        <v>1.25</v>
      </c>
      <c r="R24" s="217">
        <v>0.50078889239507718</v>
      </c>
      <c r="S24" s="217">
        <v>0.75268470790377973</v>
      </c>
      <c r="U24" s="20">
        <f t="shared" si="17"/>
        <v>0.10500563498861065</v>
      </c>
      <c r="V24" s="20">
        <f t="shared" si="18"/>
        <v>6.9409925426824823E-2</v>
      </c>
      <c r="W24" s="20">
        <f t="shared" si="19"/>
        <v>6.9409925426824823E-2</v>
      </c>
      <c r="X24" s="20">
        <f t="shared" si="20"/>
        <v>8.2753644514543714E-2</v>
      </c>
      <c r="Y24" s="20">
        <f t="shared" si="21"/>
        <v>8.2753644514543714E-2</v>
      </c>
      <c r="Z24" s="20">
        <f t="shared" si="22"/>
        <v>0.80154301374639469</v>
      </c>
      <c r="AA24" s="20">
        <f t="shared" si="23"/>
        <v>0.66693261434223361</v>
      </c>
      <c r="AB24" s="20">
        <f t="shared" si="24"/>
        <v>0.66693261434223361</v>
      </c>
      <c r="AC24" s="20">
        <f t="shared" si="25"/>
        <v>0.79514715140585357</v>
      </c>
      <c r="AD24" s="20">
        <f t="shared" si="26"/>
        <v>0.79514715140585357</v>
      </c>
      <c r="AE24" s="191"/>
      <c r="AF24" s="20">
        <f t="shared" si="33"/>
        <v>6.6646817809863798E-2</v>
      </c>
      <c r="AG24" s="20">
        <f t="shared" si="33"/>
        <v>9.2199346033054935E-2</v>
      </c>
      <c r="AH24" s="20">
        <f t="shared" si="33"/>
        <v>8.6200396306258059E-2</v>
      </c>
      <c r="AI24" s="20">
        <f t="shared" si="33"/>
        <v>0.12037665822418345</v>
      </c>
      <c r="AJ24" s="20">
        <f t="shared" si="33"/>
        <v>9.9338225753102236E-2</v>
      </c>
      <c r="AK24" s="20">
        <f t="shared" si="33"/>
        <v>7.3852577113694168E-2</v>
      </c>
      <c r="AL24" s="20">
        <f t="shared" si="33"/>
        <v>8.7339619723380488E-2</v>
      </c>
      <c r="AM24" s="20">
        <f t="shared" si="33"/>
        <v>7.6814437451507636E-2</v>
      </c>
      <c r="AN24" s="20">
        <f t="shared" si="33"/>
        <v>7.1560661376100412E-2</v>
      </c>
      <c r="AO24" s="20">
        <f t="shared" si="33"/>
        <v>5.3207705354291958E-2</v>
      </c>
      <c r="AP24" s="20">
        <f t="shared" si="34"/>
        <v>0.64038300237598056</v>
      </c>
      <c r="AQ24" s="20">
        <f t="shared" si="34"/>
        <v>0.88590717411584008</v>
      </c>
      <c r="AR24" s="20">
        <f t="shared" si="34"/>
        <v>0.82826563077751447</v>
      </c>
      <c r="AS24" s="20">
        <f t="shared" si="34"/>
        <v>1.1566518604010663</v>
      </c>
      <c r="AT24" s="20">
        <f t="shared" si="34"/>
        <v>0.95450185543681809</v>
      </c>
      <c r="AU24" s="20">
        <f t="shared" si="34"/>
        <v>0.70962030325582259</v>
      </c>
      <c r="AV24" s="20">
        <f t="shared" si="34"/>
        <v>0.83921197954866189</v>
      </c>
      <c r="AW24" s="20">
        <f t="shared" si="34"/>
        <v>0.73807965177503432</v>
      </c>
      <c r="AX24" s="20">
        <f t="shared" si="34"/>
        <v>0.687598188330242</v>
      </c>
      <c r="AY24" s="20">
        <f t="shared" si="34"/>
        <v>0.51125186804155476</v>
      </c>
      <c r="BA24" s="20">
        <f t="shared" si="29"/>
        <v>4.1051301689722999E-3</v>
      </c>
      <c r="BB24" s="20">
        <f t="shared" si="30"/>
        <v>2.7135379822871559E-3</v>
      </c>
      <c r="BC24" s="20">
        <f t="shared" si="31"/>
        <v>2.7135379822871559E-3</v>
      </c>
      <c r="BD24" s="20">
        <f t="shared" si="32"/>
        <v>3.2352024034320572E-3</v>
      </c>
    </row>
    <row r="25" spans="1:56" ht="15" x14ac:dyDescent="0.25">
      <c r="A25" s="1"/>
      <c r="B25" s="2"/>
      <c r="C25" s="1" t="s">
        <v>12</v>
      </c>
      <c r="D25" s="14">
        <v>5.5439999999999996</v>
      </c>
      <c r="F25" s="89">
        <v>3.9779999999999998</v>
      </c>
      <c r="H25" s="20"/>
      <c r="I25" s="20"/>
      <c r="J25" s="147">
        <v>0.15487556782980921</v>
      </c>
      <c r="K25" s="197">
        <v>0.3</v>
      </c>
      <c r="L25" s="197">
        <v>2.29</v>
      </c>
      <c r="M25" s="197">
        <v>0.50078889239507718</v>
      </c>
      <c r="N25" s="197">
        <v>0.75268470790377973</v>
      </c>
      <c r="O25" s="216">
        <v>3.2149190766483676E-2</v>
      </c>
      <c r="P25" s="217">
        <v>5.6499999999999995E-2</v>
      </c>
      <c r="Q25" s="217">
        <v>1.25</v>
      </c>
      <c r="R25" s="217">
        <v>0.50078889239507718</v>
      </c>
      <c r="S25" s="217">
        <v>0.75268470790377973</v>
      </c>
      <c r="U25" s="20">
        <f t="shared" si="17"/>
        <v>1.4073160162660865</v>
      </c>
      <c r="V25" s="20">
        <f t="shared" si="18"/>
        <v>0.93025197887332634</v>
      </c>
      <c r="W25" s="20">
        <f t="shared" si="19"/>
        <v>0.93025197887332634</v>
      </c>
      <c r="X25" s="20">
        <f t="shared" si="20"/>
        <v>1.1090883774222149</v>
      </c>
      <c r="Y25" s="20">
        <f t="shared" si="21"/>
        <v>1.1090883774222149</v>
      </c>
      <c r="Z25" s="20">
        <f t="shared" si="22"/>
        <v>13.724756930418469</v>
      </c>
      <c r="AA25" s="20">
        <f t="shared" si="23"/>
        <v>11.419833825302117</v>
      </c>
      <c r="AB25" s="20">
        <f t="shared" si="24"/>
        <v>11.419833825302117</v>
      </c>
      <c r="AC25" s="20">
        <f t="shared" si="25"/>
        <v>13.615241090995134</v>
      </c>
      <c r="AD25" s="20">
        <f t="shared" si="26"/>
        <v>13.615241090995134</v>
      </c>
      <c r="AE25" s="191"/>
      <c r="AF25" s="20">
        <f t="shared" si="33"/>
        <v>0.89322000811825353</v>
      </c>
      <c r="AG25" s="20">
        <f t="shared" si="33"/>
        <v>1.2356824124310175</v>
      </c>
      <c r="AH25" s="20">
        <f t="shared" si="33"/>
        <v>1.1552827459539565</v>
      </c>
      <c r="AI25" s="20">
        <f t="shared" si="33"/>
        <v>1.6133229337821422</v>
      </c>
      <c r="AJ25" s="20">
        <f t="shared" si="33"/>
        <v>1.3313597517405644</v>
      </c>
      <c r="AK25" s="20">
        <f t="shared" si="33"/>
        <v>0.98979368703309245</v>
      </c>
      <c r="AL25" s="20">
        <f t="shared" si="33"/>
        <v>1.1705509490479682</v>
      </c>
      <c r="AM25" s="20">
        <f t="shared" si="33"/>
        <v>1.0294893994755749</v>
      </c>
      <c r="AN25" s="20">
        <f t="shared" si="33"/>
        <v>0.95907676669069519</v>
      </c>
      <c r="AO25" s="20">
        <f t="shared" si="33"/>
        <v>0.71310511994888359</v>
      </c>
      <c r="AP25" s="20">
        <f t="shared" si="34"/>
        <v>10.965226942596452</v>
      </c>
      <c r="AQ25" s="20">
        <f t="shared" si="34"/>
        <v>15.169317702394491</v>
      </c>
      <c r="AR25" s="20">
        <f t="shared" si="34"/>
        <v>14.182326165015803</v>
      </c>
      <c r="AS25" s="20">
        <f t="shared" si="34"/>
        <v>19.80525731603927</v>
      </c>
      <c r="AT25" s="20">
        <f t="shared" si="34"/>
        <v>16.343858945601944</v>
      </c>
      <c r="AU25" s="20">
        <f t="shared" si="34"/>
        <v>12.150771709124404</v>
      </c>
      <c r="AV25" s="20">
        <f t="shared" si="34"/>
        <v>14.369759619718856</v>
      </c>
      <c r="AW25" s="20">
        <f t="shared" si="34"/>
        <v>12.638078858117694</v>
      </c>
      <c r="AX25" s="20">
        <f t="shared" si="34"/>
        <v>11.773688796212928</v>
      </c>
      <c r="AY25" s="20">
        <f t="shared" si="34"/>
        <v>8.7541248551294952</v>
      </c>
      <c r="BA25" s="20">
        <f t="shared" si="29"/>
        <v>0.10070283918930278</v>
      </c>
      <c r="BB25" s="20">
        <f t="shared" si="30"/>
        <v>6.6565728202654828E-2</v>
      </c>
      <c r="BC25" s="20">
        <f t="shared" si="31"/>
        <v>6.6565728202654828E-2</v>
      </c>
      <c r="BD25" s="20">
        <f t="shared" si="32"/>
        <v>7.9362664268262495E-2</v>
      </c>
    </row>
    <row r="26" spans="1:56" ht="15" x14ac:dyDescent="0.25">
      <c r="A26" s="1"/>
      <c r="B26" s="2"/>
      <c r="C26" s="1" t="s">
        <v>13</v>
      </c>
      <c r="D26" s="14">
        <v>0</v>
      </c>
      <c r="F26" s="89">
        <v>0</v>
      </c>
      <c r="H26" s="20"/>
      <c r="I26" s="20"/>
      <c r="J26" s="147"/>
      <c r="K26" s="197">
        <v>0.3</v>
      </c>
      <c r="L26" s="197">
        <v>2.29</v>
      </c>
      <c r="M26" s="197">
        <v>0.50078889239507718</v>
      </c>
      <c r="N26" s="197">
        <v>0.75268470790377973</v>
      </c>
      <c r="O26" s="216">
        <v>3.2149190766483676E-2</v>
      </c>
      <c r="P26" s="217">
        <v>5.6499999999999995E-2</v>
      </c>
      <c r="Q26" s="217">
        <v>1.25</v>
      </c>
      <c r="R26" s="217">
        <v>0.50078889239507718</v>
      </c>
      <c r="S26" s="217">
        <v>0.75268470790377973</v>
      </c>
      <c r="U26" s="20">
        <f t="shared" si="17"/>
        <v>0</v>
      </c>
      <c r="V26" s="20">
        <f t="shared" si="18"/>
        <v>0</v>
      </c>
      <c r="W26" s="20">
        <f t="shared" si="19"/>
        <v>0</v>
      </c>
      <c r="X26" s="20">
        <f t="shared" si="20"/>
        <v>0</v>
      </c>
      <c r="Y26" s="20">
        <f t="shared" si="21"/>
        <v>0</v>
      </c>
      <c r="Z26" s="20">
        <f t="shared" si="22"/>
        <v>0</v>
      </c>
      <c r="AA26" s="20">
        <f t="shared" si="23"/>
        <v>0</v>
      </c>
      <c r="AB26" s="20">
        <f t="shared" si="24"/>
        <v>0</v>
      </c>
      <c r="AC26" s="20">
        <f t="shared" si="25"/>
        <v>0</v>
      </c>
      <c r="AD26" s="20">
        <f t="shared" si="26"/>
        <v>0</v>
      </c>
      <c r="AE26" s="191"/>
      <c r="AF26" s="20">
        <f t="shared" si="33"/>
        <v>0</v>
      </c>
      <c r="AG26" s="20">
        <f t="shared" si="33"/>
        <v>0</v>
      </c>
      <c r="AH26" s="20">
        <f t="shared" si="33"/>
        <v>0</v>
      </c>
      <c r="AI26" s="20">
        <f t="shared" si="33"/>
        <v>0</v>
      </c>
      <c r="AJ26" s="20">
        <f t="shared" si="33"/>
        <v>0</v>
      </c>
      <c r="AK26" s="20">
        <f t="shared" si="33"/>
        <v>0</v>
      </c>
      <c r="AL26" s="20">
        <f t="shared" si="33"/>
        <v>0</v>
      </c>
      <c r="AM26" s="20">
        <f t="shared" si="33"/>
        <v>0</v>
      </c>
      <c r="AN26" s="20">
        <f t="shared" si="33"/>
        <v>0</v>
      </c>
      <c r="AO26" s="20">
        <f t="shared" si="33"/>
        <v>0</v>
      </c>
      <c r="AP26" s="20">
        <f t="shared" si="34"/>
        <v>0</v>
      </c>
      <c r="AQ26" s="20">
        <f t="shared" si="34"/>
        <v>0</v>
      </c>
      <c r="AR26" s="20">
        <f t="shared" si="34"/>
        <v>0</v>
      </c>
      <c r="AS26" s="20">
        <f t="shared" si="34"/>
        <v>0</v>
      </c>
      <c r="AT26" s="20">
        <f t="shared" si="34"/>
        <v>0</v>
      </c>
      <c r="AU26" s="20">
        <f t="shared" si="34"/>
        <v>0</v>
      </c>
      <c r="AV26" s="20">
        <f t="shared" si="34"/>
        <v>0</v>
      </c>
      <c r="AW26" s="20">
        <f t="shared" si="34"/>
        <v>0</v>
      </c>
      <c r="AX26" s="20">
        <f t="shared" si="34"/>
        <v>0</v>
      </c>
      <c r="AY26" s="20">
        <f t="shared" si="34"/>
        <v>0</v>
      </c>
      <c r="BA26" s="20">
        <f t="shared" si="29"/>
        <v>0</v>
      </c>
      <c r="BB26" s="20">
        <f t="shared" si="30"/>
        <v>0</v>
      </c>
      <c r="BC26" s="20">
        <f t="shared" si="31"/>
        <v>0</v>
      </c>
      <c r="BD26" s="20">
        <f t="shared" si="32"/>
        <v>0</v>
      </c>
    </row>
    <row r="27" spans="1:56" ht="15" x14ac:dyDescent="0.25">
      <c r="A27" s="7"/>
      <c r="B27" s="8" t="s">
        <v>14</v>
      </c>
      <c r="C27" s="7"/>
      <c r="D27" s="14">
        <f>SUM(D21:D26)</f>
        <v>381.07299999999998</v>
      </c>
      <c r="F27" s="14">
        <v>230.37300000000002</v>
      </c>
      <c r="H27" s="20"/>
      <c r="I27" s="20"/>
      <c r="J27" s="147"/>
      <c r="K27" s="197"/>
      <c r="L27" s="197"/>
      <c r="M27" s="197"/>
      <c r="N27" s="197"/>
      <c r="O27" s="197"/>
      <c r="P27" s="197"/>
      <c r="Q27" s="197"/>
      <c r="R27" s="197"/>
      <c r="S27" s="197"/>
    </row>
    <row r="28" spans="1:56" ht="15" x14ac:dyDescent="0.25">
      <c r="A28" s="5"/>
      <c r="B28" s="9" t="s">
        <v>15</v>
      </c>
      <c r="C28" s="5"/>
      <c r="D28" s="14">
        <f>SUM(D27)</f>
        <v>381.07299999999998</v>
      </c>
      <c r="F28" s="14">
        <v>230.37300000000002</v>
      </c>
      <c r="H28" s="20"/>
      <c r="I28" s="20"/>
      <c r="J28" s="147"/>
      <c r="K28" s="197"/>
      <c r="L28" s="197"/>
      <c r="M28" s="197"/>
      <c r="N28" s="197"/>
      <c r="O28" s="197"/>
      <c r="P28" s="197"/>
      <c r="Q28" s="197"/>
      <c r="R28" s="197"/>
      <c r="S28" s="197"/>
    </row>
    <row r="29" spans="1:56" ht="15.75" x14ac:dyDescent="0.25">
      <c r="A29" s="1"/>
      <c r="B29" s="2"/>
      <c r="C29" s="1"/>
      <c r="D29" s="87"/>
      <c r="F29" s="87"/>
      <c r="H29" s="20"/>
      <c r="I29" s="20"/>
      <c r="J29" s="147"/>
      <c r="K29" s="197"/>
      <c r="L29" s="197"/>
      <c r="M29" s="197"/>
      <c r="N29" s="197"/>
      <c r="O29" s="197"/>
      <c r="P29" s="197"/>
      <c r="Q29" s="197"/>
      <c r="R29" s="197"/>
      <c r="S29" s="197"/>
    </row>
    <row r="30" spans="1:56" ht="15" x14ac:dyDescent="0.25">
      <c r="A30" s="1">
        <v>3</v>
      </c>
      <c r="B30" s="2" t="s">
        <v>17</v>
      </c>
      <c r="C30" s="1" t="s">
        <v>8</v>
      </c>
      <c r="D30" s="14">
        <v>9.0350000000000001</v>
      </c>
      <c r="F30" s="89">
        <v>4.3769999999999998</v>
      </c>
      <c r="H30" s="20"/>
      <c r="I30" s="20"/>
      <c r="J30" s="147">
        <v>0.22938431643304619</v>
      </c>
      <c r="K30" s="197">
        <v>0.49</v>
      </c>
      <c r="L30" s="197">
        <v>2.42</v>
      </c>
      <c r="M30" s="197">
        <v>0.50078889239507718</v>
      </c>
      <c r="N30" s="197">
        <v>0.75268470790377973</v>
      </c>
      <c r="O30" s="216">
        <v>1.4787297691620922E-2</v>
      </c>
      <c r="P30" s="217">
        <v>5.6499999999999995E-2</v>
      </c>
      <c r="Q30" s="217">
        <v>1.25</v>
      </c>
      <c r="R30" s="217">
        <v>0.50078889239507718</v>
      </c>
      <c r="S30" s="217">
        <v>0.75268470790377973</v>
      </c>
      <c r="U30" s="20">
        <f t="shared" ref="U30:U35" si="35">IF(F30&gt;0,((D30-F30)*$J30*$K30*10)+(F30*$H$12*$J30*$K30*10),(D30*$J30*$K30*10))</f>
        <v>7.044733782227504</v>
      </c>
      <c r="V30" s="20">
        <f t="shared" ref="V30:V35" si="36">U30*(EXP(1.01-0.34*LN(V$10))*(1-$M30)+(1*$M30))</f>
        <v>4.6566495838940538</v>
      </c>
      <c r="W30" s="20">
        <f t="shared" ref="W30:W35" si="37">SUM(V30:V30)</f>
        <v>4.6566495838940538</v>
      </c>
      <c r="X30" s="20">
        <f t="shared" ref="X30:X35" si="38">V30*$Y$1</f>
        <v>5.5518677181208815</v>
      </c>
      <c r="Y30" s="20">
        <f t="shared" ref="Y30:Y35" si="39">SUM(X30:X30)</f>
        <v>5.5518677181208815</v>
      </c>
      <c r="Z30" s="20">
        <f t="shared" ref="Z30:Z35" si="40">IF(F30&gt;0,((D30-F30)*$J30*$L30*10)+(F30*$I$12*$J30*$L30)*10,(D30*$J30*$L30*10))</f>
        <v>39.928248899653056</v>
      </c>
      <c r="AA30" s="20">
        <f t="shared" ref="AA30:AA35" si="41">Z30*(EXP(1.01-0.34*LN(AA$10))*(1-$N30)+(1*$N30))</f>
        <v>33.222735359251082</v>
      </c>
      <c r="AB30" s="20">
        <f t="shared" ref="AB30:AB35" si="42">SUM(AA30:AA30)</f>
        <v>33.222735359251082</v>
      </c>
      <c r="AC30" s="20">
        <f t="shared" ref="AC30:AC35" si="43">AA30*$Y$1</f>
        <v>39.609643935126662</v>
      </c>
      <c r="AD30" s="20">
        <f t="shared" ref="AD30:AD35" si="44">SUM(AC30:AC30)</f>
        <v>39.609643935126662</v>
      </c>
      <c r="AE30" s="191"/>
      <c r="AF30" s="20">
        <f>$W30*AF$6</f>
        <v>4.4712751744612005</v>
      </c>
      <c r="AG30" s="20">
        <f t="shared" ref="AG30:AO30" si="45">$W30*AG$6</f>
        <v>6.1855713530878145</v>
      </c>
      <c r="AH30" s="20">
        <f t="shared" si="45"/>
        <v>5.7831072014940998</v>
      </c>
      <c r="AI30" s="20">
        <f t="shared" si="45"/>
        <v>8.0759619317148026</v>
      </c>
      <c r="AJ30" s="20">
        <f t="shared" si="45"/>
        <v>6.6645123845527534</v>
      </c>
      <c r="AK30" s="20">
        <f t="shared" si="45"/>
        <v>4.9547030971607766</v>
      </c>
      <c r="AL30" s="20">
        <f t="shared" si="45"/>
        <v>5.8595366778072293</v>
      </c>
      <c r="AM30" s="20">
        <f t="shared" si="45"/>
        <v>5.1534116482047025</v>
      </c>
      <c r="AN30" s="20">
        <f t="shared" si="45"/>
        <v>4.800940527900595</v>
      </c>
      <c r="AO30" s="20">
        <f t="shared" si="45"/>
        <v>3.5696571848248326</v>
      </c>
      <c r="AP30" s="20">
        <f>$AB30*AP$6</f>
        <v>31.900186853933857</v>
      </c>
      <c r="AQ30" s="20">
        <f t="shared" ref="AQ30:AY30" si="46">$AB30*AQ$6</f>
        <v>44.130784678359554</v>
      </c>
      <c r="AR30" s="20">
        <f t="shared" si="46"/>
        <v>41.259415519247902</v>
      </c>
      <c r="AS30" s="20">
        <f t="shared" si="46"/>
        <v>57.617723042063332</v>
      </c>
      <c r="AT30" s="20">
        <f t="shared" si="46"/>
        <v>47.547775983885373</v>
      </c>
      <c r="AU30" s="20">
        <f t="shared" si="46"/>
        <v>35.349189758655307</v>
      </c>
      <c r="AV30" s="20">
        <f t="shared" si="46"/>
        <v>41.804699466311376</v>
      </c>
      <c r="AW30" s="20">
        <f t="shared" si="46"/>
        <v>36.766870321905266</v>
      </c>
      <c r="AX30" s="20">
        <f t="shared" si="46"/>
        <v>34.252175037092833</v>
      </c>
      <c r="AY30" s="20">
        <f t="shared" si="46"/>
        <v>25.467618689811822</v>
      </c>
      <c r="BA30" s="20">
        <f t="shared" ref="BA30:BA35" si="47">D30*$O30*$P30*10</f>
        <v>7.5485827573744183E-2</v>
      </c>
      <c r="BB30" s="20">
        <f t="shared" ref="BB30:BB35" si="48">BA30*(EXP(1.01-0.34*LN(BB$10))*(1-$R30)+(1*$R30))</f>
        <v>4.989699517786865E-2</v>
      </c>
      <c r="BC30" s="20">
        <f t="shared" ref="BC30:BC35" si="49">SUM(BB30:BB30)</f>
        <v>4.989699517786865E-2</v>
      </c>
      <c r="BD30" s="20">
        <f t="shared" ref="BD30:BD35" si="50">BC30*BD$6</f>
        <v>5.9489448748167799E-2</v>
      </c>
    </row>
    <row r="31" spans="1:56" ht="15" x14ac:dyDescent="0.25">
      <c r="A31" s="1"/>
      <c r="B31" s="2"/>
      <c r="C31" s="1" t="s">
        <v>9</v>
      </c>
      <c r="D31" s="14">
        <v>0</v>
      </c>
      <c r="F31" s="89">
        <v>0</v>
      </c>
      <c r="H31" s="20"/>
      <c r="I31" s="20"/>
      <c r="J31" s="147"/>
      <c r="K31" s="197">
        <v>0.49</v>
      </c>
      <c r="L31" s="197">
        <v>2.42</v>
      </c>
      <c r="M31" s="197">
        <v>0.50078889239507718</v>
      </c>
      <c r="N31" s="197">
        <v>0.75268470790377973</v>
      </c>
      <c r="O31" s="216">
        <v>2.0574595383241839E-2</v>
      </c>
      <c r="P31" s="217">
        <v>5.6499999999999995E-2</v>
      </c>
      <c r="Q31" s="217">
        <v>1.25</v>
      </c>
      <c r="R31" s="217">
        <v>0.50078889239507718</v>
      </c>
      <c r="S31" s="217">
        <v>0.75268470790377973</v>
      </c>
      <c r="U31" s="20">
        <f t="shared" si="35"/>
        <v>0</v>
      </c>
      <c r="V31" s="20">
        <f t="shared" si="36"/>
        <v>0</v>
      </c>
      <c r="W31" s="20">
        <f t="shared" si="37"/>
        <v>0</v>
      </c>
      <c r="X31" s="20">
        <f t="shared" si="38"/>
        <v>0</v>
      </c>
      <c r="Y31" s="20">
        <f t="shared" si="39"/>
        <v>0</v>
      </c>
      <c r="Z31" s="20">
        <f t="shared" si="40"/>
        <v>0</v>
      </c>
      <c r="AA31" s="20">
        <f t="shared" si="41"/>
        <v>0</v>
      </c>
      <c r="AB31" s="20">
        <f t="shared" si="42"/>
        <v>0</v>
      </c>
      <c r="AC31" s="20">
        <f t="shared" si="43"/>
        <v>0</v>
      </c>
      <c r="AD31" s="20">
        <f t="shared" si="44"/>
        <v>0</v>
      </c>
      <c r="AE31" s="191"/>
      <c r="AF31" s="20">
        <f t="shared" ref="AF31:AO35" si="51">$W31*AF$6</f>
        <v>0</v>
      </c>
      <c r="AG31" s="20">
        <f t="shared" si="51"/>
        <v>0</v>
      </c>
      <c r="AH31" s="20">
        <f t="shared" si="51"/>
        <v>0</v>
      </c>
      <c r="AI31" s="20">
        <f t="shared" si="51"/>
        <v>0</v>
      </c>
      <c r="AJ31" s="20">
        <f t="shared" si="51"/>
        <v>0</v>
      </c>
      <c r="AK31" s="20">
        <f t="shared" si="51"/>
        <v>0</v>
      </c>
      <c r="AL31" s="20">
        <f t="shared" si="51"/>
        <v>0</v>
      </c>
      <c r="AM31" s="20">
        <f t="shared" si="51"/>
        <v>0</v>
      </c>
      <c r="AN31" s="20">
        <f t="shared" si="51"/>
        <v>0</v>
      </c>
      <c r="AO31" s="20">
        <f t="shared" si="51"/>
        <v>0</v>
      </c>
      <c r="AP31" s="20">
        <f t="shared" ref="AP31:AY35" si="52">$AB31*AP$6</f>
        <v>0</v>
      </c>
      <c r="AQ31" s="20">
        <f t="shared" si="52"/>
        <v>0</v>
      </c>
      <c r="AR31" s="20">
        <f t="shared" si="52"/>
        <v>0</v>
      </c>
      <c r="AS31" s="20">
        <f t="shared" si="52"/>
        <v>0</v>
      </c>
      <c r="AT31" s="20">
        <f t="shared" si="52"/>
        <v>0</v>
      </c>
      <c r="AU31" s="20">
        <f t="shared" si="52"/>
        <v>0</v>
      </c>
      <c r="AV31" s="20">
        <f t="shared" si="52"/>
        <v>0</v>
      </c>
      <c r="AW31" s="20">
        <f t="shared" si="52"/>
        <v>0</v>
      </c>
      <c r="AX31" s="20">
        <f t="shared" si="52"/>
        <v>0</v>
      </c>
      <c r="AY31" s="20">
        <f t="shared" si="52"/>
        <v>0</v>
      </c>
      <c r="BA31" s="20">
        <f t="shared" si="47"/>
        <v>0</v>
      </c>
      <c r="BB31" s="20">
        <f t="shared" si="48"/>
        <v>0</v>
      </c>
      <c r="BC31" s="20">
        <f t="shared" si="49"/>
        <v>0</v>
      </c>
      <c r="BD31" s="20">
        <f t="shared" si="50"/>
        <v>0</v>
      </c>
    </row>
    <row r="32" spans="1:56" ht="15" x14ac:dyDescent="0.25">
      <c r="A32" s="1"/>
      <c r="B32" s="2"/>
      <c r="C32" s="1" t="s">
        <v>10</v>
      </c>
      <c r="D32" s="14">
        <v>0.26900000000000002</v>
      </c>
      <c r="F32" s="89">
        <v>2.6000000000000023E-2</v>
      </c>
      <c r="H32" s="20"/>
      <c r="I32" s="20"/>
      <c r="J32" s="147">
        <v>0.23815294929913844</v>
      </c>
      <c r="K32" s="197">
        <v>0.49</v>
      </c>
      <c r="L32" s="197">
        <v>2.42</v>
      </c>
      <c r="M32" s="197">
        <v>0.50078889239507718</v>
      </c>
      <c r="N32" s="197">
        <v>0.75268470790377973</v>
      </c>
      <c r="O32" s="216">
        <v>2.6361893074862752E-2</v>
      </c>
      <c r="P32" s="217">
        <v>5.6499999999999995E-2</v>
      </c>
      <c r="Q32" s="217">
        <v>1.25</v>
      </c>
      <c r="R32" s="217">
        <v>0.50078889239507718</v>
      </c>
      <c r="S32" s="217">
        <v>0.75268470790377973</v>
      </c>
      <c r="U32" s="20">
        <f t="shared" si="35"/>
        <v>0.29472656596441293</v>
      </c>
      <c r="V32" s="20">
        <f t="shared" si="36"/>
        <v>0.19481763018825529</v>
      </c>
      <c r="W32" s="20">
        <f t="shared" si="37"/>
        <v>0.19481763018825529</v>
      </c>
      <c r="X32" s="20">
        <f t="shared" si="38"/>
        <v>0.23227036788508215</v>
      </c>
      <c r="Y32" s="20">
        <f t="shared" si="39"/>
        <v>0.23227036788508215</v>
      </c>
      <c r="Z32" s="20">
        <f t="shared" si="40"/>
        <v>1.487262482171527</v>
      </c>
      <c r="AA32" s="20">
        <f t="shared" si="41"/>
        <v>1.2374929834540493</v>
      </c>
      <c r="AB32" s="20">
        <f t="shared" si="42"/>
        <v>1.2374929834540493</v>
      </c>
      <c r="AC32" s="20">
        <f t="shared" si="43"/>
        <v>1.4753949642254092</v>
      </c>
      <c r="AD32" s="20">
        <f t="shared" si="44"/>
        <v>1.4753949642254092</v>
      </c>
      <c r="AE32" s="191"/>
      <c r="AF32" s="20">
        <f t="shared" si="51"/>
        <v>0.18706222525760213</v>
      </c>
      <c r="AG32" s="20">
        <f t="shared" si="51"/>
        <v>0.25878227052704611</v>
      </c>
      <c r="AH32" s="20">
        <f t="shared" si="51"/>
        <v>0.24194460412405958</v>
      </c>
      <c r="AI32" s="20">
        <f t="shared" si="51"/>
        <v>0.33786947819070384</v>
      </c>
      <c r="AJ32" s="20">
        <f t="shared" si="51"/>
        <v>0.2788194571499425</v>
      </c>
      <c r="AK32" s="20">
        <f t="shared" si="51"/>
        <v>0.20728712742608477</v>
      </c>
      <c r="AL32" s="20">
        <f t="shared" si="51"/>
        <v>0.24514214114796459</v>
      </c>
      <c r="AM32" s="20">
        <f t="shared" si="51"/>
        <v>0.21560038534147796</v>
      </c>
      <c r="AN32" s="20">
        <f t="shared" si="51"/>
        <v>0.20085424927726855</v>
      </c>
      <c r="AO32" s="20">
        <f t="shared" si="51"/>
        <v>0.14934174040867124</v>
      </c>
      <c r="AP32" s="20">
        <f t="shared" si="52"/>
        <v>1.1882301976566128</v>
      </c>
      <c r="AQ32" s="20">
        <f t="shared" si="52"/>
        <v>1.6438001207081367</v>
      </c>
      <c r="AR32" s="20">
        <f t="shared" si="52"/>
        <v>1.5368462787416721</v>
      </c>
      <c r="AS32" s="20">
        <f t="shared" si="52"/>
        <v>2.1461666902541099</v>
      </c>
      <c r="AT32" s="20">
        <f t="shared" si="52"/>
        <v>1.771077502277931</v>
      </c>
      <c r="AU32" s="20">
        <f t="shared" si="52"/>
        <v>1.3166999593530093</v>
      </c>
      <c r="AV32" s="20">
        <f t="shared" si="52"/>
        <v>1.5571572209679652</v>
      </c>
      <c r="AW32" s="20">
        <f t="shared" si="52"/>
        <v>1.3695062599429602</v>
      </c>
      <c r="AX32" s="20">
        <f t="shared" si="52"/>
        <v>1.2758379410393565</v>
      </c>
      <c r="AY32" s="20">
        <f t="shared" si="52"/>
        <v>0.9486274713123376</v>
      </c>
      <c r="BA32" s="20">
        <f t="shared" si="47"/>
        <v>4.006612318983015E-3</v>
      </c>
      <c r="BB32" s="20">
        <f t="shared" si="48"/>
        <v>2.6484165569302305E-3</v>
      </c>
      <c r="BC32" s="20">
        <f t="shared" si="49"/>
        <v>2.6484165569302305E-3</v>
      </c>
      <c r="BD32" s="20">
        <f t="shared" si="50"/>
        <v>3.1575617021760275E-3</v>
      </c>
    </row>
    <row r="33" spans="1:56" ht="15" x14ac:dyDescent="0.25">
      <c r="A33" s="1"/>
      <c r="B33" s="2"/>
      <c r="C33" s="1" t="s">
        <v>11</v>
      </c>
      <c r="D33" s="14">
        <v>0</v>
      </c>
      <c r="F33" s="89">
        <v>0</v>
      </c>
      <c r="H33" s="20"/>
      <c r="I33" s="20"/>
      <c r="J33" s="147"/>
      <c r="K33" s="197">
        <v>0.49</v>
      </c>
      <c r="L33" s="197">
        <v>2.42</v>
      </c>
      <c r="M33" s="197">
        <v>0.50078889239507718</v>
      </c>
      <c r="N33" s="197">
        <v>0.75268470790377973</v>
      </c>
      <c r="O33" s="216">
        <v>3.2149190766483676E-2</v>
      </c>
      <c r="P33" s="217">
        <v>5.6499999999999995E-2</v>
      </c>
      <c r="Q33" s="217">
        <v>1.25</v>
      </c>
      <c r="R33" s="217">
        <v>0.50078889239507718</v>
      </c>
      <c r="S33" s="217">
        <v>0.75268470790377973</v>
      </c>
      <c r="U33" s="20">
        <f t="shared" si="35"/>
        <v>0</v>
      </c>
      <c r="V33" s="20">
        <f t="shared" si="36"/>
        <v>0</v>
      </c>
      <c r="W33" s="20">
        <f t="shared" si="37"/>
        <v>0</v>
      </c>
      <c r="X33" s="20">
        <f t="shared" si="38"/>
        <v>0</v>
      </c>
      <c r="Y33" s="20">
        <f t="shared" si="39"/>
        <v>0</v>
      </c>
      <c r="Z33" s="20">
        <f t="shared" si="40"/>
        <v>0</v>
      </c>
      <c r="AA33" s="20">
        <f t="shared" si="41"/>
        <v>0</v>
      </c>
      <c r="AB33" s="20">
        <f t="shared" si="42"/>
        <v>0</v>
      </c>
      <c r="AC33" s="20">
        <f t="shared" si="43"/>
        <v>0</v>
      </c>
      <c r="AD33" s="20">
        <f t="shared" si="44"/>
        <v>0</v>
      </c>
      <c r="AE33" s="191"/>
      <c r="AF33" s="20">
        <f t="shared" si="51"/>
        <v>0</v>
      </c>
      <c r="AG33" s="20">
        <f t="shared" si="51"/>
        <v>0</v>
      </c>
      <c r="AH33" s="20">
        <f t="shared" si="51"/>
        <v>0</v>
      </c>
      <c r="AI33" s="20">
        <f t="shared" si="51"/>
        <v>0</v>
      </c>
      <c r="AJ33" s="20">
        <f t="shared" si="51"/>
        <v>0</v>
      </c>
      <c r="AK33" s="20">
        <f t="shared" si="51"/>
        <v>0</v>
      </c>
      <c r="AL33" s="20">
        <f t="shared" si="51"/>
        <v>0</v>
      </c>
      <c r="AM33" s="20">
        <f t="shared" si="51"/>
        <v>0</v>
      </c>
      <c r="AN33" s="20">
        <f t="shared" si="51"/>
        <v>0</v>
      </c>
      <c r="AO33" s="20">
        <f t="shared" si="51"/>
        <v>0</v>
      </c>
      <c r="AP33" s="20">
        <f t="shared" si="52"/>
        <v>0</v>
      </c>
      <c r="AQ33" s="20">
        <f t="shared" si="52"/>
        <v>0</v>
      </c>
      <c r="AR33" s="20">
        <f t="shared" si="52"/>
        <v>0</v>
      </c>
      <c r="AS33" s="20">
        <f t="shared" si="52"/>
        <v>0</v>
      </c>
      <c r="AT33" s="20">
        <f t="shared" si="52"/>
        <v>0</v>
      </c>
      <c r="AU33" s="20">
        <f t="shared" si="52"/>
        <v>0</v>
      </c>
      <c r="AV33" s="20">
        <f t="shared" si="52"/>
        <v>0</v>
      </c>
      <c r="AW33" s="20">
        <f t="shared" si="52"/>
        <v>0</v>
      </c>
      <c r="AX33" s="20">
        <f t="shared" si="52"/>
        <v>0</v>
      </c>
      <c r="AY33" s="20">
        <f t="shared" si="52"/>
        <v>0</v>
      </c>
      <c r="BA33" s="20">
        <f t="shared" si="47"/>
        <v>0</v>
      </c>
      <c r="BB33" s="20">
        <f t="shared" si="48"/>
        <v>0</v>
      </c>
      <c r="BC33" s="20">
        <f t="shared" si="49"/>
        <v>0</v>
      </c>
      <c r="BD33" s="20">
        <f t="shared" si="50"/>
        <v>0</v>
      </c>
    </row>
    <row r="34" spans="1:56" ht="15" x14ac:dyDescent="0.25">
      <c r="A34" s="1"/>
      <c r="B34" s="2"/>
      <c r="C34" s="1" t="s">
        <v>12</v>
      </c>
      <c r="D34" s="14">
        <v>0</v>
      </c>
      <c r="F34" s="89">
        <v>0</v>
      </c>
      <c r="H34" s="20"/>
      <c r="I34" s="20"/>
      <c r="J34" s="147"/>
      <c r="K34" s="197">
        <v>0.49</v>
      </c>
      <c r="L34" s="197">
        <v>2.42</v>
      </c>
      <c r="M34" s="197">
        <v>0.50078889239507718</v>
      </c>
      <c r="N34" s="197">
        <v>0.75268470790377973</v>
      </c>
      <c r="O34" s="216">
        <v>3.2149190766483676E-2</v>
      </c>
      <c r="P34" s="217">
        <v>5.6499999999999995E-2</v>
      </c>
      <c r="Q34" s="217">
        <v>1.25</v>
      </c>
      <c r="R34" s="217">
        <v>0.50078889239507718</v>
      </c>
      <c r="S34" s="217">
        <v>0.75268470790377973</v>
      </c>
      <c r="U34" s="20">
        <f t="shared" si="35"/>
        <v>0</v>
      </c>
      <c r="V34" s="20">
        <f t="shared" si="36"/>
        <v>0</v>
      </c>
      <c r="W34" s="20">
        <f t="shared" si="37"/>
        <v>0</v>
      </c>
      <c r="X34" s="20">
        <f t="shared" si="38"/>
        <v>0</v>
      </c>
      <c r="Y34" s="20">
        <f t="shared" si="39"/>
        <v>0</v>
      </c>
      <c r="Z34" s="20">
        <f t="shared" si="40"/>
        <v>0</v>
      </c>
      <c r="AA34" s="20">
        <f t="shared" si="41"/>
        <v>0</v>
      </c>
      <c r="AB34" s="20">
        <f t="shared" si="42"/>
        <v>0</v>
      </c>
      <c r="AC34" s="20">
        <f t="shared" si="43"/>
        <v>0</v>
      </c>
      <c r="AD34" s="20">
        <f t="shared" si="44"/>
        <v>0</v>
      </c>
      <c r="AE34" s="191"/>
      <c r="AF34" s="20">
        <f t="shared" si="51"/>
        <v>0</v>
      </c>
      <c r="AG34" s="20">
        <f t="shared" si="51"/>
        <v>0</v>
      </c>
      <c r="AH34" s="20">
        <f t="shared" si="51"/>
        <v>0</v>
      </c>
      <c r="AI34" s="20">
        <f t="shared" si="51"/>
        <v>0</v>
      </c>
      <c r="AJ34" s="20">
        <f t="shared" si="51"/>
        <v>0</v>
      </c>
      <c r="AK34" s="20">
        <f t="shared" si="51"/>
        <v>0</v>
      </c>
      <c r="AL34" s="20">
        <f t="shared" si="51"/>
        <v>0</v>
      </c>
      <c r="AM34" s="20">
        <f t="shared" si="51"/>
        <v>0</v>
      </c>
      <c r="AN34" s="20">
        <f t="shared" si="51"/>
        <v>0</v>
      </c>
      <c r="AO34" s="20">
        <f t="shared" si="51"/>
        <v>0</v>
      </c>
      <c r="AP34" s="20">
        <f t="shared" si="52"/>
        <v>0</v>
      </c>
      <c r="AQ34" s="20">
        <f t="shared" si="52"/>
        <v>0</v>
      </c>
      <c r="AR34" s="20">
        <f t="shared" si="52"/>
        <v>0</v>
      </c>
      <c r="AS34" s="20">
        <f t="shared" si="52"/>
        <v>0</v>
      </c>
      <c r="AT34" s="20">
        <f t="shared" si="52"/>
        <v>0</v>
      </c>
      <c r="AU34" s="20">
        <f t="shared" si="52"/>
        <v>0</v>
      </c>
      <c r="AV34" s="20">
        <f t="shared" si="52"/>
        <v>0</v>
      </c>
      <c r="AW34" s="20">
        <f t="shared" si="52"/>
        <v>0</v>
      </c>
      <c r="AX34" s="20">
        <f t="shared" si="52"/>
        <v>0</v>
      </c>
      <c r="AY34" s="20">
        <f t="shared" si="52"/>
        <v>0</v>
      </c>
      <c r="BA34" s="20">
        <f t="shared" si="47"/>
        <v>0</v>
      </c>
      <c r="BB34" s="20">
        <f t="shared" si="48"/>
        <v>0</v>
      </c>
      <c r="BC34" s="20">
        <f t="shared" si="49"/>
        <v>0</v>
      </c>
      <c r="BD34" s="20">
        <f t="shared" si="50"/>
        <v>0</v>
      </c>
    </row>
    <row r="35" spans="1:56" ht="15" x14ac:dyDescent="0.25">
      <c r="A35" s="1"/>
      <c r="B35" s="2"/>
      <c r="C35" s="1" t="s">
        <v>13</v>
      </c>
      <c r="D35" s="14">
        <v>0</v>
      </c>
      <c r="F35" s="89">
        <v>0</v>
      </c>
      <c r="H35" s="20"/>
      <c r="I35" s="20"/>
      <c r="J35" s="147"/>
      <c r="K35" s="197">
        <v>0.49</v>
      </c>
      <c r="L35" s="197">
        <v>2.42</v>
      </c>
      <c r="M35" s="197">
        <v>0.50078889239507718</v>
      </c>
      <c r="N35" s="197">
        <v>0.75268470790377973</v>
      </c>
      <c r="O35" s="216">
        <v>3.2149190766483676E-2</v>
      </c>
      <c r="P35" s="217">
        <v>5.6499999999999995E-2</v>
      </c>
      <c r="Q35" s="217">
        <v>1.25</v>
      </c>
      <c r="R35" s="217">
        <v>0.50078889239507718</v>
      </c>
      <c r="S35" s="217">
        <v>0.75268470790377973</v>
      </c>
      <c r="U35" s="20">
        <f t="shared" si="35"/>
        <v>0</v>
      </c>
      <c r="V35" s="20">
        <f t="shared" si="36"/>
        <v>0</v>
      </c>
      <c r="W35" s="20">
        <f t="shared" si="37"/>
        <v>0</v>
      </c>
      <c r="X35" s="20">
        <f t="shared" si="38"/>
        <v>0</v>
      </c>
      <c r="Y35" s="20">
        <f t="shared" si="39"/>
        <v>0</v>
      </c>
      <c r="Z35" s="20">
        <f t="shared" si="40"/>
        <v>0</v>
      </c>
      <c r="AA35" s="20">
        <f t="shared" si="41"/>
        <v>0</v>
      </c>
      <c r="AB35" s="20">
        <f t="shared" si="42"/>
        <v>0</v>
      </c>
      <c r="AC35" s="20">
        <f t="shared" si="43"/>
        <v>0</v>
      </c>
      <c r="AD35" s="20">
        <f t="shared" si="44"/>
        <v>0</v>
      </c>
      <c r="AE35" s="191"/>
      <c r="AF35" s="20">
        <f t="shared" si="51"/>
        <v>0</v>
      </c>
      <c r="AG35" s="20">
        <f t="shared" si="51"/>
        <v>0</v>
      </c>
      <c r="AH35" s="20">
        <f t="shared" si="51"/>
        <v>0</v>
      </c>
      <c r="AI35" s="20">
        <f t="shared" si="51"/>
        <v>0</v>
      </c>
      <c r="AJ35" s="20">
        <f t="shared" si="51"/>
        <v>0</v>
      </c>
      <c r="AK35" s="20">
        <f t="shared" si="51"/>
        <v>0</v>
      </c>
      <c r="AL35" s="20">
        <f t="shared" si="51"/>
        <v>0</v>
      </c>
      <c r="AM35" s="20">
        <f t="shared" si="51"/>
        <v>0</v>
      </c>
      <c r="AN35" s="20">
        <f t="shared" si="51"/>
        <v>0</v>
      </c>
      <c r="AO35" s="20">
        <f t="shared" si="51"/>
        <v>0</v>
      </c>
      <c r="AP35" s="20">
        <f t="shared" si="52"/>
        <v>0</v>
      </c>
      <c r="AQ35" s="20">
        <f t="shared" si="52"/>
        <v>0</v>
      </c>
      <c r="AR35" s="20">
        <f t="shared" si="52"/>
        <v>0</v>
      </c>
      <c r="AS35" s="20">
        <f t="shared" si="52"/>
        <v>0</v>
      </c>
      <c r="AT35" s="20">
        <f t="shared" si="52"/>
        <v>0</v>
      </c>
      <c r="AU35" s="20">
        <f t="shared" si="52"/>
        <v>0</v>
      </c>
      <c r="AV35" s="20">
        <f t="shared" si="52"/>
        <v>0</v>
      </c>
      <c r="AW35" s="20">
        <f t="shared" si="52"/>
        <v>0</v>
      </c>
      <c r="AX35" s="20">
        <f t="shared" si="52"/>
        <v>0</v>
      </c>
      <c r="AY35" s="20">
        <f t="shared" si="52"/>
        <v>0</v>
      </c>
      <c r="BA35" s="20">
        <f t="shared" si="47"/>
        <v>0</v>
      </c>
      <c r="BB35" s="20">
        <f t="shared" si="48"/>
        <v>0</v>
      </c>
      <c r="BC35" s="20">
        <f t="shared" si="49"/>
        <v>0</v>
      </c>
      <c r="BD35" s="20">
        <f t="shared" si="50"/>
        <v>0</v>
      </c>
    </row>
    <row r="36" spans="1:56" ht="15" x14ac:dyDescent="0.25">
      <c r="A36" s="7"/>
      <c r="B36" s="8" t="s">
        <v>14</v>
      </c>
      <c r="C36" s="7"/>
      <c r="D36" s="14">
        <f>SUM(D30:D35)</f>
        <v>9.3040000000000003</v>
      </c>
      <c r="F36" s="14">
        <v>4.4029999999999996</v>
      </c>
      <c r="H36" s="20"/>
      <c r="I36" s="20"/>
      <c r="J36" s="147"/>
      <c r="K36" s="197"/>
      <c r="L36" s="197"/>
      <c r="M36" s="197"/>
      <c r="N36" s="197"/>
      <c r="O36" s="197"/>
      <c r="P36" s="197"/>
      <c r="Q36" s="197"/>
      <c r="R36" s="197"/>
      <c r="S36" s="197"/>
    </row>
    <row r="37" spans="1:56" ht="15" x14ac:dyDescent="0.25">
      <c r="A37" s="5"/>
      <c r="B37" s="9" t="s">
        <v>15</v>
      </c>
      <c r="C37" s="5"/>
      <c r="D37" s="14">
        <f>SUM(D36)</f>
        <v>9.3040000000000003</v>
      </c>
      <c r="F37" s="14">
        <v>4.4029999999999996</v>
      </c>
      <c r="H37" s="20"/>
      <c r="I37" s="20"/>
      <c r="J37" s="147"/>
      <c r="K37" s="197"/>
      <c r="L37" s="197"/>
      <c r="M37" s="197"/>
      <c r="N37" s="197"/>
      <c r="O37" s="197"/>
      <c r="P37" s="197"/>
      <c r="Q37" s="197"/>
      <c r="R37" s="197"/>
      <c r="S37" s="197"/>
    </row>
    <row r="38" spans="1:56" ht="15.75" x14ac:dyDescent="0.25">
      <c r="A38" s="1"/>
      <c r="B38" s="2"/>
      <c r="C38" s="1"/>
      <c r="D38" s="87"/>
      <c r="F38" s="87"/>
      <c r="H38" s="20"/>
      <c r="I38" s="20"/>
      <c r="J38" s="147"/>
      <c r="K38" s="197"/>
      <c r="L38" s="197"/>
      <c r="M38" s="197"/>
      <c r="N38" s="197"/>
      <c r="O38" s="197"/>
      <c r="P38" s="197"/>
      <c r="Q38" s="197"/>
      <c r="R38" s="197"/>
      <c r="S38" s="197"/>
    </row>
    <row r="39" spans="1:56" ht="15" x14ac:dyDescent="0.25">
      <c r="A39" s="1">
        <v>4</v>
      </c>
      <c r="B39" s="2" t="s">
        <v>18</v>
      </c>
      <c r="C39" s="1" t="s">
        <v>8</v>
      </c>
      <c r="D39" s="14">
        <v>22.667999999999999</v>
      </c>
      <c r="F39" s="89">
        <v>4.1389999999999993</v>
      </c>
      <c r="H39" s="20"/>
      <c r="I39" s="20"/>
      <c r="J39" s="147">
        <v>0.36350745314643695</v>
      </c>
      <c r="K39" s="197">
        <v>0.19500000000000001</v>
      </c>
      <c r="L39" s="197">
        <v>1.22</v>
      </c>
      <c r="M39" s="197">
        <v>0.4144562334217507</v>
      </c>
      <c r="N39" s="197">
        <v>0.6566321730950142</v>
      </c>
      <c r="O39" s="216">
        <v>1.4787297691620922E-2</v>
      </c>
      <c r="P39" s="217">
        <v>5.6499999999999995E-2</v>
      </c>
      <c r="Q39" s="217">
        <v>1.25</v>
      </c>
      <c r="R39" s="217">
        <v>0.50078889239507718</v>
      </c>
      <c r="S39" s="217">
        <v>0.75268470790377973</v>
      </c>
      <c r="U39" s="20">
        <f t="shared" ref="U39:U44" si="53">IF(F39&gt;0,((D39-F39)*$J39*$K39*10)+(F39*$H$12*$J39*$K39*10),(D39*$J39*$K39*10))</f>
        <v>14.213030600748292</v>
      </c>
      <c r="V39" s="20">
        <f t="shared" ref="V39:V44" si="54">U39*(EXP(1.01-0.34*LN(V$10))*(1-$M39)+(1*$M39))</f>
        <v>8.5617501238676468</v>
      </c>
      <c r="W39" s="20">
        <f t="shared" ref="W39:W44" si="55">SUM(V39:V39)</f>
        <v>8.5617501238676468</v>
      </c>
      <c r="X39" s="20">
        <f t="shared" ref="X39:X44" si="56">V39*$Y$1</f>
        <v>10.207704760032403</v>
      </c>
      <c r="Y39" s="20">
        <f t="shared" ref="Y39:Y44" si="57">SUM(X39:X39)</f>
        <v>10.207704760032403</v>
      </c>
      <c r="Z39" s="20">
        <f t="shared" ref="Z39:Z44" si="58">IF(F39&gt;0,((D39-F39)*$J39*$L39*10)+(F39*$I$12*$J39*$L39)*10,(D39*$J39*$L39*10))</f>
        <v>92.802523176370983</v>
      </c>
      <c r="AA39" s="20">
        <f t="shared" ref="AA39:AA44" si="59">Z39*(EXP(1.01-0.34*LN(AA$10))*(1-$N39)+(1*$N39))</f>
        <v>71.164369880257354</v>
      </c>
      <c r="AB39" s="20">
        <f t="shared" ref="AB39:AB44" si="60">SUM(AA39:AA39)</f>
        <v>71.164369880257354</v>
      </c>
      <c r="AC39" s="20">
        <f t="shared" ref="AC39:AC44" si="61">AA39*$Y$1</f>
        <v>84.845372343482694</v>
      </c>
      <c r="AD39" s="20">
        <f t="shared" ref="AD39:AD44" si="62">SUM(AC39:AC39)</f>
        <v>84.845372343482694</v>
      </c>
      <c r="AE39" s="191"/>
      <c r="AF39" s="20">
        <f>$W39*AF$6</f>
        <v>8.2209193732754127</v>
      </c>
      <c r="AG39" s="20">
        <f t="shared" ref="AG39:AO39" si="63">$W39*AG$6</f>
        <v>11.372836917268172</v>
      </c>
      <c r="AH39" s="20">
        <f t="shared" si="63"/>
        <v>10.632863372409279</v>
      </c>
      <c r="AI39" s="20">
        <f t="shared" si="63"/>
        <v>14.848522918357251</v>
      </c>
      <c r="AJ39" s="20">
        <f t="shared" si="63"/>
        <v>12.253421415112477</v>
      </c>
      <c r="AK39" s="20">
        <f t="shared" si="63"/>
        <v>9.10975350229592</v>
      </c>
      <c r="AL39" s="20">
        <f t="shared" si="63"/>
        <v>10.773387168864639</v>
      </c>
      <c r="AM39" s="20">
        <f t="shared" si="63"/>
        <v>9.4751005035815989</v>
      </c>
      <c r="AN39" s="20">
        <f t="shared" si="63"/>
        <v>8.8270445132058093</v>
      </c>
      <c r="AO39" s="20">
        <f t="shared" si="63"/>
        <v>6.5631979159534701</v>
      </c>
      <c r="AP39" s="20">
        <f>$AB39*AP$6</f>
        <v>68.331420395537435</v>
      </c>
      <c r="AQ39" s="20">
        <f t="shared" ref="AQ39:AY39" si="64">$AB39*AQ$6</f>
        <v>94.529828745190002</v>
      </c>
      <c r="AR39" s="20">
        <f t="shared" si="64"/>
        <v>88.379246178999068</v>
      </c>
      <c r="AS39" s="20">
        <f t="shared" si="64"/>
        <v>123.41936658390951</v>
      </c>
      <c r="AT39" s="20">
        <f t="shared" si="64"/>
        <v>101.8491548185728</v>
      </c>
      <c r="AU39" s="20">
        <f t="shared" si="64"/>
        <v>75.719316538813104</v>
      </c>
      <c r="AV39" s="20">
        <f t="shared" si="64"/>
        <v>89.5472652502459</v>
      </c>
      <c r="AW39" s="20">
        <f t="shared" si="64"/>
        <v>78.756042530343436</v>
      </c>
      <c r="AX39" s="20">
        <f t="shared" si="64"/>
        <v>73.369469045367012</v>
      </c>
      <c r="AY39" s="20">
        <f t="shared" si="64"/>
        <v>54.552613347848641</v>
      </c>
      <c r="BA39" s="20">
        <f t="shared" ref="BA39:BA44" si="65">D39*$O39*$P39*10</f>
        <v>0.18938713220161962</v>
      </c>
      <c r="BB39" s="20">
        <f t="shared" ref="BB39:BB44" si="66">BA39*(EXP(1.01-0.34*LN(BB$10))*(1-$R39)+(1*$R39))</f>
        <v>0.12518705995483415</v>
      </c>
      <c r="BC39" s="20">
        <f t="shared" ref="BC39:BC44" si="67">SUM(BB39:BB39)</f>
        <v>0.12518705995483415</v>
      </c>
      <c r="BD39" s="20">
        <f t="shared" ref="BD39:BD44" si="68">BC39*BD$6</f>
        <v>0.14925366067774959</v>
      </c>
    </row>
    <row r="40" spans="1:56" ht="15" x14ac:dyDescent="0.25">
      <c r="A40" s="1"/>
      <c r="B40" s="2"/>
      <c r="C40" s="1" t="s">
        <v>9</v>
      </c>
      <c r="D40" s="14">
        <v>0.09</v>
      </c>
      <c r="F40" s="89">
        <v>4.5999999999999999E-2</v>
      </c>
      <c r="H40" s="20"/>
      <c r="I40" s="20"/>
      <c r="J40" s="147">
        <v>0.36701490629287387</v>
      </c>
      <c r="K40" s="197">
        <v>0.19500000000000001</v>
      </c>
      <c r="L40" s="197">
        <v>1.22</v>
      </c>
      <c r="M40" s="197">
        <v>0.4144562334217507</v>
      </c>
      <c r="N40" s="197">
        <v>0.6566321730950142</v>
      </c>
      <c r="O40" s="216">
        <v>2.0574595383241839E-2</v>
      </c>
      <c r="P40" s="217">
        <v>5.6499999999999995E-2</v>
      </c>
      <c r="Q40" s="217">
        <v>1.25</v>
      </c>
      <c r="R40" s="217">
        <v>0.50078889239507718</v>
      </c>
      <c r="S40" s="217">
        <v>0.75268470790377973</v>
      </c>
      <c r="U40" s="20">
        <f t="shared" si="53"/>
        <v>4.3596731231947496E-2</v>
      </c>
      <c r="V40" s="20">
        <f t="shared" si="54"/>
        <v>2.6262120269107084E-2</v>
      </c>
      <c r="W40" s="20">
        <f t="shared" si="55"/>
        <v>2.6262120269107084E-2</v>
      </c>
      <c r="X40" s="20">
        <f t="shared" si="56"/>
        <v>3.1310884597319733E-2</v>
      </c>
      <c r="Y40" s="20">
        <f t="shared" si="57"/>
        <v>3.1310884597319733E-2</v>
      </c>
      <c r="Z40" s="20">
        <f t="shared" si="58"/>
        <v>0.31629633362721876</v>
      </c>
      <c r="AA40" s="20">
        <f t="shared" si="59"/>
        <v>0.24254760008236326</v>
      </c>
      <c r="AB40" s="20">
        <f t="shared" si="60"/>
        <v>0.24254760008236326</v>
      </c>
      <c r="AC40" s="20">
        <f t="shared" si="61"/>
        <v>0.28917619132485772</v>
      </c>
      <c r="AD40" s="20">
        <f t="shared" si="62"/>
        <v>0.28917619132485772</v>
      </c>
      <c r="AE40" s="191"/>
      <c r="AF40" s="20">
        <f t="shared" ref="AF40:AO44" si="69">$W40*AF$6</f>
        <v>2.521666367040179E-2</v>
      </c>
      <c r="AG40" s="20">
        <f t="shared" si="69"/>
        <v>3.4884784839681326E-2</v>
      </c>
      <c r="AH40" s="20">
        <f t="shared" si="69"/>
        <v>3.2615006587584539E-2</v>
      </c>
      <c r="AI40" s="20">
        <f t="shared" si="69"/>
        <v>4.554602611134545E-2</v>
      </c>
      <c r="AJ40" s="20">
        <f t="shared" si="69"/>
        <v>3.7585869974720465E-2</v>
      </c>
      <c r="AK40" s="20">
        <f t="shared" si="69"/>
        <v>2.7943053539051552E-2</v>
      </c>
      <c r="AL40" s="20">
        <f t="shared" si="69"/>
        <v>3.3046046128541742E-2</v>
      </c>
      <c r="AM40" s="20">
        <f t="shared" si="69"/>
        <v>2.9063710735174886E-2</v>
      </c>
      <c r="AN40" s="20">
        <f t="shared" si="69"/>
        <v>2.7075878327765635E-2</v>
      </c>
      <c r="AO40" s="20">
        <f t="shared" si="69"/>
        <v>2.0131806058929957E-2</v>
      </c>
      <c r="AP40" s="20">
        <f t="shared" ref="AP40:AY44" si="70">$AB40*AP$6</f>
        <v>0.23289213485686411</v>
      </c>
      <c r="AQ40" s="20">
        <f t="shared" si="70"/>
        <v>0.32218346255186031</v>
      </c>
      <c r="AR40" s="20">
        <f t="shared" si="70"/>
        <v>0.30122059808684526</v>
      </c>
      <c r="AS40" s="20">
        <f t="shared" si="70"/>
        <v>0.4206468942109941</v>
      </c>
      <c r="AT40" s="20">
        <f t="shared" si="70"/>
        <v>0.34712972395073727</v>
      </c>
      <c r="AU40" s="20">
        <f t="shared" si="70"/>
        <v>0.25807210177323497</v>
      </c>
      <c r="AV40" s="20">
        <f t="shared" si="70"/>
        <v>0.30520152594523897</v>
      </c>
      <c r="AW40" s="20">
        <f t="shared" si="70"/>
        <v>0.26842209296394959</v>
      </c>
      <c r="AX40" s="20">
        <f t="shared" si="70"/>
        <v>0.25006318001851535</v>
      </c>
      <c r="AY40" s="20">
        <f t="shared" si="70"/>
        <v>0.18593019889033738</v>
      </c>
      <c r="BA40" s="20">
        <f t="shared" si="65"/>
        <v>1.0462181752378475E-3</v>
      </c>
      <c r="BB40" s="20">
        <f t="shared" si="66"/>
        <v>6.91562176937687E-4</v>
      </c>
      <c r="BC40" s="20">
        <f t="shared" si="67"/>
        <v>6.91562176937687E-4</v>
      </c>
      <c r="BD40" s="20">
        <f t="shared" si="68"/>
        <v>8.2451162709199443E-4</v>
      </c>
    </row>
    <row r="41" spans="1:56" ht="15" x14ac:dyDescent="0.25">
      <c r="A41" s="1"/>
      <c r="B41" s="2"/>
      <c r="C41" s="1" t="s">
        <v>10</v>
      </c>
      <c r="D41" s="14">
        <v>1.0580000000000001</v>
      </c>
      <c r="F41" s="89">
        <v>-6.6000000000000059E-2</v>
      </c>
      <c r="H41" s="20"/>
      <c r="I41" s="20"/>
      <c r="J41" s="147">
        <v>0.37052235943931078</v>
      </c>
      <c r="K41" s="197">
        <v>0.19500000000000001</v>
      </c>
      <c r="L41" s="197">
        <v>1.22</v>
      </c>
      <c r="M41" s="197">
        <v>0.4144562334217507</v>
      </c>
      <c r="N41" s="197">
        <v>0.6566321730950142</v>
      </c>
      <c r="O41" s="216">
        <v>2.6361893074862752E-2</v>
      </c>
      <c r="P41" s="217">
        <v>5.6499999999999995E-2</v>
      </c>
      <c r="Q41" s="217">
        <v>1.25</v>
      </c>
      <c r="R41" s="217">
        <v>0.50078889239507718</v>
      </c>
      <c r="S41" s="217">
        <v>0.75268470790377973</v>
      </c>
      <c r="U41" s="20">
        <f t="shared" si="53"/>
        <v>0.76442467975924222</v>
      </c>
      <c r="V41" s="20">
        <f t="shared" si="54"/>
        <v>0.4604797724330239</v>
      </c>
      <c r="W41" s="20">
        <f t="shared" si="55"/>
        <v>0.4604797724330239</v>
      </c>
      <c r="X41" s="20">
        <f t="shared" si="56"/>
        <v>0.54900475918583103</v>
      </c>
      <c r="Y41" s="20">
        <f t="shared" si="57"/>
        <v>0.54900475918583103</v>
      </c>
      <c r="Z41" s="20">
        <f t="shared" si="58"/>
        <v>4.7825544066988481</v>
      </c>
      <c r="AA41" s="20">
        <f t="shared" si="59"/>
        <v>3.6674376851148969</v>
      </c>
      <c r="AB41" s="20">
        <f t="shared" si="60"/>
        <v>3.6674376851148969</v>
      </c>
      <c r="AC41" s="20">
        <f t="shared" si="61"/>
        <v>4.3724846642170307</v>
      </c>
      <c r="AD41" s="20">
        <f t="shared" si="62"/>
        <v>4.3724846642170307</v>
      </c>
      <c r="AE41" s="191"/>
      <c r="AF41" s="20">
        <f t="shared" si="69"/>
        <v>0.44214874615915845</v>
      </c>
      <c r="AG41" s="20">
        <f t="shared" si="69"/>
        <v>0.61166949278073757</v>
      </c>
      <c r="AH41" s="20">
        <f t="shared" si="69"/>
        <v>0.57187122202845408</v>
      </c>
      <c r="AI41" s="20">
        <f t="shared" si="69"/>
        <v>0.79860359803667924</v>
      </c>
      <c r="AJ41" s="20">
        <f t="shared" si="69"/>
        <v>0.65903029440527972</v>
      </c>
      <c r="AK41" s="20">
        <f t="shared" si="69"/>
        <v>0.48995324074737201</v>
      </c>
      <c r="AL41" s="20">
        <f t="shared" si="69"/>
        <v>0.57942906532883276</v>
      </c>
      <c r="AM41" s="20">
        <f t="shared" si="69"/>
        <v>0.50960283359663394</v>
      </c>
      <c r="AN41" s="20">
        <f t="shared" si="69"/>
        <v>0.47474819866163354</v>
      </c>
      <c r="AO41" s="20">
        <f t="shared" si="69"/>
        <v>0.35299090011352802</v>
      </c>
      <c r="AP41" s="20">
        <f t="shared" si="70"/>
        <v>3.5214423546177605</v>
      </c>
      <c r="AQ41" s="20">
        <f t="shared" si="70"/>
        <v>4.8715706594592501</v>
      </c>
      <c r="AR41" s="20">
        <f t="shared" si="70"/>
        <v>4.5546019526946981</v>
      </c>
      <c r="AS41" s="20">
        <f t="shared" si="70"/>
        <v>6.3603856374257139</v>
      </c>
      <c r="AT41" s="20">
        <f t="shared" si="70"/>
        <v>5.2487702653341417</v>
      </c>
      <c r="AU41" s="20">
        <f t="shared" si="70"/>
        <v>3.9021757015883609</v>
      </c>
      <c r="AV41" s="20">
        <f t="shared" si="70"/>
        <v>4.614795518183036</v>
      </c>
      <c r="AW41" s="20">
        <f t="shared" si="70"/>
        <v>4.058672602487583</v>
      </c>
      <c r="AX41" s="20">
        <f t="shared" si="70"/>
        <v>3.7810769092258667</v>
      </c>
      <c r="AY41" s="20">
        <f t="shared" si="70"/>
        <v>2.811355041153897</v>
      </c>
      <c r="BA41" s="20">
        <f t="shared" si="65"/>
        <v>1.5758348823360708E-2</v>
      </c>
      <c r="BB41" s="20">
        <f t="shared" si="66"/>
        <v>1.0416448762944923E-2</v>
      </c>
      <c r="BC41" s="20">
        <f t="shared" si="67"/>
        <v>1.0416448762944923E-2</v>
      </c>
      <c r="BD41" s="20">
        <f t="shared" si="68"/>
        <v>1.2418960152052927E-2</v>
      </c>
    </row>
    <row r="42" spans="1:56" ht="15" x14ac:dyDescent="0.25">
      <c r="A42" s="1"/>
      <c r="B42" s="2"/>
      <c r="C42" s="1" t="s">
        <v>11</v>
      </c>
      <c r="D42" s="14">
        <v>0</v>
      </c>
      <c r="F42" s="89">
        <v>0</v>
      </c>
      <c r="H42" s="20"/>
      <c r="I42" s="20"/>
      <c r="J42" s="147"/>
      <c r="K42" s="197">
        <v>0.19500000000000001</v>
      </c>
      <c r="L42" s="197">
        <v>1.22</v>
      </c>
      <c r="M42" s="197">
        <v>0.4144562334217507</v>
      </c>
      <c r="N42" s="197">
        <v>0.6566321730950142</v>
      </c>
      <c r="O42" s="216">
        <v>3.2149190766483676E-2</v>
      </c>
      <c r="P42" s="217">
        <v>5.6499999999999995E-2</v>
      </c>
      <c r="Q42" s="217">
        <v>1.25</v>
      </c>
      <c r="R42" s="217">
        <v>0.50078889239507718</v>
      </c>
      <c r="S42" s="217">
        <v>0.75268470790377973</v>
      </c>
      <c r="U42" s="20">
        <f t="shared" si="53"/>
        <v>0</v>
      </c>
      <c r="V42" s="20">
        <f t="shared" si="54"/>
        <v>0</v>
      </c>
      <c r="W42" s="20">
        <f t="shared" si="55"/>
        <v>0</v>
      </c>
      <c r="X42" s="20">
        <f t="shared" si="56"/>
        <v>0</v>
      </c>
      <c r="Y42" s="20">
        <f t="shared" si="57"/>
        <v>0</v>
      </c>
      <c r="Z42" s="20">
        <f t="shared" si="58"/>
        <v>0</v>
      </c>
      <c r="AA42" s="20">
        <f t="shared" si="59"/>
        <v>0</v>
      </c>
      <c r="AB42" s="20">
        <f t="shared" si="60"/>
        <v>0</v>
      </c>
      <c r="AC42" s="20">
        <f t="shared" si="61"/>
        <v>0</v>
      </c>
      <c r="AD42" s="20">
        <f t="shared" si="62"/>
        <v>0</v>
      </c>
      <c r="AE42" s="191"/>
      <c r="AF42" s="20">
        <f t="shared" si="69"/>
        <v>0</v>
      </c>
      <c r="AG42" s="20">
        <f t="shared" si="69"/>
        <v>0</v>
      </c>
      <c r="AH42" s="20">
        <f t="shared" si="69"/>
        <v>0</v>
      </c>
      <c r="AI42" s="20">
        <f t="shared" si="69"/>
        <v>0</v>
      </c>
      <c r="AJ42" s="20">
        <f t="shared" si="69"/>
        <v>0</v>
      </c>
      <c r="AK42" s="20">
        <f t="shared" si="69"/>
        <v>0</v>
      </c>
      <c r="AL42" s="20">
        <f t="shared" si="69"/>
        <v>0</v>
      </c>
      <c r="AM42" s="20">
        <f t="shared" si="69"/>
        <v>0</v>
      </c>
      <c r="AN42" s="20">
        <f t="shared" si="69"/>
        <v>0</v>
      </c>
      <c r="AO42" s="20">
        <f t="shared" si="69"/>
        <v>0</v>
      </c>
      <c r="AP42" s="20">
        <f t="shared" si="70"/>
        <v>0</v>
      </c>
      <c r="AQ42" s="20">
        <f t="shared" si="70"/>
        <v>0</v>
      </c>
      <c r="AR42" s="20">
        <f t="shared" si="70"/>
        <v>0</v>
      </c>
      <c r="AS42" s="20">
        <f t="shared" si="70"/>
        <v>0</v>
      </c>
      <c r="AT42" s="20">
        <f t="shared" si="70"/>
        <v>0</v>
      </c>
      <c r="AU42" s="20">
        <f t="shared" si="70"/>
        <v>0</v>
      </c>
      <c r="AV42" s="20">
        <f t="shared" si="70"/>
        <v>0</v>
      </c>
      <c r="AW42" s="20">
        <f t="shared" si="70"/>
        <v>0</v>
      </c>
      <c r="AX42" s="20">
        <f t="shared" si="70"/>
        <v>0</v>
      </c>
      <c r="AY42" s="20">
        <f t="shared" si="70"/>
        <v>0</v>
      </c>
      <c r="BA42" s="20">
        <f t="shared" si="65"/>
        <v>0</v>
      </c>
      <c r="BB42" s="20">
        <f t="shared" si="66"/>
        <v>0</v>
      </c>
      <c r="BC42" s="20">
        <f t="shared" si="67"/>
        <v>0</v>
      </c>
      <c r="BD42" s="20">
        <f t="shared" si="68"/>
        <v>0</v>
      </c>
    </row>
    <row r="43" spans="1:56" ht="15" x14ac:dyDescent="0.25">
      <c r="A43" s="1"/>
      <c r="B43" s="2"/>
      <c r="C43" s="1" t="s">
        <v>12</v>
      </c>
      <c r="D43" s="14">
        <v>0</v>
      </c>
      <c r="F43" s="89">
        <v>0</v>
      </c>
      <c r="H43" s="20"/>
      <c r="I43" s="20"/>
      <c r="J43" s="147"/>
      <c r="K43" s="197">
        <v>0.19500000000000001</v>
      </c>
      <c r="L43" s="197">
        <v>1.22</v>
      </c>
      <c r="M43" s="197">
        <v>0.4144562334217507</v>
      </c>
      <c r="N43" s="197">
        <v>0.6566321730950142</v>
      </c>
      <c r="O43" s="216">
        <v>3.2149190766483676E-2</v>
      </c>
      <c r="P43" s="217">
        <v>5.6499999999999995E-2</v>
      </c>
      <c r="Q43" s="217">
        <v>1.25</v>
      </c>
      <c r="R43" s="217">
        <v>0.50078889239507718</v>
      </c>
      <c r="S43" s="217">
        <v>0.75268470790377973</v>
      </c>
      <c r="U43" s="20">
        <f t="shared" si="53"/>
        <v>0</v>
      </c>
      <c r="V43" s="20">
        <f t="shared" si="54"/>
        <v>0</v>
      </c>
      <c r="W43" s="20">
        <f t="shared" si="55"/>
        <v>0</v>
      </c>
      <c r="X43" s="20">
        <f t="shared" si="56"/>
        <v>0</v>
      </c>
      <c r="Y43" s="20">
        <f t="shared" si="57"/>
        <v>0</v>
      </c>
      <c r="Z43" s="20">
        <f t="shared" si="58"/>
        <v>0</v>
      </c>
      <c r="AA43" s="20">
        <f t="shared" si="59"/>
        <v>0</v>
      </c>
      <c r="AB43" s="20">
        <f t="shared" si="60"/>
        <v>0</v>
      </c>
      <c r="AC43" s="20">
        <f t="shared" si="61"/>
        <v>0</v>
      </c>
      <c r="AD43" s="20">
        <f t="shared" si="62"/>
        <v>0</v>
      </c>
      <c r="AE43" s="191"/>
      <c r="AF43" s="20">
        <f t="shared" si="69"/>
        <v>0</v>
      </c>
      <c r="AG43" s="20">
        <f t="shared" si="69"/>
        <v>0</v>
      </c>
      <c r="AH43" s="20">
        <f t="shared" si="69"/>
        <v>0</v>
      </c>
      <c r="AI43" s="20">
        <f t="shared" si="69"/>
        <v>0</v>
      </c>
      <c r="AJ43" s="20">
        <f t="shared" si="69"/>
        <v>0</v>
      </c>
      <c r="AK43" s="20">
        <f t="shared" si="69"/>
        <v>0</v>
      </c>
      <c r="AL43" s="20">
        <f t="shared" si="69"/>
        <v>0</v>
      </c>
      <c r="AM43" s="20">
        <f t="shared" si="69"/>
        <v>0</v>
      </c>
      <c r="AN43" s="20">
        <f t="shared" si="69"/>
        <v>0</v>
      </c>
      <c r="AO43" s="20">
        <f t="shared" si="69"/>
        <v>0</v>
      </c>
      <c r="AP43" s="20">
        <f t="shared" si="70"/>
        <v>0</v>
      </c>
      <c r="AQ43" s="20">
        <f t="shared" si="70"/>
        <v>0</v>
      </c>
      <c r="AR43" s="20">
        <f t="shared" si="70"/>
        <v>0</v>
      </c>
      <c r="AS43" s="20">
        <f t="shared" si="70"/>
        <v>0</v>
      </c>
      <c r="AT43" s="20">
        <f t="shared" si="70"/>
        <v>0</v>
      </c>
      <c r="AU43" s="20">
        <f t="shared" si="70"/>
        <v>0</v>
      </c>
      <c r="AV43" s="20">
        <f t="shared" si="70"/>
        <v>0</v>
      </c>
      <c r="AW43" s="20">
        <f t="shared" si="70"/>
        <v>0</v>
      </c>
      <c r="AX43" s="20">
        <f t="shared" si="70"/>
        <v>0</v>
      </c>
      <c r="AY43" s="20">
        <f t="shared" si="70"/>
        <v>0</v>
      </c>
      <c r="BA43" s="20">
        <f t="shared" si="65"/>
        <v>0</v>
      </c>
      <c r="BB43" s="20">
        <f t="shared" si="66"/>
        <v>0</v>
      </c>
      <c r="BC43" s="20">
        <f t="shared" si="67"/>
        <v>0</v>
      </c>
      <c r="BD43" s="20">
        <f t="shared" si="68"/>
        <v>0</v>
      </c>
    </row>
    <row r="44" spans="1:56" ht="15" x14ac:dyDescent="0.25">
      <c r="A44" s="1"/>
      <c r="B44" s="2"/>
      <c r="C44" s="1" t="s">
        <v>13</v>
      </c>
      <c r="D44" s="14">
        <v>0</v>
      </c>
      <c r="F44" s="89">
        <v>0</v>
      </c>
      <c r="H44" s="20"/>
      <c r="I44" s="20"/>
      <c r="J44" s="147"/>
      <c r="K44" s="197">
        <v>0.19500000000000001</v>
      </c>
      <c r="L44" s="197">
        <v>1.22</v>
      </c>
      <c r="M44" s="197">
        <v>0.4144562334217507</v>
      </c>
      <c r="N44" s="197">
        <v>0.6566321730950142</v>
      </c>
      <c r="O44" s="216">
        <v>3.2149190766483676E-2</v>
      </c>
      <c r="P44" s="217">
        <v>5.6499999999999995E-2</v>
      </c>
      <c r="Q44" s="217">
        <v>1.25</v>
      </c>
      <c r="R44" s="217">
        <v>0.50078889239507718</v>
      </c>
      <c r="S44" s="217">
        <v>0.75268470790377973</v>
      </c>
      <c r="U44" s="20">
        <f t="shared" si="53"/>
        <v>0</v>
      </c>
      <c r="V44" s="20">
        <f t="shared" si="54"/>
        <v>0</v>
      </c>
      <c r="W44" s="20">
        <f t="shared" si="55"/>
        <v>0</v>
      </c>
      <c r="X44" s="20">
        <f t="shared" si="56"/>
        <v>0</v>
      </c>
      <c r="Y44" s="20">
        <f t="shared" si="57"/>
        <v>0</v>
      </c>
      <c r="Z44" s="20">
        <f t="shared" si="58"/>
        <v>0</v>
      </c>
      <c r="AA44" s="20">
        <f t="shared" si="59"/>
        <v>0</v>
      </c>
      <c r="AB44" s="20">
        <f t="shared" si="60"/>
        <v>0</v>
      </c>
      <c r="AC44" s="20">
        <f t="shared" si="61"/>
        <v>0</v>
      </c>
      <c r="AD44" s="20">
        <f t="shared" si="62"/>
        <v>0</v>
      </c>
      <c r="AE44" s="191"/>
      <c r="AF44" s="20">
        <f t="shared" si="69"/>
        <v>0</v>
      </c>
      <c r="AG44" s="20">
        <f t="shared" si="69"/>
        <v>0</v>
      </c>
      <c r="AH44" s="20">
        <f t="shared" si="69"/>
        <v>0</v>
      </c>
      <c r="AI44" s="20">
        <f t="shared" si="69"/>
        <v>0</v>
      </c>
      <c r="AJ44" s="20">
        <f t="shared" si="69"/>
        <v>0</v>
      </c>
      <c r="AK44" s="20">
        <f t="shared" si="69"/>
        <v>0</v>
      </c>
      <c r="AL44" s="20">
        <f t="shared" si="69"/>
        <v>0</v>
      </c>
      <c r="AM44" s="20">
        <f t="shared" si="69"/>
        <v>0</v>
      </c>
      <c r="AN44" s="20">
        <f t="shared" si="69"/>
        <v>0</v>
      </c>
      <c r="AO44" s="20">
        <f t="shared" si="69"/>
        <v>0</v>
      </c>
      <c r="AP44" s="20">
        <f t="shared" si="70"/>
        <v>0</v>
      </c>
      <c r="AQ44" s="20">
        <f t="shared" si="70"/>
        <v>0</v>
      </c>
      <c r="AR44" s="20">
        <f t="shared" si="70"/>
        <v>0</v>
      </c>
      <c r="AS44" s="20">
        <f t="shared" si="70"/>
        <v>0</v>
      </c>
      <c r="AT44" s="20">
        <f t="shared" si="70"/>
        <v>0</v>
      </c>
      <c r="AU44" s="20">
        <f t="shared" si="70"/>
        <v>0</v>
      </c>
      <c r="AV44" s="20">
        <f t="shared" si="70"/>
        <v>0</v>
      </c>
      <c r="AW44" s="20">
        <f t="shared" si="70"/>
        <v>0</v>
      </c>
      <c r="AX44" s="20">
        <f t="shared" si="70"/>
        <v>0</v>
      </c>
      <c r="AY44" s="20">
        <f t="shared" si="70"/>
        <v>0</v>
      </c>
      <c r="BA44" s="20">
        <f t="shared" si="65"/>
        <v>0</v>
      </c>
      <c r="BB44" s="20">
        <f t="shared" si="66"/>
        <v>0</v>
      </c>
      <c r="BC44" s="20">
        <f t="shared" si="67"/>
        <v>0</v>
      </c>
      <c r="BD44" s="20">
        <f t="shared" si="68"/>
        <v>0</v>
      </c>
    </row>
    <row r="45" spans="1:56" ht="15" x14ac:dyDescent="0.25">
      <c r="A45" s="7"/>
      <c r="B45" s="8" t="s">
        <v>14</v>
      </c>
      <c r="C45" s="7"/>
      <c r="D45" s="14">
        <f>SUM(D39:D44)</f>
        <v>23.815999999999999</v>
      </c>
      <c r="F45" s="14">
        <v>4.1189999999999998</v>
      </c>
      <c r="H45" s="20"/>
      <c r="I45" s="20"/>
      <c r="J45" s="147"/>
      <c r="K45" s="197"/>
      <c r="L45" s="197"/>
      <c r="M45" s="197"/>
      <c r="N45" s="197"/>
      <c r="O45" s="197"/>
      <c r="P45" s="197"/>
      <c r="Q45" s="197"/>
      <c r="R45" s="197"/>
      <c r="S45" s="197"/>
    </row>
    <row r="46" spans="1:56" ht="15" x14ac:dyDescent="0.25">
      <c r="A46" s="10"/>
      <c r="B46" s="9" t="s">
        <v>15</v>
      </c>
      <c r="C46" s="5"/>
      <c r="D46" s="14">
        <f>SUM(D45)</f>
        <v>23.815999999999999</v>
      </c>
      <c r="F46" s="14">
        <v>4.1189999999999998</v>
      </c>
      <c r="H46" s="20"/>
      <c r="I46" s="20"/>
      <c r="J46" s="147"/>
      <c r="K46" s="197"/>
      <c r="L46" s="197"/>
      <c r="M46" s="197"/>
      <c r="N46" s="197"/>
      <c r="O46" s="197"/>
      <c r="P46" s="197"/>
      <c r="Q46" s="197"/>
      <c r="R46" s="197"/>
      <c r="S46" s="197"/>
    </row>
    <row r="47" spans="1:56" ht="15.75" x14ac:dyDescent="0.25">
      <c r="A47" s="1"/>
      <c r="B47" s="2"/>
      <c r="C47" s="1"/>
      <c r="D47" s="87"/>
      <c r="F47" s="87"/>
      <c r="H47" s="20"/>
      <c r="I47" s="20"/>
      <c r="J47" s="147"/>
      <c r="K47" s="197"/>
      <c r="L47" s="197"/>
      <c r="M47" s="197"/>
      <c r="N47" s="197"/>
      <c r="O47" s="197"/>
      <c r="P47" s="197"/>
      <c r="Q47" s="197"/>
      <c r="R47" s="197"/>
      <c r="S47" s="197"/>
    </row>
    <row r="48" spans="1:56" ht="15" x14ac:dyDescent="0.25">
      <c r="A48" s="1">
        <v>5</v>
      </c>
      <c r="B48" s="2" t="s">
        <v>19</v>
      </c>
      <c r="C48" s="1" t="s">
        <v>8</v>
      </c>
      <c r="D48" s="14">
        <v>3.9990000000000001</v>
      </c>
      <c r="F48" s="89">
        <v>0.44</v>
      </c>
      <c r="H48" s="20"/>
      <c r="I48" s="20"/>
      <c r="J48" s="147">
        <v>0.40821516538423386</v>
      </c>
      <c r="K48" s="197">
        <v>0.43</v>
      </c>
      <c r="L48" s="197">
        <v>2.83</v>
      </c>
      <c r="M48" s="197">
        <v>0.76744186046511631</v>
      </c>
      <c r="N48" s="197">
        <v>0.76744186046511631</v>
      </c>
      <c r="O48" s="216">
        <v>1.4787297691620922E-2</v>
      </c>
      <c r="P48" s="217">
        <v>5.6499999999999995E-2</v>
      </c>
      <c r="Q48" s="217">
        <v>1.25</v>
      </c>
      <c r="R48" s="217">
        <v>0.50078889239507718</v>
      </c>
      <c r="S48" s="217">
        <v>0.75268470790377973</v>
      </c>
      <c r="U48" s="20">
        <f t="shared" ref="U48:U53" si="71">IF(F48&gt;0,((D48-F48)*$J48*$K48*10)+(F48*$H$12*$J48*$K48*10),(D48*$J48*$K48*10))</f>
        <v>6.5312331785036415</v>
      </c>
      <c r="V48" s="20">
        <f t="shared" ref="V48:V53" si="72">U48*(EXP(1.01-0.34*LN(V$10))*(1-$M48)+(1*$M48))</f>
        <v>5.4998321914092587</v>
      </c>
      <c r="W48" s="20">
        <f t="shared" ref="W48:W53" si="73">SUM(V48:V48)</f>
        <v>5.4998321914092587</v>
      </c>
      <c r="X48" s="20">
        <f t="shared" ref="X48:X53" si="74">V48*$Y$1</f>
        <v>6.5571480628854184</v>
      </c>
      <c r="Y48" s="20">
        <f t="shared" ref="Y48:Y53" si="75">SUM(X48:X48)</f>
        <v>6.5571480628854184</v>
      </c>
      <c r="Z48" s="20">
        <f t="shared" ref="Z48:Z53" si="76">IF(F48&gt;0,((D48-F48)*$J48*$L48*10)+(F48*$I$12*$J48*$L48)*10,(D48*$J48*$L48*10))</f>
        <v>44.059082946230106</v>
      </c>
      <c r="AA48" s="20">
        <f t="shared" ref="AA48:AA53" si="77">Z48*(EXP(1.01-0.34*LN(AA$10))*(1-$N48)+(1*$N48))</f>
        <v>37.101349176935059</v>
      </c>
      <c r="AB48" s="20">
        <f t="shared" ref="AB48:AB53" si="78">SUM(AA48:AA48)</f>
        <v>37.101349176935059</v>
      </c>
      <c r="AC48" s="20">
        <f t="shared" ref="AC48:AC53" si="79">AA48*$Y$1</f>
        <v>44.233902311779126</v>
      </c>
      <c r="AD48" s="20">
        <f t="shared" ref="AD48:AD53" si="80">SUM(AC48:AC48)</f>
        <v>44.233902311779126</v>
      </c>
      <c r="AE48" s="191"/>
      <c r="AF48" s="20">
        <f>$W48*AF$6</f>
        <v>5.2808919155533021</v>
      </c>
      <c r="AG48" s="20">
        <f t="shared" ref="AG48:AO48" si="81">$W48*AG$6</f>
        <v>7.3055968324597238</v>
      </c>
      <c r="AH48" s="20">
        <f t="shared" si="81"/>
        <v>6.8302582318316878</v>
      </c>
      <c r="AI48" s="20">
        <f t="shared" si="81"/>
        <v>9.5382816783688913</v>
      </c>
      <c r="AJ48" s="20">
        <f t="shared" si="81"/>
        <v>7.8712600319729891</v>
      </c>
      <c r="AK48" s="20">
        <f t="shared" si="81"/>
        <v>5.8518544506526</v>
      </c>
      <c r="AL48" s="20">
        <f t="shared" si="81"/>
        <v>6.9205268437653311</v>
      </c>
      <c r="AM48" s="20">
        <f t="shared" si="81"/>
        <v>6.086543289924415</v>
      </c>
      <c r="AN48" s="20">
        <f t="shared" si="81"/>
        <v>5.6702499916922662</v>
      </c>
      <c r="AO48" s="20">
        <f t="shared" si="81"/>
        <v>4.2160173626329787</v>
      </c>
      <c r="AP48" s="20">
        <f>$AB48*AP$6</f>
        <v>35.624398728135105</v>
      </c>
      <c r="AQ48" s="20">
        <f t="shared" ref="AQ48:AY48" si="82">$AB48*AQ$6</f>
        <v>49.282867111904849</v>
      </c>
      <c r="AR48" s="20">
        <f t="shared" si="82"/>
        <v>46.076277749646955</v>
      </c>
      <c r="AS48" s="20">
        <f t="shared" si="82"/>
        <v>64.344348478466685</v>
      </c>
      <c r="AT48" s="20">
        <f t="shared" si="82"/>
        <v>53.098777698134271</v>
      </c>
      <c r="AU48" s="20">
        <f t="shared" si="82"/>
        <v>39.476058132353963</v>
      </c>
      <c r="AV48" s="20">
        <f t="shared" si="82"/>
        <v>46.685221290924204</v>
      </c>
      <c r="AW48" s="20">
        <f t="shared" si="82"/>
        <v>41.059246904432129</v>
      </c>
      <c r="AX48" s="20">
        <f t="shared" si="82"/>
        <v>38.250971582531569</v>
      </c>
      <c r="AY48" s="20">
        <f t="shared" si="82"/>
        <v>28.440855441261462</v>
      </c>
      <c r="BA48" s="20">
        <f t="shared" ref="BA48:BA53" si="83">D48*$O48*$P48*10</f>
        <v>3.3410937959867514E-2</v>
      </c>
      <c r="BB48" s="20">
        <f t="shared" ref="BB48:BB53" si="84">BA48*(EXP(1.01-0.34*LN(BB$10))*(1-$R48)+(1*$R48))</f>
        <v>2.2085012032794324E-2</v>
      </c>
      <c r="BC48" s="20">
        <f t="shared" ref="BC48:BC53" si="85">SUM(BB48:BB48)</f>
        <v>2.2085012032794324E-2</v>
      </c>
      <c r="BD48" s="20">
        <f t="shared" ref="BD48:BD53" si="86">BC48*BD$6</f>
        <v>2.6330747708237189E-2</v>
      </c>
    </row>
    <row r="49" spans="1:56" ht="15" x14ac:dyDescent="0.25">
      <c r="A49" s="1"/>
      <c r="B49" s="2"/>
      <c r="C49" s="1" t="s">
        <v>9</v>
      </c>
      <c r="D49" s="14">
        <v>3.4609999999999999</v>
      </c>
      <c r="F49" s="89">
        <v>3.4609999999999999</v>
      </c>
      <c r="H49" s="20"/>
      <c r="I49" s="20"/>
      <c r="J49" s="147">
        <v>0.41143033076846774</v>
      </c>
      <c r="K49" s="197">
        <v>0.43</v>
      </c>
      <c r="L49" s="197">
        <v>2.83</v>
      </c>
      <c r="M49" s="197">
        <v>0.76744186046511631</v>
      </c>
      <c r="N49" s="197">
        <v>0.76744186046511631</v>
      </c>
      <c r="O49" s="216">
        <v>2.0574595383241839E-2</v>
      </c>
      <c r="P49" s="217">
        <v>5.6499999999999995E-2</v>
      </c>
      <c r="Q49" s="217">
        <v>1.25</v>
      </c>
      <c r="R49" s="217">
        <v>0.50078889239507718</v>
      </c>
      <c r="S49" s="217">
        <v>0.75268470790377973</v>
      </c>
      <c r="U49" s="20">
        <f t="shared" si="71"/>
        <v>2.2517566624868821</v>
      </c>
      <c r="V49" s="20">
        <f t="shared" si="72"/>
        <v>1.8961631656830491</v>
      </c>
      <c r="W49" s="20">
        <f t="shared" si="73"/>
        <v>1.8961631656830491</v>
      </c>
      <c r="X49" s="20">
        <f t="shared" si="74"/>
        <v>2.2606912713072052</v>
      </c>
      <c r="Y49" s="20">
        <f t="shared" si="75"/>
        <v>2.2606912713072052</v>
      </c>
      <c r="Z49" s="20">
        <f t="shared" si="76"/>
        <v>23.337834249197297</v>
      </c>
      <c r="AA49" s="20">
        <f t="shared" si="77"/>
        <v>19.652364044199661</v>
      </c>
      <c r="AB49" s="20">
        <f t="shared" si="78"/>
        <v>19.652364044199661</v>
      </c>
      <c r="AC49" s="20">
        <f t="shared" si="79"/>
        <v>23.430435027604599</v>
      </c>
      <c r="AD49" s="20">
        <f t="shared" si="80"/>
        <v>23.430435027604599</v>
      </c>
      <c r="AE49" s="191"/>
      <c r="AF49" s="20">
        <f t="shared" ref="AF49:AO53" si="87">$W49*AF$6</f>
        <v>1.8206796832577108</v>
      </c>
      <c r="AG49" s="20">
        <f t="shared" si="87"/>
        <v>2.5187320512576115</v>
      </c>
      <c r="AH49" s="20">
        <f t="shared" si="87"/>
        <v>2.3548507700894206</v>
      </c>
      <c r="AI49" s="20">
        <f t="shared" si="87"/>
        <v>3.2884891307562332</v>
      </c>
      <c r="AJ49" s="20">
        <f t="shared" si="87"/>
        <v>2.7137543148050085</v>
      </c>
      <c r="AK49" s="20">
        <f t="shared" si="87"/>
        <v>2.0175289852657583</v>
      </c>
      <c r="AL49" s="20">
        <f t="shared" si="87"/>
        <v>2.3859724499896311</v>
      </c>
      <c r="AM49" s="20">
        <f t="shared" si="87"/>
        <v>2.0984420598717852</v>
      </c>
      <c r="AN49" s="20">
        <f t="shared" si="87"/>
        <v>1.954917677534904</v>
      </c>
      <c r="AO49" s="20">
        <f t="shared" si="87"/>
        <v>1.4535455902439864</v>
      </c>
      <c r="AP49" s="20">
        <f t="shared" ref="AP49:AY53" si="88">$AB49*AP$6</f>
        <v>18.870032173823766</v>
      </c>
      <c r="AQ49" s="20">
        <f t="shared" si="88"/>
        <v>26.104841659698337</v>
      </c>
      <c r="AR49" s="20">
        <f t="shared" si="88"/>
        <v>24.406330341772296</v>
      </c>
      <c r="AS49" s="20">
        <f t="shared" si="88"/>
        <v>34.082818779856929</v>
      </c>
      <c r="AT49" s="20">
        <f t="shared" si="88"/>
        <v>28.126106806770569</v>
      </c>
      <c r="AU49" s="20">
        <f t="shared" si="88"/>
        <v>20.910233257212706</v>
      </c>
      <c r="AV49" s="20">
        <f t="shared" si="88"/>
        <v>24.728884114641136</v>
      </c>
      <c r="AW49" s="20">
        <f t="shared" si="88"/>
        <v>21.748838935706789</v>
      </c>
      <c r="AX49" s="20">
        <f t="shared" si="88"/>
        <v>20.261312196473231</v>
      </c>
      <c r="AY49" s="20">
        <f t="shared" si="88"/>
        <v>15.064952010090224</v>
      </c>
      <c r="BA49" s="20">
        <f t="shared" si="83"/>
        <v>4.0232901161090996E-2</v>
      </c>
      <c r="BB49" s="20">
        <f t="shared" si="84"/>
        <v>2.6594407715348163E-2</v>
      </c>
      <c r="BC49" s="20">
        <f t="shared" si="85"/>
        <v>2.6594407715348163E-2</v>
      </c>
      <c r="BD49" s="20">
        <f t="shared" si="86"/>
        <v>3.1707052681837697E-2</v>
      </c>
    </row>
    <row r="50" spans="1:56" ht="15" x14ac:dyDescent="0.25">
      <c r="A50" s="1"/>
      <c r="B50" s="2"/>
      <c r="C50" s="1" t="s">
        <v>10</v>
      </c>
      <c r="D50" s="14">
        <v>1.7649999999999999</v>
      </c>
      <c r="F50" s="89">
        <v>1.7649999999999999</v>
      </c>
      <c r="H50" s="20"/>
      <c r="I50" s="20"/>
      <c r="J50" s="147">
        <v>0.41464549615270158</v>
      </c>
      <c r="K50" s="197">
        <v>0.43</v>
      </c>
      <c r="L50" s="197">
        <v>2.83</v>
      </c>
      <c r="M50" s="197">
        <v>0.76744186046511631</v>
      </c>
      <c r="N50" s="197">
        <v>0.76744186046511631</v>
      </c>
      <c r="O50" s="216">
        <v>2.6361893074862752E-2</v>
      </c>
      <c r="P50" s="217">
        <v>5.6499999999999995E-2</v>
      </c>
      <c r="Q50" s="217">
        <v>1.25</v>
      </c>
      <c r="R50" s="217">
        <v>0.50078889239507718</v>
      </c>
      <c r="S50" s="217">
        <v>0.75268470790377973</v>
      </c>
      <c r="U50" s="20">
        <f t="shared" si="71"/>
        <v>1.1572980315919545</v>
      </c>
      <c r="V50" s="20">
        <f t="shared" si="72"/>
        <v>0.97453953874331911</v>
      </c>
      <c r="W50" s="20">
        <f t="shared" si="73"/>
        <v>0.97453953874331911</v>
      </c>
      <c r="X50" s="20">
        <f t="shared" si="74"/>
        <v>1.1618900043273139</v>
      </c>
      <c r="Y50" s="20">
        <f t="shared" si="75"/>
        <v>1.1618900043273139</v>
      </c>
      <c r="Z50" s="20">
        <f t="shared" si="76"/>
        <v>11.994559664535988</v>
      </c>
      <c r="AA50" s="20">
        <f t="shared" si="77"/>
        <v>10.100399658354855</v>
      </c>
      <c r="AB50" s="20">
        <f t="shared" si="78"/>
        <v>10.100399658354855</v>
      </c>
      <c r="AC50" s="20">
        <f t="shared" si="79"/>
        <v>12.042152151042188</v>
      </c>
      <c r="AD50" s="20">
        <f t="shared" si="80"/>
        <v>12.042152151042188</v>
      </c>
      <c r="AE50" s="191"/>
      <c r="AF50" s="20">
        <f t="shared" si="87"/>
        <v>0.93574454500182336</v>
      </c>
      <c r="AG50" s="20">
        <f t="shared" si="87"/>
        <v>1.2945109449831507</v>
      </c>
      <c r="AH50" s="20">
        <f t="shared" si="87"/>
        <v>1.2102836004968014</v>
      </c>
      <c r="AI50" s="20">
        <f t="shared" si="87"/>
        <v>1.6901302264750808</v>
      </c>
      <c r="AJ50" s="20">
        <f t="shared" si="87"/>
        <v>1.3947433037810788</v>
      </c>
      <c r="AK50" s="20">
        <f t="shared" si="87"/>
        <v>1.036915916460124</v>
      </c>
      <c r="AL50" s="20">
        <f t="shared" si="87"/>
        <v>1.2262786942333381</v>
      </c>
      <c r="AM50" s="20">
        <f t="shared" si="87"/>
        <v>1.0785014676573788</v>
      </c>
      <c r="AN50" s="20">
        <f t="shared" si="87"/>
        <v>1.0047366208908195</v>
      </c>
      <c r="AO50" s="20">
        <f t="shared" si="87"/>
        <v>0.74705472329354361</v>
      </c>
      <c r="AP50" s="20">
        <f t="shared" si="88"/>
        <v>9.6983175201198364</v>
      </c>
      <c r="AQ50" s="20">
        <f t="shared" si="88"/>
        <v>13.416672578831344</v>
      </c>
      <c r="AR50" s="20">
        <f t="shared" si="88"/>
        <v>12.543716882676536</v>
      </c>
      <c r="AS50" s="20">
        <f t="shared" si="88"/>
        <v>17.51698118280288</v>
      </c>
      <c r="AT50" s="20">
        <f t="shared" si="88"/>
        <v>14.455508708419456</v>
      </c>
      <c r="AU50" s="20">
        <f t="shared" si="88"/>
        <v>10.746885838887515</v>
      </c>
      <c r="AV50" s="20">
        <f t="shared" si="88"/>
        <v>12.709494496502446</v>
      </c>
      <c r="AW50" s="20">
        <f t="shared" si="88"/>
        <v>11.177890093108832</v>
      </c>
      <c r="AX50" s="20">
        <f t="shared" si="88"/>
        <v>10.413370642168637</v>
      </c>
      <c r="AY50" s="20">
        <f t="shared" si="88"/>
        <v>7.7426835669043976</v>
      </c>
      <c r="BA50" s="20">
        <f t="shared" si="83"/>
        <v>2.6288738821580001E-2</v>
      </c>
      <c r="BB50" s="20">
        <f t="shared" si="84"/>
        <v>1.737715696275783E-2</v>
      </c>
      <c r="BC50" s="20">
        <f t="shared" si="85"/>
        <v>1.737715696275783E-2</v>
      </c>
      <c r="BD50" s="20">
        <f t="shared" si="86"/>
        <v>2.0717830499407761E-2</v>
      </c>
    </row>
    <row r="51" spans="1:56" ht="15" x14ac:dyDescent="0.25">
      <c r="A51" s="1"/>
      <c r="B51" s="2"/>
      <c r="C51" s="1" t="s">
        <v>11</v>
      </c>
      <c r="D51" s="14">
        <v>0</v>
      </c>
      <c r="F51" s="89">
        <v>0</v>
      </c>
      <c r="H51" s="20"/>
      <c r="I51" s="20"/>
      <c r="J51" s="147"/>
      <c r="K51" s="197">
        <v>0.43</v>
      </c>
      <c r="L51" s="197">
        <v>2.83</v>
      </c>
      <c r="M51" s="197">
        <v>0.76744186046511631</v>
      </c>
      <c r="N51" s="197">
        <v>0.76744186046511631</v>
      </c>
      <c r="O51" s="216">
        <v>3.2149190766483676E-2</v>
      </c>
      <c r="P51" s="217">
        <v>5.6499999999999995E-2</v>
      </c>
      <c r="Q51" s="217">
        <v>1.25</v>
      </c>
      <c r="R51" s="217">
        <v>0.50078889239507718</v>
      </c>
      <c r="S51" s="217">
        <v>0.75268470790377973</v>
      </c>
      <c r="U51" s="20">
        <f t="shared" si="71"/>
        <v>0</v>
      </c>
      <c r="V51" s="20">
        <f t="shared" si="72"/>
        <v>0</v>
      </c>
      <c r="W51" s="20">
        <f t="shared" si="73"/>
        <v>0</v>
      </c>
      <c r="X51" s="20">
        <f t="shared" si="74"/>
        <v>0</v>
      </c>
      <c r="Y51" s="20">
        <f t="shared" si="75"/>
        <v>0</v>
      </c>
      <c r="Z51" s="20">
        <f t="shared" si="76"/>
        <v>0</v>
      </c>
      <c r="AA51" s="20">
        <f t="shared" si="77"/>
        <v>0</v>
      </c>
      <c r="AB51" s="20">
        <f t="shared" si="78"/>
        <v>0</v>
      </c>
      <c r="AC51" s="20">
        <f t="shared" si="79"/>
        <v>0</v>
      </c>
      <c r="AD51" s="20">
        <f t="shared" si="80"/>
        <v>0</v>
      </c>
      <c r="AE51" s="191"/>
      <c r="AF51" s="20">
        <f t="shared" si="87"/>
        <v>0</v>
      </c>
      <c r="AG51" s="20">
        <f t="shared" si="87"/>
        <v>0</v>
      </c>
      <c r="AH51" s="20">
        <f t="shared" si="87"/>
        <v>0</v>
      </c>
      <c r="AI51" s="20">
        <f t="shared" si="87"/>
        <v>0</v>
      </c>
      <c r="AJ51" s="20">
        <f t="shared" si="87"/>
        <v>0</v>
      </c>
      <c r="AK51" s="20">
        <f t="shared" si="87"/>
        <v>0</v>
      </c>
      <c r="AL51" s="20">
        <f t="shared" si="87"/>
        <v>0</v>
      </c>
      <c r="AM51" s="20">
        <f t="shared" si="87"/>
        <v>0</v>
      </c>
      <c r="AN51" s="20">
        <f t="shared" si="87"/>
        <v>0</v>
      </c>
      <c r="AO51" s="20">
        <f t="shared" si="87"/>
        <v>0</v>
      </c>
      <c r="AP51" s="20">
        <f t="shared" si="88"/>
        <v>0</v>
      </c>
      <c r="AQ51" s="20">
        <f t="shared" si="88"/>
        <v>0</v>
      </c>
      <c r="AR51" s="20">
        <f t="shared" si="88"/>
        <v>0</v>
      </c>
      <c r="AS51" s="20">
        <f t="shared" si="88"/>
        <v>0</v>
      </c>
      <c r="AT51" s="20">
        <f t="shared" si="88"/>
        <v>0</v>
      </c>
      <c r="AU51" s="20">
        <f t="shared" si="88"/>
        <v>0</v>
      </c>
      <c r="AV51" s="20">
        <f t="shared" si="88"/>
        <v>0</v>
      </c>
      <c r="AW51" s="20">
        <f t="shared" si="88"/>
        <v>0</v>
      </c>
      <c r="AX51" s="20">
        <f t="shared" si="88"/>
        <v>0</v>
      </c>
      <c r="AY51" s="20">
        <f t="shared" si="88"/>
        <v>0</v>
      </c>
      <c r="BA51" s="20">
        <f t="shared" si="83"/>
        <v>0</v>
      </c>
      <c r="BB51" s="20">
        <f t="shared" si="84"/>
        <v>0</v>
      </c>
      <c r="BC51" s="20">
        <f t="shared" si="85"/>
        <v>0</v>
      </c>
      <c r="BD51" s="20">
        <f t="shared" si="86"/>
        <v>0</v>
      </c>
    </row>
    <row r="52" spans="1:56" ht="15" x14ac:dyDescent="0.25">
      <c r="A52" s="1"/>
      <c r="B52" s="2"/>
      <c r="C52" s="1" t="s">
        <v>12</v>
      </c>
      <c r="D52" s="14">
        <v>0</v>
      </c>
      <c r="F52" s="89">
        <v>0</v>
      </c>
      <c r="H52" s="20"/>
      <c r="I52" s="20"/>
      <c r="J52" s="147"/>
      <c r="K52" s="197">
        <v>0.43</v>
      </c>
      <c r="L52" s="197">
        <v>2.83</v>
      </c>
      <c r="M52" s="197">
        <v>0.76744186046511631</v>
      </c>
      <c r="N52" s="197">
        <v>0.76744186046511631</v>
      </c>
      <c r="O52" s="216">
        <v>3.2149190766483676E-2</v>
      </c>
      <c r="P52" s="217">
        <v>5.6499999999999995E-2</v>
      </c>
      <c r="Q52" s="217">
        <v>1.25</v>
      </c>
      <c r="R52" s="217">
        <v>0.50078889239507718</v>
      </c>
      <c r="S52" s="217">
        <v>0.75268470790377973</v>
      </c>
      <c r="U52" s="20">
        <f t="shared" si="71"/>
        <v>0</v>
      </c>
      <c r="V52" s="20">
        <f t="shared" si="72"/>
        <v>0</v>
      </c>
      <c r="W52" s="20">
        <f t="shared" si="73"/>
        <v>0</v>
      </c>
      <c r="X52" s="20">
        <f t="shared" si="74"/>
        <v>0</v>
      </c>
      <c r="Y52" s="20">
        <f t="shared" si="75"/>
        <v>0</v>
      </c>
      <c r="Z52" s="20">
        <f t="shared" si="76"/>
        <v>0</v>
      </c>
      <c r="AA52" s="20">
        <f t="shared" si="77"/>
        <v>0</v>
      </c>
      <c r="AB52" s="20">
        <f t="shared" si="78"/>
        <v>0</v>
      </c>
      <c r="AC52" s="20">
        <f t="shared" si="79"/>
        <v>0</v>
      </c>
      <c r="AD52" s="20">
        <f t="shared" si="80"/>
        <v>0</v>
      </c>
      <c r="AE52" s="191"/>
      <c r="AF52" s="20">
        <f t="shared" si="87"/>
        <v>0</v>
      </c>
      <c r="AG52" s="20">
        <f t="shared" si="87"/>
        <v>0</v>
      </c>
      <c r="AH52" s="20">
        <f t="shared" si="87"/>
        <v>0</v>
      </c>
      <c r="AI52" s="20">
        <f t="shared" si="87"/>
        <v>0</v>
      </c>
      <c r="AJ52" s="20">
        <f t="shared" si="87"/>
        <v>0</v>
      </c>
      <c r="AK52" s="20">
        <f t="shared" si="87"/>
        <v>0</v>
      </c>
      <c r="AL52" s="20">
        <f t="shared" si="87"/>
        <v>0</v>
      </c>
      <c r="AM52" s="20">
        <f t="shared" si="87"/>
        <v>0</v>
      </c>
      <c r="AN52" s="20">
        <f t="shared" si="87"/>
        <v>0</v>
      </c>
      <c r="AO52" s="20">
        <f t="shared" si="87"/>
        <v>0</v>
      </c>
      <c r="AP52" s="20">
        <f t="shared" si="88"/>
        <v>0</v>
      </c>
      <c r="AQ52" s="20">
        <f t="shared" si="88"/>
        <v>0</v>
      </c>
      <c r="AR52" s="20">
        <f t="shared" si="88"/>
        <v>0</v>
      </c>
      <c r="AS52" s="20">
        <f t="shared" si="88"/>
        <v>0</v>
      </c>
      <c r="AT52" s="20">
        <f t="shared" si="88"/>
        <v>0</v>
      </c>
      <c r="AU52" s="20">
        <f t="shared" si="88"/>
        <v>0</v>
      </c>
      <c r="AV52" s="20">
        <f t="shared" si="88"/>
        <v>0</v>
      </c>
      <c r="AW52" s="20">
        <f t="shared" si="88"/>
        <v>0</v>
      </c>
      <c r="AX52" s="20">
        <f t="shared" si="88"/>
        <v>0</v>
      </c>
      <c r="AY52" s="20">
        <f t="shared" si="88"/>
        <v>0</v>
      </c>
      <c r="BA52" s="20">
        <f t="shared" si="83"/>
        <v>0</v>
      </c>
      <c r="BB52" s="20">
        <f t="shared" si="84"/>
        <v>0</v>
      </c>
      <c r="BC52" s="20">
        <f t="shared" si="85"/>
        <v>0</v>
      </c>
      <c r="BD52" s="20">
        <f t="shared" si="86"/>
        <v>0</v>
      </c>
    </row>
    <row r="53" spans="1:56" ht="15" x14ac:dyDescent="0.25">
      <c r="A53" s="1"/>
      <c r="B53" s="2"/>
      <c r="C53" s="1" t="s">
        <v>13</v>
      </c>
      <c r="D53" s="14">
        <v>0</v>
      </c>
      <c r="F53" s="89">
        <v>0</v>
      </c>
      <c r="H53" s="20"/>
      <c r="I53" s="20"/>
      <c r="J53" s="147"/>
      <c r="K53" s="197">
        <v>0.43</v>
      </c>
      <c r="L53" s="197">
        <v>2.83</v>
      </c>
      <c r="M53" s="197">
        <v>0.76744186046511631</v>
      </c>
      <c r="N53" s="197">
        <v>0.76744186046511631</v>
      </c>
      <c r="O53" s="216">
        <v>3.2149190766483676E-2</v>
      </c>
      <c r="P53" s="217">
        <v>5.6499999999999995E-2</v>
      </c>
      <c r="Q53" s="217">
        <v>1.25</v>
      </c>
      <c r="R53" s="217">
        <v>0.50078889239507718</v>
      </c>
      <c r="S53" s="217">
        <v>0.75268470790377973</v>
      </c>
      <c r="U53" s="20">
        <f t="shared" si="71"/>
        <v>0</v>
      </c>
      <c r="V53" s="20">
        <f t="shared" si="72"/>
        <v>0</v>
      </c>
      <c r="W53" s="20">
        <f t="shared" si="73"/>
        <v>0</v>
      </c>
      <c r="X53" s="20">
        <f t="shared" si="74"/>
        <v>0</v>
      </c>
      <c r="Y53" s="20">
        <f t="shared" si="75"/>
        <v>0</v>
      </c>
      <c r="Z53" s="20">
        <f t="shared" si="76"/>
        <v>0</v>
      </c>
      <c r="AA53" s="20">
        <f t="shared" si="77"/>
        <v>0</v>
      </c>
      <c r="AB53" s="20">
        <f t="shared" si="78"/>
        <v>0</v>
      </c>
      <c r="AC53" s="20">
        <f t="shared" si="79"/>
        <v>0</v>
      </c>
      <c r="AD53" s="20">
        <f t="shared" si="80"/>
        <v>0</v>
      </c>
      <c r="AE53" s="191"/>
      <c r="AF53" s="20">
        <f t="shared" si="87"/>
        <v>0</v>
      </c>
      <c r="AG53" s="20">
        <f t="shared" si="87"/>
        <v>0</v>
      </c>
      <c r="AH53" s="20">
        <f t="shared" si="87"/>
        <v>0</v>
      </c>
      <c r="AI53" s="20">
        <f t="shared" si="87"/>
        <v>0</v>
      </c>
      <c r="AJ53" s="20">
        <f t="shared" si="87"/>
        <v>0</v>
      </c>
      <c r="AK53" s="20">
        <f t="shared" si="87"/>
        <v>0</v>
      </c>
      <c r="AL53" s="20">
        <f t="shared" si="87"/>
        <v>0</v>
      </c>
      <c r="AM53" s="20">
        <f t="shared" si="87"/>
        <v>0</v>
      </c>
      <c r="AN53" s="20">
        <f t="shared" si="87"/>
        <v>0</v>
      </c>
      <c r="AO53" s="20">
        <f t="shared" si="87"/>
        <v>0</v>
      </c>
      <c r="AP53" s="20">
        <f t="shared" si="88"/>
        <v>0</v>
      </c>
      <c r="AQ53" s="20">
        <f t="shared" si="88"/>
        <v>0</v>
      </c>
      <c r="AR53" s="20">
        <f t="shared" si="88"/>
        <v>0</v>
      </c>
      <c r="AS53" s="20">
        <f t="shared" si="88"/>
        <v>0</v>
      </c>
      <c r="AT53" s="20">
        <f t="shared" si="88"/>
        <v>0</v>
      </c>
      <c r="AU53" s="20">
        <f t="shared" si="88"/>
        <v>0</v>
      </c>
      <c r="AV53" s="20">
        <f t="shared" si="88"/>
        <v>0</v>
      </c>
      <c r="AW53" s="20">
        <f t="shared" si="88"/>
        <v>0</v>
      </c>
      <c r="AX53" s="20">
        <f t="shared" si="88"/>
        <v>0</v>
      </c>
      <c r="AY53" s="20">
        <f t="shared" si="88"/>
        <v>0</v>
      </c>
      <c r="BA53" s="20">
        <f t="shared" si="83"/>
        <v>0</v>
      </c>
      <c r="BB53" s="20">
        <f t="shared" si="84"/>
        <v>0</v>
      </c>
      <c r="BC53" s="20">
        <f t="shared" si="85"/>
        <v>0</v>
      </c>
      <c r="BD53" s="20">
        <f t="shared" si="86"/>
        <v>0</v>
      </c>
    </row>
    <row r="54" spans="1:56" ht="15" x14ac:dyDescent="0.25">
      <c r="A54" s="7"/>
      <c r="B54" s="8" t="s">
        <v>14</v>
      </c>
      <c r="C54" s="7"/>
      <c r="D54" s="14">
        <f>SUM(D48:D53)</f>
        <v>9.2249999999999996</v>
      </c>
      <c r="F54" s="14">
        <v>5.6659999999999995</v>
      </c>
      <c r="H54" s="20"/>
      <c r="I54" s="20"/>
      <c r="J54" s="147"/>
      <c r="K54" s="197"/>
      <c r="L54" s="197"/>
      <c r="M54" s="197"/>
      <c r="N54" s="197"/>
      <c r="O54" s="197"/>
      <c r="P54" s="197"/>
      <c r="Q54" s="197"/>
      <c r="R54" s="197"/>
      <c r="S54" s="197"/>
    </row>
    <row r="55" spans="1:56" ht="15" x14ac:dyDescent="0.25">
      <c r="A55" s="10"/>
      <c r="B55" s="9" t="s">
        <v>15</v>
      </c>
      <c r="C55" s="5"/>
      <c r="D55" s="14">
        <f>SUM(D54)</f>
        <v>9.2249999999999996</v>
      </c>
      <c r="F55" s="14">
        <v>5.6659999999999995</v>
      </c>
      <c r="H55" s="20"/>
      <c r="I55" s="20"/>
      <c r="J55" s="147"/>
      <c r="K55" s="197"/>
      <c r="L55" s="197"/>
      <c r="M55" s="197"/>
      <c r="N55" s="197"/>
      <c r="O55" s="197"/>
      <c r="P55" s="197"/>
      <c r="Q55" s="197"/>
      <c r="R55" s="197"/>
      <c r="S55" s="197"/>
    </row>
    <row r="56" spans="1:56" ht="15.75" x14ac:dyDescent="0.25">
      <c r="A56" s="1"/>
      <c r="B56" s="2"/>
      <c r="C56" s="1"/>
      <c r="D56" s="87"/>
      <c r="F56" s="87"/>
      <c r="H56" s="20"/>
      <c r="I56" s="20"/>
      <c r="J56" s="147"/>
      <c r="K56" s="197"/>
      <c r="L56" s="197"/>
      <c r="M56" s="197"/>
      <c r="N56" s="197"/>
      <c r="O56" s="197"/>
      <c r="P56" s="197"/>
      <c r="Q56" s="197"/>
      <c r="R56" s="197"/>
      <c r="S56" s="197"/>
    </row>
    <row r="57" spans="1:56" ht="15" x14ac:dyDescent="0.25">
      <c r="A57" s="1">
        <v>6</v>
      </c>
      <c r="B57" s="2" t="s">
        <v>20</v>
      </c>
      <c r="C57" s="1" t="s">
        <v>8</v>
      </c>
      <c r="D57" s="14">
        <v>3.0409999999999999</v>
      </c>
      <c r="F57" s="89">
        <v>3.0409999999999999</v>
      </c>
      <c r="H57" s="20"/>
      <c r="I57" s="20"/>
      <c r="J57" s="147">
        <v>0.45292287762203071</v>
      </c>
      <c r="K57" s="197">
        <v>0.33900000000000002</v>
      </c>
      <c r="L57" s="197">
        <v>1.9830000000000001</v>
      </c>
      <c r="M57" s="197">
        <v>0.76146788990825687</v>
      </c>
      <c r="N57" s="197">
        <v>0.76146788990825687</v>
      </c>
      <c r="O57" s="216">
        <v>1.4787297691620922E-2</v>
      </c>
      <c r="P57" s="217">
        <v>5.6499999999999995E-2</v>
      </c>
      <c r="Q57" s="217">
        <v>1.25</v>
      </c>
      <c r="R57" s="217">
        <v>0.50078889239507718</v>
      </c>
      <c r="S57" s="217">
        <v>0.75268470790377973</v>
      </c>
      <c r="U57" s="20">
        <f t="shared" ref="U57:U62" si="89">IF(F57&gt;0,((D57-F57)*$J57*$K57*10)+(F57*$H$12*$J57*$K57*10),(D57*$J57*$K57*10))</f>
        <v>1.7170995442025156</v>
      </c>
      <c r="V57" s="20">
        <f t="shared" ref="V57:V62" si="90">U57*(EXP(1.01-0.34*LN(V$10))*(1-$M57)+(1*$M57))</f>
        <v>1.4389725565748746</v>
      </c>
      <c r="W57" s="20">
        <f t="shared" ref="W57:W62" si="91">SUM(V57:V57)</f>
        <v>1.4389725565748746</v>
      </c>
      <c r="X57" s="20">
        <f t="shared" ref="X57:X62" si="92">V57*$Y$1</f>
        <v>1.715608001027479</v>
      </c>
      <c r="Y57" s="20">
        <f t="shared" ref="Y57:Y62" si="93">SUM(X57:X57)</f>
        <v>1.715608001027479</v>
      </c>
      <c r="Z57" s="20">
        <f t="shared" ref="Z57:Z62" si="94">IF(F57&gt;0,((D57-F57)*$J57*$L57*10)+(F57*$I$12*$J57*$L57)*10,(D57*$J57*$L57*10))</f>
        <v>15.817564120071241</v>
      </c>
      <c r="AA57" s="20">
        <f t="shared" ref="AA57:AA62" si="95">Z57*(EXP(1.01-0.34*LN(AA$10))*(1-$N57)+(1*$N57))</f>
        <v>13.255516115821337</v>
      </c>
      <c r="AB57" s="20">
        <f t="shared" ref="AB57:AB62" si="96">SUM(AA57:AA57)</f>
        <v>13.255516115821337</v>
      </c>
      <c r="AC57" s="20">
        <f t="shared" ref="AC57:AC62" si="97">AA57*$Y$1</f>
        <v>15.8038243343444</v>
      </c>
      <c r="AD57" s="20">
        <f t="shared" ref="AD57:AD62" si="98">SUM(AC57:AC57)</f>
        <v>15.8038243343444</v>
      </c>
      <c r="AE57" s="191"/>
      <c r="AF57" s="20">
        <f>$W57*AF$6</f>
        <v>1.3816891636419482</v>
      </c>
      <c r="AG57" s="20">
        <f t="shared" ref="AG57:AO57" si="99">$W57*AG$6</f>
        <v>1.9114316556295097</v>
      </c>
      <c r="AH57" s="20">
        <f t="shared" si="99"/>
        <v>1.7870643699416198</v>
      </c>
      <c r="AI57" s="20">
        <f t="shared" si="99"/>
        <v>2.4955898824500018</v>
      </c>
      <c r="AJ57" s="20">
        <f t="shared" si="99"/>
        <v>2.0594314112648462</v>
      </c>
      <c r="AK57" s="20">
        <f t="shared" si="99"/>
        <v>1.531075434031006</v>
      </c>
      <c r="AL57" s="20">
        <f t="shared" si="99"/>
        <v>1.8106821914990696</v>
      </c>
      <c r="AM57" s="20">
        <f t="shared" si="99"/>
        <v>1.5924792709651687</v>
      </c>
      <c r="AN57" s="20">
        <f t="shared" si="99"/>
        <v>1.4835605602129036</v>
      </c>
      <c r="AO57" s="20">
        <f t="shared" si="99"/>
        <v>1.1030760706387148</v>
      </c>
      <c r="AP57" s="20">
        <f>$AB57*AP$6</f>
        <v>12.727833405875352</v>
      </c>
      <c r="AQ57" s="20">
        <f t="shared" ref="AQ57:AY57" si="100">$AB57*AQ$6</f>
        <v>17.607711140646522</v>
      </c>
      <c r="AR57" s="20">
        <f t="shared" si="100"/>
        <v>16.462065553324994</v>
      </c>
      <c r="AS57" s="20">
        <f t="shared" si="100"/>
        <v>22.98885531495916</v>
      </c>
      <c r="AT57" s="20">
        <f t="shared" si="100"/>
        <v>18.971054129363026</v>
      </c>
      <c r="AU57" s="20">
        <f t="shared" si="100"/>
        <v>14.103948680330598</v>
      </c>
      <c r="AV57" s="20">
        <f t="shared" si="100"/>
        <v>16.679628016795839</v>
      </c>
      <c r="AW57" s="20">
        <f t="shared" si="100"/>
        <v>14.669588064024923</v>
      </c>
      <c r="AX57" s="20">
        <f t="shared" si="100"/>
        <v>13.666251538186176</v>
      </c>
      <c r="AY57" s="20">
        <f t="shared" si="100"/>
        <v>10.161307499937394</v>
      </c>
      <c r="BA57" s="20">
        <f t="shared" ref="BA57:BA62" si="101">D57*$O57*$P57*10</f>
        <v>2.5407017338323859E-2</v>
      </c>
      <c r="BB57" s="20">
        <f t="shared" ref="BB57:BB62" si="102">BA57*(EXP(1.01-0.34*LN(BB$10))*(1-$R57)+(1*$R57))</f>
        <v>1.679432898017693E-2</v>
      </c>
      <c r="BC57" s="20">
        <f t="shared" ref="BC57:BC62" si="103">SUM(BB57:BB57)</f>
        <v>1.679432898017693E-2</v>
      </c>
      <c r="BD57" s="20">
        <f t="shared" ref="BD57:BD62" si="104">BC57*BD$6</f>
        <v>2.0022956684358415E-2</v>
      </c>
    </row>
    <row r="58" spans="1:56" ht="15" x14ac:dyDescent="0.25">
      <c r="A58" s="1"/>
      <c r="B58" s="2"/>
      <c r="C58" s="1" t="s">
        <v>9</v>
      </c>
      <c r="D58" s="14">
        <v>0</v>
      </c>
      <c r="F58" s="89">
        <v>0</v>
      </c>
      <c r="H58" s="20"/>
      <c r="I58" s="20"/>
      <c r="J58" s="147"/>
      <c r="K58" s="197">
        <v>0.33900000000000002</v>
      </c>
      <c r="L58" s="197">
        <v>1.9830000000000001</v>
      </c>
      <c r="M58" s="197">
        <v>0.76146788990825687</v>
      </c>
      <c r="N58" s="197">
        <v>0.76146788990825687</v>
      </c>
      <c r="O58" s="216">
        <v>2.0574595383241839E-2</v>
      </c>
      <c r="P58" s="217">
        <v>5.6499999999999995E-2</v>
      </c>
      <c r="Q58" s="217">
        <v>1.25</v>
      </c>
      <c r="R58" s="217">
        <v>0.50078889239507718</v>
      </c>
      <c r="S58" s="217">
        <v>0.75268470790377973</v>
      </c>
      <c r="U58" s="20">
        <f t="shared" si="89"/>
        <v>0</v>
      </c>
      <c r="V58" s="20">
        <f t="shared" si="90"/>
        <v>0</v>
      </c>
      <c r="W58" s="20">
        <f t="shared" si="91"/>
        <v>0</v>
      </c>
      <c r="X58" s="20">
        <f t="shared" si="92"/>
        <v>0</v>
      </c>
      <c r="Y58" s="20">
        <f t="shared" si="93"/>
        <v>0</v>
      </c>
      <c r="Z58" s="20">
        <f t="shared" si="94"/>
        <v>0</v>
      </c>
      <c r="AA58" s="20">
        <f t="shared" si="95"/>
        <v>0</v>
      </c>
      <c r="AB58" s="20">
        <f t="shared" si="96"/>
        <v>0</v>
      </c>
      <c r="AC58" s="20">
        <f t="shared" si="97"/>
        <v>0</v>
      </c>
      <c r="AD58" s="20">
        <f t="shared" si="98"/>
        <v>0</v>
      </c>
      <c r="AE58" s="191"/>
      <c r="AF58" s="20">
        <f t="shared" ref="AF58:AO62" si="105">$W58*AF$6</f>
        <v>0</v>
      </c>
      <c r="AG58" s="20">
        <f t="shared" si="105"/>
        <v>0</v>
      </c>
      <c r="AH58" s="20">
        <f t="shared" si="105"/>
        <v>0</v>
      </c>
      <c r="AI58" s="20">
        <f t="shared" si="105"/>
        <v>0</v>
      </c>
      <c r="AJ58" s="20">
        <f t="shared" si="105"/>
        <v>0</v>
      </c>
      <c r="AK58" s="20">
        <f t="shared" si="105"/>
        <v>0</v>
      </c>
      <c r="AL58" s="20">
        <f t="shared" si="105"/>
        <v>0</v>
      </c>
      <c r="AM58" s="20">
        <f t="shared" si="105"/>
        <v>0</v>
      </c>
      <c r="AN58" s="20">
        <f t="shared" si="105"/>
        <v>0</v>
      </c>
      <c r="AO58" s="20">
        <f t="shared" si="105"/>
        <v>0</v>
      </c>
      <c r="AP58" s="20">
        <f t="shared" ref="AP58:AY62" si="106">$AB58*AP$6</f>
        <v>0</v>
      </c>
      <c r="AQ58" s="20">
        <f t="shared" si="106"/>
        <v>0</v>
      </c>
      <c r="AR58" s="20">
        <f t="shared" si="106"/>
        <v>0</v>
      </c>
      <c r="AS58" s="20">
        <f t="shared" si="106"/>
        <v>0</v>
      </c>
      <c r="AT58" s="20">
        <f t="shared" si="106"/>
        <v>0</v>
      </c>
      <c r="AU58" s="20">
        <f t="shared" si="106"/>
        <v>0</v>
      </c>
      <c r="AV58" s="20">
        <f t="shared" si="106"/>
        <v>0</v>
      </c>
      <c r="AW58" s="20">
        <f t="shared" si="106"/>
        <v>0</v>
      </c>
      <c r="AX58" s="20">
        <f t="shared" si="106"/>
        <v>0</v>
      </c>
      <c r="AY58" s="20">
        <f t="shared" si="106"/>
        <v>0</v>
      </c>
      <c r="BA58" s="20">
        <f t="shared" si="101"/>
        <v>0</v>
      </c>
      <c r="BB58" s="20">
        <f t="shared" si="102"/>
        <v>0</v>
      </c>
      <c r="BC58" s="20">
        <f t="shared" si="103"/>
        <v>0</v>
      </c>
      <c r="BD58" s="20">
        <f t="shared" si="104"/>
        <v>0</v>
      </c>
    </row>
    <row r="59" spans="1:56" ht="15" x14ac:dyDescent="0.25">
      <c r="A59" s="1"/>
      <c r="B59" s="2"/>
      <c r="C59" s="1" t="s">
        <v>10</v>
      </c>
      <c r="D59" s="14">
        <v>0</v>
      </c>
      <c r="F59" s="89">
        <v>0</v>
      </c>
      <c r="H59" s="20"/>
      <c r="I59" s="20"/>
      <c r="J59" s="147"/>
      <c r="K59" s="197">
        <v>0.33900000000000002</v>
      </c>
      <c r="L59" s="197">
        <v>1.9830000000000001</v>
      </c>
      <c r="M59" s="197">
        <v>0.76146788990825687</v>
      </c>
      <c r="N59" s="197">
        <v>0.76146788990825687</v>
      </c>
      <c r="O59" s="216">
        <v>2.6361893074862752E-2</v>
      </c>
      <c r="P59" s="217">
        <v>5.6499999999999995E-2</v>
      </c>
      <c r="Q59" s="217">
        <v>1.25</v>
      </c>
      <c r="R59" s="217">
        <v>0.50078889239507718</v>
      </c>
      <c r="S59" s="217">
        <v>0.75268470790377973</v>
      </c>
      <c r="U59" s="20">
        <f t="shared" si="89"/>
        <v>0</v>
      </c>
      <c r="V59" s="20">
        <f t="shared" si="90"/>
        <v>0</v>
      </c>
      <c r="W59" s="20">
        <f t="shared" si="91"/>
        <v>0</v>
      </c>
      <c r="X59" s="20">
        <f t="shared" si="92"/>
        <v>0</v>
      </c>
      <c r="Y59" s="20">
        <f t="shared" si="93"/>
        <v>0</v>
      </c>
      <c r="Z59" s="20">
        <f t="shared" si="94"/>
        <v>0</v>
      </c>
      <c r="AA59" s="20">
        <f t="shared" si="95"/>
        <v>0</v>
      </c>
      <c r="AB59" s="20">
        <f t="shared" si="96"/>
        <v>0</v>
      </c>
      <c r="AC59" s="20">
        <f t="shared" si="97"/>
        <v>0</v>
      </c>
      <c r="AD59" s="20">
        <f t="shared" si="98"/>
        <v>0</v>
      </c>
      <c r="AE59" s="191"/>
      <c r="AF59" s="20">
        <f t="shared" si="105"/>
        <v>0</v>
      </c>
      <c r="AG59" s="20">
        <f t="shared" si="105"/>
        <v>0</v>
      </c>
      <c r="AH59" s="20">
        <f t="shared" si="105"/>
        <v>0</v>
      </c>
      <c r="AI59" s="20">
        <f t="shared" si="105"/>
        <v>0</v>
      </c>
      <c r="AJ59" s="20">
        <f t="shared" si="105"/>
        <v>0</v>
      </c>
      <c r="AK59" s="20">
        <f t="shared" si="105"/>
        <v>0</v>
      </c>
      <c r="AL59" s="20">
        <f t="shared" si="105"/>
        <v>0</v>
      </c>
      <c r="AM59" s="20">
        <f t="shared" si="105"/>
        <v>0</v>
      </c>
      <c r="AN59" s="20">
        <f t="shared" si="105"/>
        <v>0</v>
      </c>
      <c r="AO59" s="20">
        <f t="shared" si="105"/>
        <v>0</v>
      </c>
      <c r="AP59" s="20">
        <f t="shared" si="106"/>
        <v>0</v>
      </c>
      <c r="AQ59" s="20">
        <f t="shared" si="106"/>
        <v>0</v>
      </c>
      <c r="AR59" s="20">
        <f t="shared" si="106"/>
        <v>0</v>
      </c>
      <c r="AS59" s="20">
        <f t="shared" si="106"/>
        <v>0</v>
      </c>
      <c r="AT59" s="20">
        <f t="shared" si="106"/>
        <v>0</v>
      </c>
      <c r="AU59" s="20">
        <f t="shared" si="106"/>
        <v>0</v>
      </c>
      <c r="AV59" s="20">
        <f t="shared" si="106"/>
        <v>0</v>
      </c>
      <c r="AW59" s="20">
        <f t="shared" si="106"/>
        <v>0</v>
      </c>
      <c r="AX59" s="20">
        <f t="shared" si="106"/>
        <v>0</v>
      </c>
      <c r="AY59" s="20">
        <f t="shared" si="106"/>
        <v>0</v>
      </c>
      <c r="BA59" s="20">
        <f t="shared" si="101"/>
        <v>0</v>
      </c>
      <c r="BB59" s="20">
        <f t="shared" si="102"/>
        <v>0</v>
      </c>
      <c r="BC59" s="20">
        <f t="shared" si="103"/>
        <v>0</v>
      </c>
      <c r="BD59" s="20">
        <f t="shared" si="104"/>
        <v>0</v>
      </c>
    </row>
    <row r="60" spans="1:56" ht="15" x14ac:dyDescent="0.25">
      <c r="A60" s="1"/>
      <c r="B60" s="2"/>
      <c r="C60" s="1" t="s">
        <v>11</v>
      </c>
      <c r="D60" s="14">
        <v>0</v>
      </c>
      <c r="F60" s="89">
        <v>0</v>
      </c>
      <c r="H60" s="20"/>
      <c r="I60" s="20"/>
      <c r="J60" s="147"/>
      <c r="K60" s="197">
        <v>0.33900000000000002</v>
      </c>
      <c r="L60" s="197">
        <v>1.9830000000000001</v>
      </c>
      <c r="M60" s="197">
        <v>0.76146788990825687</v>
      </c>
      <c r="N60" s="197">
        <v>0.76146788990825687</v>
      </c>
      <c r="O60" s="216">
        <v>3.2149190766483676E-2</v>
      </c>
      <c r="P60" s="217">
        <v>5.6499999999999995E-2</v>
      </c>
      <c r="Q60" s="217">
        <v>1.25</v>
      </c>
      <c r="R60" s="217">
        <v>0.50078889239507718</v>
      </c>
      <c r="S60" s="217">
        <v>0.75268470790377973</v>
      </c>
      <c r="U60" s="20">
        <f t="shared" si="89"/>
        <v>0</v>
      </c>
      <c r="V60" s="20">
        <f t="shared" si="90"/>
        <v>0</v>
      </c>
      <c r="W60" s="20">
        <f t="shared" si="91"/>
        <v>0</v>
      </c>
      <c r="X60" s="20">
        <f t="shared" si="92"/>
        <v>0</v>
      </c>
      <c r="Y60" s="20">
        <f t="shared" si="93"/>
        <v>0</v>
      </c>
      <c r="Z60" s="20">
        <f t="shared" si="94"/>
        <v>0</v>
      </c>
      <c r="AA60" s="20">
        <f t="shared" si="95"/>
        <v>0</v>
      </c>
      <c r="AB60" s="20">
        <f t="shared" si="96"/>
        <v>0</v>
      </c>
      <c r="AC60" s="20">
        <f t="shared" si="97"/>
        <v>0</v>
      </c>
      <c r="AD60" s="20">
        <f t="shared" si="98"/>
        <v>0</v>
      </c>
      <c r="AE60" s="191"/>
      <c r="AF60" s="20">
        <f t="shared" si="105"/>
        <v>0</v>
      </c>
      <c r="AG60" s="20">
        <f t="shared" si="105"/>
        <v>0</v>
      </c>
      <c r="AH60" s="20">
        <f t="shared" si="105"/>
        <v>0</v>
      </c>
      <c r="AI60" s="20">
        <f t="shared" si="105"/>
        <v>0</v>
      </c>
      <c r="AJ60" s="20">
        <f t="shared" si="105"/>
        <v>0</v>
      </c>
      <c r="AK60" s="20">
        <f t="shared" si="105"/>
        <v>0</v>
      </c>
      <c r="AL60" s="20">
        <f t="shared" si="105"/>
        <v>0</v>
      </c>
      <c r="AM60" s="20">
        <f t="shared" si="105"/>
        <v>0</v>
      </c>
      <c r="AN60" s="20">
        <f t="shared" si="105"/>
        <v>0</v>
      </c>
      <c r="AO60" s="20">
        <f t="shared" si="105"/>
        <v>0</v>
      </c>
      <c r="AP60" s="20">
        <f t="shared" si="106"/>
        <v>0</v>
      </c>
      <c r="AQ60" s="20">
        <f t="shared" si="106"/>
        <v>0</v>
      </c>
      <c r="AR60" s="20">
        <f t="shared" si="106"/>
        <v>0</v>
      </c>
      <c r="AS60" s="20">
        <f t="shared" si="106"/>
        <v>0</v>
      </c>
      <c r="AT60" s="20">
        <f t="shared" si="106"/>
        <v>0</v>
      </c>
      <c r="AU60" s="20">
        <f t="shared" si="106"/>
        <v>0</v>
      </c>
      <c r="AV60" s="20">
        <f t="shared" si="106"/>
        <v>0</v>
      </c>
      <c r="AW60" s="20">
        <f t="shared" si="106"/>
        <v>0</v>
      </c>
      <c r="AX60" s="20">
        <f t="shared" si="106"/>
        <v>0</v>
      </c>
      <c r="AY60" s="20">
        <f t="shared" si="106"/>
        <v>0</v>
      </c>
      <c r="BA60" s="20">
        <f t="shared" si="101"/>
        <v>0</v>
      </c>
      <c r="BB60" s="20">
        <f t="shared" si="102"/>
        <v>0</v>
      </c>
      <c r="BC60" s="20">
        <f t="shared" si="103"/>
        <v>0</v>
      </c>
      <c r="BD60" s="20">
        <f t="shared" si="104"/>
        <v>0</v>
      </c>
    </row>
    <row r="61" spans="1:56" ht="15" x14ac:dyDescent="0.25">
      <c r="A61" s="1"/>
      <c r="B61" s="2"/>
      <c r="C61" s="1" t="s">
        <v>12</v>
      </c>
      <c r="D61" s="14">
        <v>0</v>
      </c>
      <c r="F61" s="89">
        <v>0</v>
      </c>
      <c r="H61" s="20"/>
      <c r="I61" s="20"/>
      <c r="J61" s="147"/>
      <c r="K61" s="197">
        <v>0.33900000000000002</v>
      </c>
      <c r="L61" s="197">
        <v>1.9830000000000001</v>
      </c>
      <c r="M61" s="197">
        <v>0.76146788990825687</v>
      </c>
      <c r="N61" s="197">
        <v>0.76146788990825687</v>
      </c>
      <c r="O61" s="216">
        <v>3.2149190766483676E-2</v>
      </c>
      <c r="P61" s="217">
        <v>5.6499999999999995E-2</v>
      </c>
      <c r="Q61" s="217">
        <v>1.25</v>
      </c>
      <c r="R61" s="217">
        <v>0.50078889239507718</v>
      </c>
      <c r="S61" s="217">
        <v>0.75268470790377973</v>
      </c>
      <c r="U61" s="20">
        <f t="shared" si="89"/>
        <v>0</v>
      </c>
      <c r="V61" s="20">
        <f t="shared" si="90"/>
        <v>0</v>
      </c>
      <c r="W61" s="20">
        <f t="shared" si="91"/>
        <v>0</v>
      </c>
      <c r="X61" s="20">
        <f t="shared" si="92"/>
        <v>0</v>
      </c>
      <c r="Y61" s="20">
        <f t="shared" si="93"/>
        <v>0</v>
      </c>
      <c r="Z61" s="20">
        <f t="shared" si="94"/>
        <v>0</v>
      </c>
      <c r="AA61" s="20">
        <f t="shared" si="95"/>
        <v>0</v>
      </c>
      <c r="AB61" s="20">
        <f t="shared" si="96"/>
        <v>0</v>
      </c>
      <c r="AC61" s="20">
        <f t="shared" si="97"/>
        <v>0</v>
      </c>
      <c r="AD61" s="20">
        <f t="shared" si="98"/>
        <v>0</v>
      </c>
      <c r="AE61" s="191"/>
      <c r="AF61" s="20">
        <f t="shared" si="105"/>
        <v>0</v>
      </c>
      <c r="AG61" s="20">
        <f t="shared" si="105"/>
        <v>0</v>
      </c>
      <c r="AH61" s="20">
        <f t="shared" si="105"/>
        <v>0</v>
      </c>
      <c r="AI61" s="20">
        <f t="shared" si="105"/>
        <v>0</v>
      </c>
      <c r="AJ61" s="20">
        <f t="shared" si="105"/>
        <v>0</v>
      </c>
      <c r="AK61" s="20">
        <f t="shared" si="105"/>
        <v>0</v>
      </c>
      <c r="AL61" s="20">
        <f t="shared" si="105"/>
        <v>0</v>
      </c>
      <c r="AM61" s="20">
        <f t="shared" si="105"/>
        <v>0</v>
      </c>
      <c r="AN61" s="20">
        <f t="shared" si="105"/>
        <v>0</v>
      </c>
      <c r="AO61" s="20">
        <f t="shared" si="105"/>
        <v>0</v>
      </c>
      <c r="AP61" s="20">
        <f t="shared" si="106"/>
        <v>0</v>
      </c>
      <c r="AQ61" s="20">
        <f t="shared" si="106"/>
        <v>0</v>
      </c>
      <c r="AR61" s="20">
        <f t="shared" si="106"/>
        <v>0</v>
      </c>
      <c r="AS61" s="20">
        <f t="shared" si="106"/>
        <v>0</v>
      </c>
      <c r="AT61" s="20">
        <f t="shared" si="106"/>
        <v>0</v>
      </c>
      <c r="AU61" s="20">
        <f t="shared" si="106"/>
        <v>0</v>
      </c>
      <c r="AV61" s="20">
        <f t="shared" si="106"/>
        <v>0</v>
      </c>
      <c r="AW61" s="20">
        <f t="shared" si="106"/>
        <v>0</v>
      </c>
      <c r="AX61" s="20">
        <f t="shared" si="106"/>
        <v>0</v>
      </c>
      <c r="AY61" s="20">
        <f t="shared" si="106"/>
        <v>0</v>
      </c>
      <c r="BA61" s="20">
        <f t="shared" si="101"/>
        <v>0</v>
      </c>
      <c r="BB61" s="20">
        <f t="shared" si="102"/>
        <v>0</v>
      </c>
      <c r="BC61" s="20">
        <f t="shared" si="103"/>
        <v>0</v>
      </c>
      <c r="BD61" s="20">
        <f t="shared" si="104"/>
        <v>0</v>
      </c>
    </row>
    <row r="62" spans="1:56" ht="15" x14ac:dyDescent="0.25">
      <c r="A62" s="1"/>
      <c r="B62" s="2"/>
      <c r="C62" s="1" t="s">
        <v>13</v>
      </c>
      <c r="D62" s="14">
        <v>0</v>
      </c>
      <c r="F62" s="89">
        <v>0</v>
      </c>
      <c r="H62" s="20"/>
      <c r="I62" s="20"/>
      <c r="J62" s="147"/>
      <c r="K62" s="197">
        <v>0.33900000000000002</v>
      </c>
      <c r="L62" s="197">
        <v>1.9830000000000001</v>
      </c>
      <c r="M62" s="197">
        <v>0.76146788990825687</v>
      </c>
      <c r="N62" s="197">
        <v>0.76146788990825687</v>
      </c>
      <c r="O62" s="216">
        <v>3.2149190766483676E-2</v>
      </c>
      <c r="P62" s="217">
        <v>5.6499999999999995E-2</v>
      </c>
      <c r="Q62" s="217">
        <v>1.25</v>
      </c>
      <c r="R62" s="217">
        <v>0.50078889239507718</v>
      </c>
      <c r="S62" s="217">
        <v>0.75268470790377973</v>
      </c>
      <c r="U62" s="20">
        <f t="shared" si="89"/>
        <v>0</v>
      </c>
      <c r="V62" s="20">
        <f t="shared" si="90"/>
        <v>0</v>
      </c>
      <c r="W62" s="20">
        <f t="shared" si="91"/>
        <v>0</v>
      </c>
      <c r="X62" s="20">
        <f t="shared" si="92"/>
        <v>0</v>
      </c>
      <c r="Y62" s="20">
        <f t="shared" si="93"/>
        <v>0</v>
      </c>
      <c r="Z62" s="20">
        <f t="shared" si="94"/>
        <v>0</v>
      </c>
      <c r="AA62" s="20">
        <f t="shared" si="95"/>
        <v>0</v>
      </c>
      <c r="AB62" s="20">
        <f t="shared" si="96"/>
        <v>0</v>
      </c>
      <c r="AC62" s="20">
        <f t="shared" si="97"/>
        <v>0</v>
      </c>
      <c r="AD62" s="20">
        <f t="shared" si="98"/>
        <v>0</v>
      </c>
      <c r="AE62" s="191"/>
      <c r="AF62" s="20">
        <f t="shared" si="105"/>
        <v>0</v>
      </c>
      <c r="AG62" s="20">
        <f t="shared" si="105"/>
        <v>0</v>
      </c>
      <c r="AH62" s="20">
        <f t="shared" si="105"/>
        <v>0</v>
      </c>
      <c r="AI62" s="20">
        <f t="shared" si="105"/>
        <v>0</v>
      </c>
      <c r="AJ62" s="20">
        <f t="shared" si="105"/>
        <v>0</v>
      </c>
      <c r="AK62" s="20">
        <f t="shared" si="105"/>
        <v>0</v>
      </c>
      <c r="AL62" s="20">
        <f t="shared" si="105"/>
        <v>0</v>
      </c>
      <c r="AM62" s="20">
        <f t="shared" si="105"/>
        <v>0</v>
      </c>
      <c r="AN62" s="20">
        <f t="shared" si="105"/>
        <v>0</v>
      </c>
      <c r="AO62" s="20">
        <f t="shared" si="105"/>
        <v>0</v>
      </c>
      <c r="AP62" s="20">
        <f t="shared" si="106"/>
        <v>0</v>
      </c>
      <c r="AQ62" s="20">
        <f t="shared" si="106"/>
        <v>0</v>
      </c>
      <c r="AR62" s="20">
        <f t="shared" si="106"/>
        <v>0</v>
      </c>
      <c r="AS62" s="20">
        <f t="shared" si="106"/>
        <v>0</v>
      </c>
      <c r="AT62" s="20">
        <f t="shared" si="106"/>
        <v>0</v>
      </c>
      <c r="AU62" s="20">
        <f t="shared" si="106"/>
        <v>0</v>
      </c>
      <c r="AV62" s="20">
        <f t="shared" si="106"/>
        <v>0</v>
      </c>
      <c r="AW62" s="20">
        <f t="shared" si="106"/>
        <v>0</v>
      </c>
      <c r="AX62" s="20">
        <f t="shared" si="106"/>
        <v>0</v>
      </c>
      <c r="AY62" s="20">
        <f t="shared" si="106"/>
        <v>0</v>
      </c>
      <c r="BA62" s="20">
        <f t="shared" si="101"/>
        <v>0</v>
      </c>
      <c r="BB62" s="20">
        <f t="shared" si="102"/>
        <v>0</v>
      </c>
      <c r="BC62" s="20">
        <f t="shared" si="103"/>
        <v>0</v>
      </c>
      <c r="BD62" s="20">
        <f t="shared" si="104"/>
        <v>0</v>
      </c>
    </row>
    <row r="63" spans="1:56" ht="15" x14ac:dyDescent="0.25">
      <c r="A63" s="7"/>
      <c r="B63" s="8" t="s">
        <v>14</v>
      </c>
      <c r="C63" s="7"/>
      <c r="D63" s="14">
        <f>SUM(D57:D62)</f>
        <v>3.0409999999999999</v>
      </c>
      <c r="F63" s="14">
        <v>3.0409999999999999</v>
      </c>
      <c r="H63" s="20"/>
      <c r="I63" s="20"/>
      <c r="J63" s="147"/>
      <c r="K63" s="197"/>
      <c r="L63" s="197"/>
      <c r="M63" s="197"/>
      <c r="N63" s="197"/>
      <c r="O63" s="197"/>
      <c r="P63" s="197"/>
      <c r="Q63" s="197"/>
      <c r="R63" s="197"/>
      <c r="S63" s="197"/>
    </row>
    <row r="64" spans="1:56" ht="15" x14ac:dyDescent="0.25">
      <c r="A64" s="10"/>
      <c r="B64" s="9" t="s">
        <v>15</v>
      </c>
      <c r="C64" s="5"/>
      <c r="D64" s="14">
        <f>SUM(D63)</f>
        <v>3.0409999999999999</v>
      </c>
      <c r="F64" s="14">
        <v>3.0409999999999999</v>
      </c>
      <c r="H64" s="20"/>
      <c r="I64" s="20"/>
      <c r="J64" s="147"/>
      <c r="K64" s="197"/>
      <c r="L64" s="197"/>
      <c r="M64" s="197"/>
      <c r="N64" s="197"/>
      <c r="O64" s="197"/>
      <c r="P64" s="197"/>
      <c r="Q64" s="197"/>
      <c r="R64" s="197"/>
      <c r="S64" s="197"/>
    </row>
    <row r="65" spans="1:56" ht="15.75" x14ac:dyDescent="0.25">
      <c r="A65" s="3"/>
      <c r="B65" s="11"/>
      <c r="C65" s="3"/>
      <c r="D65" s="87"/>
      <c r="F65" s="87"/>
      <c r="H65" s="20"/>
      <c r="I65" s="20"/>
      <c r="J65" s="147"/>
      <c r="K65" s="197"/>
      <c r="L65" s="197"/>
      <c r="M65" s="197"/>
      <c r="N65" s="197"/>
      <c r="O65" s="197"/>
      <c r="P65" s="197"/>
      <c r="Q65" s="197"/>
      <c r="R65" s="197"/>
      <c r="S65" s="197"/>
    </row>
    <row r="66" spans="1:56" ht="15" x14ac:dyDescent="0.25">
      <c r="A66" s="3">
        <v>7</v>
      </c>
      <c r="B66" s="11" t="s">
        <v>21</v>
      </c>
      <c r="C66" s="3" t="s">
        <v>8</v>
      </c>
      <c r="D66" s="14">
        <v>9.7569999999999997</v>
      </c>
      <c r="F66" s="89">
        <v>0.42900000000000027</v>
      </c>
      <c r="H66" s="20"/>
      <c r="I66" s="20"/>
      <c r="J66" s="147">
        <v>1.478729769162092E-2</v>
      </c>
      <c r="K66" s="197">
        <v>0.15</v>
      </c>
      <c r="L66" s="197">
        <v>1.18</v>
      </c>
      <c r="M66" s="197">
        <v>0.46666666666666673</v>
      </c>
      <c r="N66" s="197">
        <v>0.6566321730950142</v>
      </c>
      <c r="O66" s="216">
        <v>1.4787297691620922E-2</v>
      </c>
      <c r="P66" s="217">
        <v>5.6499999999999995E-2</v>
      </c>
      <c r="Q66" s="217">
        <v>1.25</v>
      </c>
      <c r="R66" s="217">
        <v>0.50078889239507718</v>
      </c>
      <c r="S66" s="217">
        <v>0.75268470790377973</v>
      </c>
      <c r="U66" s="20">
        <f t="shared" ref="U66:U71" si="107">IF(F66&gt;0,((D66-F66)*$J66*$K66*10)+(F66*$H$12*$J66*$K66*10),(D66*$J66*$K66*10))</f>
        <v>0.21040326024776332</v>
      </c>
      <c r="V66" s="20">
        <f t="shared" ref="V66:V71" si="108">U66*(EXP(1.01-0.34*LN(V$10))*(1-$M66)+(1*$M66))</f>
        <v>0.13420378123619983</v>
      </c>
      <c r="W66" s="20">
        <f t="shared" ref="W66:W71" si="109">SUM(V66:V66)</f>
        <v>0.13420378123619983</v>
      </c>
      <c r="X66" s="20">
        <f t="shared" ref="X66:X71" si="110">V66*$Y$1</f>
        <v>0.16000380257772182</v>
      </c>
      <c r="Y66" s="20">
        <f t="shared" ref="Y66:Y71" si="111">SUM(X66:X66)</f>
        <v>0.16000380257772182</v>
      </c>
      <c r="Z66" s="20">
        <f t="shared" ref="Z66:Z71" si="112">IF(F66&gt;0,((D66-F66)*$J66*$L66*10)+(F66*$I$12*$J66*$L66)*10,(D66*$J66*$L66*10))</f>
        <v>1.6709952915823394</v>
      </c>
      <c r="AA66" s="20">
        <f t="shared" ref="AA66:AA71" si="113">Z66*(EXP(1.01-0.34*LN(AA$10))*(1-$N66)+(1*$N66))</f>
        <v>1.2813803216571578</v>
      </c>
      <c r="AB66" s="20">
        <f t="shared" ref="AB66:AB71" si="114">SUM(AA66:AA66)</f>
        <v>1.2813803216571578</v>
      </c>
      <c r="AC66" s="20">
        <f t="shared" ref="AC66:AC71" si="115">AA66*$Y$1</f>
        <v>1.5277194288032949</v>
      </c>
      <c r="AD66" s="20">
        <f t="shared" ref="AD66:AD71" si="116">SUM(AC66:AC66)</f>
        <v>1.5277194288032949</v>
      </c>
      <c r="AE66" s="191"/>
      <c r="AF66" s="20">
        <f>$W66*AF$6</f>
        <v>0.128861324982596</v>
      </c>
      <c r="AG66" s="20">
        <f t="shared" ref="AG66:AO66" si="117">$W66*AG$6</f>
        <v>0.17826702433480518</v>
      </c>
      <c r="AH66" s="20">
        <f t="shared" si="117"/>
        <v>0.16666808179407641</v>
      </c>
      <c r="AI66" s="20">
        <f t="shared" si="117"/>
        <v>0.23274773178217095</v>
      </c>
      <c r="AJ66" s="20">
        <f t="shared" si="117"/>
        <v>0.19207001643325958</v>
      </c>
      <c r="AK66" s="20">
        <f t="shared" si="117"/>
        <v>0.14279362845800403</v>
      </c>
      <c r="AL66" s="20">
        <f t="shared" si="117"/>
        <v>0.16887076519000999</v>
      </c>
      <c r="AM66" s="20">
        <f t="shared" si="117"/>
        <v>0.14852037221091513</v>
      </c>
      <c r="AN66" s="20">
        <f t="shared" si="117"/>
        <v>0.13836221960158471</v>
      </c>
      <c r="AO66" s="20">
        <f t="shared" si="117"/>
        <v>0.10287686098979618</v>
      </c>
      <c r="AP66" s="20">
        <f>$AB66*AP$6</f>
        <v>1.2303704451125197</v>
      </c>
      <c r="AQ66" s="20">
        <f t="shared" ref="AQ66:AY66" si="118">$AB66*AQ$6</f>
        <v>1.7020970264687401</v>
      </c>
      <c r="AR66" s="20">
        <f t="shared" si="118"/>
        <v>1.5913500967860099</v>
      </c>
      <c r="AS66" s="20">
        <f t="shared" si="118"/>
        <v>2.2222798841346352</v>
      </c>
      <c r="AT66" s="20">
        <f t="shared" si="118"/>
        <v>1.8338882643312533</v>
      </c>
      <c r="AU66" s="20">
        <f t="shared" si="118"/>
        <v>1.3633963505251459</v>
      </c>
      <c r="AV66" s="20">
        <f t="shared" si="118"/>
        <v>1.6123813608263478</v>
      </c>
      <c r="AW66" s="20">
        <f t="shared" si="118"/>
        <v>1.4180754116108998</v>
      </c>
      <c r="AX66" s="20">
        <f t="shared" si="118"/>
        <v>1.3210851723040264</v>
      </c>
      <c r="AY66" s="20">
        <f t="shared" si="118"/>
        <v>0.9822702759333708</v>
      </c>
      <c r="BA66" s="20">
        <f t="shared" ref="BA66:BA71" si="119">D66*$O66*$P66*10</f>
        <v>8.1518009921087098E-2</v>
      </c>
      <c r="BB66" s="20">
        <f t="shared" ref="BB66:BB71" si="120">BA66*(EXP(1.01-0.34*LN(BB$10))*(1-$R66)+(1*$R66))</f>
        <v>5.3884336685164839E-2</v>
      </c>
      <c r="BC66" s="20">
        <f t="shared" ref="BC66:BC71" si="121">SUM(BB66:BB66)</f>
        <v>5.3884336685164839E-2</v>
      </c>
      <c r="BD66" s="20">
        <f t="shared" ref="BD66:BD71" si="122">BC66*BD$6</f>
        <v>6.4243337181612958E-2</v>
      </c>
    </row>
    <row r="67" spans="1:56" ht="15" x14ac:dyDescent="0.25">
      <c r="A67" s="3"/>
      <c r="B67" s="11"/>
      <c r="C67" s="3" t="s">
        <v>9</v>
      </c>
      <c r="D67" s="14">
        <v>0</v>
      </c>
      <c r="F67" s="89">
        <v>0</v>
      </c>
      <c r="H67" s="20"/>
      <c r="I67" s="20"/>
      <c r="J67" s="147"/>
      <c r="K67" s="197">
        <v>0.15</v>
      </c>
      <c r="L67" s="197">
        <v>1.18</v>
      </c>
      <c r="M67" s="197">
        <v>0.46666666666666673</v>
      </c>
      <c r="N67" s="197">
        <v>0.6566321730950142</v>
      </c>
      <c r="O67" s="216">
        <v>2.0574595383241839E-2</v>
      </c>
      <c r="P67" s="217">
        <v>5.6499999999999995E-2</v>
      </c>
      <c r="Q67" s="217">
        <v>1.25</v>
      </c>
      <c r="R67" s="217">
        <v>0.50078889239507718</v>
      </c>
      <c r="S67" s="217">
        <v>0.75268470790377973</v>
      </c>
      <c r="U67" s="20">
        <f t="shared" si="107"/>
        <v>0</v>
      </c>
      <c r="V67" s="20">
        <f t="shared" si="108"/>
        <v>0</v>
      </c>
      <c r="W67" s="20">
        <f t="shared" si="109"/>
        <v>0</v>
      </c>
      <c r="X67" s="20">
        <f t="shared" si="110"/>
        <v>0</v>
      </c>
      <c r="Y67" s="20">
        <f t="shared" si="111"/>
        <v>0</v>
      </c>
      <c r="Z67" s="20">
        <f t="shared" si="112"/>
        <v>0</v>
      </c>
      <c r="AA67" s="20">
        <f t="shared" si="113"/>
        <v>0</v>
      </c>
      <c r="AB67" s="20">
        <f t="shared" si="114"/>
        <v>0</v>
      </c>
      <c r="AC67" s="20">
        <f t="shared" si="115"/>
        <v>0</v>
      </c>
      <c r="AD67" s="20">
        <f t="shared" si="116"/>
        <v>0</v>
      </c>
      <c r="AE67" s="191"/>
      <c r="AF67" s="20">
        <f t="shared" ref="AF67:AO71" si="123">$W67*AF$6</f>
        <v>0</v>
      </c>
      <c r="AG67" s="20">
        <f t="shared" si="123"/>
        <v>0</v>
      </c>
      <c r="AH67" s="20">
        <f t="shared" si="123"/>
        <v>0</v>
      </c>
      <c r="AI67" s="20">
        <f t="shared" si="123"/>
        <v>0</v>
      </c>
      <c r="AJ67" s="20">
        <f t="shared" si="123"/>
        <v>0</v>
      </c>
      <c r="AK67" s="20">
        <f t="shared" si="123"/>
        <v>0</v>
      </c>
      <c r="AL67" s="20">
        <f t="shared" si="123"/>
        <v>0</v>
      </c>
      <c r="AM67" s="20">
        <f t="shared" si="123"/>
        <v>0</v>
      </c>
      <c r="AN67" s="20">
        <f t="shared" si="123"/>
        <v>0</v>
      </c>
      <c r="AO67" s="20">
        <f t="shared" si="123"/>
        <v>0</v>
      </c>
      <c r="AP67" s="20">
        <f t="shared" ref="AP67:AY71" si="124">$AB67*AP$6</f>
        <v>0</v>
      </c>
      <c r="AQ67" s="20">
        <f t="shared" si="124"/>
        <v>0</v>
      </c>
      <c r="AR67" s="20">
        <f t="shared" si="124"/>
        <v>0</v>
      </c>
      <c r="AS67" s="20">
        <f t="shared" si="124"/>
        <v>0</v>
      </c>
      <c r="AT67" s="20">
        <f t="shared" si="124"/>
        <v>0</v>
      </c>
      <c r="AU67" s="20">
        <f t="shared" si="124"/>
        <v>0</v>
      </c>
      <c r="AV67" s="20">
        <f t="shared" si="124"/>
        <v>0</v>
      </c>
      <c r="AW67" s="20">
        <f t="shared" si="124"/>
        <v>0</v>
      </c>
      <c r="AX67" s="20">
        <f t="shared" si="124"/>
        <v>0</v>
      </c>
      <c r="AY67" s="20">
        <f t="shared" si="124"/>
        <v>0</v>
      </c>
      <c r="BA67" s="20">
        <f t="shared" si="119"/>
        <v>0</v>
      </c>
      <c r="BB67" s="20">
        <f t="shared" si="120"/>
        <v>0</v>
      </c>
      <c r="BC67" s="20">
        <f t="shared" si="121"/>
        <v>0</v>
      </c>
      <c r="BD67" s="20">
        <f t="shared" si="122"/>
        <v>0</v>
      </c>
    </row>
    <row r="68" spans="1:56" ht="15" x14ac:dyDescent="0.25">
      <c r="A68" s="3"/>
      <c r="B68" s="11"/>
      <c r="C68" s="3" t="s">
        <v>10</v>
      </c>
      <c r="D68" s="14">
        <v>0</v>
      </c>
      <c r="F68" s="89">
        <v>0</v>
      </c>
      <c r="H68" s="20"/>
      <c r="I68" s="20"/>
      <c r="J68" s="147"/>
      <c r="K68" s="197">
        <v>0.15</v>
      </c>
      <c r="L68" s="197">
        <v>1.18</v>
      </c>
      <c r="M68" s="197">
        <v>0.46666666666666673</v>
      </c>
      <c r="N68" s="197">
        <v>0.6566321730950142</v>
      </c>
      <c r="O68" s="216">
        <v>2.6361893074862752E-2</v>
      </c>
      <c r="P68" s="217">
        <v>5.6499999999999995E-2</v>
      </c>
      <c r="Q68" s="217">
        <v>1.25</v>
      </c>
      <c r="R68" s="217">
        <v>0.50078889239507718</v>
      </c>
      <c r="S68" s="217">
        <v>0.75268470790377973</v>
      </c>
      <c r="U68" s="20">
        <f t="shared" si="107"/>
        <v>0</v>
      </c>
      <c r="V68" s="20">
        <f t="shared" si="108"/>
        <v>0</v>
      </c>
      <c r="W68" s="20">
        <f t="shared" si="109"/>
        <v>0</v>
      </c>
      <c r="X68" s="20">
        <f t="shared" si="110"/>
        <v>0</v>
      </c>
      <c r="Y68" s="20">
        <f t="shared" si="111"/>
        <v>0</v>
      </c>
      <c r="Z68" s="20">
        <f t="shared" si="112"/>
        <v>0</v>
      </c>
      <c r="AA68" s="20">
        <f t="shared" si="113"/>
        <v>0</v>
      </c>
      <c r="AB68" s="20">
        <f t="shared" si="114"/>
        <v>0</v>
      </c>
      <c r="AC68" s="20">
        <f t="shared" si="115"/>
        <v>0</v>
      </c>
      <c r="AD68" s="20">
        <f t="shared" si="116"/>
        <v>0</v>
      </c>
      <c r="AE68" s="191"/>
      <c r="AF68" s="20">
        <f t="shared" si="123"/>
        <v>0</v>
      </c>
      <c r="AG68" s="20">
        <f t="shared" si="123"/>
        <v>0</v>
      </c>
      <c r="AH68" s="20">
        <f t="shared" si="123"/>
        <v>0</v>
      </c>
      <c r="AI68" s="20">
        <f t="shared" si="123"/>
        <v>0</v>
      </c>
      <c r="AJ68" s="20">
        <f t="shared" si="123"/>
        <v>0</v>
      </c>
      <c r="AK68" s="20">
        <f t="shared" si="123"/>
        <v>0</v>
      </c>
      <c r="AL68" s="20">
        <f t="shared" si="123"/>
        <v>0</v>
      </c>
      <c r="AM68" s="20">
        <f t="shared" si="123"/>
        <v>0</v>
      </c>
      <c r="AN68" s="20">
        <f t="shared" si="123"/>
        <v>0</v>
      </c>
      <c r="AO68" s="20">
        <f t="shared" si="123"/>
        <v>0</v>
      </c>
      <c r="AP68" s="20">
        <f t="shared" si="124"/>
        <v>0</v>
      </c>
      <c r="AQ68" s="20">
        <f t="shared" si="124"/>
        <v>0</v>
      </c>
      <c r="AR68" s="20">
        <f t="shared" si="124"/>
        <v>0</v>
      </c>
      <c r="AS68" s="20">
        <f t="shared" si="124"/>
        <v>0</v>
      </c>
      <c r="AT68" s="20">
        <f t="shared" si="124"/>
        <v>0</v>
      </c>
      <c r="AU68" s="20">
        <f t="shared" si="124"/>
        <v>0</v>
      </c>
      <c r="AV68" s="20">
        <f t="shared" si="124"/>
        <v>0</v>
      </c>
      <c r="AW68" s="20">
        <f t="shared" si="124"/>
        <v>0</v>
      </c>
      <c r="AX68" s="20">
        <f t="shared" si="124"/>
        <v>0</v>
      </c>
      <c r="AY68" s="20">
        <f t="shared" si="124"/>
        <v>0</v>
      </c>
      <c r="BA68" s="20">
        <f t="shared" si="119"/>
        <v>0</v>
      </c>
      <c r="BB68" s="20">
        <f t="shared" si="120"/>
        <v>0</v>
      </c>
      <c r="BC68" s="20">
        <f t="shared" si="121"/>
        <v>0</v>
      </c>
      <c r="BD68" s="20">
        <f t="shared" si="122"/>
        <v>0</v>
      </c>
    </row>
    <row r="69" spans="1:56" ht="15" x14ac:dyDescent="0.25">
      <c r="A69" s="3"/>
      <c r="B69" s="11"/>
      <c r="C69" s="3" t="s">
        <v>11</v>
      </c>
      <c r="D69" s="14">
        <v>0</v>
      </c>
      <c r="F69" s="89">
        <v>0</v>
      </c>
      <c r="H69" s="20"/>
      <c r="I69" s="20"/>
      <c r="J69" s="147"/>
      <c r="K69" s="197">
        <v>0.15</v>
      </c>
      <c r="L69" s="197">
        <v>1.18</v>
      </c>
      <c r="M69" s="197">
        <v>0.46666666666666673</v>
      </c>
      <c r="N69" s="197">
        <v>0.6566321730950142</v>
      </c>
      <c r="O69" s="216">
        <v>3.2149190766483676E-2</v>
      </c>
      <c r="P69" s="217">
        <v>5.6499999999999995E-2</v>
      </c>
      <c r="Q69" s="217">
        <v>1.25</v>
      </c>
      <c r="R69" s="217">
        <v>0.50078889239507718</v>
      </c>
      <c r="S69" s="217">
        <v>0.75268470790377973</v>
      </c>
      <c r="U69" s="20">
        <f t="shared" si="107"/>
        <v>0</v>
      </c>
      <c r="V69" s="20">
        <f t="shared" si="108"/>
        <v>0</v>
      </c>
      <c r="W69" s="20">
        <f t="shared" si="109"/>
        <v>0</v>
      </c>
      <c r="X69" s="20">
        <f t="shared" si="110"/>
        <v>0</v>
      </c>
      <c r="Y69" s="20">
        <f t="shared" si="111"/>
        <v>0</v>
      </c>
      <c r="Z69" s="20">
        <f t="shared" si="112"/>
        <v>0</v>
      </c>
      <c r="AA69" s="20">
        <f t="shared" si="113"/>
        <v>0</v>
      </c>
      <c r="AB69" s="20">
        <f t="shared" si="114"/>
        <v>0</v>
      </c>
      <c r="AC69" s="20">
        <f t="shared" si="115"/>
        <v>0</v>
      </c>
      <c r="AD69" s="20">
        <f t="shared" si="116"/>
        <v>0</v>
      </c>
      <c r="AE69" s="191"/>
      <c r="AF69" s="20">
        <f t="shared" si="123"/>
        <v>0</v>
      </c>
      <c r="AG69" s="20">
        <f t="shared" si="123"/>
        <v>0</v>
      </c>
      <c r="AH69" s="20">
        <f t="shared" si="123"/>
        <v>0</v>
      </c>
      <c r="AI69" s="20">
        <f t="shared" si="123"/>
        <v>0</v>
      </c>
      <c r="AJ69" s="20">
        <f t="shared" si="123"/>
        <v>0</v>
      </c>
      <c r="AK69" s="20">
        <f t="shared" si="123"/>
        <v>0</v>
      </c>
      <c r="AL69" s="20">
        <f t="shared" si="123"/>
        <v>0</v>
      </c>
      <c r="AM69" s="20">
        <f t="shared" si="123"/>
        <v>0</v>
      </c>
      <c r="AN69" s="20">
        <f t="shared" si="123"/>
        <v>0</v>
      </c>
      <c r="AO69" s="20">
        <f t="shared" si="123"/>
        <v>0</v>
      </c>
      <c r="AP69" s="20">
        <f t="shared" si="124"/>
        <v>0</v>
      </c>
      <c r="AQ69" s="20">
        <f t="shared" si="124"/>
        <v>0</v>
      </c>
      <c r="AR69" s="20">
        <f t="shared" si="124"/>
        <v>0</v>
      </c>
      <c r="AS69" s="20">
        <f t="shared" si="124"/>
        <v>0</v>
      </c>
      <c r="AT69" s="20">
        <f t="shared" si="124"/>
        <v>0</v>
      </c>
      <c r="AU69" s="20">
        <f t="shared" si="124"/>
        <v>0</v>
      </c>
      <c r="AV69" s="20">
        <f t="shared" si="124"/>
        <v>0</v>
      </c>
      <c r="AW69" s="20">
        <f t="shared" si="124"/>
        <v>0</v>
      </c>
      <c r="AX69" s="20">
        <f t="shared" si="124"/>
        <v>0</v>
      </c>
      <c r="AY69" s="20">
        <f t="shared" si="124"/>
        <v>0</v>
      </c>
      <c r="BA69" s="20">
        <f t="shared" si="119"/>
        <v>0</v>
      </c>
      <c r="BB69" s="20">
        <f t="shared" si="120"/>
        <v>0</v>
      </c>
      <c r="BC69" s="20">
        <f t="shared" si="121"/>
        <v>0</v>
      </c>
      <c r="BD69" s="20">
        <f t="shared" si="122"/>
        <v>0</v>
      </c>
    </row>
    <row r="70" spans="1:56" ht="15" x14ac:dyDescent="0.25">
      <c r="A70" s="3"/>
      <c r="B70" s="12"/>
      <c r="C70" s="3" t="s">
        <v>12</v>
      </c>
      <c r="D70" s="14">
        <v>0</v>
      </c>
      <c r="F70" s="89">
        <v>0</v>
      </c>
      <c r="H70" s="20"/>
      <c r="I70" s="20"/>
      <c r="J70" s="147"/>
      <c r="K70" s="197">
        <v>0.15</v>
      </c>
      <c r="L70" s="197">
        <v>1.18</v>
      </c>
      <c r="M70" s="197">
        <v>0.46666666666666673</v>
      </c>
      <c r="N70" s="197">
        <v>0.6566321730950142</v>
      </c>
      <c r="O70" s="216">
        <v>3.2149190766483676E-2</v>
      </c>
      <c r="P70" s="217">
        <v>5.6499999999999995E-2</v>
      </c>
      <c r="Q70" s="217">
        <v>1.25</v>
      </c>
      <c r="R70" s="217">
        <v>0.50078889239507718</v>
      </c>
      <c r="S70" s="217">
        <v>0.75268470790377973</v>
      </c>
      <c r="U70" s="20">
        <f t="shared" si="107"/>
        <v>0</v>
      </c>
      <c r="V70" s="20">
        <f t="shared" si="108"/>
        <v>0</v>
      </c>
      <c r="W70" s="20">
        <f t="shared" si="109"/>
        <v>0</v>
      </c>
      <c r="X70" s="20">
        <f t="shared" si="110"/>
        <v>0</v>
      </c>
      <c r="Y70" s="20">
        <f t="shared" si="111"/>
        <v>0</v>
      </c>
      <c r="Z70" s="20">
        <f t="shared" si="112"/>
        <v>0</v>
      </c>
      <c r="AA70" s="20">
        <f t="shared" si="113"/>
        <v>0</v>
      </c>
      <c r="AB70" s="20">
        <f t="shared" si="114"/>
        <v>0</v>
      </c>
      <c r="AC70" s="20">
        <f t="shared" si="115"/>
        <v>0</v>
      </c>
      <c r="AD70" s="20">
        <f t="shared" si="116"/>
        <v>0</v>
      </c>
      <c r="AE70" s="191"/>
      <c r="AF70" s="20">
        <f t="shared" si="123"/>
        <v>0</v>
      </c>
      <c r="AG70" s="20">
        <f t="shared" si="123"/>
        <v>0</v>
      </c>
      <c r="AH70" s="20">
        <f t="shared" si="123"/>
        <v>0</v>
      </c>
      <c r="AI70" s="20">
        <f t="shared" si="123"/>
        <v>0</v>
      </c>
      <c r="AJ70" s="20">
        <f t="shared" si="123"/>
        <v>0</v>
      </c>
      <c r="AK70" s="20">
        <f t="shared" si="123"/>
        <v>0</v>
      </c>
      <c r="AL70" s="20">
        <f t="shared" si="123"/>
        <v>0</v>
      </c>
      <c r="AM70" s="20">
        <f t="shared" si="123"/>
        <v>0</v>
      </c>
      <c r="AN70" s="20">
        <f t="shared" si="123"/>
        <v>0</v>
      </c>
      <c r="AO70" s="20">
        <f t="shared" si="123"/>
        <v>0</v>
      </c>
      <c r="AP70" s="20">
        <f t="shared" si="124"/>
        <v>0</v>
      </c>
      <c r="AQ70" s="20">
        <f t="shared" si="124"/>
        <v>0</v>
      </c>
      <c r="AR70" s="20">
        <f t="shared" si="124"/>
        <v>0</v>
      </c>
      <c r="AS70" s="20">
        <f t="shared" si="124"/>
        <v>0</v>
      </c>
      <c r="AT70" s="20">
        <f t="shared" si="124"/>
        <v>0</v>
      </c>
      <c r="AU70" s="20">
        <f t="shared" si="124"/>
        <v>0</v>
      </c>
      <c r="AV70" s="20">
        <f t="shared" si="124"/>
        <v>0</v>
      </c>
      <c r="AW70" s="20">
        <f t="shared" si="124"/>
        <v>0</v>
      </c>
      <c r="AX70" s="20">
        <f t="shared" si="124"/>
        <v>0</v>
      </c>
      <c r="AY70" s="20">
        <f t="shared" si="124"/>
        <v>0</v>
      </c>
      <c r="BA70" s="20">
        <f t="shared" si="119"/>
        <v>0</v>
      </c>
      <c r="BB70" s="20">
        <f t="shared" si="120"/>
        <v>0</v>
      </c>
      <c r="BC70" s="20">
        <f t="shared" si="121"/>
        <v>0</v>
      </c>
      <c r="BD70" s="20">
        <f t="shared" si="122"/>
        <v>0</v>
      </c>
    </row>
    <row r="71" spans="1:56" ht="15" x14ac:dyDescent="0.25">
      <c r="A71" s="3"/>
      <c r="B71" s="12"/>
      <c r="C71" s="3" t="s">
        <v>13</v>
      </c>
      <c r="D71" s="14">
        <v>0</v>
      </c>
      <c r="F71" s="89">
        <v>0</v>
      </c>
      <c r="H71" s="20"/>
      <c r="I71" s="20"/>
      <c r="J71" s="147"/>
      <c r="K71" s="197">
        <v>0.15</v>
      </c>
      <c r="L71" s="197">
        <v>1.18</v>
      </c>
      <c r="M71" s="197">
        <v>0.46666666666666673</v>
      </c>
      <c r="N71" s="197">
        <v>0.6566321730950142</v>
      </c>
      <c r="O71" s="216">
        <v>3.2149190766483676E-2</v>
      </c>
      <c r="P71" s="217">
        <v>5.6499999999999995E-2</v>
      </c>
      <c r="Q71" s="217">
        <v>1.25</v>
      </c>
      <c r="R71" s="217">
        <v>0.50078889239507718</v>
      </c>
      <c r="S71" s="217">
        <v>0.75268470790377973</v>
      </c>
      <c r="U71" s="20">
        <f t="shared" si="107"/>
        <v>0</v>
      </c>
      <c r="V71" s="20">
        <f t="shared" si="108"/>
        <v>0</v>
      </c>
      <c r="W71" s="20">
        <f t="shared" si="109"/>
        <v>0</v>
      </c>
      <c r="X71" s="20">
        <f t="shared" si="110"/>
        <v>0</v>
      </c>
      <c r="Y71" s="20">
        <f t="shared" si="111"/>
        <v>0</v>
      </c>
      <c r="Z71" s="20">
        <f t="shared" si="112"/>
        <v>0</v>
      </c>
      <c r="AA71" s="20">
        <f t="shared" si="113"/>
        <v>0</v>
      </c>
      <c r="AB71" s="20">
        <f t="shared" si="114"/>
        <v>0</v>
      </c>
      <c r="AC71" s="20">
        <f t="shared" si="115"/>
        <v>0</v>
      </c>
      <c r="AD71" s="20">
        <f t="shared" si="116"/>
        <v>0</v>
      </c>
      <c r="AE71" s="191"/>
      <c r="AF71" s="20">
        <f t="shared" si="123"/>
        <v>0</v>
      </c>
      <c r="AG71" s="20">
        <f t="shared" si="123"/>
        <v>0</v>
      </c>
      <c r="AH71" s="20">
        <f t="shared" si="123"/>
        <v>0</v>
      </c>
      <c r="AI71" s="20">
        <f t="shared" si="123"/>
        <v>0</v>
      </c>
      <c r="AJ71" s="20">
        <f t="shared" si="123"/>
        <v>0</v>
      </c>
      <c r="AK71" s="20">
        <f t="shared" si="123"/>
        <v>0</v>
      </c>
      <c r="AL71" s="20">
        <f t="shared" si="123"/>
        <v>0</v>
      </c>
      <c r="AM71" s="20">
        <f t="shared" si="123"/>
        <v>0</v>
      </c>
      <c r="AN71" s="20">
        <f t="shared" si="123"/>
        <v>0</v>
      </c>
      <c r="AO71" s="20">
        <f t="shared" si="123"/>
        <v>0</v>
      </c>
      <c r="AP71" s="20">
        <f t="shared" si="124"/>
        <v>0</v>
      </c>
      <c r="AQ71" s="20">
        <f t="shared" si="124"/>
        <v>0</v>
      </c>
      <c r="AR71" s="20">
        <f t="shared" si="124"/>
        <v>0</v>
      </c>
      <c r="AS71" s="20">
        <f t="shared" si="124"/>
        <v>0</v>
      </c>
      <c r="AT71" s="20">
        <f t="shared" si="124"/>
        <v>0</v>
      </c>
      <c r="AU71" s="20">
        <f t="shared" si="124"/>
        <v>0</v>
      </c>
      <c r="AV71" s="20">
        <f t="shared" si="124"/>
        <v>0</v>
      </c>
      <c r="AW71" s="20">
        <f t="shared" si="124"/>
        <v>0</v>
      </c>
      <c r="AX71" s="20">
        <f t="shared" si="124"/>
        <v>0</v>
      </c>
      <c r="AY71" s="20">
        <f t="shared" si="124"/>
        <v>0</v>
      </c>
      <c r="BA71" s="20">
        <f t="shared" si="119"/>
        <v>0</v>
      </c>
      <c r="BB71" s="20">
        <f t="shared" si="120"/>
        <v>0</v>
      </c>
      <c r="BC71" s="20">
        <f t="shared" si="121"/>
        <v>0</v>
      </c>
      <c r="BD71" s="20">
        <f t="shared" si="122"/>
        <v>0</v>
      </c>
    </row>
    <row r="72" spans="1:56" ht="15" x14ac:dyDescent="0.25">
      <c r="A72" s="7"/>
      <c r="B72" s="8" t="s">
        <v>14</v>
      </c>
      <c r="C72" s="7"/>
      <c r="D72" s="14">
        <f>SUM(D66:D71)</f>
        <v>9.7569999999999997</v>
      </c>
      <c r="F72" s="14">
        <v>0.42900000000000027</v>
      </c>
      <c r="H72" s="20"/>
      <c r="I72" s="20"/>
      <c r="J72" s="147"/>
      <c r="K72" s="197"/>
      <c r="L72" s="197"/>
      <c r="M72" s="197"/>
      <c r="N72" s="197"/>
      <c r="O72" s="197"/>
      <c r="P72" s="197"/>
      <c r="Q72" s="197"/>
      <c r="R72" s="197"/>
      <c r="S72" s="197"/>
    </row>
    <row r="73" spans="1:56" ht="15" x14ac:dyDescent="0.25">
      <c r="A73" s="10"/>
      <c r="B73" s="9" t="s">
        <v>15</v>
      </c>
      <c r="C73" s="5"/>
      <c r="D73" s="14">
        <f>SUM(D72)</f>
        <v>9.7569999999999997</v>
      </c>
      <c r="F73" s="14">
        <v>0.42900000000000027</v>
      </c>
      <c r="H73" s="20"/>
      <c r="I73" s="20"/>
      <c r="J73" s="147"/>
      <c r="K73" s="197"/>
      <c r="L73" s="197"/>
      <c r="M73" s="197"/>
      <c r="N73" s="197"/>
      <c r="O73" s="197"/>
      <c r="P73" s="197"/>
      <c r="Q73" s="197"/>
      <c r="R73" s="197"/>
      <c r="S73" s="197"/>
    </row>
    <row r="74" spans="1:56" ht="15.75" x14ac:dyDescent="0.25">
      <c r="A74" s="1"/>
      <c r="B74" s="2"/>
      <c r="C74" s="1"/>
      <c r="D74" s="87"/>
      <c r="F74" s="87"/>
      <c r="H74" s="20"/>
      <c r="I74" s="20"/>
      <c r="J74" s="147"/>
      <c r="K74" s="197"/>
      <c r="L74" s="197"/>
      <c r="M74" s="197"/>
      <c r="N74" s="197"/>
      <c r="O74" s="197"/>
      <c r="P74" s="197"/>
      <c r="Q74" s="197"/>
      <c r="R74" s="197"/>
      <c r="S74" s="197"/>
    </row>
    <row r="75" spans="1:56" ht="15" x14ac:dyDescent="0.25">
      <c r="A75" s="1">
        <v>8</v>
      </c>
      <c r="B75" s="2" t="s">
        <v>22</v>
      </c>
      <c r="C75" s="1" t="s">
        <v>8</v>
      </c>
      <c r="D75" s="14">
        <v>251.14400000000001</v>
      </c>
      <c r="F75" s="89">
        <v>-21.846000000000004</v>
      </c>
      <c r="H75" s="20"/>
      <c r="I75" s="20"/>
      <c r="J75" s="147">
        <v>1.4787297691620918E-2</v>
      </c>
      <c r="K75" s="197">
        <v>5.6499999999999995E-2</v>
      </c>
      <c r="L75" s="197">
        <v>1.25</v>
      </c>
      <c r="M75" s="197">
        <v>0.50078889239507718</v>
      </c>
      <c r="N75" s="197">
        <v>0.75268470790377973</v>
      </c>
      <c r="O75" s="216">
        <v>1.4787297691620922E-2</v>
      </c>
      <c r="P75" s="217">
        <v>5.6499999999999995E-2</v>
      </c>
      <c r="Q75" s="217">
        <v>1.25</v>
      </c>
      <c r="R75" s="217">
        <v>0.50078889239507718</v>
      </c>
      <c r="S75" s="217">
        <v>0.75268470790377973</v>
      </c>
      <c r="U75" s="20">
        <f t="shared" ref="U75:U80" si="125">IF(F75&gt;0,((D75-F75)*$J75*$K75*10)+(F75*$H$12*$J75*$K75*10),(D75*$J75*$K75*10))</f>
        <v>2.0982637166774105</v>
      </c>
      <c r="V75" s="20">
        <f t="shared" ref="V75:V80" si="126">U75*(EXP(1.01-0.34*LN(V$10))*(1-$M75)+(1*$M75))</f>
        <v>1.3869763095684162</v>
      </c>
      <c r="W75" s="20">
        <f t="shared" ref="W75:W80" si="127">SUM(V75:V75)</f>
        <v>1.3869763095684162</v>
      </c>
      <c r="X75" s="20">
        <f t="shared" ref="X75:X80" si="128">V75*$Y$1</f>
        <v>1.6536157295417653</v>
      </c>
      <c r="Y75" s="20">
        <f t="shared" ref="Y75:Y80" si="129">SUM(X75:X75)</f>
        <v>1.6536157295417653</v>
      </c>
      <c r="Z75" s="20">
        <f t="shared" ref="Z75:Z80" si="130">IF(F75&gt;0,((D75-F75)*$J75*$L75*10)+(F75*$I$12*$J75*$L75)*10,(D75*$J75*$L75*10))</f>
        <v>46.421763643305539</v>
      </c>
      <c r="AA75" s="20">
        <f t="shared" ref="AA75:AA80" si="131">Z75*(EXP(1.01-0.34*LN(AA$10))*(1-$N75)+(1*$N75))</f>
        <v>38.625735185813376</v>
      </c>
      <c r="AB75" s="20">
        <f t="shared" ref="AB75:AB80" si="132">SUM(AA75:AA75)</f>
        <v>38.625735185813376</v>
      </c>
      <c r="AC75" s="20">
        <f t="shared" ref="AC75:AC80" si="133">AA75*$Y$1</f>
        <v>46.051344084060695</v>
      </c>
      <c r="AD75" s="20">
        <f t="shared" ref="AD75:AD80" si="134">SUM(AC75:AC75)</f>
        <v>46.051344084060695</v>
      </c>
      <c r="AE75" s="191"/>
      <c r="AF75" s="20">
        <f>$W75*AF$6</f>
        <v>1.331762811182609</v>
      </c>
      <c r="AG75" s="20">
        <f t="shared" ref="AG75:AO75" si="135">$W75*AG$6</f>
        <v>1.8423634360530066</v>
      </c>
      <c r="AH75" s="20">
        <f t="shared" si="135"/>
        <v>1.7224900735303663</v>
      </c>
      <c r="AI75" s="20">
        <f t="shared" si="135"/>
        <v>2.4054135219893453</v>
      </c>
      <c r="AJ75" s="20">
        <f t="shared" si="135"/>
        <v>1.9850153260770433</v>
      </c>
      <c r="AK75" s="20">
        <f t="shared" si="135"/>
        <v>1.4757511152386522</v>
      </c>
      <c r="AL75" s="20">
        <f t="shared" si="135"/>
        <v>1.7452544819508908</v>
      </c>
      <c r="AM75" s="20">
        <f t="shared" si="135"/>
        <v>1.5349361683205556</v>
      </c>
      <c r="AN75" s="20">
        <f t="shared" si="135"/>
        <v>1.429953157496703</v>
      </c>
      <c r="AO75" s="20">
        <f t="shared" si="135"/>
        <v>1.0632172035784799</v>
      </c>
      <c r="AP75" s="20">
        <f>$AB75*AP$6</f>
        <v>37.088101159464259</v>
      </c>
      <c r="AQ75" s="20">
        <f t="shared" ref="AQ75:AY75" si="136">$AB75*AQ$6</f>
        <v>51.307756092209132</v>
      </c>
      <c r="AR75" s="20">
        <f t="shared" si="136"/>
        <v>47.969417344322892</v>
      </c>
      <c r="AS75" s="20">
        <f t="shared" si="136"/>
        <v>66.988069710899453</v>
      </c>
      <c r="AT75" s="20">
        <f t="shared" si="136"/>
        <v>55.280451292416821</v>
      </c>
      <c r="AU75" s="20">
        <f t="shared" si="136"/>
        <v>41.098013992116549</v>
      </c>
      <c r="AV75" s="20">
        <f t="shared" si="136"/>
        <v>48.603380596071936</v>
      </c>
      <c r="AW75" s="20">
        <f t="shared" si="136"/>
        <v>42.74625136396557</v>
      </c>
      <c r="AX75" s="20">
        <f t="shared" si="136"/>
        <v>39.822592216280988</v>
      </c>
      <c r="AY75" s="20">
        <f t="shared" si="136"/>
        <v>29.609407072859334</v>
      </c>
      <c r="BA75" s="20">
        <f t="shared" ref="BA75:BA80" si="137">D75*$O75*$P75*10</f>
        <v>2.098263716677411</v>
      </c>
      <c r="BB75" s="20">
        <f t="shared" ref="BB75:BB80" si="138">BA75*(EXP(1.01-0.34*LN(BB$10))*(1-$R75)+(1*$R75))</f>
        <v>1.3869763095684164</v>
      </c>
      <c r="BC75" s="20">
        <f t="shared" ref="BC75:BC80" si="139">SUM(BB75:BB75)</f>
        <v>1.3869763095684164</v>
      </c>
      <c r="BD75" s="20">
        <f t="shared" ref="BD75:BD80" si="140">BC75*BD$6</f>
        <v>1.6536157295417655</v>
      </c>
    </row>
    <row r="76" spans="1:56" ht="15" x14ac:dyDescent="0.25">
      <c r="A76" s="1"/>
      <c r="B76" s="2"/>
      <c r="C76" s="1" t="s">
        <v>9</v>
      </c>
      <c r="D76" s="14">
        <v>18.739000000000001</v>
      </c>
      <c r="F76" s="89">
        <v>-10.103999999999999</v>
      </c>
      <c r="H76" s="20"/>
      <c r="I76" s="20"/>
      <c r="J76" s="147">
        <v>2.0574595383241835E-2</v>
      </c>
      <c r="K76" s="197">
        <v>5.6499999999999995E-2</v>
      </c>
      <c r="L76" s="197">
        <v>1.25</v>
      </c>
      <c r="M76" s="197">
        <v>0.50078889239507718</v>
      </c>
      <c r="N76" s="197">
        <v>0.75268470790377973</v>
      </c>
      <c r="O76" s="216">
        <v>2.0574595383241839E-2</v>
      </c>
      <c r="P76" s="217">
        <v>5.6499999999999995E-2</v>
      </c>
      <c r="Q76" s="217">
        <v>1.25</v>
      </c>
      <c r="R76" s="217">
        <v>0.50078889239507718</v>
      </c>
      <c r="S76" s="217">
        <v>0.75268470790377973</v>
      </c>
      <c r="U76" s="20">
        <f t="shared" si="125"/>
        <v>0.21783424873091134</v>
      </c>
      <c r="V76" s="20">
        <f t="shared" si="126"/>
        <v>0.14399092926261461</v>
      </c>
      <c r="W76" s="20">
        <f t="shared" si="127"/>
        <v>0.14399092926261461</v>
      </c>
      <c r="X76" s="20">
        <f t="shared" si="128"/>
        <v>0.17167248200085425</v>
      </c>
      <c r="Y76" s="20">
        <f t="shared" si="129"/>
        <v>0.17167248200085425</v>
      </c>
      <c r="Z76" s="20">
        <f t="shared" si="130"/>
        <v>4.8193417860821093</v>
      </c>
      <c r="AA76" s="20">
        <f t="shared" si="131"/>
        <v>4.0099859417119994</v>
      </c>
      <c r="AB76" s="20">
        <f t="shared" si="132"/>
        <v>4.0099859417119994</v>
      </c>
      <c r="AC76" s="20">
        <f t="shared" si="133"/>
        <v>4.7808861497567063</v>
      </c>
      <c r="AD76" s="20">
        <f t="shared" si="134"/>
        <v>4.7808861497567063</v>
      </c>
      <c r="AE76" s="191"/>
      <c r="AF76" s="20">
        <f t="shared" ref="AF76:AO80" si="141">$W76*AF$6</f>
        <v>0.13825886096010256</v>
      </c>
      <c r="AG76" s="20">
        <f t="shared" si="141"/>
        <v>0.19126759510354149</v>
      </c>
      <c r="AH76" s="20">
        <f t="shared" si="141"/>
        <v>0.17882277052766951</v>
      </c>
      <c r="AI76" s="20">
        <f t="shared" si="141"/>
        <v>0.24972144506194213</v>
      </c>
      <c r="AJ76" s="20">
        <f t="shared" si="141"/>
        <v>0.20607720509033425</v>
      </c>
      <c r="AK76" s="20">
        <f t="shared" si="141"/>
        <v>0.15320721268099752</v>
      </c>
      <c r="AL76" s="20">
        <f t="shared" si="141"/>
        <v>0.18118609014601614</v>
      </c>
      <c r="AM76" s="20">
        <f t="shared" si="141"/>
        <v>0.1593515936144918</v>
      </c>
      <c r="AN76" s="20">
        <f t="shared" si="141"/>
        <v>0.14845263219674598</v>
      </c>
      <c r="AO76" s="20">
        <f t="shared" si="141"/>
        <v>0.11037941462670102</v>
      </c>
      <c r="AP76" s="20">
        <f t="shared" ref="AP76:AY80" si="142">$AB76*AP$6</f>
        <v>3.8503542661077352</v>
      </c>
      <c r="AQ76" s="20">
        <f t="shared" si="142"/>
        <v>5.3265880802215282</v>
      </c>
      <c r="AR76" s="20">
        <f t="shared" si="142"/>
        <v>4.980013668542421</v>
      </c>
      <c r="AS76" s="20">
        <f t="shared" si="142"/>
        <v>6.9544622648837127</v>
      </c>
      <c r="AT76" s="20">
        <f t="shared" si="142"/>
        <v>5.7390191142692784</v>
      </c>
      <c r="AU76" s="20">
        <f t="shared" si="142"/>
        <v>4.2666491018972179</v>
      </c>
      <c r="AV76" s="20">
        <f t="shared" si="142"/>
        <v>5.0458294702312756</v>
      </c>
      <c r="AW76" s="20">
        <f t="shared" si="142"/>
        <v>4.4377632220019514</v>
      </c>
      <c r="AX76" s="20">
        <f t="shared" si="142"/>
        <v>4.1342393661018875</v>
      </c>
      <c r="AY76" s="20">
        <f t="shared" si="142"/>
        <v>3.0739429433100511</v>
      </c>
      <c r="BA76" s="20">
        <f t="shared" si="137"/>
        <v>0.21783424873091137</v>
      </c>
      <c r="BB76" s="20">
        <f t="shared" si="138"/>
        <v>0.14399092926261464</v>
      </c>
      <c r="BC76" s="20">
        <f t="shared" si="139"/>
        <v>0.14399092926261464</v>
      </c>
      <c r="BD76" s="20">
        <f t="shared" si="140"/>
        <v>0.17167248200085428</v>
      </c>
    </row>
    <row r="77" spans="1:56" ht="15" x14ac:dyDescent="0.25">
      <c r="A77" s="1"/>
      <c r="B77" s="2"/>
      <c r="C77" s="1" t="s">
        <v>10</v>
      </c>
      <c r="D77" s="14">
        <v>15.917999999999999</v>
      </c>
      <c r="F77" s="89">
        <v>-3.4690000000000012</v>
      </c>
      <c r="H77" s="20"/>
      <c r="I77" s="20"/>
      <c r="J77" s="147">
        <v>2.6361893074862756E-2</v>
      </c>
      <c r="K77" s="197">
        <v>5.6499999999999995E-2</v>
      </c>
      <c r="L77" s="197">
        <v>1.25</v>
      </c>
      <c r="M77" s="197">
        <v>0.50078889239507718</v>
      </c>
      <c r="N77" s="197">
        <v>0.75268470790377973</v>
      </c>
      <c r="O77" s="216">
        <v>2.6361893074862752E-2</v>
      </c>
      <c r="P77" s="217">
        <v>5.6499999999999995E-2</v>
      </c>
      <c r="Q77" s="217">
        <v>1.25</v>
      </c>
      <c r="R77" s="217">
        <v>0.50078889239507718</v>
      </c>
      <c r="S77" s="217">
        <v>0.75268470790377973</v>
      </c>
      <c r="U77" s="20">
        <f t="shared" si="125"/>
        <v>0.23709016689060086</v>
      </c>
      <c r="V77" s="20">
        <f t="shared" si="126"/>
        <v>0.15671931135024314</v>
      </c>
      <c r="W77" s="20">
        <f t="shared" si="127"/>
        <v>0.15671931135024314</v>
      </c>
      <c r="X77" s="20">
        <f t="shared" si="128"/>
        <v>0.18684783336519703</v>
      </c>
      <c r="Y77" s="20">
        <f t="shared" si="129"/>
        <v>0.18684783336519703</v>
      </c>
      <c r="Z77" s="20">
        <f t="shared" si="130"/>
        <v>5.2453576745708164</v>
      </c>
      <c r="AA77" s="20">
        <f t="shared" si="131"/>
        <v>4.3644571121774671</v>
      </c>
      <c r="AB77" s="20">
        <f t="shared" si="132"/>
        <v>4.3644571121774671</v>
      </c>
      <c r="AC77" s="20">
        <f t="shared" si="133"/>
        <v>5.2035026711111136</v>
      </c>
      <c r="AD77" s="20">
        <f t="shared" si="134"/>
        <v>5.2035026711111136</v>
      </c>
      <c r="AE77" s="191"/>
      <c r="AF77" s="20">
        <f t="shared" si="141"/>
        <v>0.15048054477249675</v>
      </c>
      <c r="AG77" s="20">
        <f t="shared" si="141"/>
        <v>0.20817509784643684</v>
      </c>
      <c r="AH77" s="20">
        <f t="shared" si="141"/>
        <v>0.19463018673715335</v>
      </c>
      <c r="AI77" s="20">
        <f t="shared" si="141"/>
        <v>0.27179609923981751</v>
      </c>
      <c r="AJ77" s="20">
        <f t="shared" si="141"/>
        <v>0.22429383456396176</v>
      </c>
      <c r="AK77" s="20">
        <f t="shared" si="141"/>
        <v>0.1667502875925268</v>
      </c>
      <c r="AL77" s="20">
        <f t="shared" si="141"/>
        <v>0.1972024169809925</v>
      </c>
      <c r="AM77" s="20">
        <f t="shared" si="141"/>
        <v>0.17343781404646436</v>
      </c>
      <c r="AN77" s="20">
        <f t="shared" si="141"/>
        <v>0.16157541593174177</v>
      </c>
      <c r="AO77" s="20">
        <f t="shared" si="141"/>
        <v>0.12013663594037859</v>
      </c>
      <c r="AP77" s="20">
        <f t="shared" si="142"/>
        <v>4.1907144577026259</v>
      </c>
      <c r="AQ77" s="20">
        <f t="shared" si="142"/>
        <v>5.7974430754331649</v>
      </c>
      <c r="AR77" s="20">
        <f t="shared" si="142"/>
        <v>5.4202324871821208</v>
      </c>
      <c r="AS77" s="20">
        <f t="shared" si="142"/>
        <v>7.5692166343064642</v>
      </c>
      <c r="AT77" s="20">
        <f t="shared" si="142"/>
        <v>6.2463318211787202</v>
      </c>
      <c r="AU77" s="20">
        <f t="shared" si="142"/>
        <v>4.6438085540994978</v>
      </c>
      <c r="AV77" s="20">
        <f t="shared" si="142"/>
        <v>5.4918662155667004</v>
      </c>
      <c r="AW77" s="20">
        <f t="shared" si="142"/>
        <v>4.8300486679903338</v>
      </c>
      <c r="AX77" s="20">
        <f t="shared" si="142"/>
        <v>4.499694180255398</v>
      </c>
      <c r="AY77" s="20">
        <f t="shared" si="142"/>
        <v>3.3456706173961055</v>
      </c>
      <c r="BA77" s="20">
        <f t="shared" si="137"/>
        <v>0.23709016689060086</v>
      </c>
      <c r="BB77" s="20">
        <f t="shared" si="138"/>
        <v>0.15671931135024314</v>
      </c>
      <c r="BC77" s="20">
        <f t="shared" si="139"/>
        <v>0.15671931135024314</v>
      </c>
      <c r="BD77" s="20">
        <f t="shared" si="140"/>
        <v>0.18684783336519703</v>
      </c>
    </row>
    <row r="78" spans="1:56" ht="15" x14ac:dyDescent="0.25">
      <c r="A78" s="1"/>
      <c r="B78" s="2"/>
      <c r="C78" s="1" t="s">
        <v>11</v>
      </c>
      <c r="D78" s="14">
        <v>8.202</v>
      </c>
      <c r="F78" s="89">
        <v>-4.5530000000000008</v>
      </c>
      <c r="H78" s="20"/>
      <c r="I78" s="20"/>
      <c r="J78" s="147">
        <v>3.2149190766483669E-2</v>
      </c>
      <c r="K78" s="197">
        <v>5.6499999999999995E-2</v>
      </c>
      <c r="L78" s="197">
        <v>1.25</v>
      </c>
      <c r="M78" s="197">
        <v>0.50078889239507718</v>
      </c>
      <c r="N78" s="197">
        <v>0.75268470790377973</v>
      </c>
      <c r="O78" s="216">
        <v>3.2149190766483676E-2</v>
      </c>
      <c r="P78" s="217">
        <v>5.6499999999999995E-2</v>
      </c>
      <c r="Q78" s="217">
        <v>1.25</v>
      </c>
      <c r="R78" s="217">
        <v>0.50078889239507718</v>
      </c>
      <c r="S78" s="217">
        <v>0.75268470790377973</v>
      </c>
      <c r="U78" s="20">
        <f t="shared" si="125"/>
        <v>0.14898352940668497</v>
      </c>
      <c r="V78" s="20">
        <f t="shared" si="126"/>
        <v>9.8479816507607315E-2</v>
      </c>
      <c r="W78" s="20">
        <f t="shared" si="127"/>
        <v>9.8479816507607315E-2</v>
      </c>
      <c r="X78" s="20">
        <f t="shared" si="128"/>
        <v>0.11741208014579528</v>
      </c>
      <c r="Y78" s="20">
        <f t="shared" si="129"/>
        <v>0.11741208014579528</v>
      </c>
      <c r="Z78" s="20">
        <f t="shared" si="130"/>
        <v>3.2960957833337385</v>
      </c>
      <c r="AA78" s="20">
        <f t="shared" si="131"/>
        <v>2.7425524771608929</v>
      </c>
      <c r="AB78" s="20">
        <f t="shared" si="132"/>
        <v>2.7425524771608929</v>
      </c>
      <c r="AC78" s="20">
        <f t="shared" si="133"/>
        <v>3.2697947932060756</v>
      </c>
      <c r="AD78" s="20">
        <f t="shared" si="134"/>
        <v>3.2697947932060756</v>
      </c>
      <c r="AE78" s="191"/>
      <c r="AF78" s="20">
        <f t="shared" si="141"/>
        <v>9.4559479042384625E-2</v>
      </c>
      <c r="AG78" s="20">
        <f t="shared" si="141"/>
        <v>0.13081377949366857</v>
      </c>
      <c r="AH78" s="20">
        <f t="shared" si="141"/>
        <v>0.12230238195649443</v>
      </c>
      <c r="AI78" s="20">
        <f t="shared" si="141"/>
        <v>0.17079216179556758</v>
      </c>
      <c r="AJ78" s="20">
        <f t="shared" si="141"/>
        <v>0.14094252636347052</v>
      </c>
      <c r="AK78" s="20">
        <f t="shared" si="141"/>
        <v>0.10478311564299322</v>
      </c>
      <c r="AL78" s="20">
        <f t="shared" si="141"/>
        <v>0.12391872878858638</v>
      </c>
      <c r="AM78" s="20">
        <f t="shared" si="141"/>
        <v>0.10898544637300583</v>
      </c>
      <c r="AN78" s="20">
        <f t="shared" si="141"/>
        <v>0.10153131210191203</v>
      </c>
      <c r="AO78" s="20">
        <f t="shared" si="141"/>
        <v>7.5491869899869557E-2</v>
      </c>
      <c r="AP78" s="20">
        <f t="shared" si="142"/>
        <v>2.6333754741176083</v>
      </c>
      <c r="AQ78" s="20">
        <f t="shared" si="142"/>
        <v>3.6430170944665194</v>
      </c>
      <c r="AR78" s="20">
        <f t="shared" si="142"/>
        <v>3.4059842157763476</v>
      </c>
      <c r="AS78" s="20">
        <f t="shared" si="142"/>
        <v>4.7563702190277199</v>
      </c>
      <c r="AT78" s="20">
        <f t="shared" si="142"/>
        <v>3.9250913387474791</v>
      </c>
      <c r="AU78" s="20">
        <f t="shared" si="142"/>
        <v>2.918092291014053</v>
      </c>
      <c r="AV78" s="20">
        <f t="shared" si="142"/>
        <v>3.4509976628511856</v>
      </c>
      <c r="AW78" s="20">
        <f t="shared" si="142"/>
        <v>3.0351224903194622</v>
      </c>
      <c r="AX78" s="20">
        <f t="shared" si="142"/>
        <v>2.8275332082182003</v>
      </c>
      <c r="AY78" s="20">
        <f t="shared" si="142"/>
        <v>2.1023639375221799</v>
      </c>
      <c r="BA78" s="20">
        <f t="shared" si="137"/>
        <v>0.14898352940668499</v>
      </c>
      <c r="BB78" s="20">
        <f t="shared" si="138"/>
        <v>9.8479816507607329E-2</v>
      </c>
      <c r="BC78" s="20">
        <f t="shared" si="139"/>
        <v>9.8479816507607329E-2</v>
      </c>
      <c r="BD78" s="20">
        <f t="shared" si="140"/>
        <v>0.11741208014579529</v>
      </c>
    </row>
    <row r="79" spans="1:56" ht="15" x14ac:dyDescent="0.25">
      <c r="A79" s="1"/>
      <c r="B79" s="13"/>
      <c r="C79" s="1" t="s">
        <v>12</v>
      </c>
      <c r="D79" s="14">
        <v>16.818999999999999</v>
      </c>
      <c r="F79" s="89">
        <v>2.7159999999999993</v>
      </c>
      <c r="H79" s="20"/>
      <c r="I79" s="20"/>
      <c r="J79" s="147">
        <v>3.2149190766483676E-2</v>
      </c>
      <c r="K79" s="197">
        <v>5.6499999999999995E-2</v>
      </c>
      <c r="L79" s="197">
        <v>1.25</v>
      </c>
      <c r="M79" s="197">
        <v>0.50078889239507718</v>
      </c>
      <c r="N79" s="197">
        <v>0.75268470790377973</v>
      </c>
      <c r="O79" s="216">
        <v>3.2149190766483676E-2</v>
      </c>
      <c r="P79" s="217">
        <v>5.6499999999999995E-2</v>
      </c>
      <c r="Q79" s="217">
        <v>1.25</v>
      </c>
      <c r="R79" s="217">
        <v>0.50078889239507718</v>
      </c>
      <c r="S79" s="217">
        <v>0.75268470790377973</v>
      </c>
      <c r="U79" s="20">
        <f t="shared" si="125"/>
        <v>0.27431378112826488</v>
      </c>
      <c r="V79" s="20">
        <f t="shared" si="126"/>
        <v>0.18132454599915881</v>
      </c>
      <c r="W79" s="20">
        <f t="shared" si="127"/>
        <v>0.18132454599915881</v>
      </c>
      <c r="X79" s="20">
        <f t="shared" si="128"/>
        <v>0.21618330417592324</v>
      </c>
      <c r="Y79" s="20">
        <f t="shared" si="129"/>
        <v>0.21618330417592324</v>
      </c>
      <c r="Z79" s="20">
        <f t="shared" si="130"/>
        <v>6.2996008243496275</v>
      </c>
      <c r="AA79" s="20">
        <f t="shared" si="131"/>
        <v>5.2416516332151541</v>
      </c>
      <c r="AB79" s="20">
        <f t="shared" si="132"/>
        <v>5.2416516332151541</v>
      </c>
      <c r="AC79" s="20">
        <f t="shared" si="133"/>
        <v>6.2493335536206631</v>
      </c>
      <c r="AD79" s="20">
        <f t="shared" si="134"/>
        <v>6.2493335536206631</v>
      </c>
      <c r="AE79" s="191"/>
      <c r="AF79" s="20">
        <f t="shared" si="141"/>
        <v>0.17410628101599768</v>
      </c>
      <c r="AG79" s="20">
        <f t="shared" si="141"/>
        <v>0.24085899038298103</v>
      </c>
      <c r="AH79" s="20">
        <f t="shared" si="141"/>
        <v>0.22518750206204938</v>
      </c>
      <c r="AI79" s="20">
        <f t="shared" si="141"/>
        <v>0.31446861190489633</v>
      </c>
      <c r="AJ79" s="20">
        <f t="shared" si="141"/>
        <v>0.25950839990503638</v>
      </c>
      <c r="AK79" s="20">
        <f t="shared" si="141"/>
        <v>0.19293040489038096</v>
      </c>
      <c r="AL79" s="20">
        <f t="shared" si="141"/>
        <v>0.22816357742347748</v>
      </c>
      <c r="AM79" s="20">
        <f t="shared" si="141"/>
        <v>0.20066788591725704</v>
      </c>
      <c r="AN79" s="20">
        <f t="shared" si="141"/>
        <v>0.18694306838148875</v>
      </c>
      <c r="AO79" s="20">
        <f t="shared" si="141"/>
        <v>0.13899831987566719</v>
      </c>
      <c r="AP79" s="20">
        <f t="shared" si="142"/>
        <v>5.0329891477834137</v>
      </c>
      <c r="AQ79" s="20">
        <f t="shared" si="142"/>
        <v>6.9626476291928094</v>
      </c>
      <c r="AR79" s="20">
        <f t="shared" si="142"/>
        <v>6.5096230157866097</v>
      </c>
      <c r="AS79" s="20">
        <f t="shared" si="142"/>
        <v>9.0905227646004914</v>
      </c>
      <c r="AT79" s="20">
        <f t="shared" si="142"/>
        <v>7.5017567020495708</v>
      </c>
      <c r="AU79" s="20">
        <f t="shared" si="142"/>
        <v>5.5771487876507235</v>
      </c>
      <c r="AV79" s="20">
        <f t="shared" si="142"/>
        <v>6.5956541165007589</v>
      </c>
      <c r="AW79" s="20">
        <f t="shared" si="142"/>
        <v>5.8008205461432798</v>
      </c>
      <c r="AX79" s="20">
        <f t="shared" si="142"/>
        <v>5.4040694507219591</v>
      </c>
      <c r="AY79" s="20">
        <f t="shared" si="142"/>
        <v>4.0181033757770077</v>
      </c>
      <c r="BA79" s="20">
        <f t="shared" si="137"/>
        <v>0.3055052403183412</v>
      </c>
      <c r="BB79" s="20">
        <f t="shared" si="138"/>
        <v>0.20194245718622866</v>
      </c>
      <c r="BC79" s="20">
        <f t="shared" si="139"/>
        <v>0.20194245718622866</v>
      </c>
      <c r="BD79" s="20">
        <f t="shared" si="140"/>
        <v>0.24076490806780432</v>
      </c>
    </row>
    <row r="80" spans="1:56" ht="15" x14ac:dyDescent="0.25">
      <c r="A80" s="1"/>
      <c r="B80" s="13"/>
      <c r="C80" s="1" t="s">
        <v>13</v>
      </c>
      <c r="D80" s="14">
        <v>0</v>
      </c>
      <c r="F80" s="89">
        <v>0</v>
      </c>
      <c r="H80" s="20"/>
      <c r="I80" s="20"/>
      <c r="J80" s="147"/>
      <c r="K80" s="197">
        <v>5.6499999999999995E-2</v>
      </c>
      <c r="L80" s="197">
        <v>1.25</v>
      </c>
      <c r="M80" s="197">
        <v>0.50078889239507718</v>
      </c>
      <c r="N80" s="197">
        <v>0.75268470790377973</v>
      </c>
      <c r="O80" s="216">
        <v>3.2149190766483676E-2</v>
      </c>
      <c r="P80" s="217">
        <v>5.6499999999999995E-2</v>
      </c>
      <c r="Q80" s="217">
        <v>1.25</v>
      </c>
      <c r="R80" s="217">
        <v>0.50078889239507718</v>
      </c>
      <c r="S80" s="217">
        <v>0.75268470790377973</v>
      </c>
      <c r="U80" s="20">
        <f t="shared" si="125"/>
        <v>0</v>
      </c>
      <c r="V80" s="20">
        <f t="shared" si="126"/>
        <v>0</v>
      </c>
      <c r="W80" s="20">
        <f t="shared" si="127"/>
        <v>0</v>
      </c>
      <c r="X80" s="20">
        <f t="shared" si="128"/>
        <v>0</v>
      </c>
      <c r="Y80" s="20">
        <f t="shared" si="129"/>
        <v>0</v>
      </c>
      <c r="Z80" s="20">
        <f t="shared" si="130"/>
        <v>0</v>
      </c>
      <c r="AA80" s="20">
        <f t="shared" si="131"/>
        <v>0</v>
      </c>
      <c r="AB80" s="20">
        <f t="shared" si="132"/>
        <v>0</v>
      </c>
      <c r="AC80" s="20">
        <f t="shared" si="133"/>
        <v>0</v>
      </c>
      <c r="AD80" s="20">
        <f t="shared" si="134"/>
        <v>0</v>
      </c>
      <c r="AE80" s="191"/>
      <c r="AF80" s="20">
        <f t="shared" si="141"/>
        <v>0</v>
      </c>
      <c r="AG80" s="20">
        <f t="shared" si="141"/>
        <v>0</v>
      </c>
      <c r="AH80" s="20">
        <f t="shared" si="141"/>
        <v>0</v>
      </c>
      <c r="AI80" s="20">
        <f t="shared" si="141"/>
        <v>0</v>
      </c>
      <c r="AJ80" s="20">
        <f t="shared" si="141"/>
        <v>0</v>
      </c>
      <c r="AK80" s="20">
        <f t="shared" si="141"/>
        <v>0</v>
      </c>
      <c r="AL80" s="20">
        <f t="shared" si="141"/>
        <v>0</v>
      </c>
      <c r="AM80" s="20">
        <f t="shared" si="141"/>
        <v>0</v>
      </c>
      <c r="AN80" s="20">
        <f t="shared" si="141"/>
        <v>0</v>
      </c>
      <c r="AO80" s="20">
        <f t="shared" si="141"/>
        <v>0</v>
      </c>
      <c r="AP80" s="20">
        <f t="shared" si="142"/>
        <v>0</v>
      </c>
      <c r="AQ80" s="20">
        <f t="shared" si="142"/>
        <v>0</v>
      </c>
      <c r="AR80" s="20">
        <f t="shared" si="142"/>
        <v>0</v>
      </c>
      <c r="AS80" s="20">
        <f t="shared" si="142"/>
        <v>0</v>
      </c>
      <c r="AT80" s="20">
        <f t="shared" si="142"/>
        <v>0</v>
      </c>
      <c r="AU80" s="20">
        <f t="shared" si="142"/>
        <v>0</v>
      </c>
      <c r="AV80" s="20">
        <f t="shared" si="142"/>
        <v>0</v>
      </c>
      <c r="AW80" s="20">
        <f t="shared" si="142"/>
        <v>0</v>
      </c>
      <c r="AX80" s="20">
        <f t="shared" si="142"/>
        <v>0</v>
      </c>
      <c r="AY80" s="20">
        <f t="shared" si="142"/>
        <v>0</v>
      </c>
      <c r="BA80" s="20">
        <f t="shared" si="137"/>
        <v>0</v>
      </c>
      <c r="BB80" s="20">
        <f t="shared" si="138"/>
        <v>0</v>
      </c>
      <c r="BC80" s="20">
        <f t="shared" si="139"/>
        <v>0</v>
      </c>
      <c r="BD80" s="20">
        <f t="shared" si="140"/>
        <v>0</v>
      </c>
    </row>
    <row r="81" spans="1:56" ht="15" x14ac:dyDescent="0.25">
      <c r="A81" s="7"/>
      <c r="B81" s="8" t="s">
        <v>14</v>
      </c>
      <c r="C81" s="7"/>
      <c r="D81" s="14">
        <f>SUM(D75:D80)</f>
        <v>310.822</v>
      </c>
      <c r="F81" s="14">
        <v>-37.256000000000007</v>
      </c>
      <c r="H81" s="20"/>
      <c r="I81" s="20"/>
      <c r="J81" s="147"/>
      <c r="K81" s="197"/>
      <c r="L81" s="197"/>
      <c r="M81" s="197"/>
      <c r="N81" s="197"/>
      <c r="O81" s="197"/>
      <c r="P81" s="197"/>
      <c r="Q81" s="197"/>
      <c r="R81" s="197"/>
      <c r="S81" s="197"/>
    </row>
    <row r="82" spans="1:56" ht="15" x14ac:dyDescent="0.25">
      <c r="A82" s="10"/>
      <c r="B82" s="9" t="s">
        <v>15</v>
      </c>
      <c r="C82" s="5"/>
      <c r="D82" s="14">
        <f>SUM(D81)</f>
        <v>310.822</v>
      </c>
      <c r="F82" s="14">
        <v>-37.256000000000007</v>
      </c>
      <c r="H82" s="20"/>
      <c r="I82" s="20"/>
      <c r="J82" s="147"/>
      <c r="K82" s="197"/>
      <c r="L82" s="197"/>
      <c r="M82" s="197"/>
      <c r="N82" s="197"/>
      <c r="O82" s="197"/>
      <c r="P82" s="197"/>
      <c r="Q82" s="197"/>
      <c r="R82" s="197"/>
      <c r="S82" s="197"/>
    </row>
    <row r="83" spans="1:56" ht="15.75" x14ac:dyDescent="0.25">
      <c r="A83" s="1"/>
      <c r="B83" s="2"/>
      <c r="C83" s="1"/>
      <c r="D83" s="87"/>
      <c r="F83" s="87"/>
      <c r="H83" s="20"/>
      <c r="I83" s="20"/>
      <c r="J83" s="147"/>
      <c r="K83" s="197"/>
      <c r="L83" s="197"/>
      <c r="M83" s="197"/>
      <c r="N83" s="197"/>
      <c r="O83" s="197"/>
      <c r="P83" s="197"/>
      <c r="Q83" s="197"/>
      <c r="R83" s="197"/>
      <c r="S83" s="197"/>
    </row>
    <row r="84" spans="1:56" ht="15" x14ac:dyDescent="0.25">
      <c r="A84" s="1">
        <v>9</v>
      </c>
      <c r="B84" s="2" t="s">
        <v>23</v>
      </c>
      <c r="C84" s="1" t="s">
        <v>8</v>
      </c>
      <c r="D84" s="14">
        <v>334.17899999999997</v>
      </c>
      <c r="F84" s="89">
        <v>154.91499999999999</v>
      </c>
      <c r="H84" s="20"/>
      <c r="I84" s="20"/>
      <c r="J84" s="147">
        <v>1.4787297691620918E-2</v>
      </c>
      <c r="K84" s="197">
        <v>0.38700000000000001</v>
      </c>
      <c r="L84" s="197">
        <v>2.48</v>
      </c>
      <c r="M84" s="197">
        <v>0.72182006204756977</v>
      </c>
      <c r="N84" s="197">
        <v>0.90789473684210531</v>
      </c>
      <c r="O84" s="216">
        <v>1.4787297691620922E-2</v>
      </c>
      <c r="P84" s="217">
        <v>5.6499999999999995E-2</v>
      </c>
      <c r="Q84" s="217">
        <v>1.25</v>
      </c>
      <c r="R84" s="217">
        <v>0.50078889239507718</v>
      </c>
      <c r="S84" s="217">
        <v>0.75268470790377973</v>
      </c>
      <c r="U84" s="20">
        <f t="shared" ref="U84:U89" si="143">IF(F84&gt;0,((D84-F84)*$J84*$K84*10)+(F84*$H$12*$J84*$K84*10),(D84*$J84*$K84*10))</f>
        <v>13.518943439327341</v>
      </c>
      <c r="V84" s="20">
        <f t="shared" ref="V84:V89" si="144">U84*(EXP(1.01-0.34*LN(V$10))*(1-$M84)+(1*$M84))</f>
        <v>10.965246440999085</v>
      </c>
      <c r="W84" s="20">
        <f t="shared" ref="W84:W89" si="145">SUM(V84:V84)</f>
        <v>10.965246440999085</v>
      </c>
      <c r="X84" s="20">
        <f t="shared" ref="X84:X89" si="146">V84*$Y$1</f>
        <v>13.073261502772283</v>
      </c>
      <c r="Y84" s="20">
        <f t="shared" ref="Y84:Y89" si="147">SUM(X84:X84)</f>
        <v>13.073261502772283</v>
      </c>
      <c r="Z84" s="20">
        <f t="shared" ref="Z84:Z89" si="148">IF(F84&gt;0,((D84-F84)*$J84*$L84*10)+(F84*$I$12*$J84*$L84)*10,(D84*$J84*$L84*10))</f>
        <v>98.64166922941034</v>
      </c>
      <c r="AA84" s="20">
        <f t="shared" ref="AA84:AA89" si="149">Z84*(EXP(1.01-0.34*LN(AA$10))*(1-$N84)+(1*$N84))</f>
        <v>92.472230299013958</v>
      </c>
      <c r="AB84" s="20">
        <f t="shared" ref="AB84:AB89" si="150">SUM(AA84:AA84)</f>
        <v>92.472230299013958</v>
      </c>
      <c r="AC84" s="20">
        <f t="shared" ref="AC84:AC89" si="151">AA84*$Y$1</f>
        <v>110.24956483635977</v>
      </c>
      <c r="AD84" s="20">
        <f t="shared" ref="AD84:AD89" si="152">SUM(AC84:AC84)</f>
        <v>110.24956483635977</v>
      </c>
      <c r="AE84" s="191"/>
      <c r="AF84" s="20">
        <f>$W84*AF$6</f>
        <v>10.528736017213641</v>
      </c>
      <c r="AG84" s="20">
        <f t="shared" ref="AG84:AO84" si="153">$W84*AG$6</f>
        <v>14.565475250614265</v>
      </c>
      <c r="AH84" s="20">
        <f t="shared" si="153"/>
        <v>13.617772717626526</v>
      </c>
      <c r="AI84" s="20">
        <f t="shared" si="153"/>
        <v>19.016872803928507</v>
      </c>
      <c r="AJ84" s="20">
        <f t="shared" si="153"/>
        <v>15.693261730164588</v>
      </c>
      <c r="AK84" s="20">
        <f t="shared" si="153"/>
        <v>11.667088004701672</v>
      </c>
      <c r="AL84" s="20">
        <f t="shared" si="153"/>
        <v>13.797745040652202</v>
      </c>
      <c r="AM84" s="20">
        <f t="shared" si="153"/>
        <v>12.134997000831984</v>
      </c>
      <c r="AN84" s="20">
        <f t="shared" si="153"/>
        <v>11.305015567219883</v>
      </c>
      <c r="AO84" s="20">
        <f t="shared" si="153"/>
        <v>8.4056508947695505</v>
      </c>
      <c r="AP84" s="20">
        <f>$AB84*AP$6</f>
        <v>88.791046054464502</v>
      </c>
      <c r="AQ84" s="20">
        <f t="shared" ref="AQ84:AY84" si="154">$AB84*AQ$6</f>
        <v>122.83371733017512</v>
      </c>
      <c r="AR84" s="20">
        <f t="shared" si="154"/>
        <v>114.8415424751049</v>
      </c>
      <c r="AS84" s="20">
        <f t="shared" si="154"/>
        <v>160.37328946085282</v>
      </c>
      <c r="AT84" s="20">
        <f t="shared" si="154"/>
        <v>132.34457799584652</v>
      </c>
      <c r="AU84" s="20">
        <f t="shared" si="154"/>
        <v>98.391007871532651</v>
      </c>
      <c r="AV84" s="20">
        <f t="shared" si="154"/>
        <v>116.35928694093403</v>
      </c>
      <c r="AW84" s="20">
        <f t="shared" si="154"/>
        <v>102.33698288285215</v>
      </c>
      <c r="AX84" s="20">
        <f t="shared" si="154"/>
        <v>95.3375748270592</v>
      </c>
      <c r="AY84" s="20">
        <f t="shared" si="154"/>
        <v>70.886622524775731</v>
      </c>
      <c r="BA84" s="20">
        <f t="shared" ref="BA84:BA89" si="155">D84*$O84*$P84*10</f>
        <v>2.7920064607378254</v>
      </c>
      <c r="BB84" s="20">
        <f t="shared" ref="BB84:BB89" si="156">BA84*(EXP(1.01-0.34*LN(BB$10))*(1-$R84)+(1*$R84))</f>
        <v>1.8455481960758122</v>
      </c>
      <c r="BC84" s="20">
        <f t="shared" ref="BC84:BC89" si="157">SUM(BB84:BB84)</f>
        <v>1.8455481960758122</v>
      </c>
      <c r="BD84" s="20">
        <f t="shared" ref="BD84:BD89" si="158">BC84*BD$6</f>
        <v>2.2003458210530118</v>
      </c>
    </row>
    <row r="85" spans="1:56" ht="15" x14ac:dyDescent="0.25">
      <c r="A85" s="1"/>
      <c r="B85" s="2"/>
      <c r="C85" s="1" t="s">
        <v>9</v>
      </c>
      <c r="D85" s="14">
        <v>14.295999999999999</v>
      </c>
      <c r="F85" s="89">
        <v>-0.17100000000000115</v>
      </c>
      <c r="H85" s="20"/>
      <c r="I85" s="20"/>
      <c r="J85" s="147">
        <v>2.0574595383241839E-2</v>
      </c>
      <c r="K85" s="197">
        <v>0.38700000000000001</v>
      </c>
      <c r="L85" s="197">
        <v>2.48</v>
      </c>
      <c r="M85" s="197">
        <v>0.72182006204756977</v>
      </c>
      <c r="N85" s="197">
        <v>0.90789473684210531</v>
      </c>
      <c r="O85" s="216">
        <v>2.0574595383241839E-2</v>
      </c>
      <c r="P85" s="217">
        <v>5.6499999999999995E-2</v>
      </c>
      <c r="Q85" s="217">
        <v>1.25</v>
      </c>
      <c r="R85" s="217">
        <v>0.50078889239507718</v>
      </c>
      <c r="S85" s="217">
        <v>0.75268470790377973</v>
      </c>
      <c r="U85" s="20">
        <f t="shared" si="143"/>
        <v>1.1383001883674539</v>
      </c>
      <c r="V85" s="20">
        <f t="shared" si="144"/>
        <v>0.92327792813858112</v>
      </c>
      <c r="W85" s="20">
        <f t="shared" si="145"/>
        <v>0.92327792813858112</v>
      </c>
      <c r="X85" s="20">
        <f t="shared" si="146"/>
        <v>1.1007735995027668</v>
      </c>
      <c r="Y85" s="20">
        <f t="shared" si="147"/>
        <v>1.1007735995027668</v>
      </c>
      <c r="Z85" s="20">
        <f t="shared" si="148"/>
        <v>7.2945335068508674</v>
      </c>
      <c r="AA85" s="20">
        <f t="shared" si="149"/>
        <v>6.8383046195275696</v>
      </c>
      <c r="AB85" s="20">
        <f t="shared" si="150"/>
        <v>6.8383046195275696</v>
      </c>
      <c r="AC85" s="20">
        <f t="shared" si="151"/>
        <v>8.1529352767154197</v>
      </c>
      <c r="AD85" s="20">
        <f t="shared" si="152"/>
        <v>8.1529352767154197</v>
      </c>
      <c r="AE85" s="191"/>
      <c r="AF85" s="20">
        <f t="shared" ref="AF85:AO89" si="159">$W85*AF$6</f>
        <v>0.88652358414348176</v>
      </c>
      <c r="AG85" s="20">
        <f t="shared" si="159"/>
        <v>1.2264185656109725</v>
      </c>
      <c r="AH85" s="20">
        <f t="shared" si="159"/>
        <v>1.146621651254629</v>
      </c>
      <c r="AI85" s="20">
        <f t="shared" si="159"/>
        <v>1.6012279356018084</v>
      </c>
      <c r="AJ85" s="20">
        <f t="shared" si="159"/>
        <v>1.3213786168806505</v>
      </c>
      <c r="AK85" s="20">
        <f t="shared" si="159"/>
        <v>0.98237325520701912</v>
      </c>
      <c r="AL85" s="20">
        <f t="shared" si="159"/>
        <v>1.1617753894236267</v>
      </c>
      <c r="AM85" s="20">
        <f t="shared" si="159"/>
        <v>1.0217713709565486</v>
      </c>
      <c r="AN85" s="20">
        <f t="shared" si="159"/>
        <v>0.95188661801988317</v>
      </c>
      <c r="AO85" s="20">
        <f t="shared" si="159"/>
        <v>0.70775900792904844</v>
      </c>
      <c r="AP85" s="20">
        <f t="shared" ref="AP85:AY89" si="160">$AB85*AP$6</f>
        <v>6.5660817138678249</v>
      </c>
      <c r="AQ85" s="20">
        <f t="shared" si="160"/>
        <v>9.0835310658840775</v>
      </c>
      <c r="AR85" s="20">
        <f t="shared" si="160"/>
        <v>8.4925111882973088</v>
      </c>
      <c r="AS85" s="20">
        <f t="shared" si="160"/>
        <v>11.859575600402447</v>
      </c>
      <c r="AT85" s="20">
        <f t="shared" si="160"/>
        <v>9.7868574830737511</v>
      </c>
      <c r="AU85" s="20">
        <f t="shared" si="160"/>
        <v>7.2759971450050509</v>
      </c>
      <c r="AV85" s="20">
        <f t="shared" si="160"/>
        <v>8.6047481156254513</v>
      </c>
      <c r="AW85" s="20">
        <f t="shared" si="160"/>
        <v>7.5678012797295304</v>
      </c>
      <c r="AX85" s="20">
        <f t="shared" si="160"/>
        <v>7.0501963264682503</v>
      </c>
      <c r="AY85" s="20">
        <f t="shared" si="160"/>
        <v>5.2420528488004887</v>
      </c>
      <c r="BA85" s="20">
        <f t="shared" si="155"/>
        <v>0.16618594481333629</v>
      </c>
      <c r="BB85" s="20">
        <f t="shared" si="156"/>
        <v>0.10985080979445748</v>
      </c>
      <c r="BC85" s="20">
        <f t="shared" si="157"/>
        <v>0.10985080979445748</v>
      </c>
      <c r="BD85" s="20">
        <f t="shared" si="158"/>
        <v>0.13096909134341281</v>
      </c>
    </row>
    <row r="86" spans="1:56" ht="15" x14ac:dyDescent="0.25">
      <c r="A86" s="1"/>
      <c r="B86" s="2"/>
      <c r="C86" s="1" t="s">
        <v>10</v>
      </c>
      <c r="D86" s="14">
        <v>22.152999999999999</v>
      </c>
      <c r="F86" s="89">
        <v>15.137999999999998</v>
      </c>
      <c r="H86" s="20"/>
      <c r="I86" s="20"/>
      <c r="J86" s="147">
        <v>2.6361893074862752E-2</v>
      </c>
      <c r="K86" s="197">
        <v>0.38700000000000001</v>
      </c>
      <c r="L86" s="197">
        <v>2.48</v>
      </c>
      <c r="M86" s="197">
        <v>0.72182006204756977</v>
      </c>
      <c r="N86" s="197">
        <v>0.90789473684210531</v>
      </c>
      <c r="O86" s="216">
        <v>2.6361893074862752E-2</v>
      </c>
      <c r="P86" s="217">
        <v>5.6499999999999995E-2</v>
      </c>
      <c r="Q86" s="217">
        <v>1.25</v>
      </c>
      <c r="R86" s="217">
        <v>0.50078889239507718</v>
      </c>
      <c r="S86" s="217">
        <v>0.75268470790377973</v>
      </c>
      <c r="U86" s="20">
        <f t="shared" si="143"/>
        <v>1.2836253682149488</v>
      </c>
      <c r="V86" s="20">
        <f t="shared" si="144"/>
        <v>1.0411515192414658</v>
      </c>
      <c r="W86" s="20">
        <f t="shared" si="145"/>
        <v>1.0411515192414658</v>
      </c>
      <c r="X86" s="20">
        <f t="shared" si="146"/>
        <v>1.2413078126689288</v>
      </c>
      <c r="Y86" s="20">
        <f t="shared" si="147"/>
        <v>1.2413078126689288</v>
      </c>
      <c r="Z86" s="20">
        <f t="shared" si="148"/>
        <v>10.317793164653295</v>
      </c>
      <c r="AA86" s="20">
        <f t="shared" si="149"/>
        <v>9.6724776978423304</v>
      </c>
      <c r="AB86" s="20">
        <f t="shared" si="150"/>
        <v>9.6724776978423304</v>
      </c>
      <c r="AC86" s="20">
        <f t="shared" si="151"/>
        <v>11.531964284069861</v>
      </c>
      <c r="AD86" s="20">
        <f t="shared" si="152"/>
        <v>11.531964284069861</v>
      </c>
      <c r="AE86" s="191"/>
      <c r="AF86" s="20">
        <f t="shared" si="159"/>
        <v>0.9997047999785339</v>
      </c>
      <c r="AG86" s="20">
        <f t="shared" si="159"/>
        <v>1.3829936944188992</v>
      </c>
      <c r="AH86" s="20">
        <f t="shared" si="159"/>
        <v>1.2930092205342185</v>
      </c>
      <c r="AI86" s="20">
        <f t="shared" si="159"/>
        <v>1.805654448130021</v>
      </c>
      <c r="AJ86" s="20">
        <f t="shared" si="159"/>
        <v>1.4900771615239776</v>
      </c>
      <c r="AK86" s="20">
        <f t="shared" si="159"/>
        <v>1.1077914633820349</v>
      </c>
      <c r="AL86" s="20">
        <f t="shared" si="159"/>
        <v>1.3100976150858439</v>
      </c>
      <c r="AM86" s="20">
        <f t="shared" si="159"/>
        <v>1.1522194810111066</v>
      </c>
      <c r="AN86" s="20">
        <f t="shared" si="159"/>
        <v>1.0734126402166817</v>
      </c>
      <c r="AO86" s="20">
        <f t="shared" si="159"/>
        <v>0.79811760240796892</v>
      </c>
      <c r="AP86" s="20">
        <f t="shared" si="160"/>
        <v>9.2874305070054852</v>
      </c>
      <c r="AQ86" s="20">
        <f t="shared" si="160"/>
        <v>12.848250632404794</v>
      </c>
      <c r="AR86" s="20">
        <f t="shared" si="160"/>
        <v>12.012279305737795</v>
      </c>
      <c r="AS86" s="20">
        <f t="shared" si="160"/>
        <v>16.774842140432856</v>
      </c>
      <c r="AT86" s="20">
        <f t="shared" si="160"/>
        <v>13.843074563638272</v>
      </c>
      <c r="AU86" s="20">
        <f t="shared" si="160"/>
        <v>10.291574305370427</v>
      </c>
      <c r="AV86" s="20">
        <f t="shared" si="160"/>
        <v>12.171033446838168</v>
      </c>
      <c r="AW86" s="20">
        <f t="shared" si="160"/>
        <v>10.704318273692753</v>
      </c>
      <c r="AX86" s="20">
        <f t="shared" si="160"/>
        <v>9.9721890917876728</v>
      </c>
      <c r="AY86" s="20">
        <f t="shared" si="160"/>
        <v>7.4146505737903912</v>
      </c>
      <c r="BA86" s="20">
        <f t="shared" si="155"/>
        <v>0.32995718476740049</v>
      </c>
      <c r="BB86" s="20">
        <f t="shared" si="156"/>
        <v>0.21810547206570779</v>
      </c>
      <c r="BC86" s="20">
        <f t="shared" si="157"/>
        <v>0.21810547206570779</v>
      </c>
      <c r="BD86" s="20">
        <f t="shared" si="158"/>
        <v>0.26003518359964883</v>
      </c>
    </row>
    <row r="87" spans="1:56" ht="15" x14ac:dyDescent="0.25">
      <c r="A87" s="1"/>
      <c r="B87" s="2"/>
      <c r="C87" s="1" t="s">
        <v>11</v>
      </c>
      <c r="D87" s="14">
        <v>6.4550000000000001</v>
      </c>
      <c r="F87" s="89">
        <v>6.1879999999999997</v>
      </c>
      <c r="H87" s="20"/>
      <c r="I87" s="20"/>
      <c r="J87" s="147">
        <v>3.2149190766483676E-2</v>
      </c>
      <c r="K87" s="197">
        <v>0.38700000000000001</v>
      </c>
      <c r="L87" s="197">
        <v>2.48</v>
      </c>
      <c r="M87" s="197">
        <v>0.72182006204756977</v>
      </c>
      <c r="N87" s="197">
        <v>0.90789473684210531</v>
      </c>
      <c r="O87" s="216">
        <v>3.2149190766483676E-2</v>
      </c>
      <c r="P87" s="217">
        <v>5.6499999999999995E-2</v>
      </c>
      <c r="Q87" s="217">
        <v>1.25</v>
      </c>
      <c r="R87" s="217">
        <v>0.50078889239507718</v>
      </c>
      <c r="S87" s="217">
        <v>0.75268470790377973</v>
      </c>
      <c r="U87" s="20">
        <f t="shared" si="143"/>
        <v>0.31634977858539659</v>
      </c>
      <c r="V87" s="20">
        <f t="shared" si="144"/>
        <v>0.25659204059196561</v>
      </c>
      <c r="W87" s="20">
        <f t="shared" si="145"/>
        <v>0.25659204059196561</v>
      </c>
      <c r="X87" s="20">
        <f t="shared" si="146"/>
        <v>0.30592060691369982</v>
      </c>
      <c r="Y87" s="20">
        <f t="shared" si="147"/>
        <v>0.30592060691369982</v>
      </c>
      <c r="Z87" s="20">
        <f t="shared" si="148"/>
        <v>3.0701290916501698</v>
      </c>
      <c r="AA87" s="20">
        <f t="shared" si="149"/>
        <v>2.8781111129669608</v>
      </c>
      <c r="AB87" s="20">
        <f t="shared" si="150"/>
        <v>2.8781111129669608</v>
      </c>
      <c r="AC87" s="20">
        <f t="shared" si="151"/>
        <v>3.4314139145261002</v>
      </c>
      <c r="AD87" s="20">
        <f t="shared" si="152"/>
        <v>3.4314139145261002</v>
      </c>
      <c r="AE87" s="191"/>
      <c r="AF87" s="20">
        <f t="shared" si="159"/>
        <v>0.24637748673023174</v>
      </c>
      <c r="AG87" s="20">
        <f t="shared" si="159"/>
        <v>0.34083912631209035</v>
      </c>
      <c r="AH87" s="20">
        <f t="shared" si="159"/>
        <v>0.31866243123077648</v>
      </c>
      <c r="AI87" s="20">
        <f t="shared" si="159"/>
        <v>0.44500397001503905</v>
      </c>
      <c r="AJ87" s="20">
        <f t="shared" si="159"/>
        <v>0.36722987235659782</v>
      </c>
      <c r="AK87" s="20">
        <f t="shared" si="159"/>
        <v>0.27301547074209498</v>
      </c>
      <c r="AL87" s="20">
        <f t="shared" si="159"/>
        <v>0.32287387014951974</v>
      </c>
      <c r="AM87" s="20">
        <f t="shared" si="159"/>
        <v>0.28396476629823525</v>
      </c>
      <c r="AN87" s="20">
        <f t="shared" si="159"/>
        <v>0.26454280156174825</v>
      </c>
      <c r="AO87" s="20">
        <f t="shared" si="159"/>
        <v>0.19669627374066426</v>
      </c>
      <c r="AP87" s="20">
        <f t="shared" si="160"/>
        <v>2.7635377188911652</v>
      </c>
      <c r="AQ87" s="20">
        <f t="shared" si="160"/>
        <v>3.8230838139392112</v>
      </c>
      <c r="AR87" s="20">
        <f t="shared" si="160"/>
        <v>3.5743348955582737</v>
      </c>
      <c r="AS87" s="20">
        <f t="shared" si="160"/>
        <v>4.991467656050137</v>
      </c>
      <c r="AT87" s="20">
        <f t="shared" si="160"/>
        <v>4.1191003984558403</v>
      </c>
      <c r="AU87" s="20">
        <f t="shared" si="160"/>
        <v>3.062327492863524</v>
      </c>
      <c r="AV87" s="20">
        <f t="shared" si="160"/>
        <v>3.6215732632241333</v>
      </c>
      <c r="AW87" s="20">
        <f t="shared" si="160"/>
        <v>3.1851422502760496</v>
      </c>
      <c r="AX87" s="20">
        <f t="shared" si="160"/>
        <v>2.9672922639133548</v>
      </c>
      <c r="AY87" s="20">
        <f t="shared" si="160"/>
        <v>2.2062793920893093</v>
      </c>
      <c r="BA87" s="20">
        <f t="shared" si="155"/>
        <v>0.11725050991467345</v>
      </c>
      <c r="BB87" s="20">
        <f t="shared" si="156"/>
        <v>7.7503927768422978E-2</v>
      </c>
      <c r="BC87" s="20">
        <f t="shared" si="157"/>
        <v>7.7503927768422978E-2</v>
      </c>
      <c r="BD87" s="20">
        <f t="shared" si="158"/>
        <v>9.240367926616784E-2</v>
      </c>
    </row>
    <row r="88" spans="1:56" ht="15" x14ac:dyDescent="0.25">
      <c r="A88" s="1"/>
      <c r="B88" s="2"/>
      <c r="C88" s="1" t="s">
        <v>12</v>
      </c>
      <c r="D88" s="14">
        <v>1.552</v>
      </c>
      <c r="F88" s="89">
        <v>0.60600000000000009</v>
      </c>
      <c r="H88" s="20"/>
      <c r="I88" s="20"/>
      <c r="J88" s="147">
        <v>3.2149190766483676E-2</v>
      </c>
      <c r="K88" s="197">
        <v>0.38700000000000001</v>
      </c>
      <c r="L88" s="197">
        <v>2.48</v>
      </c>
      <c r="M88" s="197">
        <v>0.72182006204756977</v>
      </c>
      <c r="N88" s="197">
        <v>0.90789473684210531</v>
      </c>
      <c r="O88" s="216">
        <v>3.2149190766483676E-2</v>
      </c>
      <c r="P88" s="217">
        <v>5.6499999999999995E-2</v>
      </c>
      <c r="Q88" s="217">
        <v>1.25</v>
      </c>
      <c r="R88" s="217">
        <v>0.50078889239507718</v>
      </c>
      <c r="S88" s="217">
        <v>0.75268470790377973</v>
      </c>
      <c r="U88" s="20">
        <f t="shared" si="143"/>
        <v>0.14542620381277044</v>
      </c>
      <c r="V88" s="20">
        <f t="shared" si="144"/>
        <v>0.11795553187589432</v>
      </c>
      <c r="W88" s="20">
        <f t="shared" si="145"/>
        <v>0.11795553187589432</v>
      </c>
      <c r="X88" s="20">
        <f t="shared" si="146"/>
        <v>0.14063190665249242</v>
      </c>
      <c r="Y88" s="20">
        <f t="shared" si="147"/>
        <v>0.14063190665249242</v>
      </c>
      <c r="Z88" s="20">
        <f t="shared" si="148"/>
        <v>1.0340604577632337</v>
      </c>
      <c r="AA88" s="20">
        <f t="shared" si="149"/>
        <v>0.96938623951099523</v>
      </c>
      <c r="AB88" s="20">
        <f t="shared" si="150"/>
        <v>0.96938623951099523</v>
      </c>
      <c r="AC88" s="20">
        <f t="shared" si="151"/>
        <v>1.1557460084920441</v>
      </c>
      <c r="AD88" s="20">
        <f t="shared" si="152"/>
        <v>1.1557460084920441</v>
      </c>
      <c r="AE88" s="191"/>
      <c r="AF88" s="20">
        <f t="shared" si="159"/>
        <v>0.11325989466572936</v>
      </c>
      <c r="AG88" s="20">
        <f t="shared" si="159"/>
        <v>0.1566839732655238</v>
      </c>
      <c r="AH88" s="20">
        <f t="shared" si="159"/>
        <v>0.14648933177340648</v>
      </c>
      <c r="AI88" s="20">
        <f t="shared" si="159"/>
        <v>0.20456862125929889</v>
      </c>
      <c r="AJ88" s="20">
        <f t="shared" si="159"/>
        <v>0.16881581679075514</v>
      </c>
      <c r="AK88" s="20">
        <f t="shared" si="159"/>
        <v>0.12550539364914282</v>
      </c>
      <c r="AL88" s="20">
        <f t="shared" si="159"/>
        <v>0.14842533304794781</v>
      </c>
      <c r="AM88" s="20">
        <f t="shared" si="159"/>
        <v>0.13053879210535096</v>
      </c>
      <c r="AN88" s="20">
        <f t="shared" si="159"/>
        <v>0.12161050198660077</v>
      </c>
      <c r="AO88" s="20">
        <f t="shared" si="159"/>
        <v>9.0421407981168059E-2</v>
      </c>
      <c r="AP88" s="20">
        <f t="shared" si="160"/>
        <v>0.93079639107507006</v>
      </c>
      <c r="AQ88" s="20">
        <f t="shared" si="160"/>
        <v>1.2876656585747421</v>
      </c>
      <c r="AR88" s="20">
        <f t="shared" si="160"/>
        <v>1.2038837025948887</v>
      </c>
      <c r="AS88" s="20">
        <f t="shared" si="160"/>
        <v>1.6811929320376968</v>
      </c>
      <c r="AT88" s="20">
        <f t="shared" si="160"/>
        <v>1.3873679954319353</v>
      </c>
      <c r="AU88" s="20">
        <f t="shared" si="160"/>
        <v>1.0314327751571359</v>
      </c>
      <c r="AV88" s="20">
        <f t="shared" si="160"/>
        <v>1.2197942153565173</v>
      </c>
      <c r="AW88" s="20">
        <f t="shared" si="160"/>
        <v>1.072798424769549</v>
      </c>
      <c r="AX88" s="20">
        <f t="shared" si="160"/>
        <v>0.99942364152848284</v>
      </c>
      <c r="AY88" s="20">
        <f t="shared" si="160"/>
        <v>0.74310434839442263</v>
      </c>
      <c r="BA88" s="20">
        <f t="shared" si="155"/>
        <v>2.8190982399314207E-2</v>
      </c>
      <c r="BB88" s="20">
        <f t="shared" si="156"/>
        <v>1.8634561719069322E-2</v>
      </c>
      <c r="BC88" s="20">
        <f t="shared" si="157"/>
        <v>1.8634561719069322E-2</v>
      </c>
      <c r="BD88" s="20">
        <f t="shared" si="158"/>
        <v>2.2216965177551125E-2</v>
      </c>
    </row>
    <row r="89" spans="1:56" ht="15" x14ac:dyDescent="0.25">
      <c r="A89" s="1"/>
      <c r="B89" s="2"/>
      <c r="C89" s="1" t="s">
        <v>13</v>
      </c>
      <c r="D89" s="14">
        <v>0</v>
      </c>
      <c r="F89" s="89">
        <v>0</v>
      </c>
      <c r="H89" s="20"/>
      <c r="I89" s="20"/>
      <c r="J89" s="147"/>
      <c r="K89" s="197">
        <v>0.38700000000000001</v>
      </c>
      <c r="L89" s="197">
        <v>2.48</v>
      </c>
      <c r="M89" s="197">
        <v>0.72182006204756977</v>
      </c>
      <c r="N89" s="197">
        <v>0.90789473684210531</v>
      </c>
      <c r="O89" s="216">
        <v>3.2149190766483676E-2</v>
      </c>
      <c r="P89" s="217">
        <v>5.6499999999999995E-2</v>
      </c>
      <c r="Q89" s="217">
        <v>1.25</v>
      </c>
      <c r="R89" s="217">
        <v>0.50078889239507718</v>
      </c>
      <c r="S89" s="217">
        <v>0.75268470790377973</v>
      </c>
      <c r="U89" s="20">
        <f t="shared" si="143"/>
        <v>0</v>
      </c>
      <c r="V89" s="20">
        <f t="shared" si="144"/>
        <v>0</v>
      </c>
      <c r="W89" s="20">
        <f t="shared" si="145"/>
        <v>0</v>
      </c>
      <c r="X89" s="20">
        <f t="shared" si="146"/>
        <v>0</v>
      </c>
      <c r="Y89" s="20">
        <f t="shared" si="147"/>
        <v>0</v>
      </c>
      <c r="Z89" s="20">
        <f t="shared" si="148"/>
        <v>0</v>
      </c>
      <c r="AA89" s="20">
        <f t="shared" si="149"/>
        <v>0</v>
      </c>
      <c r="AB89" s="20">
        <f t="shared" si="150"/>
        <v>0</v>
      </c>
      <c r="AC89" s="20">
        <f t="shared" si="151"/>
        <v>0</v>
      </c>
      <c r="AD89" s="20">
        <f t="shared" si="152"/>
        <v>0</v>
      </c>
      <c r="AE89" s="191"/>
      <c r="AF89" s="20">
        <f t="shared" si="159"/>
        <v>0</v>
      </c>
      <c r="AG89" s="20">
        <f t="shared" si="159"/>
        <v>0</v>
      </c>
      <c r="AH89" s="20">
        <f t="shared" si="159"/>
        <v>0</v>
      </c>
      <c r="AI89" s="20">
        <f t="shared" si="159"/>
        <v>0</v>
      </c>
      <c r="AJ89" s="20">
        <f t="shared" si="159"/>
        <v>0</v>
      </c>
      <c r="AK89" s="20">
        <f t="shared" si="159"/>
        <v>0</v>
      </c>
      <c r="AL89" s="20">
        <f t="shared" si="159"/>
        <v>0</v>
      </c>
      <c r="AM89" s="20">
        <f t="shared" si="159"/>
        <v>0</v>
      </c>
      <c r="AN89" s="20">
        <f t="shared" si="159"/>
        <v>0</v>
      </c>
      <c r="AO89" s="20">
        <f t="shared" si="159"/>
        <v>0</v>
      </c>
      <c r="AP89" s="20">
        <f t="shared" si="160"/>
        <v>0</v>
      </c>
      <c r="AQ89" s="20">
        <f t="shared" si="160"/>
        <v>0</v>
      </c>
      <c r="AR89" s="20">
        <f t="shared" si="160"/>
        <v>0</v>
      </c>
      <c r="AS89" s="20">
        <f t="shared" si="160"/>
        <v>0</v>
      </c>
      <c r="AT89" s="20">
        <f t="shared" si="160"/>
        <v>0</v>
      </c>
      <c r="AU89" s="20">
        <f t="shared" si="160"/>
        <v>0</v>
      </c>
      <c r="AV89" s="20">
        <f t="shared" si="160"/>
        <v>0</v>
      </c>
      <c r="AW89" s="20">
        <f t="shared" si="160"/>
        <v>0</v>
      </c>
      <c r="AX89" s="20">
        <f t="shared" si="160"/>
        <v>0</v>
      </c>
      <c r="AY89" s="20">
        <f t="shared" si="160"/>
        <v>0</v>
      </c>
      <c r="BA89" s="20">
        <f t="shared" si="155"/>
        <v>0</v>
      </c>
      <c r="BB89" s="20">
        <f t="shared" si="156"/>
        <v>0</v>
      </c>
      <c r="BC89" s="20">
        <f t="shared" si="157"/>
        <v>0</v>
      </c>
      <c r="BD89" s="20">
        <f t="shared" si="158"/>
        <v>0</v>
      </c>
    </row>
    <row r="90" spans="1:56" ht="15" x14ac:dyDescent="0.25">
      <c r="A90" s="7"/>
      <c r="B90" s="8" t="s">
        <v>14</v>
      </c>
      <c r="C90" s="7"/>
      <c r="D90" s="14">
        <f>SUM(D84:D89)</f>
        <v>378.63499999999999</v>
      </c>
      <c r="F90" s="14">
        <v>176.67599999999996</v>
      </c>
      <c r="H90" s="20"/>
      <c r="I90" s="20"/>
      <c r="J90" s="147"/>
      <c r="K90" s="197"/>
      <c r="L90" s="197"/>
      <c r="M90" s="197"/>
      <c r="N90" s="197"/>
      <c r="O90" s="197"/>
      <c r="P90" s="197"/>
      <c r="Q90" s="197"/>
      <c r="R90" s="197"/>
      <c r="S90" s="197"/>
    </row>
    <row r="91" spans="1:56" ht="15" x14ac:dyDescent="0.25">
      <c r="A91" s="10"/>
      <c r="B91" s="9" t="s">
        <v>15</v>
      </c>
      <c r="C91" s="5"/>
      <c r="D91" s="14">
        <f>SUM(D90)</f>
        <v>378.63499999999999</v>
      </c>
      <c r="F91" s="14">
        <v>176.67599999999996</v>
      </c>
      <c r="H91" s="20"/>
      <c r="I91" s="20"/>
      <c r="J91" s="147"/>
      <c r="K91" s="197"/>
      <c r="L91" s="197"/>
      <c r="M91" s="197"/>
      <c r="N91" s="197"/>
      <c r="O91" s="197"/>
      <c r="P91" s="197"/>
      <c r="Q91" s="197"/>
      <c r="R91" s="197"/>
      <c r="S91" s="197"/>
    </row>
    <row r="92" spans="1:56" ht="15.75" x14ac:dyDescent="0.25">
      <c r="A92" s="1"/>
      <c r="B92" s="2"/>
      <c r="C92" s="1"/>
      <c r="D92" s="87"/>
      <c r="F92" s="87"/>
      <c r="H92" s="20"/>
      <c r="I92" s="20"/>
      <c r="J92" s="147"/>
      <c r="K92" s="197"/>
      <c r="L92" s="197"/>
      <c r="M92" s="197"/>
      <c r="N92" s="197"/>
      <c r="O92" s="197"/>
      <c r="P92" s="197"/>
      <c r="Q92" s="197"/>
      <c r="R92" s="197"/>
      <c r="S92" s="197"/>
    </row>
    <row r="93" spans="1:56" ht="15" x14ac:dyDescent="0.25">
      <c r="A93" s="1">
        <v>10</v>
      </c>
      <c r="B93" s="2" t="s">
        <v>24</v>
      </c>
      <c r="C93" s="1" t="s">
        <v>8</v>
      </c>
      <c r="D93" s="14">
        <v>207.20699999999999</v>
      </c>
      <c r="F93" s="89">
        <v>-99.793999999999983</v>
      </c>
      <c r="H93" s="20"/>
      <c r="I93" s="20"/>
      <c r="J93" s="147">
        <v>1.4787297691620922E-2</v>
      </c>
      <c r="K93" s="197">
        <v>0.66599999999999993</v>
      </c>
      <c r="L93" s="197">
        <v>4.5549999999999997</v>
      </c>
      <c r="M93" s="197">
        <v>0.60039794540960334</v>
      </c>
      <c r="N93" s="197">
        <v>0.90789473684210531</v>
      </c>
      <c r="O93" s="216">
        <v>1.4787297691620922E-2</v>
      </c>
      <c r="P93" s="217">
        <v>5.6499999999999995E-2</v>
      </c>
      <c r="Q93" s="217">
        <v>1.25</v>
      </c>
      <c r="R93" s="217">
        <v>0.50078889239507718</v>
      </c>
      <c r="S93" s="217">
        <v>0.75268470790377973</v>
      </c>
      <c r="U93" s="20">
        <f t="shared" ref="U93:U98" si="161">IF(F93&gt;0,((D93-F93)*$J93*$K93*10)+(F93*$H$12*$J93*$K93*10),(D93*$J93*$K93*10))</f>
        <v>20.406450407966052</v>
      </c>
      <c r="V93" s="20">
        <f t="shared" ref="V93:V98" si="162">U93*(EXP(1.01-0.34*LN(V$10))*(1-$M93)+(1*$M93))</f>
        <v>14.869176720300315</v>
      </c>
      <c r="W93" s="20">
        <f t="shared" ref="W93:W98" si="163">SUM(V93:V93)</f>
        <v>14.869176720300315</v>
      </c>
      <c r="X93" s="20">
        <f t="shared" ref="X93:X98" si="164">V93*$Y$1</f>
        <v>17.727703307114041</v>
      </c>
      <c r="Y93" s="20">
        <f t="shared" ref="Y93:Y98" si="165">SUM(X93:X93)</f>
        <v>17.727703307114041</v>
      </c>
      <c r="Z93" s="20">
        <f t="shared" ref="Z93:Z98" si="166">IF(F93&gt;0,((D93-F93)*$J93*$L93*10)+(F93*$I$12*$J93*$L93)*10,(D93*$J93*$L93*10))</f>
        <v>139.56663905147957</v>
      </c>
      <c r="AA93" s="20">
        <f t="shared" ref="AA93:AA98" si="167">Z93*(EXP(1.01-0.34*LN(AA$10))*(1-$N93)+(1*$N93))</f>
        <v>130.83759114428889</v>
      </c>
      <c r="AB93" s="20">
        <f t="shared" ref="AB93:AB98" si="168">SUM(AA93:AA93)</f>
        <v>130.83759114428889</v>
      </c>
      <c r="AC93" s="20">
        <f t="shared" ref="AC93:AC98" si="169">AA93*$Y$1</f>
        <v>155.99047888487254</v>
      </c>
      <c r="AD93" s="20">
        <f t="shared" ref="AD93:AD98" si="170">SUM(AC93:AC93)</f>
        <v>155.99047888487254</v>
      </c>
      <c r="AE93" s="191"/>
      <c r="AF93" s="20">
        <f>$W93*AF$6</f>
        <v>14.277256541721313</v>
      </c>
      <c r="AG93" s="20">
        <f t="shared" ref="AG93:AO93" si="171">$W93*AG$6</f>
        <v>19.751186321427621</v>
      </c>
      <c r="AH93" s="20">
        <f t="shared" si="171"/>
        <v>18.46607553827344</v>
      </c>
      <c r="AI93" s="20">
        <f t="shared" si="171"/>
        <v>25.787404223932985</v>
      </c>
      <c r="AJ93" s="20">
        <f t="shared" si="171"/>
        <v>21.280495904885665</v>
      </c>
      <c r="AK93" s="20">
        <f t="shared" si="171"/>
        <v>15.820893245459857</v>
      </c>
      <c r="AL93" s="20">
        <f t="shared" si="171"/>
        <v>18.710122973981406</v>
      </c>
      <c r="AM93" s="20">
        <f t="shared" si="171"/>
        <v>16.45539075446851</v>
      </c>
      <c r="AN93" s="20">
        <f t="shared" si="171"/>
        <v>15.32991303015554</v>
      </c>
      <c r="AO93" s="20">
        <f t="shared" si="171"/>
        <v>11.398294536834053</v>
      </c>
      <c r="AP93" s="20">
        <f>$AB93*AP$6</f>
        <v>125.62913799508119</v>
      </c>
      <c r="AQ93" s="20">
        <f t="shared" ref="AQ93:AY93" si="172">$AB93*AQ$6</f>
        <v>173.79561015032613</v>
      </c>
      <c r="AR93" s="20">
        <f t="shared" si="172"/>
        <v>162.48760013845455</v>
      </c>
      <c r="AS93" s="20">
        <f t="shared" si="172"/>
        <v>226.90979561209411</v>
      </c>
      <c r="AT93" s="20">
        <f t="shared" si="172"/>
        <v>187.25238625685725</v>
      </c>
      <c r="AU93" s="20">
        <f t="shared" si="172"/>
        <v>139.21198200307026</v>
      </c>
      <c r="AV93" s="20">
        <f t="shared" si="172"/>
        <v>164.63503433831698</v>
      </c>
      <c r="AW93" s="20">
        <f t="shared" si="172"/>
        <v>144.79508369237931</v>
      </c>
      <c r="AX93" s="20">
        <f t="shared" si="172"/>
        <v>134.89172474348581</v>
      </c>
      <c r="AY93" s="20">
        <f t="shared" si="172"/>
        <v>100.29643391865983</v>
      </c>
      <c r="BA93" s="20">
        <f t="shared" ref="BA93:BA98" si="173">D93*$O93*$P93*10</f>
        <v>1.7311778499250483</v>
      </c>
      <c r="BB93" s="20">
        <f t="shared" ref="BB93:BB98" si="174">BA93*(EXP(1.01-0.34*LN(BB$10))*(1-$R93)+(1*$R93))</f>
        <v>1.1443283541583431</v>
      </c>
      <c r="BC93" s="20">
        <f t="shared" ref="BC93:BC98" si="175">SUM(BB93:BB93)</f>
        <v>1.1443283541583431</v>
      </c>
      <c r="BD93" s="20">
        <f t="shared" ref="BD93:BD98" si="176">BC93*BD$6</f>
        <v>1.3643198900676929</v>
      </c>
    </row>
    <row r="94" spans="1:56" ht="15" x14ac:dyDescent="0.25">
      <c r="A94" s="1"/>
      <c r="B94" s="2"/>
      <c r="C94" s="1" t="s">
        <v>9</v>
      </c>
      <c r="D94" s="14">
        <v>1.2529999999999999</v>
      </c>
      <c r="F94" s="89">
        <v>-0.998</v>
      </c>
      <c r="H94" s="20"/>
      <c r="I94" s="20"/>
      <c r="J94" s="147">
        <v>2.0574595383241839E-2</v>
      </c>
      <c r="K94" s="197">
        <v>0.66599999999999993</v>
      </c>
      <c r="L94" s="197">
        <v>4.5549999999999997</v>
      </c>
      <c r="M94" s="197">
        <v>0.60039794540960334</v>
      </c>
      <c r="N94" s="197">
        <v>0.90789473684210531</v>
      </c>
      <c r="O94" s="216">
        <v>2.0574595383241839E-2</v>
      </c>
      <c r="P94" s="217">
        <v>5.6499999999999995E-2</v>
      </c>
      <c r="Q94" s="217">
        <v>1.25</v>
      </c>
      <c r="R94" s="217">
        <v>0.50078889239507718</v>
      </c>
      <c r="S94" s="217">
        <v>0.75268470790377973</v>
      </c>
      <c r="U94" s="20">
        <f t="shared" si="161"/>
        <v>0.17169458698124543</v>
      </c>
      <c r="V94" s="20">
        <f t="shared" si="162"/>
        <v>0.12510540072890461</v>
      </c>
      <c r="W94" s="20">
        <f t="shared" si="163"/>
        <v>0.12510540072890461</v>
      </c>
      <c r="X94" s="20">
        <f t="shared" si="164"/>
        <v>0.14915630286454995</v>
      </c>
      <c r="Y94" s="20">
        <f t="shared" si="165"/>
        <v>0.14915630286454995</v>
      </c>
      <c r="Z94" s="20">
        <f t="shared" si="166"/>
        <v>1.1742775430924519</v>
      </c>
      <c r="AA94" s="20">
        <f t="shared" si="167"/>
        <v>1.1008335954581514</v>
      </c>
      <c r="AB94" s="20">
        <f t="shared" si="168"/>
        <v>1.1008335954581514</v>
      </c>
      <c r="AC94" s="20">
        <f t="shared" si="169"/>
        <v>1.312463476484363</v>
      </c>
      <c r="AD94" s="20">
        <f t="shared" si="170"/>
        <v>1.312463476484363</v>
      </c>
      <c r="AE94" s="191"/>
      <c r="AF94" s="20">
        <f t="shared" ref="AF94:AO98" si="177">$W94*AF$6</f>
        <v>0.12012513769661783</v>
      </c>
      <c r="AG94" s="20">
        <f t="shared" si="177"/>
        <v>0.1661813647180565</v>
      </c>
      <c r="AH94" s="20">
        <f t="shared" si="177"/>
        <v>0.15536877552553979</v>
      </c>
      <c r="AI94" s="20">
        <f t="shared" si="177"/>
        <v>0.21696853833130209</v>
      </c>
      <c r="AJ94" s="20">
        <f t="shared" si="177"/>
        <v>0.17904857935112117</v>
      </c>
      <c r="AK94" s="20">
        <f t="shared" si="177"/>
        <v>0.13311289700795889</v>
      </c>
      <c r="AL94" s="20">
        <f t="shared" si="177"/>
        <v>0.1574221274235923</v>
      </c>
      <c r="AM94" s="20">
        <f t="shared" si="177"/>
        <v>0.13845139466786266</v>
      </c>
      <c r="AN94" s="20">
        <f t="shared" si="177"/>
        <v>0.12898191667589043</v>
      </c>
      <c r="AO94" s="20">
        <f t="shared" si="177"/>
        <v>9.5902297247557874E-2</v>
      </c>
      <c r="AP94" s="20">
        <f t="shared" ref="AP94:AY98" si="178">$AB94*AP$6</f>
        <v>1.0570110200280174</v>
      </c>
      <c r="AQ94" s="20">
        <f t="shared" si="178"/>
        <v>1.4622712381309222</v>
      </c>
      <c r="AR94" s="20">
        <f t="shared" si="178"/>
        <v>1.3671285714861556</v>
      </c>
      <c r="AS94" s="20">
        <f t="shared" si="178"/>
        <v>1.9091602341781515</v>
      </c>
      <c r="AT94" s="20">
        <f t="shared" si="178"/>
        <v>1.5754930660098181</v>
      </c>
      <c r="AU94" s="20">
        <f t="shared" si="178"/>
        <v>1.1712935505690458</v>
      </c>
      <c r="AV94" s="20">
        <f t="shared" si="178"/>
        <v>1.385196526502519</v>
      </c>
      <c r="AW94" s="20">
        <f t="shared" si="178"/>
        <v>1.2182683217544359</v>
      </c>
      <c r="AX94" s="20">
        <f t="shared" si="178"/>
        <v>1.1349440252470175</v>
      </c>
      <c r="AY94" s="20">
        <f t="shared" si="178"/>
        <v>0.84386821093754605</v>
      </c>
      <c r="BA94" s="20">
        <f t="shared" si="173"/>
        <v>1.456568192858914E-2</v>
      </c>
      <c r="BB94" s="20">
        <f t="shared" si="174"/>
        <v>9.6280823078102405E-3</v>
      </c>
      <c r="BC94" s="20">
        <f t="shared" si="175"/>
        <v>9.6280823078102405E-3</v>
      </c>
      <c r="BD94" s="20">
        <f t="shared" si="176"/>
        <v>1.1479034097180766E-2</v>
      </c>
    </row>
    <row r="95" spans="1:56" ht="15" x14ac:dyDescent="0.25">
      <c r="A95" s="1"/>
      <c r="B95" s="2"/>
      <c r="C95" s="1" t="s">
        <v>10</v>
      </c>
      <c r="D95" s="14">
        <v>10.311</v>
      </c>
      <c r="F95" s="89">
        <v>0.14899999999999913</v>
      </c>
      <c r="H95" s="20"/>
      <c r="I95" s="20"/>
      <c r="J95" s="147">
        <v>2.6361893074862756E-2</v>
      </c>
      <c r="K95" s="197">
        <v>0.66599999999999993</v>
      </c>
      <c r="L95" s="197">
        <v>4.5549999999999997</v>
      </c>
      <c r="M95" s="197">
        <v>0.60039794540960334</v>
      </c>
      <c r="N95" s="197">
        <v>0.90789473684210531</v>
      </c>
      <c r="O95" s="216">
        <v>2.6361893074862752E-2</v>
      </c>
      <c r="P95" s="217">
        <v>5.6499999999999995E-2</v>
      </c>
      <c r="Q95" s="217">
        <v>1.25</v>
      </c>
      <c r="R95" s="217">
        <v>0.50078889239507718</v>
      </c>
      <c r="S95" s="217">
        <v>0.75268470790377973</v>
      </c>
      <c r="U95" s="20">
        <f t="shared" si="161"/>
        <v>1.7937648316127084</v>
      </c>
      <c r="V95" s="20">
        <f t="shared" si="162"/>
        <v>1.3070282064095402</v>
      </c>
      <c r="W95" s="20">
        <f t="shared" si="163"/>
        <v>1.3070282064095402</v>
      </c>
      <c r="X95" s="20">
        <f t="shared" si="164"/>
        <v>1.5582979941064119</v>
      </c>
      <c r="Y95" s="20">
        <f t="shared" si="165"/>
        <v>1.5582979941064119</v>
      </c>
      <c r="Z95" s="20">
        <f t="shared" si="166"/>
        <v>12.305985491703188</v>
      </c>
      <c r="AA95" s="20">
        <f t="shared" si="167"/>
        <v>11.53632063746357</v>
      </c>
      <c r="AB95" s="20">
        <f t="shared" si="168"/>
        <v>11.53632063746357</v>
      </c>
      <c r="AC95" s="20">
        <f t="shared" si="169"/>
        <v>13.754121923742952</v>
      </c>
      <c r="AD95" s="20">
        <f t="shared" si="170"/>
        <v>13.754121923742952</v>
      </c>
      <c r="AE95" s="191"/>
      <c r="AF95" s="20">
        <f t="shared" si="177"/>
        <v>1.2549973250837783</v>
      </c>
      <c r="AG95" s="20">
        <f t="shared" si="177"/>
        <v>1.736165903315378</v>
      </c>
      <c r="AH95" s="20">
        <f t="shared" si="177"/>
        <v>1.6232022824277219</v>
      </c>
      <c r="AI95" s="20">
        <f t="shared" si="177"/>
        <v>2.2667606502214057</v>
      </c>
      <c r="AJ95" s="20">
        <f t="shared" si="177"/>
        <v>1.8705950515804017</v>
      </c>
      <c r="AK95" s="20">
        <f t="shared" si="177"/>
        <v>1.3906858537889892</v>
      </c>
      <c r="AL95" s="20">
        <f t="shared" si="177"/>
        <v>1.6446545045764267</v>
      </c>
      <c r="AM95" s="20">
        <f t="shared" si="177"/>
        <v>1.4464593614128969</v>
      </c>
      <c r="AN95" s="20">
        <f t="shared" si="177"/>
        <v>1.3475277824133463</v>
      </c>
      <c r="AO95" s="20">
        <f t="shared" si="177"/>
        <v>1.0019312262437741</v>
      </c>
      <c r="AP95" s="20">
        <f t="shared" si="178"/>
        <v>11.077076585131522</v>
      </c>
      <c r="AQ95" s="20">
        <f t="shared" si="178"/>
        <v>15.324050729936552</v>
      </c>
      <c r="AR95" s="20">
        <f t="shared" si="178"/>
        <v>14.326991489333949</v>
      </c>
      <c r="AS95" s="20">
        <f t="shared" si="178"/>
        <v>20.007278757338277</v>
      </c>
      <c r="AT95" s="20">
        <f t="shared" si="178"/>
        <v>16.510572757388889</v>
      </c>
      <c r="AU95" s="20">
        <f t="shared" si="178"/>
        <v>12.274714376185063</v>
      </c>
      <c r="AV95" s="20">
        <f t="shared" si="178"/>
        <v>14.516336839250606</v>
      </c>
      <c r="AW95" s="20">
        <f t="shared" si="178"/>
        <v>12.766992250426906</v>
      </c>
      <c r="AX95" s="20">
        <f t="shared" si="178"/>
        <v>11.893785068736015</v>
      </c>
      <c r="AY95" s="20">
        <f t="shared" si="178"/>
        <v>8.8434203837017247</v>
      </c>
      <c r="BA95" s="20">
        <f t="shared" si="173"/>
        <v>0.15357687591462404</v>
      </c>
      <c r="BB95" s="20">
        <f t="shared" si="174"/>
        <v>0.10151607107251898</v>
      </c>
      <c r="BC95" s="20">
        <f t="shared" si="175"/>
        <v>0.10151607107251898</v>
      </c>
      <c r="BD95" s="20">
        <f t="shared" si="176"/>
        <v>0.12103203981835323</v>
      </c>
    </row>
    <row r="96" spans="1:56" ht="15" x14ac:dyDescent="0.25">
      <c r="A96" s="1"/>
      <c r="B96" s="2"/>
      <c r="C96" s="1" t="s">
        <v>11</v>
      </c>
      <c r="D96" s="14">
        <v>0.13300000000000001</v>
      </c>
      <c r="F96" s="89">
        <v>-1.8959999999999999</v>
      </c>
      <c r="H96" s="20"/>
      <c r="I96" s="20"/>
      <c r="J96" s="147">
        <v>3.2149190766483676E-2</v>
      </c>
      <c r="K96" s="197">
        <v>0.66599999999999993</v>
      </c>
      <c r="L96" s="197">
        <v>4.5549999999999997</v>
      </c>
      <c r="M96" s="197">
        <v>0.60039794540960334</v>
      </c>
      <c r="N96" s="197">
        <v>0.90789473684210531</v>
      </c>
      <c r="O96" s="216">
        <v>3.2149190766483676E-2</v>
      </c>
      <c r="P96" s="217">
        <v>5.6499999999999995E-2</v>
      </c>
      <c r="Q96" s="217">
        <v>1.25</v>
      </c>
      <c r="R96" s="217">
        <v>0.50078889239507718</v>
      </c>
      <c r="S96" s="217">
        <v>0.75268470790377973</v>
      </c>
      <c r="U96" s="20">
        <f t="shared" si="161"/>
        <v>2.8477110197135912E-2</v>
      </c>
      <c r="V96" s="20">
        <f t="shared" si="162"/>
        <v>2.0749869552981418E-2</v>
      </c>
      <c r="W96" s="20">
        <f t="shared" si="163"/>
        <v>2.0749869552981418E-2</v>
      </c>
      <c r="X96" s="20">
        <f t="shared" si="164"/>
        <v>2.4738930609007125E-2</v>
      </c>
      <c r="Y96" s="20">
        <f t="shared" si="165"/>
        <v>2.4738930609007125E-2</v>
      </c>
      <c r="Z96" s="20">
        <f t="shared" si="166"/>
        <v>0.19476462004197309</v>
      </c>
      <c r="AA96" s="20">
        <f t="shared" si="167"/>
        <v>0.18258327276208997</v>
      </c>
      <c r="AB96" s="20">
        <f t="shared" si="168"/>
        <v>0.18258327276208997</v>
      </c>
      <c r="AC96" s="20">
        <f t="shared" si="169"/>
        <v>0.21768401501000073</v>
      </c>
      <c r="AD96" s="20">
        <f t="shared" si="170"/>
        <v>0.21768401501000073</v>
      </c>
      <c r="AE96" s="191"/>
      <c r="AF96" s="20">
        <f t="shared" si="177"/>
        <v>1.9923847593438543E-2</v>
      </c>
      <c r="AG96" s="20">
        <f t="shared" si="177"/>
        <v>2.7562692097587535E-2</v>
      </c>
      <c r="AH96" s="20">
        <f t="shared" si="177"/>
        <v>2.5769325752349796E-2</v>
      </c>
      <c r="AI96" s="20">
        <f t="shared" si="177"/>
        <v>3.5986207160083057E-2</v>
      </c>
      <c r="AJ96" s="20">
        <f t="shared" si="177"/>
        <v>2.9696836775520843E-2</v>
      </c>
      <c r="AK96" s="20">
        <f t="shared" si="177"/>
        <v>2.2077985703589546E-2</v>
      </c>
      <c r="AL96" s="20">
        <f t="shared" si="177"/>
        <v>2.6109892856429361E-2</v>
      </c>
      <c r="AM96" s="20">
        <f t="shared" si="177"/>
        <v>2.2963424137154367E-2</v>
      </c>
      <c r="AN96" s="20">
        <f t="shared" si="177"/>
        <v>2.1392825010950099E-2</v>
      </c>
      <c r="AO96" s="20">
        <f t="shared" si="177"/>
        <v>1.5906269002968071E-2</v>
      </c>
      <c r="AP96" s="20">
        <f t="shared" si="178"/>
        <v>0.1753148997074255</v>
      </c>
      <c r="AQ96" s="20">
        <f t="shared" si="178"/>
        <v>0.2425309959882731</v>
      </c>
      <c r="AR96" s="20">
        <f t="shared" si="178"/>
        <v>0.22675071863574167</v>
      </c>
      <c r="AS96" s="20">
        <f t="shared" si="178"/>
        <v>0.31665160404049136</v>
      </c>
      <c r="AT96" s="20">
        <f t="shared" si="178"/>
        <v>0.26130986680719215</v>
      </c>
      <c r="AU96" s="20">
        <f t="shared" si="178"/>
        <v>0.19426969771850031</v>
      </c>
      <c r="AV96" s="20">
        <f t="shared" si="178"/>
        <v>0.22974745344890196</v>
      </c>
      <c r="AW96" s="20">
        <f t="shared" si="178"/>
        <v>0.20206089113380415</v>
      </c>
      <c r="AX96" s="20">
        <f t="shared" si="178"/>
        <v>0.18824079805189609</v>
      </c>
      <c r="AY96" s="20">
        <f t="shared" si="178"/>
        <v>0.13996322456778085</v>
      </c>
      <c r="BA96" s="20">
        <f t="shared" si="173"/>
        <v>2.4158509401474158E-3</v>
      </c>
      <c r="BB96" s="20">
        <f t="shared" si="174"/>
        <v>1.5969050957707603E-3</v>
      </c>
      <c r="BC96" s="20">
        <f t="shared" si="175"/>
        <v>1.5969050957707603E-3</v>
      </c>
      <c r="BD96" s="20">
        <f t="shared" si="176"/>
        <v>1.9039022993648836E-3</v>
      </c>
    </row>
    <row r="97" spans="1:56" ht="15" x14ac:dyDescent="0.25">
      <c r="A97" s="1"/>
      <c r="B97" s="2"/>
      <c r="C97" s="1" t="s">
        <v>12</v>
      </c>
      <c r="D97" s="14">
        <v>7.0000000000000001E-3</v>
      </c>
      <c r="F97" s="89">
        <v>7.0000000000000001E-3</v>
      </c>
      <c r="H97" s="20"/>
      <c r="I97" s="20"/>
      <c r="J97" s="147">
        <v>3.2149190766483676E-2</v>
      </c>
      <c r="K97" s="197">
        <v>0.66599999999999993</v>
      </c>
      <c r="L97" s="197">
        <v>4.5549999999999997</v>
      </c>
      <c r="M97" s="197">
        <v>0.60039794540960334</v>
      </c>
      <c r="N97" s="197">
        <v>0.90789473684210531</v>
      </c>
      <c r="O97" s="216">
        <v>3.2149190766483676E-2</v>
      </c>
      <c r="P97" s="217">
        <v>5.6499999999999995E-2</v>
      </c>
      <c r="Q97" s="217">
        <v>1.25</v>
      </c>
      <c r="R97" s="217">
        <v>0.50078889239507718</v>
      </c>
      <c r="S97" s="217">
        <v>0.75268470790377973</v>
      </c>
      <c r="U97" s="20">
        <f t="shared" si="161"/>
        <v>5.5118502717862636E-4</v>
      </c>
      <c r="V97" s="20">
        <f t="shared" si="162"/>
        <v>4.0162141925002251E-4</v>
      </c>
      <c r="W97" s="20">
        <f t="shared" si="163"/>
        <v>4.0162141925002251E-4</v>
      </c>
      <c r="X97" s="20">
        <f t="shared" si="164"/>
        <v>4.7883117513332363E-4</v>
      </c>
      <c r="Y97" s="20">
        <f t="shared" si="165"/>
        <v>4.7883117513332363E-4</v>
      </c>
      <c r="Z97" s="20">
        <f t="shared" si="166"/>
        <v>5.9365301579480155E-3</v>
      </c>
      <c r="AA97" s="20">
        <f t="shared" si="167"/>
        <v>5.5652361545716327E-3</v>
      </c>
      <c r="AB97" s="20">
        <f t="shared" si="168"/>
        <v>5.5652361545716327E-3</v>
      </c>
      <c r="AC97" s="20">
        <f t="shared" si="169"/>
        <v>6.6351256184597647E-3</v>
      </c>
      <c r="AD97" s="20">
        <f t="shared" si="170"/>
        <v>6.6351256184597647E-3</v>
      </c>
      <c r="AE97" s="191"/>
      <c r="AF97" s="20">
        <f t="shared" si="177"/>
        <v>3.8563345793411015E-4</v>
      </c>
      <c r="AG97" s="20">
        <f t="shared" si="177"/>
        <v>5.3348612579561688E-4</v>
      </c>
      <c r="AH97" s="20">
        <f t="shared" si="177"/>
        <v>4.9877485520326195E-4</v>
      </c>
      <c r="AI97" s="20">
        <f t="shared" si="177"/>
        <v>6.9652638326978022E-4</v>
      </c>
      <c r="AJ97" s="20">
        <f t="shared" si="177"/>
        <v>5.7479328737790759E-4</v>
      </c>
      <c r="AK97" s="20">
        <f t="shared" si="177"/>
        <v>4.2732759981053948E-4</v>
      </c>
      <c r="AL97" s="20">
        <f t="shared" si="177"/>
        <v>5.0536665778501129E-4</v>
      </c>
      <c r="AM97" s="20">
        <f t="shared" si="177"/>
        <v>4.4446558901277633E-4</v>
      </c>
      <c r="AN97" s="20">
        <f t="shared" si="177"/>
        <v>4.1406606054690369E-4</v>
      </c>
      <c r="AO97" s="20">
        <f t="shared" si="177"/>
        <v>3.0787173459732826E-4</v>
      </c>
      <c r="AP97" s="20">
        <f t="shared" si="178"/>
        <v>5.3436922425976127E-3</v>
      </c>
      <c r="AQ97" s="20">
        <f t="shared" si="178"/>
        <v>7.3924749351872397E-3</v>
      </c>
      <c r="AR97" s="20">
        <f t="shared" si="178"/>
        <v>6.9114836114863628E-3</v>
      </c>
      <c r="AS97" s="20">
        <f t="shared" si="178"/>
        <v>9.651710852535118E-3</v>
      </c>
      <c r="AT97" s="20">
        <f t="shared" si="178"/>
        <v>7.9648649972257034E-3</v>
      </c>
      <c r="AU97" s="20">
        <f t="shared" si="178"/>
        <v>5.9214446598811451E-3</v>
      </c>
      <c r="AV97" s="20">
        <f t="shared" si="178"/>
        <v>7.0028256970759576E-3</v>
      </c>
      <c r="AW97" s="20">
        <f t="shared" si="178"/>
        <v>6.1589244170690248E-3</v>
      </c>
      <c r="AX97" s="20">
        <f t="shared" si="178"/>
        <v>5.7376805620571892E-3</v>
      </c>
      <c r="AY97" s="20">
        <f t="shared" si="178"/>
        <v>4.266154209482286E-3</v>
      </c>
      <c r="BA97" s="20">
        <f t="shared" si="173"/>
        <v>1.2715004948144292E-4</v>
      </c>
      <c r="BB97" s="20">
        <f t="shared" si="174"/>
        <v>8.4047636619513687E-5</v>
      </c>
      <c r="BC97" s="20">
        <f t="shared" si="175"/>
        <v>8.4047636619513687E-5</v>
      </c>
      <c r="BD97" s="20">
        <f t="shared" si="176"/>
        <v>1.0020538417709913E-4</v>
      </c>
    </row>
    <row r="98" spans="1:56" ht="15" x14ac:dyDescent="0.25">
      <c r="A98" s="1"/>
      <c r="B98" s="2"/>
      <c r="C98" s="1" t="s">
        <v>13</v>
      </c>
      <c r="D98" s="14">
        <v>0</v>
      </c>
      <c r="F98" s="89">
        <v>0</v>
      </c>
      <c r="H98" s="20"/>
      <c r="I98" s="20"/>
      <c r="J98" s="147"/>
      <c r="K98" s="197">
        <v>0.66599999999999993</v>
      </c>
      <c r="L98" s="197">
        <v>4.5549999999999997</v>
      </c>
      <c r="M98" s="197">
        <v>0.60039794540960334</v>
      </c>
      <c r="N98" s="197">
        <v>0.90789473684210531</v>
      </c>
      <c r="O98" s="216">
        <v>3.2149190766483676E-2</v>
      </c>
      <c r="P98" s="217">
        <v>5.6499999999999995E-2</v>
      </c>
      <c r="Q98" s="217">
        <v>1.25</v>
      </c>
      <c r="R98" s="217">
        <v>0.50078889239507718</v>
      </c>
      <c r="S98" s="217">
        <v>0.75268470790377973</v>
      </c>
      <c r="U98" s="20">
        <f t="shared" si="161"/>
        <v>0</v>
      </c>
      <c r="V98" s="20">
        <f t="shared" si="162"/>
        <v>0</v>
      </c>
      <c r="W98" s="20">
        <f t="shared" si="163"/>
        <v>0</v>
      </c>
      <c r="X98" s="20">
        <f t="shared" si="164"/>
        <v>0</v>
      </c>
      <c r="Y98" s="20">
        <f t="shared" si="165"/>
        <v>0</v>
      </c>
      <c r="Z98" s="20">
        <f t="shared" si="166"/>
        <v>0</v>
      </c>
      <c r="AA98" s="20">
        <f t="shared" si="167"/>
        <v>0</v>
      </c>
      <c r="AB98" s="20">
        <f t="shared" si="168"/>
        <v>0</v>
      </c>
      <c r="AC98" s="20">
        <f t="shared" si="169"/>
        <v>0</v>
      </c>
      <c r="AD98" s="20">
        <f t="shared" si="170"/>
        <v>0</v>
      </c>
      <c r="AE98" s="191"/>
      <c r="AF98" s="20">
        <f t="shared" si="177"/>
        <v>0</v>
      </c>
      <c r="AG98" s="20">
        <f t="shared" si="177"/>
        <v>0</v>
      </c>
      <c r="AH98" s="20">
        <f t="shared" si="177"/>
        <v>0</v>
      </c>
      <c r="AI98" s="20">
        <f t="shared" si="177"/>
        <v>0</v>
      </c>
      <c r="AJ98" s="20">
        <f t="shared" si="177"/>
        <v>0</v>
      </c>
      <c r="AK98" s="20">
        <f t="shared" si="177"/>
        <v>0</v>
      </c>
      <c r="AL98" s="20">
        <f t="shared" si="177"/>
        <v>0</v>
      </c>
      <c r="AM98" s="20">
        <f t="shared" si="177"/>
        <v>0</v>
      </c>
      <c r="AN98" s="20">
        <f t="shared" si="177"/>
        <v>0</v>
      </c>
      <c r="AO98" s="20">
        <f t="shared" si="177"/>
        <v>0</v>
      </c>
      <c r="AP98" s="20">
        <f t="shared" si="178"/>
        <v>0</v>
      </c>
      <c r="AQ98" s="20">
        <f t="shared" si="178"/>
        <v>0</v>
      </c>
      <c r="AR98" s="20">
        <f t="shared" si="178"/>
        <v>0</v>
      </c>
      <c r="AS98" s="20">
        <f t="shared" si="178"/>
        <v>0</v>
      </c>
      <c r="AT98" s="20">
        <f t="shared" si="178"/>
        <v>0</v>
      </c>
      <c r="AU98" s="20">
        <f t="shared" si="178"/>
        <v>0</v>
      </c>
      <c r="AV98" s="20">
        <f t="shared" si="178"/>
        <v>0</v>
      </c>
      <c r="AW98" s="20">
        <f t="shared" si="178"/>
        <v>0</v>
      </c>
      <c r="AX98" s="20">
        <f t="shared" si="178"/>
        <v>0</v>
      </c>
      <c r="AY98" s="20">
        <f t="shared" si="178"/>
        <v>0</v>
      </c>
      <c r="BA98" s="20">
        <f t="shared" si="173"/>
        <v>0</v>
      </c>
      <c r="BB98" s="20">
        <f t="shared" si="174"/>
        <v>0</v>
      </c>
      <c r="BC98" s="20">
        <f t="shared" si="175"/>
        <v>0</v>
      </c>
      <c r="BD98" s="20">
        <f t="shared" si="176"/>
        <v>0</v>
      </c>
    </row>
    <row r="99" spans="1:56" ht="15" x14ac:dyDescent="0.25">
      <c r="A99" s="7"/>
      <c r="B99" s="8" t="s">
        <v>14</v>
      </c>
      <c r="C99" s="7"/>
      <c r="D99" s="14">
        <f>SUM(D93:D98)</f>
        <v>218.911</v>
      </c>
      <c r="F99" s="14">
        <v>-102.53199999999998</v>
      </c>
      <c r="H99" s="20"/>
      <c r="I99" s="20"/>
      <c r="J99" s="147"/>
      <c r="K99" s="197"/>
      <c r="L99" s="197"/>
      <c r="M99" s="197"/>
      <c r="N99" s="197"/>
      <c r="O99" s="197"/>
      <c r="P99" s="197"/>
      <c r="Q99" s="197"/>
      <c r="R99" s="197"/>
      <c r="S99" s="197"/>
    </row>
    <row r="100" spans="1:56" ht="15" x14ac:dyDescent="0.25">
      <c r="A100" s="10"/>
      <c r="B100" s="9" t="s">
        <v>15</v>
      </c>
      <c r="C100" s="5"/>
      <c r="D100" s="14">
        <f>SUM(D99)</f>
        <v>218.911</v>
      </c>
      <c r="F100" s="14">
        <v>-102.53199999999998</v>
      </c>
      <c r="H100" s="20"/>
      <c r="I100" s="20"/>
      <c r="J100" s="147"/>
      <c r="K100" s="197"/>
      <c r="L100" s="197"/>
      <c r="M100" s="197"/>
      <c r="N100" s="197"/>
      <c r="O100" s="197"/>
      <c r="P100" s="197"/>
      <c r="Q100" s="197"/>
      <c r="R100" s="197"/>
      <c r="S100" s="197"/>
    </row>
    <row r="101" spans="1:56" ht="15.75" x14ac:dyDescent="0.25">
      <c r="A101" s="1"/>
      <c r="B101" s="2"/>
      <c r="C101" s="1"/>
      <c r="D101" s="87"/>
      <c r="F101" s="87"/>
      <c r="H101" s="20"/>
      <c r="I101" s="20"/>
      <c r="J101" s="147"/>
      <c r="K101" s="197"/>
      <c r="L101" s="197"/>
      <c r="M101" s="197"/>
      <c r="N101" s="197"/>
      <c r="O101" s="197"/>
      <c r="P101" s="197"/>
      <c r="Q101" s="197"/>
      <c r="R101" s="197"/>
      <c r="S101" s="197"/>
    </row>
    <row r="102" spans="1:56" ht="15" x14ac:dyDescent="0.25">
      <c r="A102" s="1">
        <v>11</v>
      </c>
      <c r="B102" s="2" t="s">
        <v>25</v>
      </c>
      <c r="C102" s="1" t="s">
        <v>8</v>
      </c>
      <c r="D102" s="14">
        <v>190.691</v>
      </c>
      <c r="F102" s="89">
        <v>-174.92500000000001</v>
      </c>
      <c r="H102" s="20"/>
      <c r="I102" s="20"/>
      <c r="J102" s="147">
        <v>1.478729769162092E-2</v>
      </c>
      <c r="K102" s="197">
        <v>0.14000000000000001</v>
      </c>
      <c r="L102" s="197">
        <v>2.0499999999999998</v>
      </c>
      <c r="M102" s="197">
        <v>0.62857142857142845</v>
      </c>
      <c r="N102" s="197">
        <v>0.90789473684210531</v>
      </c>
      <c r="O102" s="216">
        <v>1.4787297691620922E-2</v>
      </c>
      <c r="P102" s="217">
        <v>5.6499999999999995E-2</v>
      </c>
      <c r="Q102" s="217">
        <v>1.25</v>
      </c>
      <c r="R102" s="217">
        <v>0.50078889239507718</v>
      </c>
      <c r="S102" s="217">
        <v>0.75268470790377973</v>
      </c>
      <c r="U102" s="20">
        <f t="shared" ref="U102:U107" si="179">IF(F102&gt;0,((D102-F102)*$J102*$K102*10)+(F102*$H$12*$J102*$K102*10),(D102*$J102*$K102*10))</f>
        <v>3.9477264177580391</v>
      </c>
      <c r="V102" s="20">
        <f t="shared" ref="V102:V107" si="180">U102*(EXP(1.01-0.34*LN(V$10))*(1-$M102)+(1*$M102))</f>
        <v>2.9520386657168873</v>
      </c>
      <c r="W102" s="20">
        <f t="shared" ref="W102:W107" si="181">SUM(V102:V102)</f>
        <v>2.9520386657168873</v>
      </c>
      <c r="X102" s="20">
        <f t="shared" ref="X102:X107" si="182">V102*$Y$1</f>
        <v>3.5195536781474748</v>
      </c>
      <c r="Y102" s="20">
        <f t="shared" ref="Y102:Y107" si="183">SUM(X102:X102)</f>
        <v>3.5195536781474748</v>
      </c>
      <c r="Z102" s="20">
        <f t="shared" ref="Z102:Z107" si="184">IF(F102&gt;0,((D102-F102)*$J102*$L102*10)+(F102*$I$12*$J102*$L102)*10,(D102*$J102*$L102*10))</f>
        <v>57.805993974314127</v>
      </c>
      <c r="AA102" s="20">
        <f t="shared" ref="AA102:AA107" si="185">Z102*(EXP(1.01-0.34*LN(AA$10))*(1-$N102)+(1*$N102))</f>
        <v>54.190579186411675</v>
      </c>
      <c r="AB102" s="20">
        <f t="shared" ref="AB102:AB107" si="186">SUM(AA102:AA102)</f>
        <v>54.190579186411675</v>
      </c>
      <c r="AC102" s="20">
        <f t="shared" ref="AC102:AC107" si="187">AA102*$Y$1</f>
        <v>64.608453307694134</v>
      </c>
      <c r="AD102" s="20">
        <f t="shared" ref="AD102:AD107" si="188">SUM(AC102:AC102)</f>
        <v>64.608453307694134</v>
      </c>
      <c r="AE102" s="191"/>
      <c r="AF102" s="20">
        <f>$W102*AF$6</f>
        <v>2.8345223238875752</v>
      </c>
      <c r="AG102" s="20">
        <f t="shared" ref="AG102:AO102" si="189">$W102*AG$6</f>
        <v>3.9212840637659196</v>
      </c>
      <c r="AH102" s="20">
        <f t="shared" si="189"/>
        <v>3.6661457468998981</v>
      </c>
      <c r="AI102" s="20">
        <f t="shared" si="189"/>
        <v>5.1196791718528747</v>
      </c>
      <c r="AJ102" s="20">
        <f t="shared" si="189"/>
        <v>4.2249041704565578</v>
      </c>
      <c r="AK102" s="20">
        <f t="shared" si="189"/>
        <v>3.1409868525547626</v>
      </c>
      <c r="AL102" s="20">
        <f t="shared" si="189"/>
        <v>3.7145974856902102</v>
      </c>
      <c r="AM102" s="20">
        <f t="shared" si="189"/>
        <v>3.2669562464982329</v>
      </c>
      <c r="AN102" s="20">
        <f t="shared" si="189"/>
        <v>3.0435105358127905</v>
      </c>
      <c r="AO102" s="20">
        <f t="shared" si="189"/>
        <v>2.2629501840559256</v>
      </c>
      <c r="AP102" s="20">
        <f>$AB102*AP$6</f>
        <v>52.033331484490994</v>
      </c>
      <c r="AQ102" s="20">
        <f t="shared" ref="AQ102:AY102" si="190">$AB102*AQ$6</f>
        <v>71.983018731334099</v>
      </c>
      <c r="AR102" s="20">
        <f t="shared" si="190"/>
        <v>67.29944418192747</v>
      </c>
      <c r="AS102" s="20">
        <f t="shared" si="190"/>
        <v>93.981959922581595</v>
      </c>
      <c r="AT102" s="20">
        <f t="shared" si="190"/>
        <v>77.55657358523375</v>
      </c>
      <c r="AU102" s="20">
        <f t="shared" si="190"/>
        <v>57.659101397817139</v>
      </c>
      <c r="AV102" s="20">
        <f t="shared" si="190"/>
        <v>68.188872839528784</v>
      </c>
      <c r="AW102" s="20">
        <f t="shared" si="190"/>
        <v>59.97152179285969</v>
      </c>
      <c r="AX102" s="20">
        <f t="shared" si="190"/>
        <v>55.869728473081828</v>
      </c>
      <c r="AY102" s="20">
        <f t="shared" si="190"/>
        <v>41.540980668085972</v>
      </c>
      <c r="BA102" s="20">
        <f t="shared" ref="BA102:BA107" si="191">D102*$O102*$P102*10</f>
        <v>1.59318959002378</v>
      </c>
      <c r="BB102" s="20">
        <f t="shared" ref="BB102:BB107" si="192">BA102*(EXP(1.01-0.34*LN(BB$10))*(1-$R102)+(1*$R102))</f>
        <v>1.0531165365205257</v>
      </c>
      <c r="BC102" s="20">
        <f t="shared" ref="BC102:BC107" si="193">SUM(BB102:BB102)</f>
        <v>1.0531165365205257</v>
      </c>
      <c r="BD102" s="20">
        <f t="shared" ref="BD102:BD107" si="194">BC102*BD$6</f>
        <v>1.2555730460693819</v>
      </c>
    </row>
    <row r="103" spans="1:56" ht="15" x14ac:dyDescent="0.25">
      <c r="A103" s="1"/>
      <c r="B103" s="2"/>
      <c r="C103" s="1" t="s">
        <v>9</v>
      </c>
      <c r="D103" s="14">
        <v>0.626</v>
      </c>
      <c r="F103" s="89">
        <v>-4.3409999999999993</v>
      </c>
      <c r="H103" s="20"/>
      <c r="I103" s="20"/>
      <c r="J103" s="147">
        <v>2.0574595383241839E-2</v>
      </c>
      <c r="K103" s="197">
        <v>0.14000000000000001</v>
      </c>
      <c r="L103" s="197">
        <v>2.0499999999999998</v>
      </c>
      <c r="M103" s="197">
        <v>0.62857142857142845</v>
      </c>
      <c r="N103" s="197">
        <v>0.90789473684210531</v>
      </c>
      <c r="O103" s="216">
        <v>2.0574595383241839E-2</v>
      </c>
      <c r="P103" s="217">
        <v>5.6499999999999995E-2</v>
      </c>
      <c r="Q103" s="217">
        <v>1.25</v>
      </c>
      <c r="R103" s="217">
        <v>0.50078889239507718</v>
      </c>
      <c r="S103" s="217">
        <v>0.75268470790377973</v>
      </c>
      <c r="U103" s="20">
        <f t="shared" si="179"/>
        <v>1.803157539387315E-2</v>
      </c>
      <c r="V103" s="20">
        <f t="shared" si="180"/>
        <v>1.3483687098239359E-2</v>
      </c>
      <c r="W103" s="20">
        <f t="shared" si="181"/>
        <v>1.3483687098239359E-2</v>
      </c>
      <c r="X103" s="20">
        <f t="shared" si="182"/>
        <v>1.6075860073490402E-2</v>
      </c>
      <c r="Y103" s="20">
        <f t="shared" si="183"/>
        <v>1.6075860073490402E-2</v>
      </c>
      <c r="Z103" s="20">
        <f t="shared" si="184"/>
        <v>0.26403378255314253</v>
      </c>
      <c r="AA103" s="20">
        <f t="shared" si="185"/>
        <v>0.24752006872663829</v>
      </c>
      <c r="AB103" s="20">
        <f t="shared" si="186"/>
        <v>0.24752006872663829</v>
      </c>
      <c r="AC103" s="20">
        <f t="shared" si="187"/>
        <v>0.29510459277490486</v>
      </c>
      <c r="AD103" s="20">
        <f t="shared" si="188"/>
        <v>0.29510459277490486</v>
      </c>
      <c r="AE103" s="191"/>
      <c r="AF103" s="20">
        <f t="shared" ref="AF103:AO107" si="195">$W103*AF$6</f>
        <v>1.294692123519082E-2</v>
      </c>
      <c r="AG103" s="20">
        <f t="shared" si="195"/>
        <v>1.7910797698272054E-2</v>
      </c>
      <c r="AH103" s="20">
        <f t="shared" si="195"/>
        <v>1.6745431786454826E-2</v>
      </c>
      <c r="AI103" s="20">
        <f t="shared" si="195"/>
        <v>2.3384569043194855E-2</v>
      </c>
      <c r="AJ103" s="20">
        <f t="shared" si="195"/>
        <v>1.9297608298991752E-2</v>
      </c>
      <c r="AK103" s="20">
        <f t="shared" si="195"/>
        <v>1.4346723974649268E-2</v>
      </c>
      <c r="AL103" s="20">
        <f t="shared" si="195"/>
        <v>1.6966739214708156E-2</v>
      </c>
      <c r="AM103" s="20">
        <f t="shared" si="195"/>
        <v>1.4922099870505334E-2</v>
      </c>
      <c r="AN103" s="20">
        <f t="shared" si="195"/>
        <v>1.3901492626665403E-2</v>
      </c>
      <c r="AO103" s="20">
        <f t="shared" si="195"/>
        <v>1.0336216986271542E-2</v>
      </c>
      <c r="AP103" s="20">
        <f t="shared" ref="AP103:AY107" si="196">$AB103*AP$6</f>
        <v>0.23766665679680821</v>
      </c>
      <c r="AQ103" s="20">
        <f t="shared" si="196"/>
        <v>0.32878854610947572</v>
      </c>
      <c r="AR103" s="20">
        <f t="shared" si="196"/>
        <v>0.30739592193456827</v>
      </c>
      <c r="AS103" s="20">
        <f t="shared" si="196"/>
        <v>0.42927057670080465</v>
      </c>
      <c r="AT103" s="20">
        <f t="shared" si="196"/>
        <v>0.35424623084363066</v>
      </c>
      <c r="AU103" s="20">
        <f t="shared" si="196"/>
        <v>0.26336283824555551</v>
      </c>
      <c r="AV103" s="20">
        <f t="shared" si="196"/>
        <v>0.31145846279982853</v>
      </c>
      <c r="AW103" s="20">
        <f t="shared" si="196"/>
        <v>0.27392501461825858</v>
      </c>
      <c r="AX103" s="20">
        <f t="shared" si="196"/>
        <v>0.2551897255762019</v>
      </c>
      <c r="AY103" s="20">
        <f t="shared" si="196"/>
        <v>0.18974195412391656</v>
      </c>
      <c r="BA103" s="20">
        <f t="shared" si="191"/>
        <v>7.2770286410988056E-3</v>
      </c>
      <c r="BB103" s="20">
        <f t="shared" si="192"/>
        <v>4.8101991418110232E-3</v>
      </c>
      <c r="BC103" s="20">
        <f t="shared" si="193"/>
        <v>4.8101991418110232E-3</v>
      </c>
      <c r="BD103" s="20">
        <f t="shared" si="194"/>
        <v>5.7349364284398734E-3</v>
      </c>
    </row>
    <row r="104" spans="1:56" ht="15" x14ac:dyDescent="0.25">
      <c r="A104" s="1"/>
      <c r="B104" s="2"/>
      <c r="C104" s="1" t="s">
        <v>10</v>
      </c>
      <c r="D104" s="14">
        <v>7.2670000000000003</v>
      </c>
      <c r="F104" s="89">
        <v>-9.7050000000000001</v>
      </c>
      <c r="H104" s="20"/>
      <c r="I104" s="20"/>
      <c r="J104" s="147">
        <v>2.6361893074862756E-2</v>
      </c>
      <c r="K104" s="197">
        <v>0.14000000000000001</v>
      </c>
      <c r="L104" s="197">
        <v>2.0499999999999998</v>
      </c>
      <c r="M104" s="197">
        <v>0.62857142857142845</v>
      </c>
      <c r="N104" s="197">
        <v>0.90789473684210531</v>
      </c>
      <c r="O104" s="216">
        <v>2.6361893074862752E-2</v>
      </c>
      <c r="P104" s="217">
        <v>5.6499999999999995E-2</v>
      </c>
      <c r="Q104" s="217">
        <v>1.25</v>
      </c>
      <c r="R104" s="217">
        <v>0.50078889239507718</v>
      </c>
      <c r="S104" s="217">
        <v>0.75268470790377973</v>
      </c>
      <c r="U104" s="20">
        <f t="shared" si="179"/>
        <v>0.26820062776503872</v>
      </c>
      <c r="V104" s="20">
        <f t="shared" si="180"/>
        <v>0.20055559568932194</v>
      </c>
      <c r="W104" s="20">
        <f t="shared" si="181"/>
        <v>0.20055559568932194</v>
      </c>
      <c r="X104" s="20">
        <f t="shared" si="182"/>
        <v>0.23911142922309758</v>
      </c>
      <c r="Y104" s="20">
        <f t="shared" si="183"/>
        <v>0.23911142922309758</v>
      </c>
      <c r="Z104" s="20">
        <f t="shared" si="184"/>
        <v>3.9272234779880666</v>
      </c>
      <c r="AA104" s="20">
        <f t="shared" si="185"/>
        <v>3.6815994369236602</v>
      </c>
      <c r="AB104" s="20">
        <f t="shared" si="186"/>
        <v>3.6815994369236602</v>
      </c>
      <c r="AC104" s="20">
        <f t="shared" si="187"/>
        <v>4.3893689436292185</v>
      </c>
      <c r="AD104" s="20">
        <f t="shared" si="188"/>
        <v>4.3893689436292185</v>
      </c>
      <c r="AE104" s="191"/>
      <c r="AF104" s="20">
        <f t="shared" si="195"/>
        <v>0.19257177074403309</v>
      </c>
      <c r="AG104" s="20">
        <f t="shared" si="195"/>
        <v>0.26640418718385495</v>
      </c>
      <c r="AH104" s="20">
        <f t="shared" si="195"/>
        <v>0.24907060083334906</v>
      </c>
      <c r="AI104" s="20">
        <f t="shared" si="195"/>
        <v>0.3478207511214354</v>
      </c>
      <c r="AJ104" s="20">
        <f t="shared" si="195"/>
        <v>0.28703152925351205</v>
      </c>
      <c r="AK104" s="20">
        <f t="shared" si="195"/>
        <v>0.21339235714701268</v>
      </c>
      <c r="AL104" s="20">
        <f t="shared" si="195"/>
        <v>0.25236231494540479</v>
      </c>
      <c r="AM104" s="20">
        <f t="shared" si="195"/>
        <v>0.22195046552626738</v>
      </c>
      <c r="AN104" s="20">
        <f t="shared" si="195"/>
        <v>0.20677001137735126</v>
      </c>
      <c r="AO104" s="20">
        <f t="shared" si="195"/>
        <v>0.15374030409875492</v>
      </c>
      <c r="AP104" s="20">
        <f t="shared" si="196"/>
        <v>3.5350403477990406</v>
      </c>
      <c r="AQ104" s="20">
        <f t="shared" si="196"/>
        <v>4.8903821514385477</v>
      </c>
      <c r="AR104" s="20">
        <f t="shared" si="196"/>
        <v>4.5721894750958461</v>
      </c>
      <c r="AS104" s="20">
        <f t="shared" si="196"/>
        <v>6.3849461645672738</v>
      </c>
      <c r="AT104" s="20">
        <f t="shared" si="196"/>
        <v>5.2690383075426217</v>
      </c>
      <c r="AU104" s="20">
        <f t="shared" si="196"/>
        <v>3.9172438904833959</v>
      </c>
      <c r="AV104" s="20">
        <f t="shared" si="196"/>
        <v>4.6326154770720311</v>
      </c>
      <c r="AW104" s="20">
        <f t="shared" si="196"/>
        <v>4.0743451016558021</v>
      </c>
      <c r="AX104" s="20">
        <f t="shared" si="196"/>
        <v>3.7956774770761768</v>
      </c>
      <c r="AY104" s="20">
        <f t="shared" si="196"/>
        <v>2.822211043561444</v>
      </c>
      <c r="BA104" s="20">
        <f t="shared" si="191"/>
        <v>0.1082381104908906</v>
      </c>
      <c r="BB104" s="20">
        <f t="shared" si="192"/>
        <v>7.1546628695955336E-2</v>
      </c>
      <c r="BC104" s="20">
        <f t="shared" si="193"/>
        <v>7.1546628695955336E-2</v>
      </c>
      <c r="BD104" s="20">
        <f t="shared" si="194"/>
        <v>8.5301118549119676E-2</v>
      </c>
    </row>
    <row r="105" spans="1:56" ht="15" x14ac:dyDescent="0.25">
      <c r="A105" s="1"/>
      <c r="B105" s="2"/>
      <c r="C105" s="1" t="s">
        <v>11</v>
      </c>
      <c r="D105" s="14">
        <v>0.71099999999999997</v>
      </c>
      <c r="F105" s="89">
        <v>-3.1840000000000002</v>
      </c>
      <c r="H105" s="20"/>
      <c r="I105" s="20"/>
      <c r="J105" s="147">
        <v>3.2149190766483669E-2</v>
      </c>
      <c r="K105" s="197">
        <v>0.14000000000000001</v>
      </c>
      <c r="L105" s="197">
        <v>2.0499999999999998</v>
      </c>
      <c r="M105" s="197">
        <v>0.62857142857142845</v>
      </c>
      <c r="N105" s="197">
        <v>0.90789473684210531</v>
      </c>
      <c r="O105" s="216">
        <v>3.2149190766483676E-2</v>
      </c>
      <c r="P105" s="217">
        <v>5.6499999999999995E-2</v>
      </c>
      <c r="Q105" s="217">
        <v>1.25</v>
      </c>
      <c r="R105" s="217">
        <v>0.50078889239507718</v>
      </c>
      <c r="S105" s="217">
        <v>0.75268470790377973</v>
      </c>
      <c r="U105" s="20">
        <f t="shared" si="179"/>
        <v>3.2001304488957848E-2</v>
      </c>
      <c r="V105" s="20">
        <f t="shared" si="180"/>
        <v>2.3929998740498608E-2</v>
      </c>
      <c r="W105" s="20">
        <f t="shared" si="181"/>
        <v>2.3929998740498608E-2</v>
      </c>
      <c r="X105" s="20">
        <f t="shared" si="182"/>
        <v>2.8530424097522183E-2</v>
      </c>
      <c r="Y105" s="20">
        <f t="shared" si="183"/>
        <v>2.8530424097522183E-2</v>
      </c>
      <c r="Z105" s="20">
        <f t="shared" si="184"/>
        <v>0.46859053001688267</v>
      </c>
      <c r="AA105" s="20">
        <f t="shared" si="185"/>
        <v>0.43928303065190549</v>
      </c>
      <c r="AB105" s="20">
        <f t="shared" si="186"/>
        <v>0.43928303065190549</v>
      </c>
      <c r="AC105" s="20">
        <f t="shared" si="187"/>
        <v>0.52373304734585058</v>
      </c>
      <c r="AD105" s="20">
        <f t="shared" si="188"/>
        <v>0.52373304734585058</v>
      </c>
      <c r="AE105" s="191"/>
      <c r="AF105" s="20">
        <f t="shared" si="195"/>
        <v>2.2977380489043381E-2</v>
      </c>
      <c r="AG105" s="20">
        <f t="shared" si="195"/>
        <v>3.1786955840657341E-2</v>
      </c>
      <c r="AH105" s="20">
        <f t="shared" si="195"/>
        <v>2.9718737808095037E-2</v>
      </c>
      <c r="AI105" s="20">
        <f t="shared" si="195"/>
        <v>4.1501460518453055E-2</v>
      </c>
      <c r="AJ105" s="20">
        <f t="shared" si="195"/>
        <v>3.4248179961830091E-2</v>
      </c>
      <c r="AK105" s="20">
        <f t="shared" si="195"/>
        <v>2.546166223988296E-2</v>
      </c>
      <c r="AL105" s="20">
        <f t="shared" si="195"/>
        <v>3.0111500295149241E-2</v>
      </c>
      <c r="AM105" s="20">
        <f t="shared" si="195"/>
        <v>2.6482803146137514E-2</v>
      </c>
      <c r="AN105" s="20">
        <f t="shared" si="195"/>
        <v>2.4671493681471698E-2</v>
      </c>
      <c r="AO105" s="20">
        <f t="shared" si="195"/>
        <v>1.8344066994501501E-2</v>
      </c>
      <c r="AP105" s="20">
        <f t="shared" si="196"/>
        <v>0.4217958156674198</v>
      </c>
      <c r="AQ105" s="20">
        <f t="shared" si="196"/>
        <v>0.58351320651140581</v>
      </c>
      <c r="AR105" s="20">
        <f t="shared" si="196"/>
        <v>0.54554692430449081</v>
      </c>
      <c r="AS105" s="20">
        <f t="shared" si="196"/>
        <v>0.76184238665140014</v>
      </c>
      <c r="AT105" s="20">
        <f t="shared" si="196"/>
        <v>0.62869390220582655</v>
      </c>
      <c r="AU105" s="20">
        <f t="shared" si="196"/>
        <v>0.46739978031181134</v>
      </c>
      <c r="AV105" s="20">
        <f t="shared" si="196"/>
        <v>0.55275686599778306</v>
      </c>
      <c r="AW105" s="20">
        <f t="shared" si="196"/>
        <v>0.48614486579578942</v>
      </c>
      <c r="AX105" s="20">
        <f t="shared" si="196"/>
        <v>0.45289465463968542</v>
      </c>
      <c r="AY105" s="20">
        <f t="shared" si="196"/>
        <v>0.33674207137289253</v>
      </c>
      <c r="BA105" s="20">
        <f t="shared" si="191"/>
        <v>1.2914812168757988E-2</v>
      </c>
      <c r="BB105" s="20">
        <f t="shared" si="192"/>
        <v>8.5368385194963189E-3</v>
      </c>
      <c r="BC105" s="20">
        <f t="shared" si="193"/>
        <v>8.5368385194963189E-3</v>
      </c>
      <c r="BD105" s="20">
        <f t="shared" si="194"/>
        <v>1.0178004021416782E-2</v>
      </c>
    </row>
    <row r="106" spans="1:56" ht="15" x14ac:dyDescent="0.25">
      <c r="A106" s="1"/>
      <c r="B106" s="2"/>
      <c r="C106" s="1" t="s">
        <v>12</v>
      </c>
      <c r="D106" s="14">
        <v>8.0000000000000002E-3</v>
      </c>
      <c r="F106" s="89">
        <v>-0.154</v>
      </c>
      <c r="H106" s="20"/>
      <c r="I106" s="20"/>
      <c r="J106" s="147">
        <v>3.2149190766483676E-2</v>
      </c>
      <c r="K106" s="197">
        <v>0.14000000000000001</v>
      </c>
      <c r="L106" s="197">
        <v>2.0499999999999998</v>
      </c>
      <c r="M106" s="197">
        <v>0.62857142857142845</v>
      </c>
      <c r="N106" s="197">
        <v>0.90789473684210531</v>
      </c>
      <c r="O106" s="216">
        <v>3.2149190766483676E-2</v>
      </c>
      <c r="P106" s="217">
        <v>5.6499999999999995E-2</v>
      </c>
      <c r="Q106" s="217">
        <v>1.25</v>
      </c>
      <c r="R106" s="217">
        <v>0.50078889239507718</v>
      </c>
      <c r="S106" s="217">
        <v>0.75268470790377973</v>
      </c>
      <c r="U106" s="20">
        <f t="shared" si="179"/>
        <v>3.6007093658461725E-4</v>
      </c>
      <c r="V106" s="20">
        <f t="shared" si="180"/>
        <v>2.6925455685511803E-4</v>
      </c>
      <c r="W106" s="20">
        <f t="shared" si="181"/>
        <v>2.6925455685511803E-4</v>
      </c>
      <c r="X106" s="20">
        <f t="shared" si="182"/>
        <v>3.2101743007057317E-4</v>
      </c>
      <c r="Y106" s="20">
        <f t="shared" si="183"/>
        <v>3.2101743007057317E-4</v>
      </c>
      <c r="Z106" s="20">
        <f t="shared" si="184"/>
        <v>5.2724672857033233E-3</v>
      </c>
      <c r="AA106" s="20">
        <f t="shared" si="185"/>
        <v>4.9427063927077993E-3</v>
      </c>
      <c r="AB106" s="20">
        <f t="shared" si="186"/>
        <v>4.9427063927077993E-3</v>
      </c>
      <c r="AC106" s="20">
        <f t="shared" si="187"/>
        <v>5.8929175510081654E-3</v>
      </c>
      <c r="AD106" s="20">
        <f t="shared" si="188"/>
        <v>5.8929175510081654E-3</v>
      </c>
      <c r="AE106" s="191"/>
      <c r="AF106" s="20">
        <f t="shared" si="195"/>
        <v>2.5853592674029128E-4</v>
      </c>
      <c r="AG106" s="20">
        <f t="shared" si="195"/>
        <v>3.576591374476214E-4</v>
      </c>
      <c r="AH106" s="20">
        <f t="shared" si="195"/>
        <v>3.3438804847364331E-4</v>
      </c>
      <c r="AI106" s="20">
        <f t="shared" si="195"/>
        <v>4.6696439401916251E-4</v>
      </c>
      <c r="AJ106" s="20">
        <f t="shared" si="195"/>
        <v>3.8535223585744137E-4</v>
      </c>
      <c r="AK106" s="20">
        <f t="shared" si="195"/>
        <v>2.8648846402118671E-4</v>
      </c>
      <c r="AL106" s="20">
        <f t="shared" si="195"/>
        <v>3.3880731696370463E-4</v>
      </c>
      <c r="AM106" s="20">
        <f t="shared" si="195"/>
        <v>2.9797809447130828E-4</v>
      </c>
      <c r="AN106" s="20">
        <f t="shared" si="195"/>
        <v>2.7759767855383072E-4</v>
      </c>
      <c r="AO106" s="20">
        <f t="shared" si="195"/>
        <v>2.0640300415754155E-4</v>
      </c>
      <c r="AP106" s="20">
        <f t="shared" si="196"/>
        <v>4.7459444800834879E-3</v>
      </c>
      <c r="AQ106" s="20">
        <f t="shared" si="196"/>
        <v>6.5655494403533731E-3</v>
      </c>
      <c r="AR106" s="20">
        <f t="shared" si="196"/>
        <v>6.1383620174907576E-3</v>
      </c>
      <c r="AS106" s="20">
        <f t="shared" si="196"/>
        <v>8.5720662351775022E-3</v>
      </c>
      <c r="AT106" s="20">
        <f t="shared" si="196"/>
        <v>7.0739116985184449E-3</v>
      </c>
      <c r="AU106" s="20">
        <f t="shared" si="196"/>
        <v>5.2590692580794544E-3</v>
      </c>
      <c r="AV106" s="20">
        <f t="shared" si="196"/>
        <v>6.2194865372465057E-3</v>
      </c>
      <c r="AW106" s="20">
        <f t="shared" si="196"/>
        <v>5.469984425269081E-3</v>
      </c>
      <c r="AX106" s="20">
        <f t="shared" si="196"/>
        <v>5.0958610929922425E-3</v>
      </c>
      <c r="AY106" s="20">
        <f t="shared" si="196"/>
        <v>3.7889403248708032E-3</v>
      </c>
      <c r="BA106" s="20">
        <f t="shared" si="191"/>
        <v>1.4531434226450619E-4</v>
      </c>
      <c r="BB106" s="20">
        <f t="shared" si="192"/>
        <v>9.6054441850872783E-5</v>
      </c>
      <c r="BC106" s="20">
        <f t="shared" si="193"/>
        <v>9.6054441850872783E-5</v>
      </c>
      <c r="BD106" s="20">
        <f t="shared" si="194"/>
        <v>1.1452043905954186E-4</v>
      </c>
    </row>
    <row r="107" spans="1:56" ht="15" x14ac:dyDescent="0.25">
      <c r="A107" s="1"/>
      <c r="B107" s="2"/>
      <c r="C107" s="1" t="s">
        <v>13</v>
      </c>
      <c r="D107" s="14">
        <v>0</v>
      </c>
      <c r="F107" s="89">
        <v>0</v>
      </c>
      <c r="H107" s="20"/>
      <c r="I107" s="20"/>
      <c r="J107" s="147"/>
      <c r="K107" s="197">
        <v>0.14000000000000001</v>
      </c>
      <c r="L107" s="197">
        <v>2.0499999999999998</v>
      </c>
      <c r="M107" s="197">
        <v>0.62857142857142845</v>
      </c>
      <c r="N107" s="197">
        <v>0.90789473684210531</v>
      </c>
      <c r="O107" s="216">
        <v>3.2149190766483676E-2</v>
      </c>
      <c r="P107" s="217">
        <v>5.6499999999999995E-2</v>
      </c>
      <c r="Q107" s="217">
        <v>1.25</v>
      </c>
      <c r="R107" s="217">
        <v>0.50078889239507718</v>
      </c>
      <c r="S107" s="217">
        <v>0.75268470790377973</v>
      </c>
      <c r="U107" s="20">
        <f t="shared" si="179"/>
        <v>0</v>
      </c>
      <c r="V107" s="20">
        <f t="shared" si="180"/>
        <v>0</v>
      </c>
      <c r="W107" s="20">
        <f t="shared" si="181"/>
        <v>0</v>
      </c>
      <c r="X107" s="20">
        <f t="shared" si="182"/>
        <v>0</v>
      </c>
      <c r="Y107" s="20">
        <f t="shared" si="183"/>
        <v>0</v>
      </c>
      <c r="Z107" s="20">
        <f t="shared" si="184"/>
        <v>0</v>
      </c>
      <c r="AA107" s="20">
        <f t="shared" si="185"/>
        <v>0</v>
      </c>
      <c r="AB107" s="20">
        <f t="shared" si="186"/>
        <v>0</v>
      </c>
      <c r="AC107" s="20">
        <f t="shared" si="187"/>
        <v>0</v>
      </c>
      <c r="AD107" s="20">
        <f t="shared" si="188"/>
        <v>0</v>
      </c>
      <c r="AE107" s="191"/>
      <c r="AF107" s="20">
        <f t="shared" si="195"/>
        <v>0</v>
      </c>
      <c r="AG107" s="20">
        <f t="shared" si="195"/>
        <v>0</v>
      </c>
      <c r="AH107" s="20">
        <f t="shared" si="195"/>
        <v>0</v>
      </c>
      <c r="AI107" s="20">
        <f t="shared" si="195"/>
        <v>0</v>
      </c>
      <c r="AJ107" s="20">
        <f t="shared" si="195"/>
        <v>0</v>
      </c>
      <c r="AK107" s="20">
        <f t="shared" si="195"/>
        <v>0</v>
      </c>
      <c r="AL107" s="20">
        <f t="shared" si="195"/>
        <v>0</v>
      </c>
      <c r="AM107" s="20">
        <f t="shared" si="195"/>
        <v>0</v>
      </c>
      <c r="AN107" s="20">
        <f t="shared" si="195"/>
        <v>0</v>
      </c>
      <c r="AO107" s="20">
        <f t="shared" si="195"/>
        <v>0</v>
      </c>
      <c r="AP107" s="20">
        <f t="shared" si="196"/>
        <v>0</v>
      </c>
      <c r="AQ107" s="20">
        <f t="shared" si="196"/>
        <v>0</v>
      </c>
      <c r="AR107" s="20">
        <f t="shared" si="196"/>
        <v>0</v>
      </c>
      <c r="AS107" s="20">
        <f t="shared" si="196"/>
        <v>0</v>
      </c>
      <c r="AT107" s="20">
        <f t="shared" si="196"/>
        <v>0</v>
      </c>
      <c r="AU107" s="20">
        <f t="shared" si="196"/>
        <v>0</v>
      </c>
      <c r="AV107" s="20">
        <f t="shared" si="196"/>
        <v>0</v>
      </c>
      <c r="AW107" s="20">
        <f t="shared" si="196"/>
        <v>0</v>
      </c>
      <c r="AX107" s="20">
        <f t="shared" si="196"/>
        <v>0</v>
      </c>
      <c r="AY107" s="20">
        <f t="shared" si="196"/>
        <v>0</v>
      </c>
      <c r="BA107" s="20">
        <f t="shared" si="191"/>
        <v>0</v>
      </c>
      <c r="BB107" s="20">
        <f t="shared" si="192"/>
        <v>0</v>
      </c>
      <c r="BC107" s="20">
        <f t="shared" si="193"/>
        <v>0</v>
      </c>
      <c r="BD107" s="20">
        <f t="shared" si="194"/>
        <v>0</v>
      </c>
    </row>
    <row r="108" spans="1:56" ht="15" x14ac:dyDescent="0.25">
      <c r="A108" s="7"/>
      <c r="B108" s="8" t="s">
        <v>14</v>
      </c>
      <c r="C108" s="7"/>
      <c r="D108" s="14">
        <f>SUM(D102:D107)</f>
        <v>199.30300000000003</v>
      </c>
      <c r="F108" s="14">
        <v>-192.309</v>
      </c>
      <c r="H108" s="20"/>
      <c r="I108" s="20"/>
      <c r="J108" s="147"/>
      <c r="K108" s="197"/>
      <c r="L108" s="197"/>
      <c r="M108" s="197"/>
      <c r="N108" s="197"/>
      <c r="O108" s="197"/>
      <c r="P108" s="197"/>
      <c r="Q108" s="197"/>
      <c r="R108" s="197"/>
      <c r="S108" s="197"/>
    </row>
    <row r="109" spans="1:56" ht="15" x14ac:dyDescent="0.25">
      <c r="A109" s="10"/>
      <c r="B109" s="9" t="s">
        <v>15</v>
      </c>
      <c r="C109" s="5"/>
      <c r="D109" s="14">
        <f>SUM(D108)</f>
        <v>199.30300000000003</v>
      </c>
      <c r="F109" s="14">
        <v>-192.309</v>
      </c>
      <c r="H109" s="20"/>
      <c r="I109" s="20"/>
      <c r="J109" s="147"/>
      <c r="K109" s="197"/>
      <c r="L109" s="197"/>
      <c r="M109" s="197"/>
      <c r="N109" s="197"/>
      <c r="O109" s="197"/>
      <c r="P109" s="197"/>
      <c r="Q109" s="197"/>
      <c r="R109" s="197"/>
      <c r="S109" s="197"/>
    </row>
    <row r="110" spans="1:56" ht="15.75" x14ac:dyDescent="0.25">
      <c r="A110" s="1"/>
      <c r="B110" s="2"/>
      <c r="C110" s="1"/>
      <c r="D110" s="87"/>
      <c r="F110" s="87"/>
      <c r="H110" s="20"/>
      <c r="I110" s="20"/>
      <c r="J110" s="147"/>
      <c r="K110" s="197"/>
      <c r="L110" s="197"/>
      <c r="M110" s="197"/>
      <c r="N110" s="197"/>
      <c r="O110" s="197"/>
      <c r="P110" s="197"/>
      <c r="Q110" s="197"/>
      <c r="R110" s="197"/>
      <c r="S110" s="197"/>
    </row>
    <row r="111" spans="1:56" ht="15" x14ac:dyDescent="0.25">
      <c r="A111" s="1">
        <v>12</v>
      </c>
      <c r="B111" s="2" t="s">
        <v>26</v>
      </c>
      <c r="C111" s="1" t="s">
        <v>8</v>
      </c>
      <c r="D111" s="14">
        <v>0</v>
      </c>
      <c r="F111" s="89">
        <v>0</v>
      </c>
      <c r="H111" s="20"/>
      <c r="I111" s="20"/>
      <c r="J111" s="147"/>
      <c r="K111" s="197">
        <v>6.531704360902256</v>
      </c>
      <c r="L111" s="197">
        <v>78.227142857142866</v>
      </c>
      <c r="M111" s="197">
        <v>0.5825685654008439</v>
      </c>
      <c r="N111" s="197">
        <v>0.90789473684210531</v>
      </c>
      <c r="O111" s="216">
        <v>1.4787297691620922E-2</v>
      </c>
      <c r="P111" s="217">
        <v>5.6499999999999995E-2</v>
      </c>
      <c r="Q111" s="217">
        <v>1.25</v>
      </c>
      <c r="R111" s="217">
        <v>0.50078889239507718</v>
      </c>
      <c r="S111" s="217">
        <v>0.75268470790377973</v>
      </c>
      <c r="U111" s="20">
        <f t="shared" ref="U111:U116" si="197">IF(F111&gt;0,((D111-F111)*$J111*$K111*10)+(F111*$H$12*$J111*$K111*10),(D111*$J111*$K111*10))</f>
        <v>0</v>
      </c>
      <c r="V111" s="20">
        <f t="shared" ref="V111:V116" si="198">U111*(EXP(1.01-0.34*LN(V$10))*(1-$M111)+(1*$M111))</f>
        <v>0</v>
      </c>
      <c r="W111" s="20">
        <f t="shared" ref="W111:W116" si="199">SUM(V111:V111)</f>
        <v>0</v>
      </c>
      <c r="X111" s="20">
        <f t="shared" ref="X111:X116" si="200">V111*$Y$1</f>
        <v>0</v>
      </c>
      <c r="Y111" s="20">
        <f t="shared" ref="Y111:Y116" si="201">SUM(X111:X111)</f>
        <v>0</v>
      </c>
      <c r="Z111" s="20">
        <f t="shared" ref="Z111:Z116" si="202">IF(F111&gt;0,((D111-F111)*$J111*$L111*10)+(F111*$I$12*$J111*$L111)*10,(D111*$J111*$L111*10))</f>
        <v>0</v>
      </c>
      <c r="AA111" s="20">
        <f t="shared" ref="AA111:AA116" si="203">Z111*(EXP(1.01-0.34*LN(AA$10))*(1-$N111)+(1*$N111))</f>
        <v>0</v>
      </c>
      <c r="AB111" s="20">
        <f t="shared" ref="AB111:AB116" si="204">SUM(AA111:AA111)</f>
        <v>0</v>
      </c>
      <c r="AC111" s="20">
        <f t="shared" ref="AC111:AC116" si="205">AA111*$Y$1</f>
        <v>0</v>
      </c>
      <c r="AD111" s="20">
        <f t="shared" ref="AD111:AD116" si="206">SUM(AC111:AC111)</f>
        <v>0</v>
      </c>
      <c r="AE111" s="191"/>
      <c r="AF111" s="20">
        <f>$W111*AF$6</f>
        <v>0</v>
      </c>
      <c r="AG111" s="20">
        <f t="shared" ref="AG111:AO111" si="207">$W111*AG$6</f>
        <v>0</v>
      </c>
      <c r="AH111" s="20">
        <f t="shared" si="207"/>
        <v>0</v>
      </c>
      <c r="AI111" s="20">
        <f t="shared" si="207"/>
        <v>0</v>
      </c>
      <c r="AJ111" s="20">
        <f t="shared" si="207"/>
        <v>0</v>
      </c>
      <c r="AK111" s="20">
        <f t="shared" si="207"/>
        <v>0</v>
      </c>
      <c r="AL111" s="20">
        <f t="shared" si="207"/>
        <v>0</v>
      </c>
      <c r="AM111" s="20">
        <f t="shared" si="207"/>
        <v>0</v>
      </c>
      <c r="AN111" s="20">
        <f t="shared" si="207"/>
        <v>0</v>
      </c>
      <c r="AO111" s="20">
        <f t="shared" si="207"/>
        <v>0</v>
      </c>
      <c r="AP111" s="20">
        <f>$AB111*AP$6</f>
        <v>0</v>
      </c>
      <c r="AQ111" s="20">
        <f t="shared" ref="AQ111:AY111" si="208">$AB111*AQ$6</f>
        <v>0</v>
      </c>
      <c r="AR111" s="20">
        <f t="shared" si="208"/>
        <v>0</v>
      </c>
      <c r="AS111" s="20">
        <f t="shared" si="208"/>
        <v>0</v>
      </c>
      <c r="AT111" s="20">
        <f t="shared" si="208"/>
        <v>0</v>
      </c>
      <c r="AU111" s="20">
        <f t="shared" si="208"/>
        <v>0</v>
      </c>
      <c r="AV111" s="20">
        <f t="shared" si="208"/>
        <v>0</v>
      </c>
      <c r="AW111" s="20">
        <f t="shared" si="208"/>
        <v>0</v>
      </c>
      <c r="AX111" s="20">
        <f t="shared" si="208"/>
        <v>0</v>
      </c>
      <c r="AY111" s="20">
        <f t="shared" si="208"/>
        <v>0</v>
      </c>
      <c r="BA111" s="20">
        <f t="shared" ref="BA111:BA116" si="209">D111*$O111*$P111*10</f>
        <v>0</v>
      </c>
      <c r="BB111" s="20">
        <f t="shared" ref="BB111:BB116" si="210">BA111*(EXP(1.01-0.34*LN(BB$10))*(1-$R111)+(1*$R111))</f>
        <v>0</v>
      </c>
      <c r="BC111" s="20">
        <f t="shared" ref="BC111:BC116" si="211">SUM(BB111:BB111)</f>
        <v>0</v>
      </c>
      <c r="BD111" s="20">
        <f t="shared" ref="BD111:BD116" si="212">BC111*BD$6</f>
        <v>0</v>
      </c>
    </row>
    <row r="112" spans="1:56" ht="15" x14ac:dyDescent="0.25">
      <c r="A112" s="1"/>
      <c r="B112" s="2"/>
      <c r="C112" s="1" t="s">
        <v>9</v>
      </c>
      <c r="D112" s="14">
        <v>0</v>
      </c>
      <c r="F112" s="89">
        <v>0</v>
      </c>
      <c r="H112" s="20"/>
      <c r="I112" s="20"/>
      <c r="J112" s="147"/>
      <c r="K112" s="197">
        <v>6.531704360902256</v>
      </c>
      <c r="L112" s="197">
        <v>78.227142857142866</v>
      </c>
      <c r="M112" s="197">
        <v>0.5825685654008439</v>
      </c>
      <c r="N112" s="197">
        <v>0.90789473684210531</v>
      </c>
      <c r="O112" s="216">
        <v>2.0574595383241839E-2</v>
      </c>
      <c r="P112" s="217">
        <v>5.6499999999999995E-2</v>
      </c>
      <c r="Q112" s="217">
        <v>1.25</v>
      </c>
      <c r="R112" s="217">
        <v>0.50078889239507718</v>
      </c>
      <c r="S112" s="217">
        <v>0.75268470790377973</v>
      </c>
      <c r="U112" s="20">
        <f t="shared" si="197"/>
        <v>0</v>
      </c>
      <c r="V112" s="20">
        <f t="shared" si="198"/>
        <v>0</v>
      </c>
      <c r="W112" s="20">
        <f t="shared" si="199"/>
        <v>0</v>
      </c>
      <c r="X112" s="20">
        <f t="shared" si="200"/>
        <v>0</v>
      </c>
      <c r="Y112" s="20">
        <f t="shared" si="201"/>
        <v>0</v>
      </c>
      <c r="Z112" s="20">
        <f t="shared" si="202"/>
        <v>0</v>
      </c>
      <c r="AA112" s="20">
        <f t="shared" si="203"/>
        <v>0</v>
      </c>
      <c r="AB112" s="20">
        <f t="shared" si="204"/>
        <v>0</v>
      </c>
      <c r="AC112" s="20">
        <f t="shared" si="205"/>
        <v>0</v>
      </c>
      <c r="AD112" s="20">
        <f t="shared" si="206"/>
        <v>0</v>
      </c>
      <c r="AE112" s="191"/>
      <c r="AF112" s="20">
        <f t="shared" ref="AF112:AO116" si="213">$W112*AF$6</f>
        <v>0</v>
      </c>
      <c r="AG112" s="20">
        <f t="shared" si="213"/>
        <v>0</v>
      </c>
      <c r="AH112" s="20">
        <f t="shared" si="213"/>
        <v>0</v>
      </c>
      <c r="AI112" s="20">
        <f t="shared" si="213"/>
        <v>0</v>
      </c>
      <c r="AJ112" s="20">
        <f t="shared" si="213"/>
        <v>0</v>
      </c>
      <c r="AK112" s="20">
        <f t="shared" si="213"/>
        <v>0</v>
      </c>
      <c r="AL112" s="20">
        <f t="shared" si="213"/>
        <v>0</v>
      </c>
      <c r="AM112" s="20">
        <f t="shared" si="213"/>
        <v>0</v>
      </c>
      <c r="AN112" s="20">
        <f t="shared" si="213"/>
        <v>0</v>
      </c>
      <c r="AO112" s="20">
        <f t="shared" si="213"/>
        <v>0</v>
      </c>
      <c r="AP112" s="20">
        <f t="shared" ref="AP112:AY116" si="214">$AB112*AP$6</f>
        <v>0</v>
      </c>
      <c r="AQ112" s="20">
        <f t="shared" si="214"/>
        <v>0</v>
      </c>
      <c r="AR112" s="20">
        <f t="shared" si="214"/>
        <v>0</v>
      </c>
      <c r="AS112" s="20">
        <f t="shared" si="214"/>
        <v>0</v>
      </c>
      <c r="AT112" s="20">
        <f t="shared" si="214"/>
        <v>0</v>
      </c>
      <c r="AU112" s="20">
        <f t="shared" si="214"/>
        <v>0</v>
      </c>
      <c r="AV112" s="20">
        <f t="shared" si="214"/>
        <v>0</v>
      </c>
      <c r="AW112" s="20">
        <f t="shared" si="214"/>
        <v>0</v>
      </c>
      <c r="AX112" s="20">
        <f t="shared" si="214"/>
        <v>0</v>
      </c>
      <c r="AY112" s="20">
        <f t="shared" si="214"/>
        <v>0</v>
      </c>
      <c r="BA112" s="20">
        <f t="shared" si="209"/>
        <v>0</v>
      </c>
      <c r="BB112" s="20">
        <f t="shared" si="210"/>
        <v>0</v>
      </c>
      <c r="BC112" s="20">
        <f t="shared" si="211"/>
        <v>0</v>
      </c>
      <c r="BD112" s="20">
        <f t="shared" si="212"/>
        <v>0</v>
      </c>
    </row>
    <row r="113" spans="1:56" ht="15" x14ac:dyDescent="0.25">
      <c r="A113" s="1"/>
      <c r="B113" s="2"/>
      <c r="C113" s="1" t="s">
        <v>10</v>
      </c>
      <c r="D113" s="14">
        <v>0</v>
      </c>
      <c r="F113" s="89">
        <v>0</v>
      </c>
      <c r="H113" s="20"/>
      <c r="I113" s="20"/>
      <c r="J113" s="147"/>
      <c r="K113" s="197">
        <v>6.531704360902256</v>
      </c>
      <c r="L113" s="197">
        <v>78.227142857142866</v>
      </c>
      <c r="M113" s="197">
        <v>0.5825685654008439</v>
      </c>
      <c r="N113" s="197">
        <v>0.90789473684210531</v>
      </c>
      <c r="O113" s="216">
        <v>2.6361893074862752E-2</v>
      </c>
      <c r="P113" s="217">
        <v>5.6499999999999995E-2</v>
      </c>
      <c r="Q113" s="217">
        <v>1.25</v>
      </c>
      <c r="R113" s="217">
        <v>0.50078889239507718</v>
      </c>
      <c r="S113" s="217">
        <v>0.75268470790377973</v>
      </c>
      <c r="U113" s="20">
        <f t="shared" si="197"/>
        <v>0</v>
      </c>
      <c r="V113" s="20">
        <f t="shared" si="198"/>
        <v>0</v>
      </c>
      <c r="W113" s="20">
        <f t="shared" si="199"/>
        <v>0</v>
      </c>
      <c r="X113" s="20">
        <f t="shared" si="200"/>
        <v>0</v>
      </c>
      <c r="Y113" s="20">
        <f t="shared" si="201"/>
        <v>0</v>
      </c>
      <c r="Z113" s="20">
        <f t="shared" si="202"/>
        <v>0</v>
      </c>
      <c r="AA113" s="20">
        <f t="shared" si="203"/>
        <v>0</v>
      </c>
      <c r="AB113" s="20">
        <f t="shared" si="204"/>
        <v>0</v>
      </c>
      <c r="AC113" s="20">
        <f t="shared" si="205"/>
        <v>0</v>
      </c>
      <c r="AD113" s="20">
        <f t="shared" si="206"/>
        <v>0</v>
      </c>
      <c r="AE113" s="191"/>
      <c r="AF113" s="20">
        <f t="shared" si="213"/>
        <v>0</v>
      </c>
      <c r="AG113" s="20">
        <f t="shared" si="213"/>
        <v>0</v>
      </c>
      <c r="AH113" s="20">
        <f t="shared" si="213"/>
        <v>0</v>
      </c>
      <c r="AI113" s="20">
        <f t="shared" si="213"/>
        <v>0</v>
      </c>
      <c r="AJ113" s="20">
        <f t="shared" si="213"/>
        <v>0</v>
      </c>
      <c r="AK113" s="20">
        <f t="shared" si="213"/>
        <v>0</v>
      </c>
      <c r="AL113" s="20">
        <f t="shared" si="213"/>
        <v>0</v>
      </c>
      <c r="AM113" s="20">
        <f t="shared" si="213"/>
        <v>0</v>
      </c>
      <c r="AN113" s="20">
        <f t="shared" si="213"/>
        <v>0</v>
      </c>
      <c r="AO113" s="20">
        <f t="shared" si="213"/>
        <v>0</v>
      </c>
      <c r="AP113" s="20">
        <f t="shared" si="214"/>
        <v>0</v>
      </c>
      <c r="AQ113" s="20">
        <f t="shared" si="214"/>
        <v>0</v>
      </c>
      <c r="AR113" s="20">
        <f t="shared" si="214"/>
        <v>0</v>
      </c>
      <c r="AS113" s="20">
        <f t="shared" si="214"/>
        <v>0</v>
      </c>
      <c r="AT113" s="20">
        <f t="shared" si="214"/>
        <v>0</v>
      </c>
      <c r="AU113" s="20">
        <f t="shared" si="214"/>
        <v>0</v>
      </c>
      <c r="AV113" s="20">
        <f t="shared" si="214"/>
        <v>0</v>
      </c>
      <c r="AW113" s="20">
        <f t="shared" si="214"/>
        <v>0</v>
      </c>
      <c r="AX113" s="20">
        <f t="shared" si="214"/>
        <v>0</v>
      </c>
      <c r="AY113" s="20">
        <f t="shared" si="214"/>
        <v>0</v>
      </c>
      <c r="BA113" s="20">
        <f t="shared" si="209"/>
        <v>0</v>
      </c>
      <c r="BB113" s="20">
        <f t="shared" si="210"/>
        <v>0</v>
      </c>
      <c r="BC113" s="20">
        <f t="shared" si="211"/>
        <v>0</v>
      </c>
      <c r="BD113" s="20">
        <f t="shared" si="212"/>
        <v>0</v>
      </c>
    </row>
    <row r="114" spans="1:56" ht="15" x14ac:dyDescent="0.25">
      <c r="A114" s="1"/>
      <c r="B114" s="2"/>
      <c r="C114" s="1" t="s">
        <v>11</v>
      </c>
      <c r="D114" s="14">
        <v>0</v>
      </c>
      <c r="F114" s="89">
        <v>0</v>
      </c>
      <c r="H114" s="20"/>
      <c r="I114" s="20"/>
      <c r="J114" s="147"/>
      <c r="K114" s="197">
        <v>6.531704360902256</v>
      </c>
      <c r="L114" s="197">
        <v>78.227142857142866</v>
      </c>
      <c r="M114" s="197">
        <v>0.5825685654008439</v>
      </c>
      <c r="N114" s="197">
        <v>0.90789473684210531</v>
      </c>
      <c r="O114" s="216">
        <v>3.2149190766483676E-2</v>
      </c>
      <c r="P114" s="217">
        <v>5.6499999999999995E-2</v>
      </c>
      <c r="Q114" s="217">
        <v>1.25</v>
      </c>
      <c r="R114" s="217">
        <v>0.50078889239507718</v>
      </c>
      <c r="S114" s="217">
        <v>0.75268470790377973</v>
      </c>
      <c r="U114" s="20">
        <f t="shared" si="197"/>
        <v>0</v>
      </c>
      <c r="V114" s="20">
        <f t="shared" si="198"/>
        <v>0</v>
      </c>
      <c r="W114" s="20">
        <f t="shared" si="199"/>
        <v>0</v>
      </c>
      <c r="X114" s="20">
        <f t="shared" si="200"/>
        <v>0</v>
      </c>
      <c r="Y114" s="20">
        <f t="shared" si="201"/>
        <v>0</v>
      </c>
      <c r="Z114" s="20">
        <f t="shared" si="202"/>
        <v>0</v>
      </c>
      <c r="AA114" s="20">
        <f t="shared" si="203"/>
        <v>0</v>
      </c>
      <c r="AB114" s="20">
        <f t="shared" si="204"/>
        <v>0</v>
      </c>
      <c r="AC114" s="20">
        <f t="shared" si="205"/>
        <v>0</v>
      </c>
      <c r="AD114" s="20">
        <f t="shared" si="206"/>
        <v>0</v>
      </c>
      <c r="AE114" s="191"/>
      <c r="AF114" s="20">
        <f t="shared" si="213"/>
        <v>0</v>
      </c>
      <c r="AG114" s="20">
        <f t="shared" si="213"/>
        <v>0</v>
      </c>
      <c r="AH114" s="20">
        <f t="shared" si="213"/>
        <v>0</v>
      </c>
      <c r="AI114" s="20">
        <f t="shared" si="213"/>
        <v>0</v>
      </c>
      <c r="AJ114" s="20">
        <f t="shared" si="213"/>
        <v>0</v>
      </c>
      <c r="AK114" s="20">
        <f t="shared" si="213"/>
        <v>0</v>
      </c>
      <c r="AL114" s="20">
        <f t="shared" si="213"/>
        <v>0</v>
      </c>
      <c r="AM114" s="20">
        <f t="shared" si="213"/>
        <v>0</v>
      </c>
      <c r="AN114" s="20">
        <f t="shared" si="213"/>
        <v>0</v>
      </c>
      <c r="AO114" s="20">
        <f t="shared" si="213"/>
        <v>0</v>
      </c>
      <c r="AP114" s="20">
        <f t="shared" si="214"/>
        <v>0</v>
      </c>
      <c r="AQ114" s="20">
        <f t="shared" si="214"/>
        <v>0</v>
      </c>
      <c r="AR114" s="20">
        <f t="shared" si="214"/>
        <v>0</v>
      </c>
      <c r="AS114" s="20">
        <f t="shared" si="214"/>
        <v>0</v>
      </c>
      <c r="AT114" s="20">
        <f t="shared" si="214"/>
        <v>0</v>
      </c>
      <c r="AU114" s="20">
        <f t="shared" si="214"/>
        <v>0</v>
      </c>
      <c r="AV114" s="20">
        <f t="shared" si="214"/>
        <v>0</v>
      </c>
      <c r="AW114" s="20">
        <f t="shared" si="214"/>
        <v>0</v>
      </c>
      <c r="AX114" s="20">
        <f t="shared" si="214"/>
        <v>0</v>
      </c>
      <c r="AY114" s="20">
        <f t="shared" si="214"/>
        <v>0</v>
      </c>
      <c r="BA114" s="20">
        <f t="shared" si="209"/>
        <v>0</v>
      </c>
      <c r="BB114" s="20">
        <f t="shared" si="210"/>
        <v>0</v>
      </c>
      <c r="BC114" s="20">
        <f t="shared" si="211"/>
        <v>0</v>
      </c>
      <c r="BD114" s="20">
        <f t="shared" si="212"/>
        <v>0</v>
      </c>
    </row>
    <row r="115" spans="1:56" ht="15" x14ac:dyDescent="0.25">
      <c r="A115" s="1"/>
      <c r="B115" s="2"/>
      <c r="C115" s="1" t="s">
        <v>12</v>
      </c>
      <c r="D115" s="14">
        <v>0</v>
      </c>
      <c r="F115" s="89">
        <v>0</v>
      </c>
      <c r="H115" s="20"/>
      <c r="I115" s="20"/>
      <c r="J115" s="147"/>
      <c r="K115" s="197">
        <v>6.531704360902256</v>
      </c>
      <c r="L115" s="197">
        <v>78.227142857142866</v>
      </c>
      <c r="M115" s="197">
        <v>0.5825685654008439</v>
      </c>
      <c r="N115" s="197">
        <v>0.90789473684210531</v>
      </c>
      <c r="O115" s="216">
        <v>3.2149190766483676E-2</v>
      </c>
      <c r="P115" s="217">
        <v>5.6499999999999995E-2</v>
      </c>
      <c r="Q115" s="217">
        <v>1.25</v>
      </c>
      <c r="R115" s="217">
        <v>0.50078889239507718</v>
      </c>
      <c r="S115" s="217">
        <v>0.75268470790377973</v>
      </c>
      <c r="U115" s="20">
        <f t="shared" si="197"/>
        <v>0</v>
      </c>
      <c r="V115" s="20">
        <f t="shared" si="198"/>
        <v>0</v>
      </c>
      <c r="W115" s="20">
        <f t="shared" si="199"/>
        <v>0</v>
      </c>
      <c r="X115" s="20">
        <f t="shared" si="200"/>
        <v>0</v>
      </c>
      <c r="Y115" s="20">
        <f t="shared" si="201"/>
        <v>0</v>
      </c>
      <c r="Z115" s="20">
        <f t="shared" si="202"/>
        <v>0</v>
      </c>
      <c r="AA115" s="20">
        <f t="shared" si="203"/>
        <v>0</v>
      </c>
      <c r="AB115" s="20">
        <f t="shared" si="204"/>
        <v>0</v>
      </c>
      <c r="AC115" s="20">
        <f t="shared" si="205"/>
        <v>0</v>
      </c>
      <c r="AD115" s="20">
        <f t="shared" si="206"/>
        <v>0</v>
      </c>
      <c r="AE115" s="191"/>
      <c r="AF115" s="20">
        <f t="shared" si="213"/>
        <v>0</v>
      </c>
      <c r="AG115" s="20">
        <f t="shared" si="213"/>
        <v>0</v>
      </c>
      <c r="AH115" s="20">
        <f t="shared" si="213"/>
        <v>0</v>
      </c>
      <c r="AI115" s="20">
        <f t="shared" si="213"/>
        <v>0</v>
      </c>
      <c r="AJ115" s="20">
        <f t="shared" si="213"/>
        <v>0</v>
      </c>
      <c r="AK115" s="20">
        <f t="shared" si="213"/>
        <v>0</v>
      </c>
      <c r="AL115" s="20">
        <f t="shared" si="213"/>
        <v>0</v>
      </c>
      <c r="AM115" s="20">
        <f t="shared" si="213"/>
        <v>0</v>
      </c>
      <c r="AN115" s="20">
        <f t="shared" si="213"/>
        <v>0</v>
      </c>
      <c r="AO115" s="20">
        <f t="shared" si="213"/>
        <v>0</v>
      </c>
      <c r="AP115" s="20">
        <f t="shared" si="214"/>
        <v>0</v>
      </c>
      <c r="AQ115" s="20">
        <f t="shared" si="214"/>
        <v>0</v>
      </c>
      <c r="AR115" s="20">
        <f t="shared" si="214"/>
        <v>0</v>
      </c>
      <c r="AS115" s="20">
        <f t="shared" si="214"/>
        <v>0</v>
      </c>
      <c r="AT115" s="20">
        <f t="shared" si="214"/>
        <v>0</v>
      </c>
      <c r="AU115" s="20">
        <f t="shared" si="214"/>
        <v>0</v>
      </c>
      <c r="AV115" s="20">
        <f t="shared" si="214"/>
        <v>0</v>
      </c>
      <c r="AW115" s="20">
        <f t="shared" si="214"/>
        <v>0</v>
      </c>
      <c r="AX115" s="20">
        <f t="shared" si="214"/>
        <v>0</v>
      </c>
      <c r="AY115" s="20">
        <f t="shared" si="214"/>
        <v>0</v>
      </c>
      <c r="BA115" s="20">
        <f t="shared" si="209"/>
        <v>0</v>
      </c>
      <c r="BB115" s="20">
        <f t="shared" si="210"/>
        <v>0</v>
      </c>
      <c r="BC115" s="20">
        <f t="shared" si="211"/>
        <v>0</v>
      </c>
      <c r="BD115" s="20">
        <f t="shared" si="212"/>
        <v>0</v>
      </c>
    </row>
    <row r="116" spans="1:56" ht="15" x14ac:dyDescent="0.25">
      <c r="A116" s="1"/>
      <c r="B116" s="2"/>
      <c r="C116" s="1" t="s">
        <v>13</v>
      </c>
      <c r="D116" s="14">
        <v>0</v>
      </c>
      <c r="F116" s="89">
        <v>0</v>
      </c>
      <c r="H116" s="20"/>
      <c r="I116" s="20"/>
      <c r="J116" s="147"/>
      <c r="K116" s="197">
        <v>6.531704360902256</v>
      </c>
      <c r="L116" s="197">
        <v>78.227142857142866</v>
      </c>
      <c r="M116" s="197">
        <v>0.5825685654008439</v>
      </c>
      <c r="N116" s="197">
        <v>0.90789473684210531</v>
      </c>
      <c r="O116" s="216">
        <v>3.2149190766483676E-2</v>
      </c>
      <c r="P116" s="217">
        <v>5.6499999999999995E-2</v>
      </c>
      <c r="Q116" s="217">
        <v>1.25</v>
      </c>
      <c r="R116" s="217">
        <v>0.50078889239507718</v>
      </c>
      <c r="S116" s="217">
        <v>0.75268470790377973</v>
      </c>
      <c r="U116" s="20">
        <f t="shared" si="197"/>
        <v>0</v>
      </c>
      <c r="V116" s="20">
        <f t="shared" si="198"/>
        <v>0</v>
      </c>
      <c r="W116" s="20">
        <f t="shared" si="199"/>
        <v>0</v>
      </c>
      <c r="X116" s="20">
        <f t="shared" si="200"/>
        <v>0</v>
      </c>
      <c r="Y116" s="20">
        <f t="shared" si="201"/>
        <v>0</v>
      </c>
      <c r="Z116" s="20">
        <f t="shared" si="202"/>
        <v>0</v>
      </c>
      <c r="AA116" s="20">
        <f t="shared" si="203"/>
        <v>0</v>
      </c>
      <c r="AB116" s="20">
        <f t="shared" si="204"/>
        <v>0</v>
      </c>
      <c r="AC116" s="20">
        <f t="shared" si="205"/>
        <v>0</v>
      </c>
      <c r="AD116" s="20">
        <f t="shared" si="206"/>
        <v>0</v>
      </c>
      <c r="AE116" s="191"/>
      <c r="AF116" s="20">
        <f t="shared" si="213"/>
        <v>0</v>
      </c>
      <c r="AG116" s="20">
        <f t="shared" si="213"/>
        <v>0</v>
      </c>
      <c r="AH116" s="20">
        <f t="shared" si="213"/>
        <v>0</v>
      </c>
      <c r="AI116" s="20">
        <f t="shared" si="213"/>
        <v>0</v>
      </c>
      <c r="AJ116" s="20">
        <f t="shared" si="213"/>
        <v>0</v>
      </c>
      <c r="AK116" s="20">
        <f t="shared" si="213"/>
        <v>0</v>
      </c>
      <c r="AL116" s="20">
        <f t="shared" si="213"/>
        <v>0</v>
      </c>
      <c r="AM116" s="20">
        <f t="shared" si="213"/>
        <v>0</v>
      </c>
      <c r="AN116" s="20">
        <f t="shared" si="213"/>
        <v>0</v>
      </c>
      <c r="AO116" s="20">
        <f t="shared" si="213"/>
        <v>0</v>
      </c>
      <c r="AP116" s="20">
        <f t="shared" si="214"/>
        <v>0</v>
      </c>
      <c r="AQ116" s="20">
        <f t="shared" si="214"/>
        <v>0</v>
      </c>
      <c r="AR116" s="20">
        <f t="shared" si="214"/>
        <v>0</v>
      </c>
      <c r="AS116" s="20">
        <f t="shared" si="214"/>
        <v>0</v>
      </c>
      <c r="AT116" s="20">
        <f t="shared" si="214"/>
        <v>0</v>
      </c>
      <c r="AU116" s="20">
        <f t="shared" si="214"/>
        <v>0</v>
      </c>
      <c r="AV116" s="20">
        <f t="shared" si="214"/>
        <v>0</v>
      </c>
      <c r="AW116" s="20">
        <f t="shared" si="214"/>
        <v>0</v>
      </c>
      <c r="AX116" s="20">
        <f t="shared" si="214"/>
        <v>0</v>
      </c>
      <c r="AY116" s="20">
        <f t="shared" si="214"/>
        <v>0</v>
      </c>
      <c r="BA116" s="20">
        <f t="shared" si="209"/>
        <v>0</v>
      </c>
      <c r="BB116" s="20">
        <f t="shared" si="210"/>
        <v>0</v>
      </c>
      <c r="BC116" s="20">
        <f t="shared" si="211"/>
        <v>0</v>
      </c>
      <c r="BD116" s="20">
        <f t="shared" si="212"/>
        <v>0</v>
      </c>
    </row>
    <row r="117" spans="1:56" ht="15" x14ac:dyDescent="0.25">
      <c r="A117" s="7"/>
      <c r="B117" s="8" t="s">
        <v>14</v>
      </c>
      <c r="C117" s="7"/>
      <c r="D117" s="14">
        <f>SUM(D111:D116)</f>
        <v>0</v>
      </c>
      <c r="F117" s="14">
        <v>0</v>
      </c>
      <c r="H117" s="20"/>
      <c r="I117" s="20"/>
      <c r="J117" s="147"/>
      <c r="K117" s="197"/>
      <c r="L117" s="197"/>
      <c r="M117" s="197"/>
      <c r="N117" s="197"/>
      <c r="O117" s="197"/>
      <c r="P117" s="197"/>
      <c r="Q117" s="197"/>
      <c r="R117" s="197"/>
      <c r="S117" s="197"/>
    </row>
    <row r="118" spans="1:56" ht="15" x14ac:dyDescent="0.25">
      <c r="A118" s="10"/>
      <c r="B118" s="9" t="s">
        <v>15</v>
      </c>
      <c r="C118" s="5"/>
      <c r="D118" s="14">
        <f>SUM(D117)</f>
        <v>0</v>
      </c>
      <c r="F118" s="14">
        <v>0</v>
      </c>
      <c r="H118" s="20"/>
      <c r="I118" s="20"/>
      <c r="J118" s="147"/>
      <c r="K118" s="197"/>
      <c r="L118" s="197"/>
      <c r="M118" s="197"/>
      <c r="N118" s="197"/>
      <c r="O118" s="197"/>
      <c r="P118" s="197"/>
      <c r="Q118" s="197"/>
      <c r="R118" s="197"/>
      <c r="S118" s="197"/>
    </row>
    <row r="119" spans="1:56" ht="15.75" x14ac:dyDescent="0.25">
      <c r="A119" s="1"/>
      <c r="B119" s="2"/>
      <c r="C119" s="1"/>
      <c r="D119" s="87"/>
      <c r="F119" s="87"/>
      <c r="H119" s="20"/>
      <c r="I119" s="20"/>
      <c r="J119" s="147"/>
      <c r="K119" s="197"/>
      <c r="L119" s="197"/>
      <c r="M119" s="197"/>
      <c r="N119" s="197"/>
      <c r="O119" s="197"/>
      <c r="P119" s="197"/>
      <c r="Q119" s="197"/>
      <c r="R119" s="197"/>
      <c r="S119" s="197"/>
    </row>
    <row r="120" spans="1:56" ht="15" x14ac:dyDescent="0.25">
      <c r="A120" s="1">
        <v>13</v>
      </c>
      <c r="B120" s="2" t="s">
        <v>27</v>
      </c>
      <c r="C120" s="1" t="s">
        <v>8</v>
      </c>
      <c r="D120" s="14">
        <v>6.2839999999999998</v>
      </c>
      <c r="F120" s="89">
        <v>4.8869999999999996</v>
      </c>
      <c r="H120" s="20"/>
      <c r="I120" s="20"/>
      <c r="J120" s="147">
        <v>1.478729769162092E-2</v>
      </c>
      <c r="K120" s="197">
        <v>0.49226666666666663</v>
      </c>
      <c r="L120" s="197">
        <v>2.8337500000000002</v>
      </c>
      <c r="M120" s="197">
        <v>0.68718466195761863</v>
      </c>
      <c r="N120" s="197">
        <v>0.90789473684210531</v>
      </c>
      <c r="O120" s="216">
        <v>1.4787297691620922E-2</v>
      </c>
      <c r="P120" s="217">
        <v>5.6499999999999995E-2</v>
      </c>
      <c r="Q120" s="217">
        <v>1.25</v>
      </c>
      <c r="R120" s="217">
        <v>0.50078889239507718</v>
      </c>
      <c r="S120" s="217">
        <v>0.75268470790377973</v>
      </c>
      <c r="U120" s="20">
        <f t="shared" ref="U120:U125" si="215">IF(F120&gt;0,((D120-F120)*$J120*$K120*10)+(F120*$H$12*$J120*$K120*10),(D120*$J120*$K120*10))</f>
        <v>0.23251550975837845</v>
      </c>
      <c r="V120" s="20">
        <f t="shared" ref="V120:V125" si="216">U120*(EXP(1.01-0.34*LN(V$10))*(1-$M120)+(1*$M120))</f>
        <v>0.18312531077590632</v>
      </c>
      <c r="W120" s="20">
        <f t="shared" ref="W120:W125" si="217">SUM(V120:V120)</f>
        <v>0.18312531077590632</v>
      </c>
      <c r="X120" s="20">
        <f t="shared" ref="X120:X125" si="218">V120*$Y$1</f>
        <v>0.2183302571840543</v>
      </c>
      <c r="Y120" s="20">
        <f t="shared" ref="Y120:Y125" si="219">SUM(X120:X120)</f>
        <v>0.2183302571840543</v>
      </c>
      <c r="Z120" s="20">
        <f t="shared" ref="Z120:Z125" si="220">IF(F120&gt;0,((D120-F120)*$J120*$L120*10)+(F120*$I$12*$J120*$L120)*10,(D120*$J120*$L120*10))</f>
        <v>1.7713488443216205</v>
      </c>
      <c r="AA120" s="20">
        <f t="shared" ref="AA120:AA125" si="221">Z120*(EXP(1.01-0.34*LN(AA$10))*(1-$N120)+(1*$N120))</f>
        <v>1.6605617033005704</v>
      </c>
      <c r="AB120" s="20">
        <f t="shared" ref="AB120:AB125" si="222">SUM(AA120:AA120)</f>
        <v>1.6605617033005704</v>
      </c>
      <c r="AC120" s="20">
        <f t="shared" ref="AC120:AC125" si="223">AA120*$Y$1</f>
        <v>1.9797965787223413</v>
      </c>
      <c r="AD120" s="20">
        <f t="shared" ref="AD120:AD125" si="224">SUM(AC120:AC120)</f>
        <v>1.9797965787223413</v>
      </c>
      <c r="AE120" s="191"/>
      <c r="AF120" s="20">
        <f>$W120*AF$6</f>
        <v>0.17583535998066011</v>
      </c>
      <c r="AG120" s="20">
        <f t="shared" ref="AG120:AO120" si="225">$W120*AG$6</f>
        <v>0.24325100181008616</v>
      </c>
      <c r="AH120" s="20">
        <f t="shared" si="225"/>
        <v>0.2274238772844033</v>
      </c>
      <c r="AI120" s="20">
        <f t="shared" si="225"/>
        <v>0.31759165295039077</v>
      </c>
      <c r="AJ120" s="20">
        <f t="shared" si="225"/>
        <v>0.26208562177670325</v>
      </c>
      <c r="AK120" s="20">
        <f t="shared" si="225"/>
        <v>0.194846429417429</v>
      </c>
      <c r="AL120" s="20">
        <f t="shared" si="225"/>
        <v>0.23042950855429531</v>
      </c>
      <c r="AM120" s="20">
        <f t="shared" si="225"/>
        <v>0.20266075267885844</v>
      </c>
      <c r="AN120" s="20">
        <f t="shared" si="225"/>
        <v>0.18879963165560856</v>
      </c>
      <c r="AO120" s="20">
        <f t="shared" si="225"/>
        <v>0.14037873573210807</v>
      </c>
      <c r="AP120" s="20">
        <f>$AB120*AP$6</f>
        <v>1.5944571705178519</v>
      </c>
      <c r="AQ120" s="20">
        <f t="shared" ref="AQ120:AY120" si="226">$AB120*AQ$6</f>
        <v>2.2057753577801549</v>
      </c>
      <c r="AR120" s="20">
        <f t="shared" si="226"/>
        <v>2.0622566014194907</v>
      </c>
      <c r="AS120" s="20">
        <f t="shared" si="226"/>
        <v>2.8798888255414861</v>
      </c>
      <c r="AT120" s="20">
        <f t="shared" si="226"/>
        <v>2.3765657770852044</v>
      </c>
      <c r="AU120" s="20">
        <f t="shared" si="226"/>
        <v>1.7668476156820268</v>
      </c>
      <c r="AV120" s="20">
        <f t="shared" si="226"/>
        <v>2.0895113602503601</v>
      </c>
      <c r="AW120" s="20">
        <f t="shared" si="226"/>
        <v>1.8377071046852684</v>
      </c>
      <c r="AX120" s="20">
        <f t="shared" si="226"/>
        <v>1.7120158682390418</v>
      </c>
      <c r="AY120" s="20">
        <f t="shared" si="226"/>
        <v>1.2729401060225249</v>
      </c>
      <c r="BA120" s="20">
        <f t="shared" ref="BA120:BA125" si="227">D120*$O120*$P120*10</f>
        <v>5.2501708962192417E-2</v>
      </c>
      <c r="BB120" s="20">
        <f t="shared" ref="BB120:BB125" si="228">BA120*(EXP(1.01-0.34*LN(BB$10))*(1-$R120)+(1*$R120))</f>
        <v>3.4704229961010136E-2</v>
      </c>
      <c r="BC120" s="20">
        <f t="shared" ref="BC120:BC125" si="229">SUM(BB120:BB120)</f>
        <v>3.4704229961010136E-2</v>
      </c>
      <c r="BD120" s="20">
        <f t="shared" ref="BD120:BD125" si="230">BC120*BD$6</f>
        <v>4.1375948636799824E-2</v>
      </c>
    </row>
    <row r="121" spans="1:56" ht="15" x14ac:dyDescent="0.25">
      <c r="A121" s="1"/>
      <c r="B121" s="2"/>
      <c r="C121" s="1" t="s">
        <v>9</v>
      </c>
      <c r="D121" s="14">
        <v>0</v>
      </c>
      <c r="F121" s="89">
        <v>0</v>
      </c>
      <c r="H121" s="20"/>
      <c r="I121" s="20"/>
      <c r="J121" s="147"/>
      <c r="K121" s="197">
        <v>0.49226666666666663</v>
      </c>
      <c r="L121" s="197">
        <v>2.8337500000000002</v>
      </c>
      <c r="M121" s="197">
        <v>0.68718466195761863</v>
      </c>
      <c r="N121" s="197">
        <v>0.90789473684210531</v>
      </c>
      <c r="O121" s="216">
        <v>2.0574595383241839E-2</v>
      </c>
      <c r="P121" s="217">
        <v>5.6499999999999995E-2</v>
      </c>
      <c r="Q121" s="217">
        <v>1.25</v>
      </c>
      <c r="R121" s="217">
        <v>0.50078889239507718</v>
      </c>
      <c r="S121" s="217">
        <v>0.75268470790377973</v>
      </c>
      <c r="U121" s="20">
        <f t="shared" si="215"/>
        <v>0</v>
      </c>
      <c r="V121" s="20">
        <f t="shared" si="216"/>
        <v>0</v>
      </c>
      <c r="W121" s="20">
        <f t="shared" si="217"/>
        <v>0</v>
      </c>
      <c r="X121" s="20">
        <f t="shared" si="218"/>
        <v>0</v>
      </c>
      <c r="Y121" s="20">
        <f t="shared" si="219"/>
        <v>0</v>
      </c>
      <c r="Z121" s="20">
        <f t="shared" si="220"/>
        <v>0</v>
      </c>
      <c r="AA121" s="20">
        <f t="shared" si="221"/>
        <v>0</v>
      </c>
      <c r="AB121" s="20">
        <f t="shared" si="222"/>
        <v>0</v>
      </c>
      <c r="AC121" s="20">
        <f t="shared" si="223"/>
        <v>0</v>
      </c>
      <c r="AD121" s="20">
        <f t="shared" si="224"/>
        <v>0</v>
      </c>
      <c r="AE121" s="191"/>
      <c r="AF121" s="20">
        <f t="shared" ref="AF121:AO125" si="231">$W121*AF$6</f>
        <v>0</v>
      </c>
      <c r="AG121" s="20">
        <f t="shared" si="231"/>
        <v>0</v>
      </c>
      <c r="AH121" s="20">
        <f t="shared" si="231"/>
        <v>0</v>
      </c>
      <c r="AI121" s="20">
        <f t="shared" si="231"/>
        <v>0</v>
      </c>
      <c r="AJ121" s="20">
        <f t="shared" si="231"/>
        <v>0</v>
      </c>
      <c r="AK121" s="20">
        <f t="shared" si="231"/>
        <v>0</v>
      </c>
      <c r="AL121" s="20">
        <f t="shared" si="231"/>
        <v>0</v>
      </c>
      <c r="AM121" s="20">
        <f t="shared" si="231"/>
        <v>0</v>
      </c>
      <c r="AN121" s="20">
        <f t="shared" si="231"/>
        <v>0</v>
      </c>
      <c r="AO121" s="20">
        <f t="shared" si="231"/>
        <v>0</v>
      </c>
      <c r="AP121" s="20">
        <f t="shared" ref="AP121:AY125" si="232">$AB121*AP$6</f>
        <v>0</v>
      </c>
      <c r="AQ121" s="20">
        <f t="shared" si="232"/>
        <v>0</v>
      </c>
      <c r="AR121" s="20">
        <f t="shared" si="232"/>
        <v>0</v>
      </c>
      <c r="AS121" s="20">
        <f t="shared" si="232"/>
        <v>0</v>
      </c>
      <c r="AT121" s="20">
        <f t="shared" si="232"/>
        <v>0</v>
      </c>
      <c r="AU121" s="20">
        <f t="shared" si="232"/>
        <v>0</v>
      </c>
      <c r="AV121" s="20">
        <f t="shared" si="232"/>
        <v>0</v>
      </c>
      <c r="AW121" s="20">
        <f t="shared" si="232"/>
        <v>0</v>
      </c>
      <c r="AX121" s="20">
        <f t="shared" si="232"/>
        <v>0</v>
      </c>
      <c r="AY121" s="20">
        <f t="shared" si="232"/>
        <v>0</v>
      </c>
      <c r="BA121" s="20">
        <f t="shared" si="227"/>
        <v>0</v>
      </c>
      <c r="BB121" s="20">
        <f t="shared" si="228"/>
        <v>0</v>
      </c>
      <c r="BC121" s="20">
        <f t="shared" si="229"/>
        <v>0</v>
      </c>
      <c r="BD121" s="20">
        <f t="shared" si="230"/>
        <v>0</v>
      </c>
    </row>
    <row r="122" spans="1:56" ht="15" x14ac:dyDescent="0.25">
      <c r="A122" s="1"/>
      <c r="B122" s="2"/>
      <c r="C122" s="1" t="s">
        <v>10</v>
      </c>
      <c r="D122" s="14">
        <v>0</v>
      </c>
      <c r="F122" s="89">
        <v>0</v>
      </c>
      <c r="H122" s="20"/>
      <c r="I122" s="20"/>
      <c r="J122" s="147"/>
      <c r="K122" s="197">
        <v>0.49226666666666663</v>
      </c>
      <c r="L122" s="197">
        <v>2.8337500000000002</v>
      </c>
      <c r="M122" s="197">
        <v>0.68718466195761863</v>
      </c>
      <c r="N122" s="197">
        <v>0.90789473684210531</v>
      </c>
      <c r="O122" s="216">
        <v>2.6361893074862752E-2</v>
      </c>
      <c r="P122" s="217">
        <v>5.6499999999999995E-2</v>
      </c>
      <c r="Q122" s="217">
        <v>1.25</v>
      </c>
      <c r="R122" s="217">
        <v>0.50078889239507718</v>
      </c>
      <c r="S122" s="217">
        <v>0.75268470790377973</v>
      </c>
      <c r="U122" s="20">
        <f t="shared" si="215"/>
        <v>0</v>
      </c>
      <c r="V122" s="20">
        <f t="shared" si="216"/>
        <v>0</v>
      </c>
      <c r="W122" s="20">
        <f t="shared" si="217"/>
        <v>0</v>
      </c>
      <c r="X122" s="20">
        <f t="shared" si="218"/>
        <v>0</v>
      </c>
      <c r="Y122" s="20">
        <f t="shared" si="219"/>
        <v>0</v>
      </c>
      <c r="Z122" s="20">
        <f t="shared" si="220"/>
        <v>0</v>
      </c>
      <c r="AA122" s="20">
        <f t="shared" si="221"/>
        <v>0</v>
      </c>
      <c r="AB122" s="20">
        <f t="shared" si="222"/>
        <v>0</v>
      </c>
      <c r="AC122" s="20">
        <f t="shared" si="223"/>
        <v>0</v>
      </c>
      <c r="AD122" s="20">
        <f t="shared" si="224"/>
        <v>0</v>
      </c>
      <c r="AE122" s="191"/>
      <c r="AF122" s="20">
        <f t="shared" si="231"/>
        <v>0</v>
      </c>
      <c r="AG122" s="20">
        <f t="shared" si="231"/>
        <v>0</v>
      </c>
      <c r="AH122" s="20">
        <f t="shared" si="231"/>
        <v>0</v>
      </c>
      <c r="AI122" s="20">
        <f t="shared" si="231"/>
        <v>0</v>
      </c>
      <c r="AJ122" s="20">
        <f t="shared" si="231"/>
        <v>0</v>
      </c>
      <c r="AK122" s="20">
        <f t="shared" si="231"/>
        <v>0</v>
      </c>
      <c r="AL122" s="20">
        <f t="shared" si="231"/>
        <v>0</v>
      </c>
      <c r="AM122" s="20">
        <f t="shared" si="231"/>
        <v>0</v>
      </c>
      <c r="AN122" s="20">
        <f t="shared" si="231"/>
        <v>0</v>
      </c>
      <c r="AO122" s="20">
        <f t="shared" si="231"/>
        <v>0</v>
      </c>
      <c r="AP122" s="20">
        <f t="shared" si="232"/>
        <v>0</v>
      </c>
      <c r="AQ122" s="20">
        <f t="shared" si="232"/>
        <v>0</v>
      </c>
      <c r="AR122" s="20">
        <f t="shared" si="232"/>
        <v>0</v>
      </c>
      <c r="AS122" s="20">
        <f t="shared" si="232"/>
        <v>0</v>
      </c>
      <c r="AT122" s="20">
        <f t="shared" si="232"/>
        <v>0</v>
      </c>
      <c r="AU122" s="20">
        <f t="shared" si="232"/>
        <v>0</v>
      </c>
      <c r="AV122" s="20">
        <f t="shared" si="232"/>
        <v>0</v>
      </c>
      <c r="AW122" s="20">
        <f t="shared" si="232"/>
        <v>0</v>
      </c>
      <c r="AX122" s="20">
        <f t="shared" si="232"/>
        <v>0</v>
      </c>
      <c r="AY122" s="20">
        <f t="shared" si="232"/>
        <v>0</v>
      </c>
      <c r="BA122" s="20">
        <f t="shared" si="227"/>
        <v>0</v>
      </c>
      <c r="BB122" s="20">
        <f t="shared" si="228"/>
        <v>0</v>
      </c>
      <c r="BC122" s="20">
        <f t="shared" si="229"/>
        <v>0</v>
      </c>
      <c r="BD122" s="20">
        <f t="shared" si="230"/>
        <v>0</v>
      </c>
    </row>
    <row r="123" spans="1:56" ht="15" x14ac:dyDescent="0.25">
      <c r="A123" s="1"/>
      <c r="B123" s="2"/>
      <c r="C123" s="1" t="s">
        <v>11</v>
      </c>
      <c r="D123" s="14">
        <v>0</v>
      </c>
      <c r="F123" s="89">
        <v>0</v>
      </c>
      <c r="H123" s="20"/>
      <c r="I123" s="20"/>
      <c r="J123" s="147"/>
      <c r="K123" s="197">
        <v>0.49226666666666663</v>
      </c>
      <c r="L123" s="197">
        <v>2.8337500000000002</v>
      </c>
      <c r="M123" s="197">
        <v>0.68718466195761863</v>
      </c>
      <c r="N123" s="197">
        <v>0.90789473684210531</v>
      </c>
      <c r="O123" s="216">
        <v>3.2149190766483676E-2</v>
      </c>
      <c r="P123" s="217">
        <v>5.6499999999999995E-2</v>
      </c>
      <c r="Q123" s="217">
        <v>1.25</v>
      </c>
      <c r="R123" s="217">
        <v>0.50078889239507718</v>
      </c>
      <c r="S123" s="217">
        <v>0.75268470790377973</v>
      </c>
      <c r="U123" s="20">
        <f t="shared" si="215"/>
        <v>0</v>
      </c>
      <c r="V123" s="20">
        <f t="shared" si="216"/>
        <v>0</v>
      </c>
      <c r="W123" s="20">
        <f t="shared" si="217"/>
        <v>0</v>
      </c>
      <c r="X123" s="20">
        <f t="shared" si="218"/>
        <v>0</v>
      </c>
      <c r="Y123" s="20">
        <f t="shared" si="219"/>
        <v>0</v>
      </c>
      <c r="Z123" s="20">
        <f t="shared" si="220"/>
        <v>0</v>
      </c>
      <c r="AA123" s="20">
        <f t="shared" si="221"/>
        <v>0</v>
      </c>
      <c r="AB123" s="20">
        <f t="shared" si="222"/>
        <v>0</v>
      </c>
      <c r="AC123" s="20">
        <f t="shared" si="223"/>
        <v>0</v>
      </c>
      <c r="AD123" s="20">
        <f t="shared" si="224"/>
        <v>0</v>
      </c>
      <c r="AE123" s="191"/>
      <c r="AF123" s="20">
        <f t="shared" si="231"/>
        <v>0</v>
      </c>
      <c r="AG123" s="20">
        <f t="shared" si="231"/>
        <v>0</v>
      </c>
      <c r="AH123" s="20">
        <f t="shared" si="231"/>
        <v>0</v>
      </c>
      <c r="AI123" s="20">
        <f t="shared" si="231"/>
        <v>0</v>
      </c>
      <c r="AJ123" s="20">
        <f t="shared" si="231"/>
        <v>0</v>
      </c>
      <c r="AK123" s="20">
        <f t="shared" si="231"/>
        <v>0</v>
      </c>
      <c r="AL123" s="20">
        <f t="shared" si="231"/>
        <v>0</v>
      </c>
      <c r="AM123" s="20">
        <f t="shared" si="231"/>
        <v>0</v>
      </c>
      <c r="AN123" s="20">
        <f t="shared" si="231"/>
        <v>0</v>
      </c>
      <c r="AO123" s="20">
        <f t="shared" si="231"/>
        <v>0</v>
      </c>
      <c r="AP123" s="20">
        <f t="shared" si="232"/>
        <v>0</v>
      </c>
      <c r="AQ123" s="20">
        <f t="shared" si="232"/>
        <v>0</v>
      </c>
      <c r="AR123" s="20">
        <f t="shared" si="232"/>
        <v>0</v>
      </c>
      <c r="AS123" s="20">
        <f t="shared" si="232"/>
        <v>0</v>
      </c>
      <c r="AT123" s="20">
        <f t="shared" si="232"/>
        <v>0</v>
      </c>
      <c r="AU123" s="20">
        <f t="shared" si="232"/>
        <v>0</v>
      </c>
      <c r="AV123" s="20">
        <f t="shared" si="232"/>
        <v>0</v>
      </c>
      <c r="AW123" s="20">
        <f t="shared" si="232"/>
        <v>0</v>
      </c>
      <c r="AX123" s="20">
        <f t="shared" si="232"/>
        <v>0</v>
      </c>
      <c r="AY123" s="20">
        <f t="shared" si="232"/>
        <v>0</v>
      </c>
      <c r="BA123" s="20">
        <f t="shared" si="227"/>
        <v>0</v>
      </c>
      <c r="BB123" s="20">
        <f t="shared" si="228"/>
        <v>0</v>
      </c>
      <c r="BC123" s="20">
        <f t="shared" si="229"/>
        <v>0</v>
      </c>
      <c r="BD123" s="20">
        <f t="shared" si="230"/>
        <v>0</v>
      </c>
    </row>
    <row r="124" spans="1:56" ht="15" x14ac:dyDescent="0.25">
      <c r="A124" s="1"/>
      <c r="B124" s="2"/>
      <c r="C124" s="1" t="s">
        <v>12</v>
      </c>
      <c r="D124" s="14">
        <v>0</v>
      </c>
      <c r="F124" s="89">
        <v>0</v>
      </c>
      <c r="H124" s="20"/>
      <c r="I124" s="20"/>
      <c r="J124" s="147"/>
      <c r="K124" s="197">
        <v>0.49226666666666663</v>
      </c>
      <c r="L124" s="197">
        <v>2.8337500000000002</v>
      </c>
      <c r="M124" s="197">
        <v>0.68718466195761863</v>
      </c>
      <c r="N124" s="197">
        <v>0.90789473684210531</v>
      </c>
      <c r="O124" s="216">
        <v>3.2149190766483676E-2</v>
      </c>
      <c r="P124" s="217">
        <v>5.6499999999999995E-2</v>
      </c>
      <c r="Q124" s="217">
        <v>1.25</v>
      </c>
      <c r="R124" s="217">
        <v>0.50078889239507718</v>
      </c>
      <c r="S124" s="217">
        <v>0.75268470790377973</v>
      </c>
      <c r="U124" s="20">
        <f t="shared" si="215"/>
        <v>0</v>
      </c>
      <c r="V124" s="20">
        <f t="shared" si="216"/>
        <v>0</v>
      </c>
      <c r="W124" s="20">
        <f t="shared" si="217"/>
        <v>0</v>
      </c>
      <c r="X124" s="20">
        <f t="shared" si="218"/>
        <v>0</v>
      </c>
      <c r="Y124" s="20">
        <f t="shared" si="219"/>
        <v>0</v>
      </c>
      <c r="Z124" s="20">
        <f t="shared" si="220"/>
        <v>0</v>
      </c>
      <c r="AA124" s="20">
        <f t="shared" si="221"/>
        <v>0</v>
      </c>
      <c r="AB124" s="20">
        <f t="shared" si="222"/>
        <v>0</v>
      </c>
      <c r="AC124" s="20">
        <f t="shared" si="223"/>
        <v>0</v>
      </c>
      <c r="AD124" s="20">
        <f t="shared" si="224"/>
        <v>0</v>
      </c>
      <c r="AE124" s="191"/>
      <c r="AF124" s="20">
        <f t="shared" si="231"/>
        <v>0</v>
      </c>
      <c r="AG124" s="20">
        <f t="shared" si="231"/>
        <v>0</v>
      </c>
      <c r="AH124" s="20">
        <f t="shared" si="231"/>
        <v>0</v>
      </c>
      <c r="AI124" s="20">
        <f t="shared" si="231"/>
        <v>0</v>
      </c>
      <c r="AJ124" s="20">
        <f t="shared" si="231"/>
        <v>0</v>
      </c>
      <c r="AK124" s="20">
        <f t="shared" si="231"/>
        <v>0</v>
      </c>
      <c r="AL124" s="20">
        <f t="shared" si="231"/>
        <v>0</v>
      </c>
      <c r="AM124" s="20">
        <f t="shared" si="231"/>
        <v>0</v>
      </c>
      <c r="AN124" s="20">
        <f t="shared" si="231"/>
        <v>0</v>
      </c>
      <c r="AO124" s="20">
        <f t="shared" si="231"/>
        <v>0</v>
      </c>
      <c r="AP124" s="20">
        <f t="shared" si="232"/>
        <v>0</v>
      </c>
      <c r="AQ124" s="20">
        <f t="shared" si="232"/>
        <v>0</v>
      </c>
      <c r="AR124" s="20">
        <f t="shared" si="232"/>
        <v>0</v>
      </c>
      <c r="AS124" s="20">
        <f t="shared" si="232"/>
        <v>0</v>
      </c>
      <c r="AT124" s="20">
        <f t="shared" si="232"/>
        <v>0</v>
      </c>
      <c r="AU124" s="20">
        <f t="shared" si="232"/>
        <v>0</v>
      </c>
      <c r="AV124" s="20">
        <f t="shared" si="232"/>
        <v>0</v>
      </c>
      <c r="AW124" s="20">
        <f t="shared" si="232"/>
        <v>0</v>
      </c>
      <c r="AX124" s="20">
        <f t="shared" si="232"/>
        <v>0</v>
      </c>
      <c r="AY124" s="20">
        <f t="shared" si="232"/>
        <v>0</v>
      </c>
      <c r="BA124" s="20">
        <f t="shared" si="227"/>
        <v>0</v>
      </c>
      <c r="BB124" s="20">
        <f t="shared" si="228"/>
        <v>0</v>
      </c>
      <c r="BC124" s="20">
        <f t="shared" si="229"/>
        <v>0</v>
      </c>
      <c r="BD124" s="20">
        <f t="shared" si="230"/>
        <v>0</v>
      </c>
    </row>
    <row r="125" spans="1:56" ht="15" x14ac:dyDescent="0.25">
      <c r="A125" s="1"/>
      <c r="B125" s="2"/>
      <c r="C125" s="1" t="s">
        <v>13</v>
      </c>
      <c r="D125" s="14">
        <v>0</v>
      </c>
      <c r="F125" s="89">
        <v>0</v>
      </c>
      <c r="H125" s="20"/>
      <c r="I125" s="20"/>
      <c r="J125" s="147"/>
      <c r="K125" s="197">
        <v>0.49226666666666663</v>
      </c>
      <c r="L125" s="197">
        <v>2.8337500000000002</v>
      </c>
      <c r="M125" s="197">
        <v>0.68718466195761863</v>
      </c>
      <c r="N125" s="197">
        <v>0.90789473684210531</v>
      </c>
      <c r="O125" s="216">
        <v>3.2149190766483676E-2</v>
      </c>
      <c r="P125" s="217">
        <v>5.6499999999999995E-2</v>
      </c>
      <c r="Q125" s="217">
        <v>1.25</v>
      </c>
      <c r="R125" s="217">
        <v>0.50078889239507718</v>
      </c>
      <c r="S125" s="217">
        <v>0.75268470790377973</v>
      </c>
      <c r="U125" s="20">
        <f t="shared" si="215"/>
        <v>0</v>
      </c>
      <c r="V125" s="20">
        <f t="shared" si="216"/>
        <v>0</v>
      </c>
      <c r="W125" s="20">
        <f t="shared" si="217"/>
        <v>0</v>
      </c>
      <c r="X125" s="20">
        <f t="shared" si="218"/>
        <v>0</v>
      </c>
      <c r="Y125" s="20">
        <f t="shared" si="219"/>
        <v>0</v>
      </c>
      <c r="Z125" s="20">
        <f t="shared" si="220"/>
        <v>0</v>
      </c>
      <c r="AA125" s="20">
        <f t="shared" si="221"/>
        <v>0</v>
      </c>
      <c r="AB125" s="20">
        <f t="shared" si="222"/>
        <v>0</v>
      </c>
      <c r="AC125" s="20">
        <f t="shared" si="223"/>
        <v>0</v>
      </c>
      <c r="AD125" s="20">
        <f t="shared" si="224"/>
        <v>0</v>
      </c>
      <c r="AE125" s="191"/>
      <c r="AF125" s="20">
        <f t="shared" si="231"/>
        <v>0</v>
      </c>
      <c r="AG125" s="20">
        <f t="shared" si="231"/>
        <v>0</v>
      </c>
      <c r="AH125" s="20">
        <f t="shared" si="231"/>
        <v>0</v>
      </c>
      <c r="AI125" s="20">
        <f t="shared" si="231"/>
        <v>0</v>
      </c>
      <c r="AJ125" s="20">
        <f t="shared" si="231"/>
        <v>0</v>
      </c>
      <c r="AK125" s="20">
        <f t="shared" si="231"/>
        <v>0</v>
      </c>
      <c r="AL125" s="20">
        <f t="shared" si="231"/>
        <v>0</v>
      </c>
      <c r="AM125" s="20">
        <f t="shared" si="231"/>
        <v>0</v>
      </c>
      <c r="AN125" s="20">
        <f t="shared" si="231"/>
        <v>0</v>
      </c>
      <c r="AO125" s="20">
        <f t="shared" si="231"/>
        <v>0</v>
      </c>
      <c r="AP125" s="20">
        <f t="shared" si="232"/>
        <v>0</v>
      </c>
      <c r="AQ125" s="20">
        <f t="shared" si="232"/>
        <v>0</v>
      </c>
      <c r="AR125" s="20">
        <f t="shared" si="232"/>
        <v>0</v>
      </c>
      <c r="AS125" s="20">
        <f t="shared" si="232"/>
        <v>0</v>
      </c>
      <c r="AT125" s="20">
        <f t="shared" si="232"/>
        <v>0</v>
      </c>
      <c r="AU125" s="20">
        <f t="shared" si="232"/>
        <v>0</v>
      </c>
      <c r="AV125" s="20">
        <f t="shared" si="232"/>
        <v>0</v>
      </c>
      <c r="AW125" s="20">
        <f t="shared" si="232"/>
        <v>0</v>
      </c>
      <c r="AX125" s="20">
        <f t="shared" si="232"/>
        <v>0</v>
      </c>
      <c r="AY125" s="20">
        <f t="shared" si="232"/>
        <v>0</v>
      </c>
      <c r="BA125" s="20">
        <f t="shared" si="227"/>
        <v>0</v>
      </c>
      <c r="BB125" s="20">
        <f t="shared" si="228"/>
        <v>0</v>
      </c>
      <c r="BC125" s="20">
        <f t="shared" si="229"/>
        <v>0</v>
      </c>
      <c r="BD125" s="20">
        <f t="shared" si="230"/>
        <v>0</v>
      </c>
    </row>
    <row r="126" spans="1:56" ht="15" x14ac:dyDescent="0.25">
      <c r="A126" s="7"/>
      <c r="B126" s="8" t="s">
        <v>14</v>
      </c>
      <c r="C126" s="7"/>
      <c r="D126" s="14">
        <f>SUM(D120:D125)</f>
        <v>6.2839999999999998</v>
      </c>
      <c r="F126" s="14">
        <v>4.8869999999999996</v>
      </c>
      <c r="H126" s="20"/>
      <c r="I126" s="20"/>
      <c r="J126" s="147"/>
      <c r="K126" s="197"/>
      <c r="L126" s="197"/>
      <c r="M126" s="197"/>
      <c r="N126" s="197"/>
      <c r="O126" s="197"/>
      <c r="P126" s="197"/>
      <c r="Q126" s="197"/>
      <c r="R126" s="197"/>
      <c r="S126" s="197"/>
    </row>
    <row r="127" spans="1:56" ht="15" x14ac:dyDescent="0.25">
      <c r="A127" s="10"/>
      <c r="B127" s="9" t="s">
        <v>15</v>
      </c>
      <c r="C127" s="5"/>
      <c r="D127" s="14">
        <f>SUM(D126)</f>
        <v>6.2839999999999998</v>
      </c>
      <c r="F127" s="14">
        <v>4.8869999999999996</v>
      </c>
      <c r="H127" s="20"/>
      <c r="I127" s="20"/>
      <c r="J127" s="147"/>
      <c r="K127" s="197"/>
      <c r="L127" s="197"/>
      <c r="M127" s="197"/>
      <c r="N127" s="197"/>
      <c r="O127" s="197"/>
      <c r="P127" s="197"/>
      <c r="Q127" s="197"/>
      <c r="R127" s="197"/>
      <c r="S127" s="197"/>
    </row>
    <row r="128" spans="1:56" ht="15.75" x14ac:dyDescent="0.25">
      <c r="A128" s="1"/>
      <c r="B128" s="2"/>
      <c r="C128" s="1"/>
      <c r="D128" s="87"/>
      <c r="F128" s="87"/>
      <c r="H128" s="20"/>
      <c r="I128" s="20"/>
      <c r="J128" s="147"/>
      <c r="K128" s="197"/>
      <c r="L128" s="197"/>
      <c r="M128" s="197"/>
      <c r="N128" s="197"/>
      <c r="O128" s="197"/>
      <c r="P128" s="197"/>
      <c r="Q128" s="197"/>
      <c r="R128" s="197"/>
      <c r="S128" s="197"/>
    </row>
    <row r="129" spans="1:56" ht="15" x14ac:dyDescent="0.25">
      <c r="A129" s="1">
        <v>14</v>
      </c>
      <c r="B129" s="2" t="s">
        <v>28</v>
      </c>
      <c r="C129" s="1" t="s">
        <v>8</v>
      </c>
      <c r="D129" s="14">
        <v>342.017</v>
      </c>
      <c r="F129" s="89">
        <v>-20.305999999999983</v>
      </c>
      <c r="H129" s="20"/>
      <c r="I129" s="20"/>
      <c r="J129" s="147">
        <v>1.4787297691620922E-2</v>
      </c>
      <c r="K129" s="197">
        <v>5.6499999999999995E-2</v>
      </c>
      <c r="L129" s="197">
        <v>1.25</v>
      </c>
      <c r="M129" s="197">
        <v>0.50078889239507718</v>
      </c>
      <c r="N129" s="197">
        <v>0.75268470790377973</v>
      </c>
      <c r="O129" s="216">
        <v>1.4787297691620922E-2</v>
      </c>
      <c r="P129" s="217">
        <v>5.6499999999999995E-2</v>
      </c>
      <c r="Q129" s="217">
        <v>1.25</v>
      </c>
      <c r="R129" s="217">
        <v>0.50078889239507718</v>
      </c>
      <c r="S129" s="217">
        <v>0.75268470790377973</v>
      </c>
      <c r="U129" s="20">
        <f t="shared" ref="U129:U134" si="233">D129*$J129*$K129*10</f>
        <v>2.8574915649462387</v>
      </c>
      <c r="V129" s="20">
        <f t="shared" ref="V129:V134" si="234">U129*(EXP(1.01-0.34*LN(V$10))*(1-$M129)+(1*$M129))</f>
        <v>1.888834598754743</v>
      </c>
      <c r="W129" s="20">
        <f t="shared" ref="W129:W134" si="235">SUM(V129:V129)</f>
        <v>1.888834598754743</v>
      </c>
      <c r="X129" s="20">
        <f t="shared" ref="X129:X134" si="236">V129*$Y$1</f>
        <v>2.2519538231878369</v>
      </c>
      <c r="Y129" s="20">
        <f t="shared" ref="Y129:Y134" si="237">SUM(X129:X129)</f>
        <v>2.2519538231878369</v>
      </c>
      <c r="Z129" s="20">
        <f t="shared" ref="Z129:Z134" si="238">D129*$J129*$L129*10</f>
        <v>63.218839932438904</v>
      </c>
      <c r="AA129" s="20">
        <f t="shared" ref="AA129:AA134" si="239">Z129*(EXP(1.01-0.34*LN(AA$10))*(1-$N129)+(1*$N129))</f>
        <v>52.601925871397839</v>
      </c>
      <c r="AB129" s="20">
        <f t="shared" ref="AB129:AB134" si="240">SUM(AA129:AA129)</f>
        <v>52.601925871397839</v>
      </c>
      <c r="AC129" s="20">
        <f t="shared" ref="AC129:AC134" si="241">AA129*$Y$1</f>
        <v>62.714389153625781</v>
      </c>
      <c r="AD129" s="20">
        <f t="shared" ref="AD129:AD134" si="242">SUM(AC129:AC129)</f>
        <v>62.714389153625781</v>
      </c>
      <c r="AE129" s="191"/>
      <c r="AF129" s="20">
        <f>$W129*AF$6</f>
        <v>1.8136428558605524</v>
      </c>
      <c r="AG129" s="20">
        <f t="shared" ref="AG129:AO129" si="243">$W129*AG$6</f>
        <v>2.5089972896367874</v>
      </c>
      <c r="AH129" s="20">
        <f t="shared" si="243"/>
        <v>2.3457494006571351</v>
      </c>
      <c r="AI129" s="20">
        <f t="shared" si="243"/>
        <v>3.2757793001235553</v>
      </c>
      <c r="AJ129" s="20">
        <f t="shared" si="243"/>
        <v>2.7032658028019481</v>
      </c>
      <c r="AK129" s="20">
        <f t="shared" si="243"/>
        <v>2.0097313460826389</v>
      </c>
      <c r="AL129" s="20">
        <f t="shared" si="243"/>
        <v>2.3767507969666726</v>
      </c>
      <c r="AM129" s="20">
        <f t="shared" si="243"/>
        <v>2.090331696080701</v>
      </c>
      <c r="AN129" s="20">
        <f t="shared" si="243"/>
        <v>1.9473620276317574</v>
      </c>
      <c r="AO129" s="20">
        <f t="shared" si="243"/>
        <v>1.4479277160366208</v>
      </c>
      <c r="AP129" s="20">
        <f>$AB129*AP$6</f>
        <v>50.50792013449054</v>
      </c>
      <c r="AQ129" s="20">
        <f t="shared" ref="AQ129:AY129" si="244">$AB129*AQ$6</f>
        <v>69.872761504909931</v>
      </c>
      <c r="AR129" s="20">
        <f t="shared" si="244"/>
        <v>65.326490825396135</v>
      </c>
      <c r="AS129" s="20">
        <f t="shared" si="244"/>
        <v>91.226780804290399</v>
      </c>
      <c r="AT129" s="20">
        <f t="shared" si="244"/>
        <v>75.282921788609457</v>
      </c>
      <c r="AU129" s="20">
        <f t="shared" si="244"/>
        <v>55.968764738722527</v>
      </c>
      <c r="AV129" s="20">
        <f t="shared" si="244"/>
        <v>66.189844954793827</v>
      </c>
      <c r="AW129" s="20">
        <f t="shared" si="244"/>
        <v>58.213394119506809</v>
      </c>
      <c r="AX129" s="20">
        <f t="shared" si="244"/>
        <v>54.231849146448972</v>
      </c>
      <c r="AY129" s="20">
        <f t="shared" si="244"/>
        <v>40.323163519089185</v>
      </c>
      <c r="BA129" s="20">
        <f t="shared" ref="BA129:BA134" si="245">D129*$O129*$P129*10</f>
        <v>2.8574915649462387</v>
      </c>
      <c r="BB129" s="20">
        <f t="shared" ref="BB129:BB134" si="246">BA129*(EXP(1.01-0.34*LN(BB$10))*(1-$R129)+(1*$R129))</f>
        <v>1.888834598754743</v>
      </c>
      <c r="BC129" s="20">
        <f t="shared" ref="BC129:BC134" si="247">SUM(BB129:BB129)</f>
        <v>1.888834598754743</v>
      </c>
      <c r="BD129" s="20">
        <f t="shared" ref="BD129:BD134" si="248">BC129*BD$6</f>
        <v>2.2519538231878369</v>
      </c>
    </row>
    <row r="130" spans="1:56" ht="15" x14ac:dyDescent="0.25">
      <c r="A130" s="1"/>
      <c r="B130" s="2"/>
      <c r="C130" s="1" t="s">
        <v>9</v>
      </c>
      <c r="D130" s="14">
        <v>25.527000000000001</v>
      </c>
      <c r="F130" s="89">
        <v>5.2830000000000013</v>
      </c>
      <c r="H130" s="20"/>
      <c r="I130" s="20"/>
      <c r="J130" s="147">
        <v>2.0574595383241839E-2</v>
      </c>
      <c r="K130" s="197">
        <v>5.6499999999999995E-2</v>
      </c>
      <c r="L130" s="197">
        <v>1.25</v>
      </c>
      <c r="M130" s="197">
        <v>0.50078889239507718</v>
      </c>
      <c r="N130" s="197">
        <v>0.75268470790377973</v>
      </c>
      <c r="O130" s="216">
        <v>2.0574595383241839E-2</v>
      </c>
      <c r="P130" s="217">
        <v>5.6499999999999995E-2</v>
      </c>
      <c r="Q130" s="217">
        <v>1.25</v>
      </c>
      <c r="R130" s="217">
        <v>0.50078889239507718</v>
      </c>
      <c r="S130" s="217">
        <v>0.75268470790377973</v>
      </c>
      <c r="U130" s="20">
        <f t="shared" si="233"/>
        <v>0.29674234843662817</v>
      </c>
      <c r="V130" s="20">
        <f t="shared" si="234"/>
        <v>0.19615008545209264</v>
      </c>
      <c r="W130" s="20">
        <f t="shared" si="235"/>
        <v>0.19615008545209264</v>
      </c>
      <c r="X130" s="20">
        <f t="shared" si="236"/>
        <v>0.23385898116419274</v>
      </c>
      <c r="Y130" s="20">
        <f t="shared" si="237"/>
        <v>0.23385898116419274</v>
      </c>
      <c r="Z130" s="20">
        <f t="shared" si="238"/>
        <v>6.5650962043501799</v>
      </c>
      <c r="AA130" s="20">
        <f t="shared" si="239"/>
        <v>5.4625599623289514</v>
      </c>
      <c r="AB130" s="20">
        <f t="shared" si="240"/>
        <v>5.4625599623289514</v>
      </c>
      <c r="AC130" s="20">
        <f t="shared" si="241"/>
        <v>6.5127104298436125</v>
      </c>
      <c r="AD130" s="20">
        <f t="shared" si="242"/>
        <v>6.5127104298436125</v>
      </c>
      <c r="AE130" s="191"/>
      <c r="AF130" s="20">
        <f t="shared" ref="AF130:AO134" si="249">$W130*AF$6</f>
        <v>0.18834163742614543</v>
      </c>
      <c r="AG130" s="20">
        <f t="shared" si="249"/>
        <v>0.26055221197545786</v>
      </c>
      <c r="AH130" s="20">
        <f t="shared" si="249"/>
        <v>0.24359938434600678</v>
      </c>
      <c r="AI130" s="20">
        <f t="shared" si="249"/>
        <v>0.34018033662928643</v>
      </c>
      <c r="AJ130" s="20">
        <f t="shared" si="249"/>
        <v>0.28072644294471227</v>
      </c>
      <c r="AK130" s="20">
        <f t="shared" si="249"/>
        <v>0.2087048678215393</v>
      </c>
      <c r="AL130" s="20">
        <f t="shared" si="249"/>
        <v>0.24681879092573536</v>
      </c>
      <c r="AM130" s="20">
        <f t="shared" si="249"/>
        <v>0.21707498426795094</v>
      </c>
      <c r="AN130" s="20">
        <f t="shared" si="249"/>
        <v>0.20222799199991118</v>
      </c>
      <c r="AO130" s="20">
        <f t="shared" si="249"/>
        <v>0.15036316330518157</v>
      </c>
      <c r="AP130" s="20">
        <f t="shared" ref="AP130:AY134" si="250">$AB130*AP$6</f>
        <v>5.2451034394008307</v>
      </c>
      <c r="AQ130" s="20">
        <f t="shared" si="250"/>
        <v>7.2560869802985737</v>
      </c>
      <c r="AR130" s="20">
        <f t="shared" si="250"/>
        <v>6.7839697378132451</v>
      </c>
      <c r="AS130" s="20">
        <f t="shared" si="250"/>
        <v>9.473640975275444</v>
      </c>
      <c r="AT130" s="20">
        <f t="shared" si="250"/>
        <v>7.8179166940579474</v>
      </c>
      <c r="AU130" s="20">
        <f t="shared" si="250"/>
        <v>5.8121965752777784</v>
      </c>
      <c r="AV130" s="20">
        <f t="shared" si="250"/>
        <v>6.8736266015579153</v>
      </c>
      <c r="AW130" s="20">
        <f t="shared" si="250"/>
        <v>6.0452949339902782</v>
      </c>
      <c r="AX130" s="20">
        <f t="shared" si="250"/>
        <v>5.6318228453216763</v>
      </c>
      <c r="AY130" s="20">
        <f t="shared" si="250"/>
        <v>4.1874455154424295</v>
      </c>
      <c r="BA130" s="20">
        <f t="shared" si="245"/>
        <v>0.29674234843662817</v>
      </c>
      <c r="BB130" s="20">
        <f t="shared" si="246"/>
        <v>0.19615008545209264</v>
      </c>
      <c r="BC130" s="20">
        <f t="shared" si="247"/>
        <v>0.19615008545209264</v>
      </c>
      <c r="BD130" s="20">
        <f t="shared" si="248"/>
        <v>0.23385898116419274</v>
      </c>
    </row>
    <row r="131" spans="1:56" ht="15" x14ac:dyDescent="0.25">
      <c r="A131" s="1"/>
      <c r="B131" s="2"/>
      <c r="C131" s="1" t="s">
        <v>10</v>
      </c>
      <c r="D131" s="14">
        <v>31.783000000000001</v>
      </c>
      <c r="F131" s="89">
        <v>-2.1749999999999998</v>
      </c>
      <c r="H131" s="20"/>
      <c r="I131" s="20"/>
      <c r="J131" s="147">
        <v>2.6361893074862752E-2</v>
      </c>
      <c r="K131" s="197">
        <v>5.6499999999999995E-2</v>
      </c>
      <c r="L131" s="197">
        <v>1.25</v>
      </c>
      <c r="M131" s="197">
        <v>0.50078889239507718</v>
      </c>
      <c r="N131" s="197">
        <v>0.75268470790377973</v>
      </c>
      <c r="O131" s="216">
        <v>2.6361893074862752E-2</v>
      </c>
      <c r="P131" s="217">
        <v>5.6499999999999995E-2</v>
      </c>
      <c r="Q131" s="217">
        <v>1.25</v>
      </c>
      <c r="R131" s="217">
        <v>0.50078889239507718</v>
      </c>
      <c r="S131" s="217">
        <v>0.75268470790377973</v>
      </c>
      <c r="U131" s="20">
        <f t="shared" si="233"/>
        <v>0.47339092689307499</v>
      </c>
      <c r="V131" s="20">
        <f t="shared" si="234"/>
        <v>0.3129168157208681</v>
      </c>
      <c r="W131" s="20">
        <f t="shared" si="235"/>
        <v>0.3129168157208681</v>
      </c>
      <c r="X131" s="20">
        <f t="shared" si="236"/>
        <v>0.3730735449080323</v>
      </c>
      <c r="Y131" s="20">
        <f t="shared" si="237"/>
        <v>0.3730735449080323</v>
      </c>
      <c r="Z131" s="20">
        <f t="shared" si="238"/>
        <v>10.473250594979536</v>
      </c>
      <c r="AA131" s="20">
        <f t="shared" si="239"/>
        <v>8.714382485006686</v>
      </c>
      <c r="AB131" s="20">
        <f t="shared" si="240"/>
        <v>8.714382485006686</v>
      </c>
      <c r="AC131" s="20">
        <f t="shared" si="241"/>
        <v>10.389679946973521</v>
      </c>
      <c r="AD131" s="20">
        <f t="shared" si="242"/>
        <v>10.389679946973521</v>
      </c>
      <c r="AE131" s="191"/>
      <c r="AF131" s="20">
        <f t="shared" si="249"/>
        <v>0.30046005493807421</v>
      </c>
      <c r="AG131" s="20">
        <f t="shared" si="249"/>
        <v>0.4156570633781444</v>
      </c>
      <c r="AH131" s="20">
        <f t="shared" si="249"/>
        <v>0.38861233980820115</v>
      </c>
      <c r="AI131" s="20">
        <f t="shared" si="249"/>
        <v>0.54268723596803126</v>
      </c>
      <c r="AJ131" s="20">
        <f t="shared" si="249"/>
        <v>0.44784086844744303</v>
      </c>
      <c r="AK131" s="20">
        <f t="shared" si="249"/>
        <v>0.33294536942789799</v>
      </c>
      <c r="AL131" s="20">
        <f t="shared" si="249"/>
        <v>0.3937482358906198</v>
      </c>
      <c r="AM131" s="20">
        <f t="shared" si="249"/>
        <v>0.34629815578833884</v>
      </c>
      <c r="AN131" s="20">
        <f t="shared" si="249"/>
        <v>0.32261285617279489</v>
      </c>
      <c r="AO131" s="20">
        <f t="shared" si="249"/>
        <v>0.23987326926077732</v>
      </c>
      <c r="AP131" s="20">
        <f t="shared" si="250"/>
        <v>8.3674756633473155</v>
      </c>
      <c r="AQ131" s="20">
        <f t="shared" si="250"/>
        <v>11.575583193019995</v>
      </c>
      <c r="AR131" s="20">
        <f t="shared" si="250"/>
        <v>10.822417963318841</v>
      </c>
      <c r="AS131" s="20">
        <f t="shared" si="250"/>
        <v>15.113231077281212</v>
      </c>
      <c r="AT131" s="20">
        <f t="shared" si="250"/>
        <v>12.471866080696271</v>
      </c>
      <c r="AU131" s="20">
        <f t="shared" si="250"/>
        <v>9.2721552503420241</v>
      </c>
      <c r="AV131" s="20">
        <f t="shared" si="250"/>
        <v>10.965446911003671</v>
      </c>
      <c r="AW131" s="20">
        <f t="shared" si="250"/>
        <v>9.6440153797422283</v>
      </c>
      <c r="AX131" s="20">
        <f t="shared" si="250"/>
        <v>8.9844063406871033</v>
      </c>
      <c r="AY131" s="20">
        <f t="shared" si="250"/>
        <v>6.6802016102965451</v>
      </c>
      <c r="BA131" s="20">
        <f t="shared" si="245"/>
        <v>0.47339092689307499</v>
      </c>
      <c r="BB131" s="20">
        <f t="shared" si="246"/>
        <v>0.3129168157208681</v>
      </c>
      <c r="BC131" s="20">
        <f t="shared" si="247"/>
        <v>0.3129168157208681</v>
      </c>
      <c r="BD131" s="20">
        <f t="shared" si="248"/>
        <v>0.3730735449080323</v>
      </c>
    </row>
    <row r="132" spans="1:56" ht="15" x14ac:dyDescent="0.25">
      <c r="A132" s="1"/>
      <c r="B132" s="2"/>
      <c r="C132" s="1" t="s">
        <v>11</v>
      </c>
      <c r="D132" s="14">
        <v>2.21</v>
      </c>
      <c r="F132" s="89">
        <v>-0.30299999999999994</v>
      </c>
      <c r="H132" s="20"/>
      <c r="I132" s="20"/>
      <c r="J132" s="147">
        <v>3.2149190766483676E-2</v>
      </c>
      <c r="K132" s="197">
        <v>5.6499999999999995E-2</v>
      </c>
      <c r="L132" s="197">
        <v>1.25</v>
      </c>
      <c r="M132" s="197">
        <v>0.50078889239507718</v>
      </c>
      <c r="N132" s="197">
        <v>0.75268470790377973</v>
      </c>
      <c r="O132" s="216">
        <v>3.2149190766483676E-2</v>
      </c>
      <c r="P132" s="217">
        <v>5.6499999999999995E-2</v>
      </c>
      <c r="Q132" s="217">
        <v>1.25</v>
      </c>
      <c r="R132" s="217">
        <v>0.50078889239507718</v>
      </c>
      <c r="S132" s="217">
        <v>0.75268470790377973</v>
      </c>
      <c r="U132" s="20">
        <f t="shared" si="233"/>
        <v>4.0143087050569834E-2</v>
      </c>
      <c r="V132" s="20">
        <f t="shared" si="234"/>
        <v>2.6535039561303604E-2</v>
      </c>
      <c r="W132" s="20">
        <f t="shared" si="235"/>
        <v>2.6535039561303604E-2</v>
      </c>
      <c r="X132" s="20">
        <f t="shared" si="236"/>
        <v>3.1636271290198435E-2</v>
      </c>
      <c r="Y132" s="20">
        <f t="shared" si="237"/>
        <v>3.1636271290198435E-2</v>
      </c>
      <c r="Z132" s="20">
        <f t="shared" si="238"/>
        <v>0.88812139492411157</v>
      </c>
      <c r="AA132" s="20">
        <f t="shared" si="239"/>
        <v>0.73897110150275236</v>
      </c>
      <c r="AB132" s="20">
        <f t="shared" si="240"/>
        <v>0.73897110150275236</v>
      </c>
      <c r="AC132" s="20">
        <f t="shared" si="241"/>
        <v>0.88103468580656297</v>
      </c>
      <c r="AD132" s="20">
        <f t="shared" si="242"/>
        <v>0.88103468580656297</v>
      </c>
      <c r="AE132" s="191"/>
      <c r="AF132" s="20">
        <f t="shared" si="249"/>
        <v>2.5478718444729338E-2</v>
      </c>
      <c r="AG132" s="20">
        <f t="shared" si="249"/>
        <v>3.524731195818185E-2</v>
      </c>
      <c r="AH132" s="20">
        <f t="shared" si="249"/>
        <v>3.2953945881962043E-2</v>
      </c>
      <c r="AI132" s="20">
        <f t="shared" si="249"/>
        <v>4.6019346204365319E-2</v>
      </c>
      <c r="AJ132" s="20">
        <f t="shared" si="249"/>
        <v>3.7976467113297954E-2</v>
      </c>
      <c r="AK132" s="20">
        <f t="shared" si="249"/>
        <v>2.8233441303464404E-2</v>
      </c>
      <c r="AL132" s="20">
        <f t="shared" si="249"/>
        <v>3.3389464840621302E-2</v>
      </c>
      <c r="AM132" s="20">
        <f t="shared" si="249"/>
        <v>2.9365744511624346E-2</v>
      </c>
      <c r="AN132" s="20">
        <f t="shared" si="249"/>
        <v>2.7357254297150156E-2</v>
      </c>
      <c r="AO132" s="20">
        <f t="shared" si="249"/>
        <v>2.0341018346587626E-2</v>
      </c>
      <c r="AP132" s="20">
        <f t="shared" si="250"/>
        <v>0.70955374272127725</v>
      </c>
      <c r="AQ132" s="20">
        <f t="shared" si="250"/>
        <v>0.98159811982089862</v>
      </c>
      <c r="AR132" s="20">
        <f t="shared" si="250"/>
        <v>0.91773044585049135</v>
      </c>
      <c r="AS132" s="20">
        <f t="shared" si="250"/>
        <v>1.2815871962998371</v>
      </c>
      <c r="AT132" s="20">
        <f t="shared" si="250"/>
        <v>1.0576020310451026</v>
      </c>
      <c r="AU132" s="20">
        <f t="shared" si="250"/>
        <v>0.78626968582553758</v>
      </c>
      <c r="AV132" s="20">
        <f t="shared" si="250"/>
        <v>0.92985916055853712</v>
      </c>
      <c r="AW132" s="20">
        <f t="shared" si="250"/>
        <v>0.81780306066886288</v>
      </c>
      <c r="AX132" s="20">
        <f t="shared" si="250"/>
        <v>0.76186886005391663</v>
      </c>
      <c r="AY132" s="20">
        <f t="shared" si="250"/>
        <v>0.56647455522116785</v>
      </c>
      <c r="BA132" s="20">
        <f t="shared" si="245"/>
        <v>4.0143087050569834E-2</v>
      </c>
      <c r="BB132" s="20">
        <f t="shared" si="246"/>
        <v>2.6535039561303604E-2</v>
      </c>
      <c r="BC132" s="20">
        <f t="shared" si="247"/>
        <v>2.6535039561303604E-2</v>
      </c>
      <c r="BD132" s="20">
        <f t="shared" si="248"/>
        <v>3.1636271290198435E-2</v>
      </c>
    </row>
    <row r="133" spans="1:56" ht="15" x14ac:dyDescent="0.25">
      <c r="A133" s="1"/>
      <c r="B133" s="2"/>
      <c r="C133" s="1" t="s">
        <v>12</v>
      </c>
      <c r="D133" s="14">
        <v>3.0840000000000001</v>
      </c>
      <c r="F133" s="89">
        <v>3.004</v>
      </c>
      <c r="H133" s="20"/>
      <c r="I133" s="20"/>
      <c r="J133" s="147">
        <v>3.2149190766483676E-2</v>
      </c>
      <c r="K133" s="197">
        <v>5.6499999999999995E-2</v>
      </c>
      <c r="L133" s="197">
        <v>1.25</v>
      </c>
      <c r="M133" s="197">
        <v>0.50078889239507718</v>
      </c>
      <c r="N133" s="197">
        <v>0.75268470790377973</v>
      </c>
      <c r="O133" s="216">
        <v>3.2149190766483676E-2</v>
      </c>
      <c r="P133" s="217">
        <v>5.6499999999999995E-2</v>
      </c>
      <c r="Q133" s="217">
        <v>1.25</v>
      </c>
      <c r="R133" s="217">
        <v>0.50078889239507718</v>
      </c>
      <c r="S133" s="217">
        <v>0.75268470790377973</v>
      </c>
      <c r="U133" s="20">
        <f t="shared" si="233"/>
        <v>5.6018678942967137E-2</v>
      </c>
      <c r="V133" s="20">
        <f t="shared" si="234"/>
        <v>3.7028987333511454E-2</v>
      </c>
      <c r="W133" s="20">
        <f t="shared" si="235"/>
        <v>3.7028987333511454E-2</v>
      </c>
      <c r="X133" s="20">
        <f t="shared" si="236"/>
        <v>4.4147629257453379E-2</v>
      </c>
      <c r="Y133" s="20">
        <f t="shared" si="237"/>
        <v>4.4147629257453379E-2</v>
      </c>
      <c r="Z133" s="20">
        <f t="shared" si="238"/>
        <v>1.2393513040479456</v>
      </c>
      <c r="AA133" s="20">
        <f t="shared" si="239"/>
        <v>1.0312157814635692</v>
      </c>
      <c r="AB133" s="20">
        <f t="shared" si="240"/>
        <v>1.0312157814635692</v>
      </c>
      <c r="AC133" s="20">
        <f t="shared" si="241"/>
        <v>1.2294619778404705</v>
      </c>
      <c r="AD133" s="20">
        <f t="shared" si="242"/>
        <v>1.2294619778404705</v>
      </c>
      <c r="AE133" s="191"/>
      <c r="AF133" s="20">
        <f t="shared" si="249"/>
        <v>3.5554917503866641E-2</v>
      </c>
      <c r="AG133" s="20">
        <f t="shared" si="249"/>
        <v>4.9186746642096303E-2</v>
      </c>
      <c r="AH133" s="20">
        <f t="shared" si="249"/>
        <v>4.5986411357452912E-2</v>
      </c>
      <c r="AI133" s="20">
        <f t="shared" si="249"/>
        <v>6.4218852350345079E-2</v>
      </c>
      <c r="AJ133" s="20">
        <f t="shared" si="249"/>
        <v>5.2995214740909902E-2</v>
      </c>
      <c r="AK133" s="20">
        <f t="shared" si="249"/>
        <v>3.9399064696780187E-2</v>
      </c>
      <c r="AL133" s="20">
        <f t="shared" si="249"/>
        <v>4.6594167225554789E-2</v>
      </c>
      <c r="AM133" s="20">
        <f t="shared" si="249"/>
        <v>4.0979165644275783E-2</v>
      </c>
      <c r="AN133" s="20">
        <f t="shared" si="249"/>
        <v>3.8176367535027636E-2</v>
      </c>
      <c r="AO133" s="20">
        <f t="shared" si="249"/>
        <v>2.8385384878224545E-2</v>
      </c>
      <c r="AP133" s="20">
        <f t="shared" si="250"/>
        <v>0.99016458939023466</v>
      </c>
      <c r="AQ133" s="20">
        <f t="shared" si="250"/>
        <v>1.3697957472975795</v>
      </c>
      <c r="AR133" s="20">
        <f t="shared" si="250"/>
        <v>1.2806699977388754</v>
      </c>
      <c r="AS133" s="20">
        <f t="shared" si="250"/>
        <v>1.7884230377324419</v>
      </c>
      <c r="AT133" s="20">
        <f t="shared" si="250"/>
        <v>1.475857313910903</v>
      </c>
      <c r="AU133" s="20">
        <f t="shared" si="250"/>
        <v>1.0972197787719264</v>
      </c>
      <c r="AV133" s="20">
        <f t="shared" si="250"/>
        <v>1.2975953172681123</v>
      </c>
      <c r="AW133" s="20">
        <f t="shared" si="250"/>
        <v>1.1412238185985397</v>
      </c>
      <c r="AX133" s="20">
        <f t="shared" si="250"/>
        <v>1.0631690336679993</v>
      </c>
      <c r="AY133" s="20">
        <f t="shared" si="250"/>
        <v>0.79050114402809124</v>
      </c>
      <c r="BA133" s="20">
        <f t="shared" si="245"/>
        <v>5.6018678942967137E-2</v>
      </c>
      <c r="BB133" s="20">
        <f t="shared" si="246"/>
        <v>3.7028987333511454E-2</v>
      </c>
      <c r="BC133" s="20">
        <f t="shared" si="247"/>
        <v>3.7028987333511454E-2</v>
      </c>
      <c r="BD133" s="20">
        <f t="shared" si="248"/>
        <v>4.4147629257453379E-2</v>
      </c>
    </row>
    <row r="134" spans="1:56" ht="15" x14ac:dyDescent="0.25">
      <c r="A134" s="1"/>
      <c r="B134" s="2"/>
      <c r="C134" s="1" t="s">
        <v>13</v>
      </c>
      <c r="D134" s="14">
        <v>0</v>
      </c>
      <c r="F134" s="89">
        <v>0</v>
      </c>
      <c r="H134" s="20"/>
      <c r="I134" s="20"/>
      <c r="J134" s="147"/>
      <c r="K134" s="197">
        <v>5.6499999999999995E-2</v>
      </c>
      <c r="L134" s="197">
        <v>1.25</v>
      </c>
      <c r="M134" s="197">
        <v>0.50078889239507718</v>
      </c>
      <c r="N134" s="197">
        <v>0.75268470790377973</v>
      </c>
      <c r="O134" s="216">
        <v>3.2149190766483676E-2</v>
      </c>
      <c r="P134" s="217">
        <v>5.6499999999999995E-2</v>
      </c>
      <c r="Q134" s="217">
        <v>1.25</v>
      </c>
      <c r="R134" s="217">
        <v>0.50078889239507718</v>
      </c>
      <c r="S134" s="217">
        <v>0.75268470790377973</v>
      </c>
      <c r="U134" s="20">
        <f t="shared" si="233"/>
        <v>0</v>
      </c>
      <c r="V134" s="20">
        <f t="shared" si="234"/>
        <v>0</v>
      </c>
      <c r="W134" s="20">
        <f t="shared" si="235"/>
        <v>0</v>
      </c>
      <c r="X134" s="20">
        <f t="shared" si="236"/>
        <v>0</v>
      </c>
      <c r="Y134" s="20">
        <f t="shared" si="237"/>
        <v>0</v>
      </c>
      <c r="Z134" s="20">
        <f t="shared" si="238"/>
        <v>0</v>
      </c>
      <c r="AA134" s="20">
        <f t="shared" si="239"/>
        <v>0</v>
      </c>
      <c r="AB134" s="20">
        <f t="shared" si="240"/>
        <v>0</v>
      </c>
      <c r="AC134" s="20">
        <f t="shared" si="241"/>
        <v>0</v>
      </c>
      <c r="AD134" s="20">
        <f t="shared" si="242"/>
        <v>0</v>
      </c>
      <c r="AE134" s="191"/>
      <c r="AF134" s="20">
        <f t="shared" si="249"/>
        <v>0</v>
      </c>
      <c r="AG134" s="20">
        <f t="shared" si="249"/>
        <v>0</v>
      </c>
      <c r="AH134" s="20">
        <f t="shared" si="249"/>
        <v>0</v>
      </c>
      <c r="AI134" s="20">
        <f t="shared" si="249"/>
        <v>0</v>
      </c>
      <c r="AJ134" s="20">
        <f t="shared" si="249"/>
        <v>0</v>
      </c>
      <c r="AK134" s="20">
        <f t="shared" si="249"/>
        <v>0</v>
      </c>
      <c r="AL134" s="20">
        <f t="shared" si="249"/>
        <v>0</v>
      </c>
      <c r="AM134" s="20">
        <f t="shared" si="249"/>
        <v>0</v>
      </c>
      <c r="AN134" s="20">
        <f t="shared" si="249"/>
        <v>0</v>
      </c>
      <c r="AO134" s="20">
        <f t="shared" si="249"/>
        <v>0</v>
      </c>
      <c r="AP134" s="20">
        <f t="shared" si="250"/>
        <v>0</v>
      </c>
      <c r="AQ134" s="20">
        <f t="shared" si="250"/>
        <v>0</v>
      </c>
      <c r="AR134" s="20">
        <f t="shared" si="250"/>
        <v>0</v>
      </c>
      <c r="AS134" s="20">
        <f t="shared" si="250"/>
        <v>0</v>
      </c>
      <c r="AT134" s="20">
        <f t="shared" si="250"/>
        <v>0</v>
      </c>
      <c r="AU134" s="20">
        <f t="shared" si="250"/>
        <v>0</v>
      </c>
      <c r="AV134" s="20">
        <f t="shared" si="250"/>
        <v>0</v>
      </c>
      <c r="AW134" s="20">
        <f t="shared" si="250"/>
        <v>0</v>
      </c>
      <c r="AX134" s="20">
        <f t="shared" si="250"/>
        <v>0</v>
      </c>
      <c r="AY134" s="20">
        <f t="shared" si="250"/>
        <v>0</v>
      </c>
      <c r="BA134" s="20">
        <f t="shared" si="245"/>
        <v>0</v>
      </c>
      <c r="BB134" s="20">
        <f t="shared" si="246"/>
        <v>0</v>
      </c>
      <c r="BC134" s="20">
        <f t="shared" si="247"/>
        <v>0</v>
      </c>
      <c r="BD134" s="20">
        <f t="shared" si="248"/>
        <v>0</v>
      </c>
    </row>
    <row r="135" spans="1:56" ht="15" x14ac:dyDescent="0.25">
      <c r="A135" s="7"/>
      <c r="B135" s="8" t="s">
        <v>14</v>
      </c>
      <c r="C135" s="7"/>
      <c r="D135" s="14">
        <f>SUM(D129:D134)</f>
        <v>404.62099999999998</v>
      </c>
      <c r="F135" s="14">
        <v>-14.49699999999998</v>
      </c>
      <c r="H135" s="20"/>
      <c r="I135" s="20"/>
      <c r="J135" s="147"/>
      <c r="K135" s="197"/>
      <c r="L135" s="197"/>
      <c r="M135" s="197"/>
      <c r="N135" s="197"/>
      <c r="O135" s="197"/>
      <c r="P135" s="197"/>
      <c r="Q135" s="197"/>
      <c r="R135" s="197"/>
      <c r="S135" s="197"/>
    </row>
    <row r="136" spans="1:56" ht="15" x14ac:dyDescent="0.25">
      <c r="A136" s="10"/>
      <c r="B136" s="9" t="s">
        <v>15</v>
      </c>
      <c r="C136" s="5"/>
      <c r="D136" s="14">
        <f>SUM(D135)</f>
        <v>404.62099999999998</v>
      </c>
      <c r="F136" s="14">
        <v>-14.49699999999998</v>
      </c>
      <c r="H136" s="20"/>
      <c r="I136" s="20"/>
      <c r="J136" s="147"/>
      <c r="K136" s="197"/>
      <c r="L136" s="197"/>
      <c r="M136" s="197"/>
      <c r="N136" s="197"/>
      <c r="O136" s="197"/>
      <c r="P136" s="197"/>
      <c r="Q136" s="197"/>
      <c r="R136" s="197"/>
      <c r="S136" s="197"/>
    </row>
    <row r="137" spans="1:56" ht="15.75" x14ac:dyDescent="0.25">
      <c r="A137" s="1"/>
      <c r="B137" s="2"/>
      <c r="C137" s="1"/>
      <c r="D137" s="87"/>
      <c r="F137" s="87"/>
      <c r="H137" s="20"/>
      <c r="I137" s="20"/>
      <c r="J137" s="147"/>
      <c r="K137" s="197"/>
      <c r="L137" s="197"/>
      <c r="M137" s="197"/>
      <c r="N137" s="197"/>
      <c r="O137" s="197"/>
      <c r="P137" s="197"/>
      <c r="Q137" s="197"/>
      <c r="R137" s="197"/>
      <c r="S137" s="197"/>
    </row>
    <row r="138" spans="1:56" ht="15" x14ac:dyDescent="0.25">
      <c r="A138" s="1">
        <v>15</v>
      </c>
      <c r="B138" s="2" t="s">
        <v>29</v>
      </c>
      <c r="C138" s="1" t="s">
        <v>8</v>
      </c>
      <c r="D138" s="14">
        <v>2.3759999999999999</v>
      </c>
      <c r="F138" s="89">
        <v>-5.9860000000000007</v>
      </c>
      <c r="H138" s="20"/>
      <c r="I138" s="20"/>
      <c r="J138" s="147">
        <v>0.76587686328660931</v>
      </c>
      <c r="K138" s="197">
        <v>1.2861473139312608E-2</v>
      </c>
      <c r="L138" s="197">
        <v>0.49282807343291918</v>
      </c>
      <c r="M138" s="197">
        <v>0.11808671869809276</v>
      </c>
      <c r="N138" s="197">
        <v>0.41263016220713056</v>
      </c>
      <c r="O138" s="147">
        <v>0.76587686328660931</v>
      </c>
      <c r="P138" s="197">
        <v>1.2861473139312608E-2</v>
      </c>
      <c r="Q138" s="197">
        <v>0.49282807343291918</v>
      </c>
      <c r="R138" s="197">
        <v>0.11808671869809276</v>
      </c>
      <c r="S138" s="197">
        <v>0.41263016220713056</v>
      </c>
      <c r="U138" s="20">
        <f t="shared" ref="U138:U143" si="251">D138*$J138*$K138*10</f>
        <v>0.23404323979511768</v>
      </c>
      <c r="V138" s="20">
        <f t="shared" ref="V138:V143" si="252">U138*(EXP(1.01-0.34*LN(V$10))*(1-$M138)+(1*$M138))</f>
        <v>9.3883657895283829E-2</v>
      </c>
      <c r="W138" s="20">
        <f t="shared" ref="W138:W143" si="253">SUM(V138:V138)</f>
        <v>9.3883657895283829E-2</v>
      </c>
      <c r="X138" s="20">
        <f t="shared" ref="X138:X143" si="254">V138*$Y$1</f>
        <v>0.11193233249302395</v>
      </c>
      <c r="Y138" s="20">
        <f t="shared" ref="Y138:Y143" si="255">SUM(X138:X138)</f>
        <v>0.11193233249302395</v>
      </c>
      <c r="Z138" s="20">
        <f t="shared" ref="Z138:Z143" si="256">D138*$J138*$L138*10</f>
        <v>8.9681079079243933</v>
      </c>
      <c r="AA138" s="20">
        <f t="shared" ref="AA138:AA143" si="257">Z138*(EXP(1.01-0.34*LN(AA$10))*(1-$N138)+(1*$N138))</f>
        <v>5.391154564132024</v>
      </c>
      <c r="AB138" s="20">
        <f t="shared" ref="AB138:AB143" si="258">SUM(AA138:AA138)</f>
        <v>5.391154564132024</v>
      </c>
      <c r="AC138" s="20">
        <f t="shared" ref="AC138:AC143" si="259">AA138*$Y$1</f>
        <v>6.4275776926670316</v>
      </c>
      <c r="AD138" s="20">
        <f t="shared" ref="AD138:AD143" si="260">SUM(AC138:AC138)</f>
        <v>6.4275776926670316</v>
      </c>
      <c r="AE138" s="191"/>
      <c r="AF138" s="20">
        <f>$W138*AF$6</f>
        <v>9.0146286782385787E-2</v>
      </c>
      <c r="AG138" s="20">
        <f t="shared" ref="AG138:AO138" si="261">$W138*AG$6</f>
        <v>0.124708560164955</v>
      </c>
      <c r="AH138" s="20">
        <f t="shared" si="261"/>
        <v>0.11659439867553863</v>
      </c>
      <c r="AI138" s="20">
        <f t="shared" si="261"/>
        <v>0.16282110850574544</v>
      </c>
      <c r="AJ138" s="20">
        <f t="shared" si="261"/>
        <v>0.1343645875597558</v>
      </c>
      <c r="AK138" s="20">
        <f t="shared" si="261"/>
        <v>9.9892775302529366E-2</v>
      </c>
      <c r="AL138" s="20">
        <f t="shared" si="261"/>
        <v>0.11813530886816194</v>
      </c>
      <c r="AM138" s="20">
        <f t="shared" si="261"/>
        <v>0.1038989787522369</v>
      </c>
      <c r="AN138" s="20">
        <f t="shared" si="261"/>
        <v>9.6792736918827088E-2</v>
      </c>
      <c r="AO138" s="20">
        <f t="shared" si="261"/>
        <v>7.1968583400103522E-2</v>
      </c>
      <c r="AP138" s="20">
        <f>$AB138*AP$6</f>
        <v>5.1765405856733979</v>
      </c>
      <c r="AQ138" s="20">
        <f t="shared" ref="AQ138:AY138" si="262">$AB138*AQ$6</f>
        <v>7.1612369862018754</v>
      </c>
      <c r="AR138" s="20">
        <f t="shared" si="262"/>
        <v>6.6952911578388239</v>
      </c>
      <c r="AS138" s="20">
        <f t="shared" si="262"/>
        <v>9.3498035966691955</v>
      </c>
      <c r="AT138" s="20">
        <f t="shared" si="262"/>
        <v>7.7157225838862749</v>
      </c>
      <c r="AU138" s="20">
        <f t="shared" si="262"/>
        <v>5.7362208031638584</v>
      </c>
      <c r="AV138" s="20">
        <f t="shared" si="262"/>
        <v>6.7837760465203507</v>
      </c>
      <c r="AW138" s="20">
        <f t="shared" si="262"/>
        <v>5.9662721507244987</v>
      </c>
      <c r="AX138" s="20">
        <f t="shared" si="262"/>
        <v>5.5582048794562189</v>
      </c>
      <c r="AY138" s="20">
        <f t="shared" si="262"/>
        <v>4.1327081365358138</v>
      </c>
      <c r="BA138" s="20">
        <f t="shared" ref="BA138:BA143" si="263">D138*$O138*$P138*10</f>
        <v>0.23404323979511768</v>
      </c>
      <c r="BB138" s="20">
        <f t="shared" ref="BB138:BB143" si="264">BA138*(EXP(1.01-0.34*LN(BB$10))*(1-$R138)+(1*$R138))</f>
        <v>9.3883657895283829E-2</v>
      </c>
      <c r="BC138" s="20">
        <f t="shared" ref="BC138:BC143" si="265">SUM(BB138:BB138)</f>
        <v>9.3883657895283829E-2</v>
      </c>
      <c r="BD138" s="20">
        <f t="shared" ref="BD138:BD143" si="266">BC138*BD$6</f>
        <v>0.11193233249302395</v>
      </c>
    </row>
    <row r="139" spans="1:56" ht="15" x14ac:dyDescent="0.25">
      <c r="A139" s="1"/>
      <c r="B139" s="2"/>
      <c r="C139" s="1" t="s">
        <v>9</v>
      </c>
      <c r="D139" s="14">
        <v>2.1269999999999998</v>
      </c>
      <c r="F139" s="89">
        <v>-4.4710000000000001</v>
      </c>
      <c r="H139" s="20"/>
      <c r="I139" s="20"/>
      <c r="J139" s="147">
        <v>0.76675372657321839</v>
      </c>
      <c r="K139" s="197">
        <v>1.2861473139312608E-2</v>
      </c>
      <c r="L139" s="197">
        <v>0.49282807343291918</v>
      </c>
      <c r="M139" s="197">
        <v>0.11808671869809276</v>
      </c>
      <c r="N139" s="197">
        <v>0.41263016220713056</v>
      </c>
      <c r="O139" s="147">
        <v>0.76675372657321839</v>
      </c>
      <c r="P139" s="197">
        <v>1.2861473139312608E-2</v>
      </c>
      <c r="Q139" s="197">
        <v>0.49282807343291918</v>
      </c>
      <c r="R139" s="197">
        <v>0.11808671869809276</v>
      </c>
      <c r="S139" s="197">
        <v>0.41263016220713056</v>
      </c>
      <c r="U139" s="20">
        <f t="shared" si="251"/>
        <v>0.20975585889844822</v>
      </c>
      <c r="V139" s="20">
        <f t="shared" si="252"/>
        <v>8.4141064341753058E-2</v>
      </c>
      <c r="W139" s="20">
        <f t="shared" si="253"/>
        <v>8.4141064341753058E-2</v>
      </c>
      <c r="X139" s="20">
        <f t="shared" si="254"/>
        <v>0.10031677292253369</v>
      </c>
      <c r="Y139" s="20">
        <f t="shared" si="255"/>
        <v>0.10031677292253369</v>
      </c>
      <c r="Z139" s="20">
        <f t="shared" si="256"/>
        <v>8.0374599948598391</v>
      </c>
      <c r="AA139" s="20">
        <f t="shared" si="257"/>
        <v>4.8316980103494185</v>
      </c>
      <c r="AB139" s="20">
        <f t="shared" si="258"/>
        <v>4.8316980103494185</v>
      </c>
      <c r="AC139" s="20">
        <f t="shared" si="259"/>
        <v>5.7605683494302919</v>
      </c>
      <c r="AD139" s="20">
        <f t="shared" si="260"/>
        <v>5.7605683494302919</v>
      </c>
      <c r="AE139" s="191"/>
      <c r="AF139" s="20">
        <f t="shared" ref="AF139:AO143" si="267">$W139*AF$6</f>
        <v>8.0791531629360092E-2</v>
      </c>
      <c r="AG139" s="20">
        <f t="shared" si="267"/>
        <v>0.11176717247756465</v>
      </c>
      <c r="AH139" s="20">
        <f t="shared" si="267"/>
        <v>0.10449504227656771</v>
      </c>
      <c r="AI139" s="20">
        <f t="shared" si="267"/>
        <v>0.14592466542215637</v>
      </c>
      <c r="AJ139" s="20">
        <f t="shared" si="267"/>
        <v>0.12042116445578387</v>
      </c>
      <c r="AK139" s="20">
        <f t="shared" si="267"/>
        <v>8.9526597306011299E-2</v>
      </c>
      <c r="AL139" s="20">
        <f t="shared" si="267"/>
        <v>0.10587604751825733</v>
      </c>
      <c r="AM139" s="20">
        <f t="shared" si="267"/>
        <v>9.3117064803602573E-2</v>
      </c>
      <c r="AN139" s="20">
        <f t="shared" si="267"/>
        <v>8.6748259361446617E-2</v>
      </c>
      <c r="AO139" s="20">
        <f t="shared" si="267"/>
        <v>6.4500183974586331E-2</v>
      </c>
      <c r="AP139" s="20">
        <f t="shared" ref="AP139:AY143" si="268">$AB139*AP$6</f>
        <v>4.6393551790734122</v>
      </c>
      <c r="AQ139" s="20">
        <f t="shared" si="268"/>
        <v>6.4180935801908365</v>
      </c>
      <c r="AR139" s="20">
        <f t="shared" si="268"/>
        <v>6.00050037171364</v>
      </c>
      <c r="AS139" s="20">
        <f t="shared" si="268"/>
        <v>8.3795459576955444</v>
      </c>
      <c r="AT139" s="20">
        <f t="shared" si="268"/>
        <v>6.9150385160536532</v>
      </c>
      <c r="AU139" s="20">
        <f t="shared" si="268"/>
        <v>5.1409556731998434</v>
      </c>
      <c r="AV139" s="20">
        <f t="shared" si="268"/>
        <v>6.0798029135908376</v>
      </c>
      <c r="AW139" s="20">
        <f t="shared" si="268"/>
        <v>5.3471338906974726</v>
      </c>
      <c r="AX139" s="20">
        <f t="shared" si="268"/>
        <v>4.9814130048981058</v>
      </c>
      <c r="AY139" s="20">
        <f t="shared" si="268"/>
        <v>3.7038444071895746</v>
      </c>
      <c r="BA139" s="20">
        <f t="shared" si="263"/>
        <v>0.20975585889844822</v>
      </c>
      <c r="BB139" s="20">
        <f t="shared" si="264"/>
        <v>8.4141064341753058E-2</v>
      </c>
      <c r="BC139" s="20">
        <f t="shared" si="265"/>
        <v>8.4141064341753058E-2</v>
      </c>
      <c r="BD139" s="20">
        <f t="shared" si="266"/>
        <v>0.10031677292253369</v>
      </c>
    </row>
    <row r="140" spans="1:56" ht="15" x14ac:dyDescent="0.25">
      <c r="A140" s="1"/>
      <c r="B140" s="2"/>
      <c r="C140" s="1" t="s">
        <v>10</v>
      </c>
      <c r="D140" s="14">
        <v>0.78300000000000003</v>
      </c>
      <c r="F140" s="89">
        <v>-2.2640000000000002</v>
      </c>
      <c r="H140" s="20"/>
      <c r="I140" s="20"/>
      <c r="J140" s="147">
        <v>0.76763058985982757</v>
      </c>
      <c r="K140" s="197">
        <v>1.2861473139312608E-2</v>
      </c>
      <c r="L140" s="197">
        <v>0.49282807343291918</v>
      </c>
      <c r="M140" s="197">
        <v>0.11808671869809276</v>
      </c>
      <c r="N140" s="197">
        <v>0.41263016220713056</v>
      </c>
      <c r="O140" s="147">
        <v>0.76763058985982757</v>
      </c>
      <c r="P140" s="197">
        <v>1.2861473139312608E-2</v>
      </c>
      <c r="Q140" s="197">
        <v>0.49282807343291918</v>
      </c>
      <c r="R140" s="197">
        <v>0.11808671869809276</v>
      </c>
      <c r="S140" s="197">
        <v>0.41263016220713056</v>
      </c>
      <c r="U140" s="20">
        <f t="shared" si="251"/>
        <v>7.7304495463067474E-2</v>
      </c>
      <c r="V140" s="20">
        <f t="shared" si="252"/>
        <v>3.1009777561511721E-2</v>
      </c>
      <c r="W140" s="20">
        <f t="shared" si="253"/>
        <v>3.1009777561511721E-2</v>
      </c>
      <c r="X140" s="20">
        <f t="shared" si="254"/>
        <v>3.6971255811329082E-2</v>
      </c>
      <c r="Y140" s="20">
        <f t="shared" si="255"/>
        <v>3.6971255811329082E-2</v>
      </c>
      <c r="Z140" s="20">
        <f t="shared" si="256"/>
        <v>2.9621665538698587</v>
      </c>
      <c r="AA140" s="20">
        <f t="shared" si="257"/>
        <v>1.7806986602495898</v>
      </c>
      <c r="AB140" s="20">
        <f t="shared" si="258"/>
        <v>1.7806986602495898</v>
      </c>
      <c r="AC140" s="20">
        <f t="shared" si="259"/>
        <v>2.1230292787617508</v>
      </c>
      <c r="AD140" s="20">
        <f t="shared" si="260"/>
        <v>2.1230292787617508</v>
      </c>
      <c r="AE140" s="191"/>
      <c r="AF140" s="20">
        <f t="shared" si="267"/>
        <v>2.9775323669599511E-2</v>
      </c>
      <c r="AG140" s="20">
        <f t="shared" si="267"/>
        <v>4.1191244540610523E-2</v>
      </c>
      <c r="AH140" s="20">
        <f t="shared" si="267"/>
        <v>3.8511136537515492E-2</v>
      </c>
      <c r="AI140" s="20">
        <f t="shared" si="267"/>
        <v>5.3779821432964905E-2</v>
      </c>
      <c r="AJ140" s="20">
        <f t="shared" si="267"/>
        <v>4.4380630940260783E-2</v>
      </c>
      <c r="AK140" s="20">
        <f t="shared" si="267"/>
        <v>3.2994589384113843E-2</v>
      </c>
      <c r="AL140" s="20">
        <f t="shared" si="267"/>
        <v>3.9020099262091178E-2</v>
      </c>
      <c r="AM140" s="20">
        <f t="shared" si="267"/>
        <v>3.4317838612218661E-2</v>
      </c>
      <c r="AN140" s="20">
        <f t="shared" si="267"/>
        <v>3.1970646529032719E-2</v>
      </c>
      <c r="AO140" s="20">
        <f t="shared" si="267"/>
        <v>2.3771227204883165E-2</v>
      </c>
      <c r="AP140" s="20">
        <f t="shared" si="268"/>
        <v>1.7098116509149506</v>
      </c>
      <c r="AQ140" s="20">
        <f t="shared" si="268"/>
        <v>2.3653569852921779</v>
      </c>
      <c r="AR140" s="20">
        <f t="shared" si="268"/>
        <v>2.2114550515885658</v>
      </c>
      <c r="AS140" s="20">
        <f t="shared" si="268"/>
        <v>3.0882406616487259</v>
      </c>
      <c r="AT140" s="20">
        <f t="shared" si="268"/>
        <v>2.5485036098563114</v>
      </c>
      <c r="AU140" s="20">
        <f t="shared" si="268"/>
        <v>1.894674058697525</v>
      </c>
      <c r="AV140" s="20">
        <f t="shared" si="268"/>
        <v>2.2406816153706224</v>
      </c>
      <c r="AW140" s="20">
        <f t="shared" si="268"/>
        <v>1.9706600319276952</v>
      </c>
      <c r="AX140" s="20">
        <f t="shared" si="268"/>
        <v>1.8358753889360835</v>
      </c>
      <c r="AY140" s="20">
        <f t="shared" si="268"/>
        <v>1.3650337333848486</v>
      </c>
      <c r="BA140" s="20">
        <f t="shared" si="263"/>
        <v>7.7304495463067474E-2</v>
      </c>
      <c r="BB140" s="20">
        <f t="shared" si="264"/>
        <v>3.1009777561511721E-2</v>
      </c>
      <c r="BC140" s="20">
        <f t="shared" si="265"/>
        <v>3.1009777561511721E-2</v>
      </c>
      <c r="BD140" s="20">
        <f t="shared" si="266"/>
        <v>3.6971255811329082E-2</v>
      </c>
    </row>
    <row r="141" spans="1:56" ht="15" x14ac:dyDescent="0.25">
      <c r="A141" s="1"/>
      <c r="B141" s="2"/>
      <c r="C141" s="1" t="s">
        <v>11</v>
      </c>
      <c r="D141" s="14">
        <v>0.96499999999999997</v>
      </c>
      <c r="F141" s="89">
        <v>-0.58199999999999996</v>
      </c>
      <c r="H141" s="20"/>
      <c r="I141" s="20"/>
      <c r="J141" s="147">
        <v>0.76850745314643687</v>
      </c>
      <c r="K141" s="197">
        <v>1.2861473139312608E-2</v>
      </c>
      <c r="L141" s="197">
        <v>0.49282807343291918</v>
      </c>
      <c r="M141" s="197">
        <v>0.11808671869809276</v>
      </c>
      <c r="N141" s="197">
        <v>0.41263016220713056</v>
      </c>
      <c r="O141" s="147">
        <v>0.76850745314643687</v>
      </c>
      <c r="P141" s="197">
        <v>1.2861473139312608E-2</v>
      </c>
      <c r="Q141" s="197">
        <v>0.49282807343291918</v>
      </c>
      <c r="R141" s="197">
        <v>0.11808671869809276</v>
      </c>
      <c r="S141" s="197">
        <v>0.41263016220713056</v>
      </c>
      <c r="U141" s="20">
        <f t="shared" si="251"/>
        <v>9.5381931371942855E-2</v>
      </c>
      <c r="V141" s="20">
        <f t="shared" si="252"/>
        <v>3.8261325651422325E-2</v>
      </c>
      <c r="W141" s="20">
        <f t="shared" si="253"/>
        <v>3.8261325651422325E-2</v>
      </c>
      <c r="X141" s="20">
        <f t="shared" si="254"/>
        <v>4.5616878596866077E-2</v>
      </c>
      <c r="Y141" s="20">
        <f t="shared" si="255"/>
        <v>4.5616878596866077E-2</v>
      </c>
      <c r="Z141" s="20">
        <f t="shared" si="256"/>
        <v>3.6548607588864295</v>
      </c>
      <c r="AA141" s="20">
        <f t="shared" si="257"/>
        <v>2.1971099660974023</v>
      </c>
      <c r="AB141" s="20">
        <f t="shared" si="258"/>
        <v>2.1971099660974023</v>
      </c>
      <c r="AC141" s="20">
        <f t="shared" si="259"/>
        <v>2.6194936239409672</v>
      </c>
      <c r="AD141" s="20">
        <f t="shared" si="260"/>
        <v>2.6194936239409672</v>
      </c>
      <c r="AE141" s="191"/>
      <c r="AF141" s="20">
        <f t="shared" si="267"/>
        <v>3.6738198235676478E-2</v>
      </c>
      <c r="AG141" s="20">
        <f t="shared" si="267"/>
        <v>5.082369966148316E-2</v>
      </c>
      <c r="AH141" s="20">
        <f t="shared" si="267"/>
        <v>4.751685604146709E-2</v>
      </c>
      <c r="AI141" s="20">
        <f t="shared" si="267"/>
        <v>6.6356079376588092E-2</v>
      </c>
      <c r="AJ141" s="20">
        <f t="shared" si="267"/>
        <v>5.4758914979399387E-2</v>
      </c>
      <c r="AK141" s="20">
        <f t="shared" si="267"/>
        <v>4.0710280061067264E-2</v>
      </c>
      <c r="AL141" s="20">
        <f t="shared" si="267"/>
        <v>4.8144838248395126E-2</v>
      </c>
      <c r="AM141" s="20">
        <f t="shared" si="267"/>
        <v>4.2342967349264751E-2</v>
      </c>
      <c r="AN141" s="20">
        <f t="shared" si="267"/>
        <v>3.9446891088057295E-2</v>
      </c>
      <c r="AO141" s="20">
        <f t="shared" si="267"/>
        <v>2.9330060927262116E-2</v>
      </c>
      <c r="AP141" s="20">
        <f t="shared" si="268"/>
        <v>2.1096462316920843</v>
      </c>
      <c r="AQ141" s="20">
        <f t="shared" si="268"/>
        <v>2.9184889738924866</v>
      </c>
      <c r="AR141" s="20">
        <f t="shared" si="268"/>
        <v>2.7285975116871559</v>
      </c>
      <c r="AS141" s="20">
        <f t="shared" si="268"/>
        <v>3.8104169373972634</v>
      </c>
      <c r="AT141" s="20">
        <f t="shared" si="268"/>
        <v>3.1444639145545725</v>
      </c>
      <c r="AU141" s="20">
        <f t="shared" si="268"/>
        <v>2.3377381865874325</v>
      </c>
      <c r="AV141" s="20">
        <f t="shared" si="268"/>
        <v>2.7646586240998183</v>
      </c>
      <c r="AW141" s="20">
        <f t="shared" si="268"/>
        <v>2.4314932630607404</v>
      </c>
      <c r="AX141" s="20">
        <f t="shared" si="268"/>
        <v>2.2651896155068965</v>
      </c>
      <c r="AY141" s="20">
        <f t="shared" si="268"/>
        <v>1.6842429809312178</v>
      </c>
      <c r="BA141" s="20">
        <f t="shared" si="263"/>
        <v>9.5381931371942855E-2</v>
      </c>
      <c r="BB141" s="20">
        <f t="shared" si="264"/>
        <v>3.8261325651422325E-2</v>
      </c>
      <c r="BC141" s="20">
        <f t="shared" si="265"/>
        <v>3.8261325651422325E-2</v>
      </c>
      <c r="BD141" s="20">
        <f t="shared" si="266"/>
        <v>4.5616878596866077E-2</v>
      </c>
    </row>
    <row r="142" spans="1:56" ht="15" x14ac:dyDescent="0.25">
      <c r="A142" s="1"/>
      <c r="B142" s="2"/>
      <c r="C142" s="1" t="s">
        <v>12</v>
      </c>
      <c r="D142" s="14">
        <v>136.84700000000001</v>
      </c>
      <c r="F142" s="89">
        <v>-2.8349999999999795</v>
      </c>
      <c r="H142" s="20"/>
      <c r="I142" s="20"/>
      <c r="J142" s="147">
        <v>0.76850745314643687</v>
      </c>
      <c r="K142" s="197">
        <v>1.2861473139312608E-2</v>
      </c>
      <c r="L142" s="197">
        <v>0.49282807343291918</v>
      </c>
      <c r="M142" s="197">
        <v>0.11808671869809276</v>
      </c>
      <c r="N142" s="197">
        <v>0.41263016220713056</v>
      </c>
      <c r="O142" s="147">
        <v>0.76850745314643687</v>
      </c>
      <c r="P142" s="197">
        <v>1.2861473139312608E-2</v>
      </c>
      <c r="Q142" s="197">
        <v>0.49282807343291918</v>
      </c>
      <c r="R142" s="197">
        <v>0.11808671869809276</v>
      </c>
      <c r="S142" s="197">
        <v>0.41263016220713056</v>
      </c>
      <c r="U142" s="20">
        <f t="shared" si="251"/>
        <v>13.526146282338098</v>
      </c>
      <c r="V142" s="20">
        <f t="shared" si="252"/>
        <v>5.4258524677929447</v>
      </c>
      <c r="W142" s="20">
        <f t="shared" si="253"/>
        <v>5.4258524677929447</v>
      </c>
      <c r="X142" s="20">
        <f t="shared" si="254"/>
        <v>6.4689460988034542</v>
      </c>
      <c r="Y142" s="20">
        <f t="shared" si="255"/>
        <v>6.4689460988034542</v>
      </c>
      <c r="Z142" s="20">
        <f t="shared" si="256"/>
        <v>518.29712981485102</v>
      </c>
      <c r="AA142" s="20">
        <f t="shared" si="257"/>
        <v>311.57296117153493</v>
      </c>
      <c r="AB142" s="20">
        <f t="shared" si="258"/>
        <v>311.57296117153493</v>
      </c>
      <c r="AC142" s="20">
        <f t="shared" si="259"/>
        <v>371.47134088647618</v>
      </c>
      <c r="AD142" s="20">
        <f t="shared" si="260"/>
        <v>371.47134088647618</v>
      </c>
      <c r="AE142" s="191"/>
      <c r="AF142" s="20">
        <f t="shared" si="267"/>
        <v>5.2098572165363937</v>
      </c>
      <c r="AG142" s="20">
        <f t="shared" si="267"/>
        <v>7.2073272824611259</v>
      </c>
      <c r="AH142" s="20">
        <f t="shared" si="267"/>
        <v>6.7383825893333142</v>
      </c>
      <c r="AI142" s="20">
        <f t="shared" si="267"/>
        <v>9.4099796833657532</v>
      </c>
      <c r="AJ142" s="20">
        <f t="shared" si="267"/>
        <v>7.7653815939749942</v>
      </c>
      <c r="AK142" s="20">
        <f t="shared" si="267"/>
        <v>5.7731395808465003</v>
      </c>
      <c r="AL142" s="20">
        <f t="shared" si="267"/>
        <v>6.827436973863346</v>
      </c>
      <c r="AM142" s="20">
        <f t="shared" si="267"/>
        <v>6.0046715573521592</v>
      </c>
      <c r="AN142" s="20">
        <f t="shared" si="267"/>
        <v>5.5939779323599765</v>
      </c>
      <c r="AO142" s="20">
        <f t="shared" si="267"/>
        <v>4.1593065779409732</v>
      </c>
      <c r="AP142" s="20">
        <f t="shared" si="268"/>
        <v>299.16969727291882</v>
      </c>
      <c r="AQ142" s="20">
        <f t="shared" si="268"/>
        <v>413.87197990701048</v>
      </c>
      <c r="AR142" s="20">
        <f t="shared" si="268"/>
        <v>386.94340277912147</v>
      </c>
      <c r="AS142" s="20">
        <f t="shared" si="268"/>
        <v>540.35660790881172</v>
      </c>
      <c r="AT142" s="20">
        <f t="shared" si="268"/>
        <v>445.9175682021239</v>
      </c>
      <c r="AU142" s="20">
        <f t="shared" si="268"/>
        <v>331.51550012428021</v>
      </c>
      <c r="AV142" s="20">
        <f t="shared" si="268"/>
        <v>392.05724220952106</v>
      </c>
      <c r="AW142" s="20">
        <f t="shared" si="268"/>
        <v>344.81094152339188</v>
      </c>
      <c r="AX142" s="20">
        <f t="shared" si="268"/>
        <v>321.22736094639612</v>
      </c>
      <c r="AY142" s="20">
        <f t="shared" si="268"/>
        <v>238.84310799118589</v>
      </c>
      <c r="BA142" s="20">
        <f t="shared" si="263"/>
        <v>13.526146282338098</v>
      </c>
      <c r="BB142" s="20">
        <f t="shared" si="264"/>
        <v>5.4258524677929447</v>
      </c>
      <c r="BC142" s="20">
        <f t="shared" si="265"/>
        <v>5.4258524677929447</v>
      </c>
      <c r="BD142" s="20">
        <f t="shared" si="266"/>
        <v>6.4689460988034542</v>
      </c>
    </row>
    <row r="143" spans="1:56" ht="15" x14ac:dyDescent="0.25">
      <c r="A143" s="1"/>
      <c r="B143" s="2"/>
      <c r="C143" s="1" t="s">
        <v>13</v>
      </c>
      <c r="D143" s="14">
        <v>0</v>
      </c>
      <c r="F143" s="89">
        <v>0</v>
      </c>
      <c r="H143" s="20"/>
      <c r="I143" s="20"/>
      <c r="J143" s="147"/>
      <c r="K143" s="197">
        <v>1.2861473139312608E-2</v>
      </c>
      <c r="L143" s="197">
        <v>0.49282807343291918</v>
      </c>
      <c r="M143" s="197">
        <v>0.11808671869809276</v>
      </c>
      <c r="N143" s="197">
        <v>0.41263016220713056</v>
      </c>
      <c r="O143" s="147">
        <v>0.76850745314643687</v>
      </c>
      <c r="P143" s="197">
        <v>1.2861473139312608E-2</v>
      </c>
      <c r="Q143" s="197">
        <v>0.49282807343291918</v>
      </c>
      <c r="R143" s="197">
        <v>0.11808671869809276</v>
      </c>
      <c r="S143" s="197">
        <v>0.41263016220713056</v>
      </c>
      <c r="U143" s="20">
        <f t="shared" si="251"/>
        <v>0</v>
      </c>
      <c r="V143" s="20">
        <f t="shared" si="252"/>
        <v>0</v>
      </c>
      <c r="W143" s="20">
        <f t="shared" si="253"/>
        <v>0</v>
      </c>
      <c r="X143" s="20">
        <f t="shared" si="254"/>
        <v>0</v>
      </c>
      <c r="Y143" s="20">
        <f t="shared" si="255"/>
        <v>0</v>
      </c>
      <c r="Z143" s="20">
        <f t="shared" si="256"/>
        <v>0</v>
      </c>
      <c r="AA143" s="20">
        <f t="shared" si="257"/>
        <v>0</v>
      </c>
      <c r="AB143" s="20">
        <f t="shared" si="258"/>
        <v>0</v>
      </c>
      <c r="AC143" s="20">
        <f t="shared" si="259"/>
        <v>0</v>
      </c>
      <c r="AD143" s="20">
        <f t="shared" si="260"/>
        <v>0</v>
      </c>
      <c r="AE143" s="191"/>
      <c r="AF143" s="20">
        <f t="shared" si="267"/>
        <v>0</v>
      </c>
      <c r="AG143" s="20">
        <f t="shared" si="267"/>
        <v>0</v>
      </c>
      <c r="AH143" s="20">
        <f t="shared" si="267"/>
        <v>0</v>
      </c>
      <c r="AI143" s="20">
        <f t="shared" si="267"/>
        <v>0</v>
      </c>
      <c r="AJ143" s="20">
        <f t="shared" si="267"/>
        <v>0</v>
      </c>
      <c r="AK143" s="20">
        <f t="shared" si="267"/>
        <v>0</v>
      </c>
      <c r="AL143" s="20">
        <f t="shared" si="267"/>
        <v>0</v>
      </c>
      <c r="AM143" s="20">
        <f t="shared" si="267"/>
        <v>0</v>
      </c>
      <c r="AN143" s="20">
        <f t="shared" si="267"/>
        <v>0</v>
      </c>
      <c r="AO143" s="20">
        <f t="shared" si="267"/>
        <v>0</v>
      </c>
      <c r="AP143" s="20">
        <f t="shared" si="268"/>
        <v>0</v>
      </c>
      <c r="AQ143" s="20">
        <f t="shared" si="268"/>
        <v>0</v>
      </c>
      <c r="AR143" s="20">
        <f t="shared" si="268"/>
        <v>0</v>
      </c>
      <c r="AS143" s="20">
        <f t="shared" si="268"/>
        <v>0</v>
      </c>
      <c r="AT143" s="20">
        <f t="shared" si="268"/>
        <v>0</v>
      </c>
      <c r="AU143" s="20">
        <f t="shared" si="268"/>
        <v>0</v>
      </c>
      <c r="AV143" s="20">
        <f t="shared" si="268"/>
        <v>0</v>
      </c>
      <c r="AW143" s="20">
        <f t="shared" si="268"/>
        <v>0</v>
      </c>
      <c r="AX143" s="20">
        <f t="shared" si="268"/>
        <v>0</v>
      </c>
      <c r="AY143" s="20">
        <f t="shared" si="268"/>
        <v>0</v>
      </c>
      <c r="BA143" s="20">
        <f t="shared" si="263"/>
        <v>0</v>
      </c>
      <c r="BB143" s="20">
        <f t="shared" si="264"/>
        <v>0</v>
      </c>
      <c r="BC143" s="20">
        <f t="shared" si="265"/>
        <v>0</v>
      </c>
      <c r="BD143" s="20">
        <f t="shared" si="266"/>
        <v>0</v>
      </c>
    </row>
    <row r="144" spans="1:56" ht="15" x14ac:dyDescent="0.25">
      <c r="A144" s="7"/>
      <c r="B144" s="8" t="s">
        <v>14</v>
      </c>
      <c r="C144" s="7"/>
      <c r="D144" s="14">
        <f>SUM(D138:D143)</f>
        <v>143.09800000000001</v>
      </c>
      <c r="F144" s="14">
        <v>-16.13799999999998</v>
      </c>
      <c r="H144" s="20"/>
      <c r="I144" s="20"/>
      <c r="J144" s="147"/>
      <c r="K144" s="197"/>
      <c r="L144" s="197"/>
      <c r="M144" s="197"/>
      <c r="N144" s="197"/>
      <c r="O144" s="197"/>
      <c r="P144" s="197"/>
      <c r="Q144" s="197"/>
      <c r="R144" s="197"/>
      <c r="S144" s="197"/>
    </row>
    <row r="145" spans="1:56" ht="15" x14ac:dyDescent="0.25">
      <c r="A145" s="10"/>
      <c r="B145" s="9" t="s">
        <v>15</v>
      </c>
      <c r="C145" s="5"/>
      <c r="D145" s="14">
        <f>SUM(D144)</f>
        <v>143.09800000000001</v>
      </c>
      <c r="F145" s="14">
        <v>-16.13799999999998</v>
      </c>
      <c r="H145" s="20"/>
      <c r="I145" s="20"/>
      <c r="J145" s="147"/>
      <c r="K145" s="197"/>
      <c r="L145" s="197"/>
      <c r="M145" s="197"/>
      <c r="N145" s="197"/>
      <c r="O145" s="197"/>
      <c r="P145" s="197"/>
      <c r="Q145" s="197"/>
      <c r="R145" s="197"/>
      <c r="S145" s="197"/>
    </row>
    <row r="146" spans="1:56" ht="15.75" x14ac:dyDescent="0.25">
      <c r="A146" s="1"/>
      <c r="B146" s="2"/>
      <c r="C146" s="1"/>
      <c r="D146" s="87"/>
      <c r="F146" s="87"/>
      <c r="H146" s="20"/>
      <c r="I146" s="20"/>
      <c r="J146" s="147"/>
      <c r="K146" s="197"/>
      <c r="L146" s="197"/>
      <c r="M146" s="197"/>
      <c r="N146" s="197"/>
      <c r="O146" s="197"/>
      <c r="P146" s="197"/>
      <c r="Q146" s="197"/>
      <c r="R146" s="197"/>
      <c r="S146" s="197"/>
    </row>
    <row r="147" spans="1:56" ht="15" x14ac:dyDescent="0.25">
      <c r="A147" s="1">
        <v>16</v>
      </c>
      <c r="B147" s="2" t="s">
        <v>30</v>
      </c>
      <c r="C147" s="1" t="s">
        <v>8</v>
      </c>
      <c r="D147" s="14">
        <v>22.571000000000002</v>
      </c>
      <c r="F147" s="89">
        <v>-2.4569999999999972</v>
      </c>
      <c r="H147" s="20"/>
      <c r="I147" s="20"/>
      <c r="J147" s="147">
        <v>0.6764614388110155</v>
      </c>
      <c r="K147" s="197">
        <v>5.6499999999999995E-2</v>
      </c>
      <c r="L147" s="197">
        <v>1.25</v>
      </c>
      <c r="M147" s="197">
        <v>0.50650413159351704</v>
      </c>
      <c r="N147" s="197">
        <v>0.77519673403474398</v>
      </c>
      <c r="O147" s="147">
        <v>0.6764614388110155</v>
      </c>
      <c r="P147" s="197">
        <v>5.6499999999999995E-2</v>
      </c>
      <c r="Q147" s="197">
        <v>1.25</v>
      </c>
      <c r="R147" s="197">
        <v>0.50650413159351704</v>
      </c>
      <c r="S147" s="197">
        <v>0.77519673403474398</v>
      </c>
      <c r="U147" s="20">
        <f t="shared" ref="U147:U152" si="269">D147*$J147*$K147*10</f>
        <v>8.6266522915029373</v>
      </c>
      <c r="V147" s="20">
        <f t="shared" ref="V147:V152" si="270">U147*(EXP(1.01-0.34*LN(V$10))*(1-$M147)+(1*$M147))</f>
        <v>5.7357951954385227</v>
      </c>
      <c r="W147" s="20">
        <f t="shared" ref="W147:W152" si="271">SUM(V147:V147)</f>
        <v>5.7357951954385227</v>
      </c>
      <c r="X147" s="20">
        <f t="shared" ref="X147:X152" si="272">V147*$Y$1</f>
        <v>6.8384738017324889</v>
      </c>
      <c r="Y147" s="20">
        <f t="shared" ref="Y147:Y152" si="273">SUM(X147:X147)</f>
        <v>6.8384738017324889</v>
      </c>
      <c r="Z147" s="20">
        <f t="shared" ref="Z147:Z152" si="274">D147*$J147*$L147*10</f>
        <v>190.85513919254288</v>
      </c>
      <c r="AA147" s="20">
        <f t="shared" ref="AA147:AA152" si="275">Z147*(EXP(1.01-0.34*LN(AA$10))*(1-$N147)+(1*$N147))</f>
        <v>161.72065831095219</v>
      </c>
      <c r="AB147" s="20">
        <f t="shared" ref="AB147:AB152" si="276">SUM(AA147:AA147)</f>
        <v>161.72065831095219</v>
      </c>
      <c r="AC147" s="20">
        <f t="shared" ref="AC147:AC152" si="277">AA147*$Y$1</f>
        <v>192.81066484693866</v>
      </c>
      <c r="AD147" s="20">
        <f t="shared" ref="AD147:AD152" si="278">SUM(AC147:AC147)</f>
        <v>192.81066484693866</v>
      </c>
      <c r="AE147" s="191"/>
      <c r="AF147" s="20">
        <f>$W147*AF$6</f>
        <v>5.5074615774957545</v>
      </c>
      <c r="AG147" s="20">
        <f t="shared" ref="AG147:AO147" si="279">$W147*AG$6</f>
        <v>7.6190337728642925</v>
      </c>
      <c r="AH147" s="20">
        <f t="shared" si="279"/>
        <v>7.1233014001661816</v>
      </c>
      <c r="AI147" s="20">
        <f t="shared" si="279"/>
        <v>9.9475090001807782</v>
      </c>
      <c r="AJ147" s="20">
        <f t="shared" si="279"/>
        <v>8.2089660015371102</v>
      </c>
      <c r="AK147" s="20">
        <f t="shared" si="279"/>
        <v>6.1029205027177609</v>
      </c>
      <c r="AL147" s="20">
        <f t="shared" si="279"/>
        <v>7.2174428671434185</v>
      </c>
      <c r="AM147" s="20">
        <f t="shared" si="279"/>
        <v>6.3476783552975125</v>
      </c>
      <c r="AN147" s="20">
        <f t="shared" si="279"/>
        <v>5.9135245453643801</v>
      </c>
      <c r="AO147" s="20">
        <f t="shared" si="279"/>
        <v>4.3968999945576996</v>
      </c>
      <c r="AP147" s="20">
        <f>$AB147*AP$6</f>
        <v>155.28279542533309</v>
      </c>
      <c r="AQ147" s="20">
        <f t="shared" ref="AQ147:AY147" si="280">$AB147*AQ$6</f>
        <v>214.81854136299725</v>
      </c>
      <c r="AR147" s="20">
        <f t="shared" si="280"/>
        <v>200.84137465339344</v>
      </c>
      <c r="AS147" s="20">
        <f t="shared" si="280"/>
        <v>280.46986498798179</v>
      </c>
      <c r="AT147" s="20">
        <f t="shared" si="280"/>
        <v>231.4516715793074</v>
      </c>
      <c r="AU147" s="20">
        <f t="shared" si="280"/>
        <v>172.07175076680301</v>
      </c>
      <c r="AV147" s="20">
        <f t="shared" si="280"/>
        <v>203.49569188320407</v>
      </c>
      <c r="AW147" s="20">
        <f t="shared" si="280"/>
        <v>178.97269469824792</v>
      </c>
      <c r="AX147" s="20">
        <f t="shared" si="280"/>
        <v>166.73173462937535</v>
      </c>
      <c r="AY147" s="20">
        <f t="shared" si="280"/>
        <v>123.97052848274325</v>
      </c>
      <c r="BA147" s="20">
        <f t="shared" ref="BA147:BA152" si="281">D147*$O147*$P147*10</f>
        <v>8.6266522915029373</v>
      </c>
      <c r="BB147" s="20">
        <f t="shared" ref="BB147:BB152" si="282">BA147*(EXP(1.01-0.34*LN(BB$10))*(1-$R147)+(1*$R147))</f>
        <v>5.7357951954385227</v>
      </c>
      <c r="BC147" s="20">
        <f t="shared" ref="BC147:BC152" si="283">SUM(BB147:BB147)</f>
        <v>5.7357951954385227</v>
      </c>
      <c r="BD147" s="20">
        <f t="shared" ref="BD147:BD152" si="284">BC147*BD$6</f>
        <v>6.8384738017324889</v>
      </c>
    </row>
    <row r="148" spans="1:56" ht="15" x14ac:dyDescent="0.25">
      <c r="A148" s="1"/>
      <c r="B148" s="2"/>
      <c r="C148" s="1" t="s">
        <v>9</v>
      </c>
      <c r="D148" s="14">
        <v>196.81299999999999</v>
      </c>
      <c r="F148" s="89">
        <v>5.0019999999999811</v>
      </c>
      <c r="H148" s="20"/>
      <c r="I148" s="20"/>
      <c r="J148" s="147">
        <v>0.67792287762203074</v>
      </c>
      <c r="K148" s="197">
        <v>5.6499999999999995E-2</v>
      </c>
      <c r="L148" s="197">
        <v>1.25</v>
      </c>
      <c r="M148" s="197">
        <v>0.50650413159351704</v>
      </c>
      <c r="N148" s="197">
        <v>0.77519673403474398</v>
      </c>
      <c r="O148" s="147">
        <v>0.67792287762203074</v>
      </c>
      <c r="P148" s="197">
        <v>5.6499999999999995E-2</v>
      </c>
      <c r="Q148" s="197">
        <v>1.25</v>
      </c>
      <c r="R148" s="197">
        <v>0.50650413159351704</v>
      </c>
      <c r="S148" s="197">
        <v>0.77519673403474398</v>
      </c>
      <c r="U148" s="20">
        <f t="shared" si="269"/>
        <v>75.384579952084962</v>
      </c>
      <c r="V148" s="20">
        <f t="shared" si="270"/>
        <v>50.122631223379109</v>
      </c>
      <c r="W148" s="20">
        <f t="shared" si="271"/>
        <v>50.122631223379109</v>
      </c>
      <c r="X148" s="20">
        <f t="shared" si="272"/>
        <v>59.758462221169225</v>
      </c>
      <c r="Y148" s="20">
        <f t="shared" si="273"/>
        <v>59.758462221169225</v>
      </c>
      <c r="Z148" s="20">
        <f t="shared" si="274"/>
        <v>1667.800441417809</v>
      </c>
      <c r="AA148" s="20">
        <f t="shared" si="275"/>
        <v>1413.2068251265785</v>
      </c>
      <c r="AB148" s="20">
        <f t="shared" si="276"/>
        <v>1413.2068251265785</v>
      </c>
      <c r="AC148" s="20">
        <f t="shared" si="277"/>
        <v>1684.8889335768538</v>
      </c>
      <c r="AD148" s="20">
        <f t="shared" si="278"/>
        <v>1684.8889335768538</v>
      </c>
      <c r="AE148" s="191"/>
      <c r="AF148" s="20">
        <f t="shared" ref="AF148:AO152" si="285">$W148*AF$6</f>
        <v>48.127322580360115</v>
      </c>
      <c r="AG148" s="20">
        <f t="shared" si="285"/>
        <v>66.579437909402401</v>
      </c>
      <c r="AH148" s="20">
        <f t="shared" si="285"/>
        <v>62.247447303810624</v>
      </c>
      <c r="AI148" s="20">
        <f t="shared" si="285"/>
        <v>86.926974938683514</v>
      </c>
      <c r="AJ148" s="20">
        <f t="shared" si="285"/>
        <v>71.734600277833707</v>
      </c>
      <c r="AK148" s="20">
        <f t="shared" si="285"/>
        <v>53.330780357462714</v>
      </c>
      <c r="AL148" s="20">
        <f t="shared" si="285"/>
        <v>63.070108830477494</v>
      </c>
      <c r="AM148" s="20">
        <f t="shared" si="285"/>
        <v>55.469613277026738</v>
      </c>
      <c r="AN148" s="20">
        <f t="shared" si="285"/>
        <v>51.675731074466732</v>
      </c>
      <c r="AO148" s="20">
        <f t="shared" si="285"/>
        <v>38.422605662168174</v>
      </c>
      <c r="AP148" s="20">
        <f t="shared" ref="AP148:AY152" si="286">$AB148*AP$6</f>
        <v>1356.9491282793858</v>
      </c>
      <c r="AQ148" s="20">
        <f t="shared" si="286"/>
        <v>1877.2062393797737</v>
      </c>
      <c r="AR148" s="20">
        <f t="shared" si="286"/>
        <v>1755.0658301318454</v>
      </c>
      <c r="AS148" s="20">
        <f t="shared" si="286"/>
        <v>2450.9047364946518</v>
      </c>
      <c r="AT148" s="20">
        <f t="shared" si="286"/>
        <v>2022.5559639629612</v>
      </c>
      <c r="AU148" s="20">
        <f t="shared" si="286"/>
        <v>1503.6605411756302</v>
      </c>
      <c r="AV148" s="20">
        <f t="shared" si="286"/>
        <v>1778.2607593659754</v>
      </c>
      <c r="AW148" s="20">
        <f t="shared" si="286"/>
        <v>1563.9649028174313</v>
      </c>
      <c r="AX148" s="20">
        <f t="shared" si="286"/>
        <v>1456.9964518099505</v>
      </c>
      <c r="AY148" s="20">
        <f t="shared" si="286"/>
        <v>1083.3247823509316</v>
      </c>
      <c r="BA148" s="20">
        <f t="shared" si="281"/>
        <v>75.384579952084962</v>
      </c>
      <c r="BB148" s="20">
        <f t="shared" si="282"/>
        <v>50.122631223379109</v>
      </c>
      <c r="BC148" s="20">
        <f t="shared" si="283"/>
        <v>50.122631223379109</v>
      </c>
      <c r="BD148" s="20">
        <f t="shared" si="284"/>
        <v>59.758462221169225</v>
      </c>
    </row>
    <row r="149" spans="1:56" ht="15" x14ac:dyDescent="0.25">
      <c r="A149" s="1"/>
      <c r="B149" s="2"/>
      <c r="C149" s="1" t="s">
        <v>10</v>
      </c>
      <c r="D149" s="14">
        <v>13.791</v>
      </c>
      <c r="F149" s="89">
        <v>-4.2450000000000001</v>
      </c>
      <c r="H149" s="20"/>
      <c r="I149" s="20"/>
      <c r="J149" s="147">
        <v>0.6793843164330462</v>
      </c>
      <c r="K149" s="197">
        <v>5.6499999999999995E-2</v>
      </c>
      <c r="L149" s="197">
        <v>1.25</v>
      </c>
      <c r="M149" s="197">
        <v>0.50650413159351704</v>
      </c>
      <c r="N149" s="197">
        <v>0.77519673403474398</v>
      </c>
      <c r="O149" s="147">
        <v>0.6793843164330462</v>
      </c>
      <c r="P149" s="197">
        <v>5.6499999999999995E-2</v>
      </c>
      <c r="Q149" s="197">
        <v>1.25</v>
      </c>
      <c r="R149" s="197">
        <v>0.50650413159351704</v>
      </c>
      <c r="S149" s="197">
        <v>0.77519673403474398</v>
      </c>
      <c r="U149" s="20">
        <f t="shared" si="269"/>
        <v>5.2937048459793985</v>
      </c>
      <c r="V149" s="20">
        <f t="shared" si="270"/>
        <v>3.5197439047758703</v>
      </c>
      <c r="W149" s="20">
        <f t="shared" si="271"/>
        <v>3.5197439047758703</v>
      </c>
      <c r="X149" s="20">
        <f t="shared" si="272"/>
        <v>4.1963974761091842</v>
      </c>
      <c r="Y149" s="20">
        <f t="shared" si="273"/>
        <v>4.1963974761091842</v>
      </c>
      <c r="Z149" s="20">
        <f t="shared" si="274"/>
        <v>117.11736384910176</v>
      </c>
      <c r="AA149" s="20">
        <f t="shared" si="275"/>
        <v>99.239125870287751</v>
      </c>
      <c r="AB149" s="20">
        <f t="shared" si="276"/>
        <v>99.239125870287751</v>
      </c>
      <c r="AC149" s="20">
        <f t="shared" si="277"/>
        <v>118.31736302413616</v>
      </c>
      <c r="AD149" s="20">
        <f t="shared" si="278"/>
        <v>118.31736302413616</v>
      </c>
      <c r="AE149" s="191"/>
      <c r="AF149" s="20">
        <f t="shared" si="285"/>
        <v>3.3796280476670573</v>
      </c>
      <c r="AG149" s="20">
        <f t="shared" si="285"/>
        <v>4.6753844529956812</v>
      </c>
      <c r="AH149" s="20">
        <f t="shared" si="285"/>
        <v>4.3711806002165803</v>
      </c>
      <c r="AI149" s="20">
        <f t="shared" si="285"/>
        <v>6.1042423897794968</v>
      </c>
      <c r="AJ149" s="20">
        <f t="shared" si="285"/>
        <v>5.0373936069754626</v>
      </c>
      <c r="AK149" s="20">
        <f t="shared" si="285"/>
        <v>3.7450286331449547</v>
      </c>
      <c r="AL149" s="20">
        <f t="shared" si="285"/>
        <v>4.4289500712819532</v>
      </c>
      <c r="AM149" s="20">
        <f t="shared" si="285"/>
        <v>3.8952231450495498</v>
      </c>
      <c r="AN149" s="20">
        <f t="shared" si="285"/>
        <v>3.6288066894092554</v>
      </c>
      <c r="AO149" s="20">
        <f t="shared" si="285"/>
        <v>2.6981371245718484</v>
      </c>
      <c r="AP149" s="20">
        <f t="shared" si="286"/>
        <v>95.288561409851468</v>
      </c>
      <c r="AQ149" s="20">
        <f t="shared" si="286"/>
        <v>131.82239355347934</v>
      </c>
      <c r="AR149" s="20">
        <f t="shared" si="286"/>
        <v>123.24537055041115</v>
      </c>
      <c r="AS149" s="20">
        <f t="shared" si="286"/>
        <v>172.1090213524067</v>
      </c>
      <c r="AT149" s="20">
        <f t="shared" si="286"/>
        <v>142.02923614485348</v>
      </c>
      <c r="AU149" s="20">
        <f t="shared" si="286"/>
        <v>105.59102536074138</v>
      </c>
      <c r="AV149" s="20">
        <f t="shared" si="286"/>
        <v>124.87417990859697</v>
      </c>
      <c r="AW149" s="20">
        <f t="shared" si="286"/>
        <v>109.82575733987829</v>
      </c>
      <c r="AX149" s="20">
        <f t="shared" si="286"/>
        <v>102.31414942450448</v>
      </c>
      <c r="AY149" s="20">
        <f t="shared" si="286"/>
        <v>76.073935196638232</v>
      </c>
      <c r="BA149" s="20">
        <f t="shared" si="281"/>
        <v>5.2937048459793985</v>
      </c>
      <c r="BB149" s="20">
        <f t="shared" si="282"/>
        <v>3.5197439047758703</v>
      </c>
      <c r="BC149" s="20">
        <f t="shared" si="283"/>
        <v>3.5197439047758703</v>
      </c>
      <c r="BD149" s="20">
        <f t="shared" si="284"/>
        <v>4.1963974761091842</v>
      </c>
    </row>
    <row r="150" spans="1:56" ht="15" x14ac:dyDescent="0.25">
      <c r="A150" s="1"/>
      <c r="B150" s="2"/>
      <c r="C150" s="1" t="s">
        <v>11</v>
      </c>
      <c r="D150" s="14">
        <v>84.144000000000005</v>
      </c>
      <c r="F150" s="89">
        <v>1.4770000000000039</v>
      </c>
      <c r="H150" s="20"/>
      <c r="I150" s="20"/>
      <c r="J150" s="147">
        <v>0.68084575524406155</v>
      </c>
      <c r="K150" s="197">
        <v>5.6499999999999995E-2</v>
      </c>
      <c r="L150" s="197">
        <v>1.25</v>
      </c>
      <c r="M150" s="197">
        <v>0.50650413159351704</v>
      </c>
      <c r="N150" s="197">
        <v>0.77519673403474398</v>
      </c>
      <c r="O150" s="147">
        <v>0.68084575524406155</v>
      </c>
      <c r="P150" s="197">
        <v>5.6499999999999995E-2</v>
      </c>
      <c r="Q150" s="197">
        <v>1.25</v>
      </c>
      <c r="R150" s="197">
        <v>0.50650413159351704</v>
      </c>
      <c r="S150" s="197">
        <v>0.77519673403474398</v>
      </c>
      <c r="U150" s="20">
        <f t="shared" si="269"/>
        <v>32.368333154529815</v>
      </c>
      <c r="V150" s="20">
        <f t="shared" si="270"/>
        <v>21.521457399526199</v>
      </c>
      <c r="W150" s="20">
        <f t="shared" si="271"/>
        <v>21.521457399526199</v>
      </c>
      <c r="X150" s="20">
        <f t="shared" si="272"/>
        <v>25.658852449753439</v>
      </c>
      <c r="Y150" s="20">
        <f t="shared" si="273"/>
        <v>25.658852449753439</v>
      </c>
      <c r="Z150" s="20">
        <f t="shared" si="274"/>
        <v>716.11356536570395</v>
      </c>
      <c r="AA150" s="20">
        <f t="shared" si="275"/>
        <v>606.79716410209039</v>
      </c>
      <c r="AB150" s="20">
        <f t="shared" si="276"/>
        <v>606.79716410209039</v>
      </c>
      <c r="AC150" s="20">
        <f t="shared" si="277"/>
        <v>723.45095462573704</v>
      </c>
      <c r="AD150" s="20">
        <f t="shared" si="278"/>
        <v>723.45095462573704</v>
      </c>
      <c r="AE150" s="191"/>
      <c r="AF150" s="20">
        <f t="shared" si="285"/>
        <v>20.664719656284777</v>
      </c>
      <c r="AG150" s="20">
        <f t="shared" si="285"/>
        <v>28.587616046446708</v>
      </c>
      <c r="AH150" s="20">
        <f t="shared" si="285"/>
        <v>26.72756303251186</v>
      </c>
      <c r="AI150" s="20">
        <f t="shared" si="285"/>
        <v>37.324361118934007</v>
      </c>
      <c r="AJ150" s="20">
        <f t="shared" si="285"/>
        <v>30.801119300204167</v>
      </c>
      <c r="AK150" s="20">
        <f t="shared" si="285"/>
        <v>22.898959801840274</v>
      </c>
      <c r="AL150" s="20">
        <f t="shared" si="285"/>
        <v>27.080794189142203</v>
      </c>
      <c r="AM150" s="20">
        <f t="shared" si="285"/>
        <v>23.81732343199285</v>
      </c>
      <c r="AN150" s="20">
        <f t="shared" si="285"/>
        <v>22.188321278507917</v>
      </c>
      <c r="AO150" s="20">
        <f t="shared" si="285"/>
        <v>16.497746641669597</v>
      </c>
      <c r="AP150" s="20">
        <f t="shared" si="286"/>
        <v>582.64145645983922</v>
      </c>
      <c r="AQ150" s="20">
        <f t="shared" si="286"/>
        <v>806.02739969669392</v>
      </c>
      <c r="AR150" s="20">
        <f t="shared" si="286"/>
        <v>753.58323325469178</v>
      </c>
      <c r="AS150" s="20">
        <f t="shared" si="286"/>
        <v>1052.3597941554872</v>
      </c>
      <c r="AT150" s="20">
        <f t="shared" si="286"/>
        <v>868.43709027556463</v>
      </c>
      <c r="AU150" s="20">
        <f t="shared" si="286"/>
        <v>645.63582338760875</v>
      </c>
      <c r="AV150" s="20">
        <f t="shared" si="286"/>
        <v>763.54258034428585</v>
      </c>
      <c r="AW150" s="20">
        <f t="shared" si="286"/>
        <v>671.52907197417312</v>
      </c>
      <c r="AX150" s="20">
        <f t="shared" si="286"/>
        <v>625.59938102895774</v>
      </c>
      <c r="AY150" s="20">
        <f t="shared" si="286"/>
        <v>465.15371568006765</v>
      </c>
      <c r="BA150" s="20">
        <f t="shared" si="281"/>
        <v>32.368333154529815</v>
      </c>
      <c r="BB150" s="20">
        <f t="shared" si="282"/>
        <v>21.521457399526199</v>
      </c>
      <c r="BC150" s="20">
        <f t="shared" si="283"/>
        <v>21.521457399526199</v>
      </c>
      <c r="BD150" s="20">
        <f t="shared" si="284"/>
        <v>25.658852449753439</v>
      </c>
    </row>
    <row r="151" spans="1:56" ht="15" x14ac:dyDescent="0.25">
      <c r="A151" s="1"/>
      <c r="B151" s="2"/>
      <c r="C151" s="1" t="s">
        <v>12</v>
      </c>
      <c r="D151" s="14">
        <v>21.035</v>
      </c>
      <c r="F151" s="89">
        <v>-6.26</v>
      </c>
      <c r="H151" s="20"/>
      <c r="I151" s="20"/>
      <c r="J151" s="147">
        <v>0.68084575524406166</v>
      </c>
      <c r="K151" s="197">
        <v>5.6499999999999995E-2</v>
      </c>
      <c r="L151" s="197">
        <v>1.25</v>
      </c>
      <c r="M151" s="197">
        <v>0.50650413159351704</v>
      </c>
      <c r="N151" s="197">
        <v>0.77519673403474398</v>
      </c>
      <c r="O151" s="147">
        <v>0.68084575524406166</v>
      </c>
      <c r="P151" s="197">
        <v>5.6499999999999995E-2</v>
      </c>
      <c r="Q151" s="197">
        <v>1.25</v>
      </c>
      <c r="R151" s="197">
        <v>0.50650413159351704</v>
      </c>
      <c r="S151" s="197">
        <v>0.77519673403474398</v>
      </c>
      <c r="U151" s="20">
        <f t="shared" si="269"/>
        <v>8.0916986107807425</v>
      </c>
      <c r="V151" s="20">
        <f t="shared" si="270"/>
        <v>5.3801085805171338</v>
      </c>
      <c r="W151" s="20">
        <f t="shared" si="271"/>
        <v>5.3801085805171338</v>
      </c>
      <c r="X151" s="20">
        <f t="shared" si="272"/>
        <v>6.4144081726630979</v>
      </c>
      <c r="Y151" s="20">
        <f t="shared" si="273"/>
        <v>6.4144081726630979</v>
      </c>
      <c r="Z151" s="20">
        <f t="shared" si="274"/>
        <v>179.0198807694855</v>
      </c>
      <c r="AA151" s="20">
        <f t="shared" si="275"/>
        <v>151.6920796121824</v>
      </c>
      <c r="AB151" s="20">
        <f t="shared" si="276"/>
        <v>151.6920796121824</v>
      </c>
      <c r="AC151" s="20">
        <f t="shared" si="277"/>
        <v>180.85414088410801</v>
      </c>
      <c r="AD151" s="20">
        <f t="shared" si="278"/>
        <v>180.85414088410801</v>
      </c>
      <c r="AE151" s="191"/>
      <c r="AF151" s="20">
        <f t="shared" si="285"/>
        <v>5.1659343265111053</v>
      </c>
      <c r="AG151" s="20">
        <f t="shared" si="285"/>
        <v>7.1465642652715182</v>
      </c>
      <c r="AH151" s="20">
        <f t="shared" si="285"/>
        <v>6.6815731173807658</v>
      </c>
      <c r="AI151" s="20">
        <f t="shared" si="285"/>
        <v>9.3306467025192159</v>
      </c>
      <c r="AJ151" s="20">
        <f t="shared" si="285"/>
        <v>7.6999137725779008</v>
      </c>
      <c r="AK151" s="20">
        <f t="shared" si="285"/>
        <v>5.7244678103217135</v>
      </c>
      <c r="AL151" s="20">
        <f t="shared" si="285"/>
        <v>6.7698767086019966</v>
      </c>
      <c r="AM151" s="20">
        <f t="shared" si="285"/>
        <v>5.9540478036695399</v>
      </c>
      <c r="AN151" s="20">
        <f t="shared" si="285"/>
        <v>5.5468166249930375</v>
      </c>
      <c r="AO151" s="20">
        <f t="shared" si="285"/>
        <v>4.1242405947841805</v>
      </c>
      <c r="AP151" s="20">
        <f t="shared" si="286"/>
        <v>145.65343977743774</v>
      </c>
      <c r="AQ151" s="20">
        <f t="shared" si="286"/>
        <v>201.49727078127927</v>
      </c>
      <c r="AR151" s="20">
        <f t="shared" si="286"/>
        <v>188.38685243763604</v>
      </c>
      <c r="AS151" s="20">
        <f t="shared" si="286"/>
        <v>263.07744188606057</v>
      </c>
      <c r="AT151" s="20">
        <f t="shared" si="286"/>
        <v>217.09895172497752</v>
      </c>
      <c r="AU151" s="20">
        <f t="shared" si="286"/>
        <v>161.40128285983974</v>
      </c>
      <c r="AV151" s="20">
        <f t="shared" si="286"/>
        <v>190.87657084928287</v>
      </c>
      <c r="AW151" s="20">
        <f t="shared" si="286"/>
        <v>167.87428728105075</v>
      </c>
      <c r="AX151" s="20">
        <f t="shared" si="286"/>
        <v>156.39241039104547</v>
      </c>
      <c r="AY151" s="20">
        <f t="shared" si="286"/>
        <v>116.28290085246989</v>
      </c>
      <c r="BA151" s="20">
        <f t="shared" si="281"/>
        <v>8.0916986107807425</v>
      </c>
      <c r="BB151" s="20">
        <f t="shared" si="282"/>
        <v>5.3801085805171338</v>
      </c>
      <c r="BC151" s="20">
        <f t="shared" si="283"/>
        <v>5.3801085805171338</v>
      </c>
      <c r="BD151" s="20">
        <f t="shared" si="284"/>
        <v>6.4144081726630979</v>
      </c>
    </row>
    <row r="152" spans="1:56" ht="15" x14ac:dyDescent="0.25">
      <c r="A152" s="1"/>
      <c r="B152" s="2"/>
      <c r="C152" s="1" t="s">
        <v>13</v>
      </c>
      <c r="D152" s="14">
        <v>0</v>
      </c>
      <c r="F152" s="89">
        <v>0</v>
      </c>
      <c r="H152" s="20"/>
      <c r="I152" s="20"/>
      <c r="J152" s="147"/>
      <c r="K152" s="197">
        <v>5.6499999999999995E-2</v>
      </c>
      <c r="L152" s="197">
        <v>1.25</v>
      </c>
      <c r="M152" s="197">
        <v>0.50650413159351704</v>
      </c>
      <c r="N152" s="197">
        <v>0.77519673403474398</v>
      </c>
      <c r="O152" s="147">
        <v>0.68084575524406166</v>
      </c>
      <c r="P152" s="197">
        <v>5.6499999999999995E-2</v>
      </c>
      <c r="Q152" s="197">
        <v>1.25</v>
      </c>
      <c r="R152" s="197">
        <v>0.50650413159351704</v>
      </c>
      <c r="S152" s="197">
        <v>0.77519673403474398</v>
      </c>
      <c r="U152" s="20">
        <f t="shared" si="269"/>
        <v>0</v>
      </c>
      <c r="V152" s="20">
        <f t="shared" si="270"/>
        <v>0</v>
      </c>
      <c r="W152" s="20">
        <f t="shared" si="271"/>
        <v>0</v>
      </c>
      <c r="X152" s="20">
        <f t="shared" si="272"/>
        <v>0</v>
      </c>
      <c r="Y152" s="20">
        <f t="shared" si="273"/>
        <v>0</v>
      </c>
      <c r="Z152" s="20">
        <f t="shared" si="274"/>
        <v>0</v>
      </c>
      <c r="AA152" s="20">
        <f t="shared" si="275"/>
        <v>0</v>
      </c>
      <c r="AB152" s="20">
        <f t="shared" si="276"/>
        <v>0</v>
      </c>
      <c r="AC152" s="20">
        <f t="shared" si="277"/>
        <v>0</v>
      </c>
      <c r="AD152" s="20">
        <f t="shared" si="278"/>
        <v>0</v>
      </c>
      <c r="AE152" s="191"/>
      <c r="AF152" s="20">
        <f t="shared" si="285"/>
        <v>0</v>
      </c>
      <c r="AG152" s="20">
        <f t="shared" si="285"/>
        <v>0</v>
      </c>
      <c r="AH152" s="20">
        <f t="shared" si="285"/>
        <v>0</v>
      </c>
      <c r="AI152" s="20">
        <f t="shared" si="285"/>
        <v>0</v>
      </c>
      <c r="AJ152" s="20">
        <f t="shared" si="285"/>
        <v>0</v>
      </c>
      <c r="AK152" s="20">
        <f t="shared" si="285"/>
        <v>0</v>
      </c>
      <c r="AL152" s="20">
        <f t="shared" si="285"/>
        <v>0</v>
      </c>
      <c r="AM152" s="20">
        <f t="shared" si="285"/>
        <v>0</v>
      </c>
      <c r="AN152" s="20">
        <f t="shared" si="285"/>
        <v>0</v>
      </c>
      <c r="AO152" s="20">
        <f t="shared" si="285"/>
        <v>0</v>
      </c>
      <c r="AP152" s="20">
        <f t="shared" si="286"/>
        <v>0</v>
      </c>
      <c r="AQ152" s="20">
        <f t="shared" si="286"/>
        <v>0</v>
      </c>
      <c r="AR152" s="20">
        <f t="shared" si="286"/>
        <v>0</v>
      </c>
      <c r="AS152" s="20">
        <f t="shared" si="286"/>
        <v>0</v>
      </c>
      <c r="AT152" s="20">
        <f t="shared" si="286"/>
        <v>0</v>
      </c>
      <c r="AU152" s="20">
        <f t="shared" si="286"/>
        <v>0</v>
      </c>
      <c r="AV152" s="20">
        <f t="shared" si="286"/>
        <v>0</v>
      </c>
      <c r="AW152" s="20">
        <f t="shared" si="286"/>
        <v>0</v>
      </c>
      <c r="AX152" s="20">
        <f t="shared" si="286"/>
        <v>0</v>
      </c>
      <c r="AY152" s="20">
        <f t="shared" si="286"/>
        <v>0</v>
      </c>
      <c r="BA152" s="20">
        <f t="shared" si="281"/>
        <v>0</v>
      </c>
      <c r="BB152" s="20">
        <f t="shared" si="282"/>
        <v>0</v>
      </c>
      <c r="BC152" s="20">
        <f t="shared" si="283"/>
        <v>0</v>
      </c>
      <c r="BD152" s="20">
        <f t="shared" si="284"/>
        <v>0</v>
      </c>
    </row>
    <row r="153" spans="1:56" ht="15" x14ac:dyDescent="0.25">
      <c r="A153" s="7"/>
      <c r="B153" s="8" t="s">
        <v>14</v>
      </c>
      <c r="C153" s="7"/>
      <c r="D153" s="14">
        <f>SUM(D147:D152)</f>
        <v>338.35399999999998</v>
      </c>
      <c r="F153" s="14">
        <v>-6.4830000000000148</v>
      </c>
      <c r="H153" s="20"/>
      <c r="I153" s="20"/>
      <c r="J153" s="147"/>
      <c r="K153" s="197"/>
      <c r="L153" s="197"/>
      <c r="M153" s="197"/>
      <c r="N153" s="197"/>
      <c r="O153" s="197"/>
      <c r="P153" s="197"/>
      <c r="Q153" s="197"/>
      <c r="R153" s="197"/>
      <c r="S153" s="197"/>
    </row>
    <row r="154" spans="1:56" ht="15" x14ac:dyDescent="0.25">
      <c r="A154" s="10"/>
      <c r="B154" s="9" t="s">
        <v>15</v>
      </c>
      <c r="C154" s="5"/>
      <c r="D154" s="14">
        <f>SUM(D153)</f>
        <v>338.35399999999998</v>
      </c>
      <c r="F154" s="14">
        <v>-6.4830000000000148</v>
      </c>
      <c r="H154" s="20"/>
      <c r="I154" s="20"/>
      <c r="J154" s="147"/>
      <c r="K154" s="197"/>
      <c r="L154" s="197"/>
      <c r="M154" s="197"/>
      <c r="N154" s="197"/>
      <c r="O154" s="197"/>
      <c r="P154" s="197"/>
      <c r="Q154" s="197"/>
      <c r="R154" s="197"/>
      <c r="S154" s="197"/>
    </row>
    <row r="155" spans="1:56" ht="15.75" x14ac:dyDescent="0.25">
      <c r="A155" s="1"/>
      <c r="B155" s="2"/>
      <c r="C155" s="1"/>
      <c r="D155" s="87"/>
      <c r="F155" s="87"/>
      <c r="H155" s="20"/>
      <c r="I155" s="20"/>
      <c r="J155" s="147"/>
      <c r="K155" s="197"/>
      <c r="L155" s="197"/>
      <c r="M155" s="197"/>
      <c r="N155" s="197"/>
      <c r="O155" s="197"/>
      <c r="P155" s="197"/>
      <c r="Q155" s="197"/>
      <c r="R155" s="197"/>
      <c r="S155" s="197"/>
    </row>
    <row r="156" spans="1:56" ht="15" x14ac:dyDescent="0.25">
      <c r="A156" s="1">
        <v>17</v>
      </c>
      <c r="B156" s="2" t="s">
        <v>31</v>
      </c>
      <c r="C156" s="1" t="s">
        <v>8</v>
      </c>
      <c r="D156" s="14">
        <v>0</v>
      </c>
      <c r="F156" s="89">
        <v>0</v>
      </c>
      <c r="H156" s="20"/>
      <c r="I156" s="20"/>
      <c r="J156" s="147"/>
      <c r="K156" s="197"/>
      <c r="L156" s="197"/>
      <c r="M156" s="197"/>
      <c r="N156" s="197"/>
      <c r="O156" s="216">
        <v>1.4787297691620922E-2</v>
      </c>
      <c r="P156" s="217">
        <v>5.6499999999999995E-2</v>
      </c>
      <c r="Q156" s="217">
        <v>1.25</v>
      </c>
      <c r="R156" s="217">
        <v>0.50078889239507718</v>
      </c>
      <c r="S156" s="217">
        <v>0.75268470790377973</v>
      </c>
      <c r="U156" s="20">
        <f t="shared" ref="U156:U161" si="287">IF(F156&gt;0,((D156-F156)*$J156*$K156*10)+(F156*$H$12*$J156*$K156*10),(D156*$J156*$K156*10))</f>
        <v>0</v>
      </c>
      <c r="V156" s="20">
        <f t="shared" ref="V156:V161" si="288">U156*(EXP(1.01-0.34*LN(V$10))*(1-$M156)+(1*$M156))</f>
        <v>0</v>
      </c>
      <c r="W156" s="20">
        <f t="shared" ref="W156:W161" si="289">SUM(V156:V156)</f>
        <v>0</v>
      </c>
      <c r="X156" s="20">
        <f t="shared" ref="X156:X161" si="290">V156*$Y$1</f>
        <v>0</v>
      </c>
      <c r="Y156" s="20">
        <f t="shared" ref="Y156:Y161" si="291">SUM(X156:X156)</f>
        <v>0</v>
      </c>
      <c r="Z156" s="20">
        <f t="shared" ref="Z156:Z161" si="292">IF(F156&gt;0,((D156-F156)*$J156*$L156*10)+(F156*$I$12*$J156*$L156)*10,(D156*$J156*$L156*10))</f>
        <v>0</v>
      </c>
      <c r="AA156" s="20">
        <f t="shared" ref="AA156:AA161" si="293">Z156*(EXP(1.01-0.34*LN(AA$10))*(1-$N156)+(1*$N156))</f>
        <v>0</v>
      </c>
      <c r="AB156" s="20">
        <f t="shared" ref="AB156:AB161" si="294">SUM(AA156:AA156)</f>
        <v>0</v>
      </c>
      <c r="AC156" s="20">
        <f t="shared" ref="AC156:AC161" si="295">AA156*$Y$1</f>
        <v>0</v>
      </c>
      <c r="AD156" s="20">
        <f t="shared" ref="AD156:AD161" si="296">SUM(AC156:AC156)</f>
        <v>0</v>
      </c>
      <c r="AE156" s="191"/>
      <c r="AF156" s="20">
        <f>$W156*AF$6</f>
        <v>0</v>
      </c>
      <c r="AG156" s="20">
        <f t="shared" ref="AG156:AO156" si="297">$W156*AG$6</f>
        <v>0</v>
      </c>
      <c r="AH156" s="20">
        <f t="shared" si="297"/>
        <v>0</v>
      </c>
      <c r="AI156" s="20">
        <f t="shared" si="297"/>
        <v>0</v>
      </c>
      <c r="AJ156" s="20">
        <f t="shared" si="297"/>
        <v>0</v>
      </c>
      <c r="AK156" s="20">
        <f t="shared" si="297"/>
        <v>0</v>
      </c>
      <c r="AL156" s="20">
        <f t="shared" si="297"/>
        <v>0</v>
      </c>
      <c r="AM156" s="20">
        <f t="shared" si="297"/>
        <v>0</v>
      </c>
      <c r="AN156" s="20">
        <f t="shared" si="297"/>
        <v>0</v>
      </c>
      <c r="AO156" s="20">
        <f t="shared" si="297"/>
        <v>0</v>
      </c>
      <c r="AP156" s="20">
        <f>$AB156*AP$6</f>
        <v>0</v>
      </c>
      <c r="AQ156" s="20">
        <f t="shared" ref="AQ156:AY156" si="298">$AB156*AQ$6</f>
        <v>0</v>
      </c>
      <c r="AR156" s="20">
        <f t="shared" si="298"/>
        <v>0</v>
      </c>
      <c r="AS156" s="20">
        <f t="shared" si="298"/>
        <v>0</v>
      </c>
      <c r="AT156" s="20">
        <f t="shared" si="298"/>
        <v>0</v>
      </c>
      <c r="AU156" s="20">
        <f t="shared" si="298"/>
        <v>0</v>
      </c>
      <c r="AV156" s="20">
        <f t="shared" si="298"/>
        <v>0</v>
      </c>
      <c r="AW156" s="20">
        <f t="shared" si="298"/>
        <v>0</v>
      </c>
      <c r="AX156" s="20">
        <f t="shared" si="298"/>
        <v>0</v>
      </c>
      <c r="AY156" s="20">
        <f t="shared" si="298"/>
        <v>0</v>
      </c>
      <c r="BA156" s="20">
        <f t="shared" ref="BA156:BA161" si="299">D156*$O156*$P156*10</f>
        <v>0</v>
      </c>
      <c r="BB156" s="20">
        <f t="shared" ref="BB156:BB161" si="300">BA156*(EXP(1.01-0.34*LN(BB$10))*(1-$R156)+(1*$R156))</f>
        <v>0</v>
      </c>
      <c r="BC156" s="20">
        <f t="shared" ref="BC156:BC161" si="301">SUM(BB156:BB156)</f>
        <v>0</v>
      </c>
      <c r="BD156" s="20">
        <f t="shared" ref="BD156:BD161" si="302">BC156*BD$6</f>
        <v>0</v>
      </c>
    </row>
    <row r="157" spans="1:56" ht="15" x14ac:dyDescent="0.25">
      <c r="A157" s="1"/>
      <c r="B157" s="2"/>
      <c r="C157" s="1" t="s">
        <v>9</v>
      </c>
      <c r="D157" s="14">
        <v>0</v>
      </c>
      <c r="F157" s="89">
        <v>0</v>
      </c>
      <c r="H157" s="20"/>
      <c r="I157" s="20"/>
      <c r="J157" s="147"/>
      <c r="K157" s="197"/>
      <c r="L157" s="197"/>
      <c r="M157" s="197"/>
      <c r="N157" s="197"/>
      <c r="O157" s="216">
        <v>2.0574595383241839E-2</v>
      </c>
      <c r="P157" s="217">
        <v>5.6499999999999995E-2</v>
      </c>
      <c r="Q157" s="217">
        <v>1.25</v>
      </c>
      <c r="R157" s="217">
        <v>0.50078889239507718</v>
      </c>
      <c r="S157" s="217">
        <v>0.75268470790377973</v>
      </c>
      <c r="U157" s="20">
        <f t="shared" si="287"/>
        <v>0</v>
      </c>
      <c r="V157" s="20">
        <f t="shared" si="288"/>
        <v>0</v>
      </c>
      <c r="W157" s="20">
        <f t="shared" si="289"/>
        <v>0</v>
      </c>
      <c r="X157" s="20">
        <f t="shared" si="290"/>
        <v>0</v>
      </c>
      <c r="Y157" s="20">
        <f t="shared" si="291"/>
        <v>0</v>
      </c>
      <c r="Z157" s="20">
        <f t="shared" si="292"/>
        <v>0</v>
      </c>
      <c r="AA157" s="20">
        <f t="shared" si="293"/>
        <v>0</v>
      </c>
      <c r="AB157" s="20">
        <f t="shared" si="294"/>
        <v>0</v>
      </c>
      <c r="AC157" s="20">
        <f t="shared" si="295"/>
        <v>0</v>
      </c>
      <c r="AD157" s="20">
        <f t="shared" si="296"/>
        <v>0</v>
      </c>
      <c r="AE157" s="191"/>
      <c r="AF157" s="20">
        <f t="shared" ref="AF157:AO161" si="303">$W157*AF$6</f>
        <v>0</v>
      </c>
      <c r="AG157" s="20">
        <f t="shared" si="303"/>
        <v>0</v>
      </c>
      <c r="AH157" s="20">
        <f t="shared" si="303"/>
        <v>0</v>
      </c>
      <c r="AI157" s="20">
        <f t="shared" si="303"/>
        <v>0</v>
      </c>
      <c r="AJ157" s="20">
        <f t="shared" si="303"/>
        <v>0</v>
      </c>
      <c r="AK157" s="20">
        <f t="shared" si="303"/>
        <v>0</v>
      </c>
      <c r="AL157" s="20">
        <f t="shared" si="303"/>
        <v>0</v>
      </c>
      <c r="AM157" s="20">
        <f t="shared" si="303"/>
        <v>0</v>
      </c>
      <c r="AN157" s="20">
        <f t="shared" si="303"/>
        <v>0</v>
      </c>
      <c r="AO157" s="20">
        <f t="shared" si="303"/>
        <v>0</v>
      </c>
      <c r="AP157" s="20">
        <f t="shared" ref="AP157:AY161" si="304">$AB157*AP$6</f>
        <v>0</v>
      </c>
      <c r="AQ157" s="20">
        <f t="shared" si="304"/>
        <v>0</v>
      </c>
      <c r="AR157" s="20">
        <f t="shared" si="304"/>
        <v>0</v>
      </c>
      <c r="AS157" s="20">
        <f t="shared" si="304"/>
        <v>0</v>
      </c>
      <c r="AT157" s="20">
        <f t="shared" si="304"/>
        <v>0</v>
      </c>
      <c r="AU157" s="20">
        <f t="shared" si="304"/>
        <v>0</v>
      </c>
      <c r="AV157" s="20">
        <f t="shared" si="304"/>
        <v>0</v>
      </c>
      <c r="AW157" s="20">
        <f t="shared" si="304"/>
        <v>0</v>
      </c>
      <c r="AX157" s="20">
        <f t="shared" si="304"/>
        <v>0</v>
      </c>
      <c r="AY157" s="20">
        <f t="shared" si="304"/>
        <v>0</v>
      </c>
      <c r="BA157" s="20">
        <f t="shared" si="299"/>
        <v>0</v>
      </c>
      <c r="BB157" s="20">
        <f t="shared" si="300"/>
        <v>0</v>
      </c>
      <c r="BC157" s="20">
        <f t="shared" si="301"/>
        <v>0</v>
      </c>
      <c r="BD157" s="20">
        <f t="shared" si="302"/>
        <v>0</v>
      </c>
    </row>
    <row r="158" spans="1:56" ht="15" x14ac:dyDescent="0.25">
      <c r="A158" s="1"/>
      <c r="B158" s="2"/>
      <c r="C158" s="1" t="s">
        <v>10</v>
      </c>
      <c r="D158" s="14">
        <v>0</v>
      </c>
      <c r="F158" s="89">
        <v>0</v>
      </c>
      <c r="H158" s="20"/>
      <c r="I158" s="20"/>
      <c r="J158" s="147"/>
      <c r="K158" s="197"/>
      <c r="L158" s="197"/>
      <c r="M158" s="197"/>
      <c r="N158" s="197"/>
      <c r="O158" s="216">
        <v>2.6361893074862752E-2</v>
      </c>
      <c r="P158" s="217">
        <v>5.6499999999999995E-2</v>
      </c>
      <c r="Q158" s="217">
        <v>1.25</v>
      </c>
      <c r="R158" s="217">
        <v>0.50078889239507718</v>
      </c>
      <c r="S158" s="217">
        <v>0.75268470790377973</v>
      </c>
      <c r="U158" s="20">
        <f t="shared" si="287"/>
        <v>0</v>
      </c>
      <c r="V158" s="20">
        <f t="shared" si="288"/>
        <v>0</v>
      </c>
      <c r="W158" s="20">
        <f t="shared" si="289"/>
        <v>0</v>
      </c>
      <c r="X158" s="20">
        <f t="shared" si="290"/>
        <v>0</v>
      </c>
      <c r="Y158" s="20">
        <f t="shared" si="291"/>
        <v>0</v>
      </c>
      <c r="Z158" s="20">
        <f t="shared" si="292"/>
        <v>0</v>
      </c>
      <c r="AA158" s="20">
        <f t="shared" si="293"/>
        <v>0</v>
      </c>
      <c r="AB158" s="20">
        <f t="shared" si="294"/>
        <v>0</v>
      </c>
      <c r="AC158" s="20">
        <f t="shared" si="295"/>
        <v>0</v>
      </c>
      <c r="AD158" s="20">
        <f t="shared" si="296"/>
        <v>0</v>
      </c>
      <c r="AE158" s="191"/>
      <c r="AF158" s="20">
        <f t="shared" si="303"/>
        <v>0</v>
      </c>
      <c r="AG158" s="20">
        <f t="shared" si="303"/>
        <v>0</v>
      </c>
      <c r="AH158" s="20">
        <f t="shared" si="303"/>
        <v>0</v>
      </c>
      <c r="AI158" s="20">
        <f t="shared" si="303"/>
        <v>0</v>
      </c>
      <c r="AJ158" s="20">
        <f t="shared" si="303"/>
        <v>0</v>
      </c>
      <c r="AK158" s="20">
        <f t="shared" si="303"/>
        <v>0</v>
      </c>
      <c r="AL158" s="20">
        <f t="shared" si="303"/>
        <v>0</v>
      </c>
      <c r="AM158" s="20">
        <f t="shared" si="303"/>
        <v>0</v>
      </c>
      <c r="AN158" s="20">
        <f t="shared" si="303"/>
        <v>0</v>
      </c>
      <c r="AO158" s="20">
        <f t="shared" si="303"/>
        <v>0</v>
      </c>
      <c r="AP158" s="20">
        <f t="shared" si="304"/>
        <v>0</v>
      </c>
      <c r="AQ158" s="20">
        <f t="shared" si="304"/>
        <v>0</v>
      </c>
      <c r="AR158" s="20">
        <f t="shared" si="304"/>
        <v>0</v>
      </c>
      <c r="AS158" s="20">
        <f t="shared" si="304"/>
        <v>0</v>
      </c>
      <c r="AT158" s="20">
        <f t="shared" si="304"/>
        <v>0</v>
      </c>
      <c r="AU158" s="20">
        <f t="shared" si="304"/>
        <v>0</v>
      </c>
      <c r="AV158" s="20">
        <f t="shared" si="304"/>
        <v>0</v>
      </c>
      <c r="AW158" s="20">
        <f t="shared" si="304"/>
        <v>0</v>
      </c>
      <c r="AX158" s="20">
        <f t="shared" si="304"/>
        <v>0</v>
      </c>
      <c r="AY158" s="20">
        <f t="shared" si="304"/>
        <v>0</v>
      </c>
      <c r="BA158" s="20">
        <f t="shared" si="299"/>
        <v>0</v>
      </c>
      <c r="BB158" s="20">
        <f t="shared" si="300"/>
        <v>0</v>
      </c>
      <c r="BC158" s="20">
        <f t="shared" si="301"/>
        <v>0</v>
      </c>
      <c r="BD158" s="20">
        <f t="shared" si="302"/>
        <v>0</v>
      </c>
    </row>
    <row r="159" spans="1:56" ht="15" x14ac:dyDescent="0.25">
      <c r="A159" s="1"/>
      <c r="B159" s="2"/>
      <c r="C159" s="1" t="s">
        <v>11</v>
      </c>
      <c r="D159" s="14">
        <v>0</v>
      </c>
      <c r="F159" s="89">
        <v>0</v>
      </c>
      <c r="H159" s="20"/>
      <c r="I159" s="20"/>
      <c r="J159" s="147"/>
      <c r="K159" s="197"/>
      <c r="L159" s="197"/>
      <c r="M159" s="197"/>
      <c r="N159" s="197"/>
      <c r="O159" s="216">
        <v>3.2149190766483676E-2</v>
      </c>
      <c r="P159" s="217">
        <v>5.6499999999999995E-2</v>
      </c>
      <c r="Q159" s="217">
        <v>1.25</v>
      </c>
      <c r="R159" s="217">
        <v>0.50078889239507718</v>
      </c>
      <c r="S159" s="217">
        <v>0.75268470790377973</v>
      </c>
      <c r="U159" s="20">
        <f t="shared" si="287"/>
        <v>0</v>
      </c>
      <c r="V159" s="20">
        <f t="shared" si="288"/>
        <v>0</v>
      </c>
      <c r="W159" s="20">
        <f t="shared" si="289"/>
        <v>0</v>
      </c>
      <c r="X159" s="20">
        <f t="shared" si="290"/>
        <v>0</v>
      </c>
      <c r="Y159" s="20">
        <f t="shared" si="291"/>
        <v>0</v>
      </c>
      <c r="Z159" s="20">
        <f t="shared" si="292"/>
        <v>0</v>
      </c>
      <c r="AA159" s="20">
        <f t="shared" si="293"/>
        <v>0</v>
      </c>
      <c r="AB159" s="20">
        <f t="shared" si="294"/>
        <v>0</v>
      </c>
      <c r="AC159" s="20">
        <f t="shared" si="295"/>
        <v>0</v>
      </c>
      <c r="AD159" s="20">
        <f t="shared" si="296"/>
        <v>0</v>
      </c>
      <c r="AE159" s="191"/>
      <c r="AF159" s="20">
        <f t="shared" si="303"/>
        <v>0</v>
      </c>
      <c r="AG159" s="20">
        <f t="shared" si="303"/>
        <v>0</v>
      </c>
      <c r="AH159" s="20">
        <f t="shared" si="303"/>
        <v>0</v>
      </c>
      <c r="AI159" s="20">
        <f t="shared" si="303"/>
        <v>0</v>
      </c>
      <c r="AJ159" s="20">
        <f t="shared" si="303"/>
        <v>0</v>
      </c>
      <c r="AK159" s="20">
        <f t="shared" si="303"/>
        <v>0</v>
      </c>
      <c r="AL159" s="20">
        <f t="shared" si="303"/>
        <v>0</v>
      </c>
      <c r="AM159" s="20">
        <f t="shared" si="303"/>
        <v>0</v>
      </c>
      <c r="AN159" s="20">
        <f t="shared" si="303"/>
        <v>0</v>
      </c>
      <c r="AO159" s="20">
        <f t="shared" si="303"/>
        <v>0</v>
      </c>
      <c r="AP159" s="20">
        <f t="shared" si="304"/>
        <v>0</v>
      </c>
      <c r="AQ159" s="20">
        <f t="shared" si="304"/>
        <v>0</v>
      </c>
      <c r="AR159" s="20">
        <f t="shared" si="304"/>
        <v>0</v>
      </c>
      <c r="AS159" s="20">
        <f t="shared" si="304"/>
        <v>0</v>
      </c>
      <c r="AT159" s="20">
        <f t="shared" si="304"/>
        <v>0</v>
      </c>
      <c r="AU159" s="20">
        <f t="shared" si="304"/>
        <v>0</v>
      </c>
      <c r="AV159" s="20">
        <f t="shared" si="304"/>
        <v>0</v>
      </c>
      <c r="AW159" s="20">
        <f t="shared" si="304"/>
        <v>0</v>
      </c>
      <c r="AX159" s="20">
        <f t="shared" si="304"/>
        <v>0</v>
      </c>
      <c r="AY159" s="20">
        <f t="shared" si="304"/>
        <v>0</v>
      </c>
      <c r="BA159" s="20">
        <f t="shared" si="299"/>
        <v>0</v>
      </c>
      <c r="BB159" s="20">
        <f t="shared" si="300"/>
        <v>0</v>
      </c>
      <c r="BC159" s="20">
        <f t="shared" si="301"/>
        <v>0</v>
      </c>
      <c r="BD159" s="20">
        <f t="shared" si="302"/>
        <v>0</v>
      </c>
    </row>
    <row r="160" spans="1:56" ht="15" x14ac:dyDescent="0.25">
      <c r="A160" s="1"/>
      <c r="B160" s="2"/>
      <c r="C160" s="1" t="s">
        <v>12</v>
      </c>
      <c r="D160" s="14">
        <v>0</v>
      </c>
      <c r="F160" s="89">
        <v>0</v>
      </c>
      <c r="H160" s="20"/>
      <c r="I160" s="20"/>
      <c r="J160" s="147"/>
      <c r="K160" s="197"/>
      <c r="L160" s="197"/>
      <c r="M160" s="197"/>
      <c r="N160" s="197"/>
      <c r="O160" s="216">
        <v>3.2149190766483676E-2</v>
      </c>
      <c r="P160" s="217">
        <v>5.6499999999999995E-2</v>
      </c>
      <c r="Q160" s="217">
        <v>1.25</v>
      </c>
      <c r="R160" s="217">
        <v>0.50078889239507718</v>
      </c>
      <c r="S160" s="217">
        <v>0.75268470790377973</v>
      </c>
      <c r="U160" s="20">
        <f t="shared" si="287"/>
        <v>0</v>
      </c>
      <c r="V160" s="20">
        <f t="shared" si="288"/>
        <v>0</v>
      </c>
      <c r="W160" s="20">
        <f t="shared" si="289"/>
        <v>0</v>
      </c>
      <c r="X160" s="20">
        <f t="shared" si="290"/>
        <v>0</v>
      </c>
      <c r="Y160" s="20">
        <f t="shared" si="291"/>
        <v>0</v>
      </c>
      <c r="Z160" s="20">
        <f t="shared" si="292"/>
        <v>0</v>
      </c>
      <c r="AA160" s="20">
        <f t="shared" si="293"/>
        <v>0</v>
      </c>
      <c r="AB160" s="20">
        <f t="shared" si="294"/>
        <v>0</v>
      </c>
      <c r="AC160" s="20">
        <f t="shared" si="295"/>
        <v>0</v>
      </c>
      <c r="AD160" s="20">
        <f t="shared" si="296"/>
        <v>0</v>
      </c>
      <c r="AE160" s="191"/>
      <c r="AF160" s="20">
        <f t="shared" si="303"/>
        <v>0</v>
      </c>
      <c r="AG160" s="20">
        <f t="shared" si="303"/>
        <v>0</v>
      </c>
      <c r="AH160" s="20">
        <f t="shared" si="303"/>
        <v>0</v>
      </c>
      <c r="AI160" s="20">
        <f t="shared" si="303"/>
        <v>0</v>
      </c>
      <c r="AJ160" s="20">
        <f t="shared" si="303"/>
        <v>0</v>
      </c>
      <c r="AK160" s="20">
        <f t="shared" si="303"/>
        <v>0</v>
      </c>
      <c r="AL160" s="20">
        <f t="shared" si="303"/>
        <v>0</v>
      </c>
      <c r="AM160" s="20">
        <f t="shared" si="303"/>
        <v>0</v>
      </c>
      <c r="AN160" s="20">
        <f t="shared" si="303"/>
        <v>0</v>
      </c>
      <c r="AO160" s="20">
        <f t="shared" si="303"/>
        <v>0</v>
      </c>
      <c r="AP160" s="20">
        <f t="shared" si="304"/>
        <v>0</v>
      </c>
      <c r="AQ160" s="20">
        <f t="shared" si="304"/>
        <v>0</v>
      </c>
      <c r="AR160" s="20">
        <f t="shared" si="304"/>
        <v>0</v>
      </c>
      <c r="AS160" s="20">
        <f t="shared" si="304"/>
        <v>0</v>
      </c>
      <c r="AT160" s="20">
        <f t="shared" si="304"/>
        <v>0</v>
      </c>
      <c r="AU160" s="20">
        <f t="shared" si="304"/>
        <v>0</v>
      </c>
      <c r="AV160" s="20">
        <f t="shared" si="304"/>
        <v>0</v>
      </c>
      <c r="AW160" s="20">
        <f t="shared" si="304"/>
        <v>0</v>
      </c>
      <c r="AX160" s="20">
        <f t="shared" si="304"/>
        <v>0</v>
      </c>
      <c r="AY160" s="20">
        <f t="shared" si="304"/>
        <v>0</v>
      </c>
      <c r="BA160" s="20">
        <f t="shared" si="299"/>
        <v>0</v>
      </c>
      <c r="BB160" s="20">
        <f t="shared" si="300"/>
        <v>0</v>
      </c>
      <c r="BC160" s="20">
        <f t="shared" si="301"/>
        <v>0</v>
      </c>
      <c r="BD160" s="20">
        <f t="shared" si="302"/>
        <v>0</v>
      </c>
    </row>
    <row r="161" spans="1:56" ht="15" x14ac:dyDescent="0.25">
      <c r="A161" s="1"/>
      <c r="B161" s="2"/>
      <c r="C161" s="1" t="s">
        <v>13</v>
      </c>
      <c r="D161" s="14">
        <v>0</v>
      </c>
      <c r="F161" s="89">
        <v>0</v>
      </c>
      <c r="H161" s="20"/>
      <c r="I161" s="20"/>
      <c r="J161" s="147"/>
      <c r="K161" s="197"/>
      <c r="L161" s="197"/>
      <c r="M161" s="197"/>
      <c r="N161" s="197"/>
      <c r="O161" s="216">
        <v>3.2149190766483676E-2</v>
      </c>
      <c r="P161" s="217">
        <v>5.6499999999999995E-2</v>
      </c>
      <c r="Q161" s="217">
        <v>1.25</v>
      </c>
      <c r="R161" s="217">
        <v>0.50078889239507718</v>
      </c>
      <c r="S161" s="217">
        <v>0.75268470790377973</v>
      </c>
      <c r="U161" s="20">
        <f t="shared" si="287"/>
        <v>0</v>
      </c>
      <c r="V161" s="20">
        <f t="shared" si="288"/>
        <v>0</v>
      </c>
      <c r="W161" s="20">
        <f t="shared" si="289"/>
        <v>0</v>
      </c>
      <c r="X161" s="20">
        <f t="shared" si="290"/>
        <v>0</v>
      </c>
      <c r="Y161" s="20">
        <f t="shared" si="291"/>
        <v>0</v>
      </c>
      <c r="Z161" s="20">
        <f t="shared" si="292"/>
        <v>0</v>
      </c>
      <c r="AA161" s="20">
        <f t="shared" si="293"/>
        <v>0</v>
      </c>
      <c r="AB161" s="20">
        <f t="shared" si="294"/>
        <v>0</v>
      </c>
      <c r="AC161" s="20">
        <f t="shared" si="295"/>
        <v>0</v>
      </c>
      <c r="AD161" s="20">
        <f t="shared" si="296"/>
        <v>0</v>
      </c>
      <c r="AE161" s="191"/>
      <c r="AF161" s="20">
        <f t="shared" si="303"/>
        <v>0</v>
      </c>
      <c r="AG161" s="20">
        <f t="shared" si="303"/>
        <v>0</v>
      </c>
      <c r="AH161" s="20">
        <f t="shared" si="303"/>
        <v>0</v>
      </c>
      <c r="AI161" s="20">
        <f t="shared" si="303"/>
        <v>0</v>
      </c>
      <c r="AJ161" s="20">
        <f t="shared" si="303"/>
        <v>0</v>
      </c>
      <c r="AK161" s="20">
        <f t="shared" si="303"/>
        <v>0</v>
      </c>
      <c r="AL161" s="20">
        <f t="shared" si="303"/>
        <v>0</v>
      </c>
      <c r="AM161" s="20">
        <f t="shared" si="303"/>
        <v>0</v>
      </c>
      <c r="AN161" s="20">
        <f t="shared" si="303"/>
        <v>0</v>
      </c>
      <c r="AO161" s="20">
        <f t="shared" si="303"/>
        <v>0</v>
      </c>
      <c r="AP161" s="20">
        <f t="shared" si="304"/>
        <v>0</v>
      </c>
      <c r="AQ161" s="20">
        <f t="shared" si="304"/>
        <v>0</v>
      </c>
      <c r="AR161" s="20">
        <f t="shared" si="304"/>
        <v>0</v>
      </c>
      <c r="AS161" s="20">
        <f t="shared" si="304"/>
        <v>0</v>
      </c>
      <c r="AT161" s="20">
        <f t="shared" si="304"/>
        <v>0</v>
      </c>
      <c r="AU161" s="20">
        <f t="shared" si="304"/>
        <v>0</v>
      </c>
      <c r="AV161" s="20">
        <f t="shared" si="304"/>
        <v>0</v>
      </c>
      <c r="AW161" s="20">
        <f t="shared" si="304"/>
        <v>0</v>
      </c>
      <c r="AX161" s="20">
        <f t="shared" si="304"/>
        <v>0</v>
      </c>
      <c r="AY161" s="20">
        <f t="shared" si="304"/>
        <v>0</v>
      </c>
      <c r="BA161" s="20">
        <f t="shared" si="299"/>
        <v>0</v>
      </c>
      <c r="BB161" s="20">
        <f t="shared" si="300"/>
        <v>0</v>
      </c>
      <c r="BC161" s="20">
        <f t="shared" si="301"/>
        <v>0</v>
      </c>
      <c r="BD161" s="20">
        <f t="shared" si="302"/>
        <v>0</v>
      </c>
    </row>
    <row r="162" spans="1:56" ht="15" x14ac:dyDescent="0.25">
      <c r="A162" s="7"/>
      <c r="B162" s="8" t="s">
        <v>14</v>
      </c>
      <c r="C162" s="7"/>
      <c r="D162" s="14">
        <f>SUM(D156:D161)</f>
        <v>0</v>
      </c>
      <c r="F162" s="14">
        <v>0</v>
      </c>
      <c r="H162" s="20"/>
      <c r="I162" s="20"/>
      <c r="J162" s="147"/>
      <c r="K162" s="197"/>
      <c r="L162" s="197"/>
      <c r="M162" s="197"/>
      <c r="N162" s="197"/>
      <c r="O162" s="197"/>
      <c r="P162" s="197"/>
      <c r="Q162" s="197"/>
      <c r="R162" s="197"/>
      <c r="S162" s="197"/>
    </row>
    <row r="163" spans="1:56" ht="15" x14ac:dyDescent="0.25">
      <c r="A163" s="10"/>
      <c r="B163" s="9" t="s">
        <v>15</v>
      </c>
      <c r="C163" s="5"/>
      <c r="D163" s="14">
        <f>SUM(D162)</f>
        <v>0</v>
      </c>
      <c r="F163" s="14">
        <v>0</v>
      </c>
      <c r="H163" s="20"/>
      <c r="I163" s="20"/>
      <c r="J163" s="147"/>
      <c r="K163" s="197"/>
      <c r="L163" s="197"/>
      <c r="M163" s="197"/>
      <c r="N163" s="197"/>
      <c r="O163" s="197"/>
      <c r="P163" s="197"/>
      <c r="Q163" s="197"/>
      <c r="R163" s="197"/>
      <c r="S163" s="197"/>
    </row>
    <row r="164" spans="1:56" ht="15.75" x14ac:dyDescent="0.25">
      <c r="A164" s="1"/>
      <c r="B164" s="2"/>
      <c r="C164" s="1"/>
      <c r="D164" s="87"/>
      <c r="F164" s="87"/>
      <c r="H164" s="20"/>
      <c r="I164" s="20"/>
      <c r="J164" s="147"/>
      <c r="K164" s="197"/>
      <c r="L164" s="197"/>
      <c r="M164" s="197"/>
      <c r="N164" s="197"/>
      <c r="O164" s="197"/>
      <c r="P164" s="197"/>
      <c r="Q164" s="197"/>
      <c r="R164" s="197"/>
      <c r="S164" s="197"/>
    </row>
    <row r="165" spans="1:56" ht="15" x14ac:dyDescent="0.25">
      <c r="A165" s="1">
        <v>18</v>
      </c>
      <c r="B165" s="2" t="s">
        <v>709</v>
      </c>
      <c r="C165" s="1" t="s">
        <v>8</v>
      </c>
      <c r="D165" s="14">
        <v>0</v>
      </c>
      <c r="F165" s="89">
        <v>0</v>
      </c>
      <c r="H165" s="20"/>
      <c r="I165" s="20"/>
      <c r="J165" s="147"/>
      <c r="K165" s="197">
        <v>0.66599999999999993</v>
      </c>
      <c r="L165" s="197">
        <v>4.5549999999999997</v>
      </c>
      <c r="M165" s="197">
        <v>0.60039794540960334</v>
      </c>
      <c r="N165" s="197">
        <v>0.90789473684210531</v>
      </c>
      <c r="O165" s="147">
        <v>0.6764614388110155</v>
      </c>
      <c r="P165" s="197">
        <v>5.6499999999999995E-2</v>
      </c>
      <c r="Q165" s="197">
        <v>1.25</v>
      </c>
      <c r="R165" s="197">
        <v>0.50650413159351704</v>
      </c>
      <c r="S165" s="197">
        <v>0.77519673403474398</v>
      </c>
      <c r="U165" s="20">
        <f t="shared" ref="U165:U170" si="305">IF(F165&gt;0,((D165-F165)*$J165*$K165*10)+(F165*$H$12*$J165*$K165*10),(D165*$J165*$K165*10))</f>
        <v>0</v>
      </c>
      <c r="V165" s="20">
        <f t="shared" ref="V165:V170" si="306">U165*(EXP(1.01-0.34*LN(V$10))*(1-$M165)+(1*$M165))</f>
        <v>0</v>
      </c>
      <c r="W165" s="20">
        <f t="shared" ref="W165:W170" si="307">SUM(V165:V165)</f>
        <v>0</v>
      </c>
      <c r="X165" s="20">
        <f t="shared" ref="X165:X170" si="308">V165*$Y$1</f>
        <v>0</v>
      </c>
      <c r="Y165" s="20">
        <f t="shared" ref="Y165:Y170" si="309">SUM(X165:X165)</f>
        <v>0</v>
      </c>
      <c r="Z165" s="20">
        <f t="shared" ref="Z165:Z170" si="310">IF(F165&gt;0,((D165-F165)*$J165*$L165*10)+(F165*$I$12*$J165*$L165)*10,(D165*$J165*$L165*10))</f>
        <v>0</v>
      </c>
      <c r="AA165" s="20">
        <f t="shared" ref="AA165:AA170" si="311">Z165*(EXP(1.01-0.34*LN(AA$10))*(1-$N165)+(1*$N165))</f>
        <v>0</v>
      </c>
      <c r="AB165" s="20">
        <f t="shared" ref="AB165:AB170" si="312">SUM(AA165:AA165)</f>
        <v>0</v>
      </c>
      <c r="AC165" s="20">
        <f t="shared" ref="AC165:AC170" si="313">AA165*$Y$1</f>
        <v>0</v>
      </c>
      <c r="AD165" s="20">
        <f t="shared" ref="AD165:AD170" si="314">SUM(AC165:AC165)</f>
        <v>0</v>
      </c>
      <c r="AE165" s="191"/>
      <c r="AF165" s="20">
        <f>$W165*AF$6</f>
        <v>0</v>
      </c>
      <c r="AG165" s="20">
        <f t="shared" ref="AG165:AO165" si="315">$W165*AG$6</f>
        <v>0</v>
      </c>
      <c r="AH165" s="20">
        <f t="shared" si="315"/>
        <v>0</v>
      </c>
      <c r="AI165" s="20">
        <f t="shared" si="315"/>
        <v>0</v>
      </c>
      <c r="AJ165" s="20">
        <f t="shared" si="315"/>
        <v>0</v>
      </c>
      <c r="AK165" s="20">
        <f t="shared" si="315"/>
        <v>0</v>
      </c>
      <c r="AL165" s="20">
        <f t="shared" si="315"/>
        <v>0</v>
      </c>
      <c r="AM165" s="20">
        <f t="shared" si="315"/>
        <v>0</v>
      </c>
      <c r="AN165" s="20">
        <f t="shared" si="315"/>
        <v>0</v>
      </c>
      <c r="AO165" s="20">
        <f t="shared" si="315"/>
        <v>0</v>
      </c>
      <c r="AP165" s="20">
        <f>$AB165*AP$6</f>
        <v>0</v>
      </c>
      <c r="AQ165" s="20">
        <f t="shared" ref="AQ165:AY165" si="316">$AB165*AQ$6</f>
        <v>0</v>
      </c>
      <c r="AR165" s="20">
        <f t="shared" si="316"/>
        <v>0</v>
      </c>
      <c r="AS165" s="20">
        <f t="shared" si="316"/>
        <v>0</v>
      </c>
      <c r="AT165" s="20">
        <f t="shared" si="316"/>
        <v>0</v>
      </c>
      <c r="AU165" s="20">
        <f t="shared" si="316"/>
        <v>0</v>
      </c>
      <c r="AV165" s="20">
        <f t="shared" si="316"/>
        <v>0</v>
      </c>
      <c r="AW165" s="20">
        <f t="shared" si="316"/>
        <v>0</v>
      </c>
      <c r="AX165" s="20">
        <f t="shared" si="316"/>
        <v>0</v>
      </c>
      <c r="AY165" s="20">
        <f t="shared" si="316"/>
        <v>0</v>
      </c>
      <c r="BA165" s="20">
        <f t="shared" ref="BA165:BA170" si="317">D165*$O165*$P165*10</f>
        <v>0</v>
      </c>
      <c r="BB165" s="20">
        <f t="shared" ref="BB165:BB170" si="318">BA165*(EXP(1.01-0.34*LN(BB$10))*(1-$R165)+(1*$R165))</f>
        <v>0</v>
      </c>
      <c r="BC165" s="20">
        <f t="shared" ref="BC165:BC170" si="319">SUM(BB165:BB165)</f>
        <v>0</v>
      </c>
      <c r="BD165" s="20">
        <f t="shared" ref="BD165:BD170" si="320">BC165*BD$6</f>
        <v>0</v>
      </c>
    </row>
    <row r="166" spans="1:56" ht="15" x14ac:dyDescent="0.25">
      <c r="A166" s="1"/>
      <c r="B166" s="2"/>
      <c r="C166" s="1" t="s">
        <v>9</v>
      </c>
      <c r="D166" s="14">
        <v>0</v>
      </c>
      <c r="F166" s="89">
        <v>0</v>
      </c>
      <c r="H166" s="20"/>
      <c r="I166" s="20"/>
      <c r="J166" s="147"/>
      <c r="K166" s="197">
        <v>0.66599999999999993</v>
      </c>
      <c r="L166" s="197">
        <v>4.5549999999999997</v>
      </c>
      <c r="M166" s="197">
        <v>0.60039794540960334</v>
      </c>
      <c r="N166" s="197">
        <v>0.90789473684210531</v>
      </c>
      <c r="O166" s="147">
        <v>0.67792287762203074</v>
      </c>
      <c r="P166" s="197">
        <v>5.6499999999999995E-2</v>
      </c>
      <c r="Q166" s="197">
        <v>1.25</v>
      </c>
      <c r="R166" s="197">
        <v>0.50650413159351704</v>
      </c>
      <c r="S166" s="197">
        <v>0.77519673403474398</v>
      </c>
      <c r="U166" s="20">
        <f t="shared" si="305"/>
        <v>0</v>
      </c>
      <c r="V166" s="20">
        <f t="shared" si="306"/>
        <v>0</v>
      </c>
      <c r="W166" s="20">
        <f t="shared" si="307"/>
        <v>0</v>
      </c>
      <c r="X166" s="20">
        <f t="shared" si="308"/>
        <v>0</v>
      </c>
      <c r="Y166" s="20">
        <f t="shared" si="309"/>
        <v>0</v>
      </c>
      <c r="Z166" s="20">
        <f t="shared" si="310"/>
        <v>0</v>
      </c>
      <c r="AA166" s="20">
        <f t="shared" si="311"/>
        <v>0</v>
      </c>
      <c r="AB166" s="20">
        <f t="shared" si="312"/>
        <v>0</v>
      </c>
      <c r="AC166" s="20">
        <f t="shared" si="313"/>
        <v>0</v>
      </c>
      <c r="AD166" s="20">
        <f t="shared" si="314"/>
        <v>0</v>
      </c>
      <c r="AE166" s="191"/>
      <c r="AF166" s="20">
        <f t="shared" ref="AF166:AO170" si="321">$W166*AF$6</f>
        <v>0</v>
      </c>
      <c r="AG166" s="20">
        <f t="shared" si="321"/>
        <v>0</v>
      </c>
      <c r="AH166" s="20">
        <f t="shared" si="321"/>
        <v>0</v>
      </c>
      <c r="AI166" s="20">
        <f t="shared" si="321"/>
        <v>0</v>
      </c>
      <c r="AJ166" s="20">
        <f t="shared" si="321"/>
        <v>0</v>
      </c>
      <c r="AK166" s="20">
        <f t="shared" si="321"/>
        <v>0</v>
      </c>
      <c r="AL166" s="20">
        <f t="shared" si="321"/>
        <v>0</v>
      </c>
      <c r="AM166" s="20">
        <f t="shared" si="321"/>
        <v>0</v>
      </c>
      <c r="AN166" s="20">
        <f t="shared" si="321"/>
        <v>0</v>
      </c>
      <c r="AO166" s="20">
        <f t="shared" si="321"/>
        <v>0</v>
      </c>
      <c r="AP166" s="20">
        <f t="shared" ref="AP166:AY170" si="322">$AB166*AP$6</f>
        <v>0</v>
      </c>
      <c r="AQ166" s="20">
        <f t="shared" si="322"/>
        <v>0</v>
      </c>
      <c r="AR166" s="20">
        <f t="shared" si="322"/>
        <v>0</v>
      </c>
      <c r="AS166" s="20">
        <f t="shared" si="322"/>
        <v>0</v>
      </c>
      <c r="AT166" s="20">
        <f t="shared" si="322"/>
        <v>0</v>
      </c>
      <c r="AU166" s="20">
        <f t="shared" si="322"/>
        <v>0</v>
      </c>
      <c r="AV166" s="20">
        <f t="shared" si="322"/>
        <v>0</v>
      </c>
      <c r="AW166" s="20">
        <f t="shared" si="322"/>
        <v>0</v>
      </c>
      <c r="AX166" s="20">
        <f t="shared" si="322"/>
        <v>0</v>
      </c>
      <c r="AY166" s="20">
        <f t="shared" si="322"/>
        <v>0</v>
      </c>
      <c r="BA166" s="20">
        <f t="shared" si="317"/>
        <v>0</v>
      </c>
      <c r="BB166" s="20">
        <f t="shared" si="318"/>
        <v>0</v>
      </c>
      <c r="BC166" s="20">
        <f t="shared" si="319"/>
        <v>0</v>
      </c>
      <c r="BD166" s="20">
        <f t="shared" si="320"/>
        <v>0</v>
      </c>
    </row>
    <row r="167" spans="1:56" ht="15" x14ac:dyDescent="0.25">
      <c r="A167" s="1"/>
      <c r="B167" s="2"/>
      <c r="C167" s="1" t="s">
        <v>10</v>
      </c>
      <c r="D167" s="14">
        <v>0</v>
      </c>
      <c r="F167" s="89">
        <v>0</v>
      </c>
      <c r="H167" s="20"/>
      <c r="I167" s="20"/>
      <c r="J167" s="147"/>
      <c r="K167" s="197">
        <v>0.66599999999999993</v>
      </c>
      <c r="L167" s="197">
        <v>4.5549999999999997</v>
      </c>
      <c r="M167" s="197">
        <v>0.60039794540960334</v>
      </c>
      <c r="N167" s="197">
        <v>0.90789473684210531</v>
      </c>
      <c r="O167" s="147">
        <v>0.6793843164330462</v>
      </c>
      <c r="P167" s="197">
        <v>5.6499999999999995E-2</v>
      </c>
      <c r="Q167" s="197">
        <v>1.25</v>
      </c>
      <c r="R167" s="197">
        <v>0.50650413159351704</v>
      </c>
      <c r="S167" s="197">
        <v>0.77519673403474398</v>
      </c>
      <c r="U167" s="20">
        <f t="shared" si="305"/>
        <v>0</v>
      </c>
      <c r="V167" s="20">
        <f t="shared" si="306"/>
        <v>0</v>
      </c>
      <c r="W167" s="20">
        <f t="shared" si="307"/>
        <v>0</v>
      </c>
      <c r="X167" s="20">
        <f t="shared" si="308"/>
        <v>0</v>
      </c>
      <c r="Y167" s="20">
        <f t="shared" si="309"/>
        <v>0</v>
      </c>
      <c r="Z167" s="20">
        <f t="shared" si="310"/>
        <v>0</v>
      </c>
      <c r="AA167" s="20">
        <f t="shared" si="311"/>
        <v>0</v>
      </c>
      <c r="AB167" s="20">
        <f t="shared" si="312"/>
        <v>0</v>
      </c>
      <c r="AC167" s="20">
        <f t="shared" si="313"/>
        <v>0</v>
      </c>
      <c r="AD167" s="20">
        <f t="shared" si="314"/>
        <v>0</v>
      </c>
      <c r="AE167" s="191"/>
      <c r="AF167" s="20">
        <f t="shared" si="321"/>
        <v>0</v>
      </c>
      <c r="AG167" s="20">
        <f t="shared" si="321"/>
        <v>0</v>
      </c>
      <c r="AH167" s="20">
        <f t="shared" si="321"/>
        <v>0</v>
      </c>
      <c r="AI167" s="20">
        <f t="shared" si="321"/>
        <v>0</v>
      </c>
      <c r="AJ167" s="20">
        <f t="shared" si="321"/>
        <v>0</v>
      </c>
      <c r="AK167" s="20">
        <f t="shared" si="321"/>
        <v>0</v>
      </c>
      <c r="AL167" s="20">
        <f t="shared" si="321"/>
        <v>0</v>
      </c>
      <c r="AM167" s="20">
        <f t="shared" si="321"/>
        <v>0</v>
      </c>
      <c r="AN167" s="20">
        <f t="shared" si="321"/>
        <v>0</v>
      </c>
      <c r="AO167" s="20">
        <f t="shared" si="321"/>
        <v>0</v>
      </c>
      <c r="AP167" s="20">
        <f t="shared" si="322"/>
        <v>0</v>
      </c>
      <c r="AQ167" s="20">
        <f t="shared" si="322"/>
        <v>0</v>
      </c>
      <c r="AR167" s="20">
        <f t="shared" si="322"/>
        <v>0</v>
      </c>
      <c r="AS167" s="20">
        <f t="shared" si="322"/>
        <v>0</v>
      </c>
      <c r="AT167" s="20">
        <f t="shared" si="322"/>
        <v>0</v>
      </c>
      <c r="AU167" s="20">
        <f t="shared" si="322"/>
        <v>0</v>
      </c>
      <c r="AV167" s="20">
        <f t="shared" si="322"/>
        <v>0</v>
      </c>
      <c r="AW167" s="20">
        <f t="shared" si="322"/>
        <v>0</v>
      </c>
      <c r="AX167" s="20">
        <f t="shared" si="322"/>
        <v>0</v>
      </c>
      <c r="AY167" s="20">
        <f t="shared" si="322"/>
        <v>0</v>
      </c>
      <c r="BA167" s="20">
        <f t="shared" si="317"/>
        <v>0</v>
      </c>
      <c r="BB167" s="20">
        <f t="shared" si="318"/>
        <v>0</v>
      </c>
      <c r="BC167" s="20">
        <f t="shared" si="319"/>
        <v>0</v>
      </c>
      <c r="BD167" s="20">
        <f t="shared" si="320"/>
        <v>0</v>
      </c>
    </row>
    <row r="168" spans="1:56" ht="15" x14ac:dyDescent="0.25">
      <c r="A168" s="1"/>
      <c r="B168" s="2"/>
      <c r="C168" s="1" t="s">
        <v>11</v>
      </c>
      <c r="D168" s="14">
        <v>0</v>
      </c>
      <c r="F168" s="89">
        <v>0</v>
      </c>
      <c r="H168" s="20"/>
      <c r="I168" s="20"/>
      <c r="J168" s="147"/>
      <c r="K168" s="197">
        <v>0.66599999999999993</v>
      </c>
      <c r="L168" s="197">
        <v>4.5549999999999997</v>
      </c>
      <c r="M168" s="197">
        <v>0.60039794540960334</v>
      </c>
      <c r="N168" s="197">
        <v>0.90789473684210531</v>
      </c>
      <c r="O168" s="147">
        <v>0.68084575524406155</v>
      </c>
      <c r="P168" s="197">
        <v>5.6499999999999995E-2</v>
      </c>
      <c r="Q168" s="197">
        <v>1.25</v>
      </c>
      <c r="R168" s="197">
        <v>0.50650413159351704</v>
      </c>
      <c r="S168" s="197">
        <v>0.77519673403474398</v>
      </c>
      <c r="U168" s="20">
        <f t="shared" si="305"/>
        <v>0</v>
      </c>
      <c r="V168" s="20">
        <f t="shared" si="306"/>
        <v>0</v>
      </c>
      <c r="W168" s="20">
        <f t="shared" si="307"/>
        <v>0</v>
      </c>
      <c r="X168" s="20">
        <f t="shared" si="308"/>
        <v>0</v>
      </c>
      <c r="Y168" s="20">
        <f t="shared" si="309"/>
        <v>0</v>
      </c>
      <c r="Z168" s="20">
        <f t="shared" si="310"/>
        <v>0</v>
      </c>
      <c r="AA168" s="20">
        <f t="shared" si="311"/>
        <v>0</v>
      </c>
      <c r="AB168" s="20">
        <f t="shared" si="312"/>
        <v>0</v>
      </c>
      <c r="AC168" s="20">
        <f t="shared" si="313"/>
        <v>0</v>
      </c>
      <c r="AD168" s="20">
        <f t="shared" si="314"/>
        <v>0</v>
      </c>
      <c r="AE168" s="191"/>
      <c r="AF168" s="20">
        <f t="shared" si="321"/>
        <v>0</v>
      </c>
      <c r="AG168" s="20">
        <f t="shared" si="321"/>
        <v>0</v>
      </c>
      <c r="AH168" s="20">
        <f t="shared" si="321"/>
        <v>0</v>
      </c>
      <c r="AI168" s="20">
        <f t="shared" si="321"/>
        <v>0</v>
      </c>
      <c r="AJ168" s="20">
        <f t="shared" si="321"/>
        <v>0</v>
      </c>
      <c r="AK168" s="20">
        <f t="shared" si="321"/>
        <v>0</v>
      </c>
      <c r="AL168" s="20">
        <f t="shared" si="321"/>
        <v>0</v>
      </c>
      <c r="AM168" s="20">
        <f t="shared" si="321"/>
        <v>0</v>
      </c>
      <c r="AN168" s="20">
        <f t="shared" si="321"/>
        <v>0</v>
      </c>
      <c r="AO168" s="20">
        <f t="shared" si="321"/>
        <v>0</v>
      </c>
      <c r="AP168" s="20">
        <f t="shared" si="322"/>
        <v>0</v>
      </c>
      <c r="AQ168" s="20">
        <f t="shared" si="322"/>
        <v>0</v>
      </c>
      <c r="AR168" s="20">
        <f t="shared" si="322"/>
        <v>0</v>
      </c>
      <c r="AS168" s="20">
        <f t="shared" si="322"/>
        <v>0</v>
      </c>
      <c r="AT168" s="20">
        <f t="shared" si="322"/>
        <v>0</v>
      </c>
      <c r="AU168" s="20">
        <f t="shared" si="322"/>
        <v>0</v>
      </c>
      <c r="AV168" s="20">
        <f t="shared" si="322"/>
        <v>0</v>
      </c>
      <c r="AW168" s="20">
        <f t="shared" si="322"/>
        <v>0</v>
      </c>
      <c r="AX168" s="20">
        <f t="shared" si="322"/>
        <v>0</v>
      </c>
      <c r="AY168" s="20">
        <f t="shared" si="322"/>
        <v>0</v>
      </c>
      <c r="BA168" s="20">
        <f t="shared" si="317"/>
        <v>0</v>
      </c>
      <c r="BB168" s="20">
        <f t="shared" si="318"/>
        <v>0</v>
      </c>
      <c r="BC168" s="20">
        <f t="shared" si="319"/>
        <v>0</v>
      </c>
      <c r="BD168" s="20">
        <f t="shared" si="320"/>
        <v>0</v>
      </c>
    </row>
    <row r="169" spans="1:56" ht="15" x14ac:dyDescent="0.25">
      <c r="A169" s="1"/>
      <c r="B169" s="2"/>
      <c r="C169" s="1" t="s">
        <v>12</v>
      </c>
      <c r="D169" s="14">
        <v>0</v>
      </c>
      <c r="F169" s="89">
        <v>0</v>
      </c>
      <c r="H169" s="20"/>
      <c r="I169" s="20"/>
      <c r="J169" s="147"/>
      <c r="K169" s="197">
        <v>0.66599999999999993</v>
      </c>
      <c r="L169" s="197">
        <v>4.5549999999999997</v>
      </c>
      <c r="M169" s="197">
        <v>0.60039794540960334</v>
      </c>
      <c r="N169" s="197">
        <v>0.90789473684210531</v>
      </c>
      <c r="O169" s="147">
        <v>0.68084575524406166</v>
      </c>
      <c r="P169" s="197">
        <v>5.6499999999999995E-2</v>
      </c>
      <c r="Q169" s="197">
        <v>1.25</v>
      </c>
      <c r="R169" s="197">
        <v>0.50650413159351704</v>
      </c>
      <c r="S169" s="197">
        <v>0.77519673403474398</v>
      </c>
      <c r="U169" s="20">
        <f t="shared" si="305"/>
        <v>0</v>
      </c>
      <c r="V169" s="20">
        <f t="shared" si="306"/>
        <v>0</v>
      </c>
      <c r="W169" s="20">
        <f t="shared" si="307"/>
        <v>0</v>
      </c>
      <c r="X169" s="20">
        <f t="shared" si="308"/>
        <v>0</v>
      </c>
      <c r="Y169" s="20">
        <f t="shared" si="309"/>
        <v>0</v>
      </c>
      <c r="Z169" s="20">
        <f t="shared" si="310"/>
        <v>0</v>
      </c>
      <c r="AA169" s="20">
        <f t="shared" si="311"/>
        <v>0</v>
      </c>
      <c r="AB169" s="20">
        <f t="shared" si="312"/>
        <v>0</v>
      </c>
      <c r="AC169" s="20">
        <f t="shared" si="313"/>
        <v>0</v>
      </c>
      <c r="AD169" s="20">
        <f t="shared" si="314"/>
        <v>0</v>
      </c>
      <c r="AE169" s="191"/>
      <c r="AF169" s="20">
        <f t="shared" si="321"/>
        <v>0</v>
      </c>
      <c r="AG169" s="20">
        <f t="shared" si="321"/>
        <v>0</v>
      </c>
      <c r="AH169" s="20">
        <f t="shared" si="321"/>
        <v>0</v>
      </c>
      <c r="AI169" s="20">
        <f t="shared" si="321"/>
        <v>0</v>
      </c>
      <c r="AJ169" s="20">
        <f t="shared" si="321"/>
        <v>0</v>
      </c>
      <c r="AK169" s="20">
        <f t="shared" si="321"/>
        <v>0</v>
      </c>
      <c r="AL169" s="20">
        <f t="shared" si="321"/>
        <v>0</v>
      </c>
      <c r="AM169" s="20">
        <f t="shared" si="321"/>
        <v>0</v>
      </c>
      <c r="AN169" s="20">
        <f t="shared" si="321"/>
        <v>0</v>
      </c>
      <c r="AO169" s="20">
        <f t="shared" si="321"/>
        <v>0</v>
      </c>
      <c r="AP169" s="20">
        <f t="shared" si="322"/>
        <v>0</v>
      </c>
      <c r="AQ169" s="20">
        <f t="shared" si="322"/>
        <v>0</v>
      </c>
      <c r="AR169" s="20">
        <f t="shared" si="322"/>
        <v>0</v>
      </c>
      <c r="AS169" s="20">
        <f t="shared" si="322"/>
        <v>0</v>
      </c>
      <c r="AT169" s="20">
        <f t="shared" si="322"/>
        <v>0</v>
      </c>
      <c r="AU169" s="20">
        <f t="shared" si="322"/>
        <v>0</v>
      </c>
      <c r="AV169" s="20">
        <f t="shared" si="322"/>
        <v>0</v>
      </c>
      <c r="AW169" s="20">
        <f t="shared" si="322"/>
        <v>0</v>
      </c>
      <c r="AX169" s="20">
        <f t="shared" si="322"/>
        <v>0</v>
      </c>
      <c r="AY169" s="20">
        <f t="shared" si="322"/>
        <v>0</v>
      </c>
      <c r="BA169" s="20">
        <f t="shared" si="317"/>
        <v>0</v>
      </c>
      <c r="BB169" s="20">
        <f t="shared" si="318"/>
        <v>0</v>
      </c>
      <c r="BC169" s="20">
        <f t="shared" si="319"/>
        <v>0</v>
      </c>
      <c r="BD169" s="20">
        <f t="shared" si="320"/>
        <v>0</v>
      </c>
    </row>
    <row r="170" spans="1:56" ht="15" x14ac:dyDescent="0.25">
      <c r="A170" s="1"/>
      <c r="B170" s="2"/>
      <c r="C170" s="1" t="s">
        <v>13</v>
      </c>
      <c r="D170" s="14">
        <v>0</v>
      </c>
      <c r="F170" s="89">
        <v>0</v>
      </c>
      <c r="H170" s="20"/>
      <c r="I170" s="20"/>
      <c r="J170" s="147"/>
      <c r="K170" s="197">
        <v>0.66599999999999993</v>
      </c>
      <c r="L170" s="197">
        <v>4.5549999999999997</v>
      </c>
      <c r="M170" s="197">
        <v>0.60039794540960334</v>
      </c>
      <c r="N170" s="197">
        <v>0.90789473684210531</v>
      </c>
      <c r="O170" s="147">
        <v>0.68084575524406166</v>
      </c>
      <c r="P170" s="197">
        <v>5.6499999999999995E-2</v>
      </c>
      <c r="Q170" s="197">
        <v>1.25</v>
      </c>
      <c r="R170" s="197">
        <v>0.50650413159351704</v>
      </c>
      <c r="S170" s="197">
        <v>0.77519673403474398</v>
      </c>
      <c r="U170" s="20">
        <f t="shared" si="305"/>
        <v>0</v>
      </c>
      <c r="V170" s="20">
        <f t="shared" si="306"/>
        <v>0</v>
      </c>
      <c r="W170" s="20">
        <f t="shared" si="307"/>
        <v>0</v>
      </c>
      <c r="X170" s="20">
        <f t="shared" si="308"/>
        <v>0</v>
      </c>
      <c r="Y170" s="20">
        <f t="shared" si="309"/>
        <v>0</v>
      </c>
      <c r="Z170" s="20">
        <f t="shared" si="310"/>
        <v>0</v>
      </c>
      <c r="AA170" s="20">
        <f t="shared" si="311"/>
        <v>0</v>
      </c>
      <c r="AB170" s="20">
        <f t="shared" si="312"/>
        <v>0</v>
      </c>
      <c r="AC170" s="20">
        <f t="shared" si="313"/>
        <v>0</v>
      </c>
      <c r="AD170" s="20">
        <f t="shared" si="314"/>
        <v>0</v>
      </c>
      <c r="AE170" s="191"/>
      <c r="AF170" s="20">
        <f t="shared" si="321"/>
        <v>0</v>
      </c>
      <c r="AG170" s="20">
        <f t="shared" si="321"/>
        <v>0</v>
      </c>
      <c r="AH170" s="20">
        <f t="shared" si="321"/>
        <v>0</v>
      </c>
      <c r="AI170" s="20">
        <f t="shared" si="321"/>
        <v>0</v>
      </c>
      <c r="AJ170" s="20">
        <f t="shared" si="321"/>
        <v>0</v>
      </c>
      <c r="AK170" s="20">
        <f t="shared" si="321"/>
        <v>0</v>
      </c>
      <c r="AL170" s="20">
        <f t="shared" si="321"/>
        <v>0</v>
      </c>
      <c r="AM170" s="20">
        <f t="shared" si="321"/>
        <v>0</v>
      </c>
      <c r="AN170" s="20">
        <f t="shared" si="321"/>
        <v>0</v>
      </c>
      <c r="AO170" s="20">
        <f t="shared" si="321"/>
        <v>0</v>
      </c>
      <c r="AP170" s="20">
        <f t="shared" si="322"/>
        <v>0</v>
      </c>
      <c r="AQ170" s="20">
        <f t="shared" si="322"/>
        <v>0</v>
      </c>
      <c r="AR170" s="20">
        <f t="shared" si="322"/>
        <v>0</v>
      </c>
      <c r="AS170" s="20">
        <f t="shared" si="322"/>
        <v>0</v>
      </c>
      <c r="AT170" s="20">
        <f t="shared" si="322"/>
        <v>0</v>
      </c>
      <c r="AU170" s="20">
        <f t="shared" si="322"/>
        <v>0</v>
      </c>
      <c r="AV170" s="20">
        <f t="shared" si="322"/>
        <v>0</v>
      </c>
      <c r="AW170" s="20">
        <f t="shared" si="322"/>
        <v>0</v>
      </c>
      <c r="AX170" s="20">
        <f t="shared" si="322"/>
        <v>0</v>
      </c>
      <c r="AY170" s="20">
        <f t="shared" si="322"/>
        <v>0</v>
      </c>
      <c r="BA170" s="20">
        <f t="shared" si="317"/>
        <v>0</v>
      </c>
      <c r="BB170" s="20">
        <f t="shared" si="318"/>
        <v>0</v>
      </c>
      <c r="BC170" s="20">
        <f t="shared" si="319"/>
        <v>0</v>
      </c>
      <c r="BD170" s="20">
        <f t="shared" si="320"/>
        <v>0</v>
      </c>
    </row>
    <row r="171" spans="1:56" ht="15" x14ac:dyDescent="0.25">
      <c r="A171" s="7"/>
      <c r="B171" s="8" t="s">
        <v>14</v>
      </c>
      <c r="C171" s="7"/>
      <c r="D171" s="14">
        <f>SUM(D165:D170)</f>
        <v>0</v>
      </c>
      <c r="F171" s="14">
        <v>0</v>
      </c>
      <c r="H171" s="20"/>
      <c r="I171" s="20"/>
      <c r="J171" s="147"/>
      <c r="K171" s="20"/>
      <c r="L171" s="20"/>
      <c r="M171" s="20"/>
      <c r="N171" s="20"/>
      <c r="O171" s="20"/>
      <c r="P171" s="20"/>
      <c r="Q171" s="20"/>
      <c r="R171" s="20"/>
      <c r="S171" s="20"/>
    </row>
    <row r="172" spans="1:56" ht="15" x14ac:dyDescent="0.25">
      <c r="A172" s="1"/>
      <c r="B172" s="9" t="s">
        <v>15</v>
      </c>
      <c r="C172" s="5"/>
      <c r="D172" s="14">
        <f>SUM(D171)</f>
        <v>0</v>
      </c>
      <c r="F172" s="14">
        <v>0</v>
      </c>
      <c r="H172" s="20"/>
      <c r="I172" s="20"/>
      <c r="J172" s="147"/>
      <c r="K172" s="20"/>
      <c r="L172" s="20"/>
      <c r="M172" s="20"/>
      <c r="N172" s="20"/>
      <c r="O172" s="20"/>
      <c r="P172" s="20"/>
      <c r="Q172" s="20"/>
      <c r="R172" s="20"/>
      <c r="S172" s="20"/>
    </row>
    <row r="173" spans="1:56" ht="15.75" x14ac:dyDescent="0.25">
      <c r="A173" s="1"/>
      <c r="B173" s="2"/>
      <c r="C173" s="1"/>
      <c r="D173" s="87"/>
      <c r="F173" s="87"/>
      <c r="H173" s="20"/>
      <c r="I173" s="20"/>
      <c r="J173" s="147"/>
      <c r="K173" s="20"/>
      <c r="L173" s="20"/>
      <c r="M173" s="20"/>
      <c r="N173" s="20"/>
      <c r="O173" s="20"/>
      <c r="P173" s="20"/>
      <c r="Q173" s="20"/>
      <c r="R173" s="20"/>
      <c r="S173" s="20"/>
    </row>
    <row r="174" spans="1:56" ht="15" x14ac:dyDescent="0.25">
      <c r="A174" s="1">
        <v>19</v>
      </c>
      <c r="B174" s="2" t="s">
        <v>526</v>
      </c>
      <c r="C174" s="1" t="s">
        <v>8</v>
      </c>
      <c r="D174" s="14">
        <v>10.363</v>
      </c>
      <c r="F174" s="89">
        <v>9.9999999999944578E-4</v>
      </c>
      <c r="H174" s="20"/>
      <c r="I174" s="20"/>
      <c r="J174" s="146">
        <v>0.9</v>
      </c>
      <c r="K174" s="20"/>
      <c r="L174" s="20"/>
      <c r="M174" s="20"/>
      <c r="N174" s="20"/>
      <c r="O174" s="20"/>
      <c r="P174" s="20"/>
      <c r="Q174" s="20"/>
      <c r="R174" s="20"/>
      <c r="S174" s="20"/>
    </row>
    <row r="175" spans="1:56" ht="15" x14ac:dyDescent="0.25">
      <c r="A175" s="1"/>
      <c r="B175" s="2"/>
      <c r="C175" s="1" t="s">
        <v>9</v>
      </c>
      <c r="D175" s="14">
        <v>5.069</v>
      </c>
      <c r="F175" s="89">
        <v>-1.9999999999997797E-3</v>
      </c>
      <c r="H175" s="20"/>
      <c r="I175" s="20"/>
      <c r="J175" s="147">
        <v>0.9</v>
      </c>
      <c r="K175" s="20"/>
      <c r="L175" s="20"/>
      <c r="M175" s="20"/>
      <c r="N175" s="20"/>
      <c r="O175" s="20"/>
      <c r="P175" s="20"/>
      <c r="Q175" s="20"/>
      <c r="R175" s="20"/>
      <c r="S175" s="20"/>
    </row>
    <row r="176" spans="1:56" ht="15" x14ac:dyDescent="0.25">
      <c r="A176" s="1"/>
      <c r="B176" s="2"/>
      <c r="C176" s="1" t="s">
        <v>10</v>
      </c>
      <c r="D176" s="14">
        <v>6.05</v>
      </c>
      <c r="F176" s="89">
        <v>-1.9999999999997797E-3</v>
      </c>
      <c r="H176" s="20"/>
      <c r="I176" s="20"/>
      <c r="J176" s="146">
        <v>0.9</v>
      </c>
      <c r="K176" s="20"/>
      <c r="L176" s="20"/>
      <c r="M176" s="20"/>
      <c r="N176" s="20"/>
      <c r="O176" s="20"/>
      <c r="P176" s="20"/>
      <c r="Q176" s="20"/>
      <c r="R176" s="20"/>
      <c r="S176" s="20"/>
    </row>
    <row r="177" spans="1:27" ht="15" x14ac:dyDescent="0.25">
      <c r="A177" s="1"/>
      <c r="B177" s="2"/>
      <c r="C177" s="1" t="s">
        <v>11</v>
      </c>
      <c r="D177" s="14">
        <v>1.9530000000000001</v>
      </c>
      <c r="F177" s="89">
        <v>0</v>
      </c>
      <c r="H177" s="20"/>
      <c r="I177" s="20"/>
      <c r="J177" s="146">
        <v>0.9</v>
      </c>
      <c r="K177" s="20"/>
      <c r="L177" s="20"/>
      <c r="M177" s="20"/>
      <c r="N177" s="20"/>
      <c r="O177" s="20"/>
      <c r="P177" s="20"/>
      <c r="Q177" s="20"/>
      <c r="R177" s="20"/>
      <c r="S177" s="20"/>
    </row>
    <row r="178" spans="1:27" ht="15" x14ac:dyDescent="0.25">
      <c r="A178" s="1"/>
      <c r="B178" s="2"/>
      <c r="C178" s="1" t="s">
        <v>12</v>
      </c>
      <c r="D178" s="14">
        <v>2239.5970000000002</v>
      </c>
      <c r="F178" s="89">
        <v>1.0000000002037268E-3</v>
      </c>
      <c r="H178" s="20"/>
      <c r="I178" s="20"/>
      <c r="J178" s="146">
        <v>0.9</v>
      </c>
      <c r="K178" s="20"/>
      <c r="L178" s="20"/>
      <c r="M178" s="20"/>
      <c r="N178" s="20"/>
      <c r="O178" s="20"/>
      <c r="P178" s="20"/>
      <c r="Q178" s="20"/>
      <c r="R178" s="20"/>
      <c r="S178" s="20"/>
    </row>
    <row r="179" spans="1:27" ht="15" x14ac:dyDescent="0.25">
      <c r="A179" s="1"/>
      <c r="B179" s="2"/>
      <c r="C179" s="1" t="s">
        <v>13</v>
      </c>
      <c r="D179" s="14">
        <v>0</v>
      </c>
      <c r="F179" s="89">
        <v>0</v>
      </c>
      <c r="H179" s="20"/>
      <c r="I179" s="20"/>
      <c r="J179" s="146"/>
      <c r="K179" s="20"/>
      <c r="L179" s="20"/>
      <c r="M179" s="20"/>
      <c r="N179" s="20"/>
      <c r="O179" s="20"/>
      <c r="P179" s="20"/>
      <c r="Q179" s="20"/>
      <c r="R179" s="20"/>
      <c r="S179" s="20"/>
    </row>
    <row r="180" spans="1:27" ht="15" x14ac:dyDescent="0.25">
      <c r="A180" s="7"/>
      <c r="B180" s="8" t="s">
        <v>14</v>
      </c>
      <c r="C180" s="7"/>
      <c r="D180" s="14">
        <f>SUM(D174:D179)</f>
        <v>2263.0320000000002</v>
      </c>
      <c r="F180" s="14">
        <v>-1.9999999997963869E-3</v>
      </c>
    </row>
    <row r="181" spans="1:27" ht="15" x14ac:dyDescent="0.25">
      <c r="A181" s="5"/>
      <c r="B181" s="9" t="s">
        <v>15</v>
      </c>
      <c r="C181" s="5"/>
      <c r="D181" s="14">
        <f>SUM(D180)</f>
        <v>2263.0320000000002</v>
      </c>
      <c r="F181" s="14">
        <v>-1.9999999997963869E-3</v>
      </c>
    </row>
    <row r="182" spans="1:27" s="79" customFormat="1" ht="15.75" x14ac:dyDescent="0.25">
      <c r="A182" s="199"/>
      <c r="B182" s="198" t="s">
        <v>661</v>
      </c>
      <c r="C182" s="199"/>
      <c r="D182" s="200"/>
      <c r="F182" s="200"/>
      <c r="V182" s="201">
        <f>SUM(V12:V161)/SUM(U12:U161)</f>
        <v>0.6674630326529416</v>
      </c>
      <c r="AA182" s="201">
        <f>SUM(AA12:AA161)/SUM(Z12:Z161)</f>
        <v>0.82280148088131611</v>
      </c>
    </row>
    <row r="184" spans="1:27" x14ac:dyDescent="0.2">
      <c r="D184" s="74"/>
      <c r="F184" s="74"/>
    </row>
    <row r="185" spans="1:27" x14ac:dyDescent="0.2">
      <c r="D185" s="81"/>
    </row>
    <row r="186" spans="1:27" x14ac:dyDescent="0.2">
      <c r="D186" s="75"/>
    </row>
    <row r="187" spans="1:27" x14ac:dyDescent="0.2">
      <c r="D187" s="75"/>
    </row>
    <row r="188" spans="1:27" x14ac:dyDescent="0.2">
      <c r="D188" s="76"/>
    </row>
    <row r="189" spans="1:27" x14ac:dyDescent="0.2">
      <c r="D189" s="75"/>
    </row>
    <row r="190" spans="1:27" x14ac:dyDescent="0.2">
      <c r="D190" s="81"/>
    </row>
    <row r="191" spans="1:27" x14ac:dyDescent="0.2">
      <c r="D191" s="88"/>
    </row>
    <row r="192" spans="1:27" x14ac:dyDescent="0.2">
      <c r="D192" s="88"/>
    </row>
    <row r="193" spans="4:4" x14ac:dyDescent="0.2">
      <c r="D193" s="88"/>
    </row>
  </sheetData>
  <phoneticPr fontId="0" type="noConversion"/>
  <pageMargins left="0.75" right="0.75" top="1" bottom="1" header="0.5" footer="0.5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transitionEvaluation="1" transitionEntry="1"/>
  <dimension ref="A1:DF210"/>
  <sheetViews>
    <sheetView defaultGridColor="0" topLeftCell="A109" colorId="11" zoomScale="95" workbookViewId="0"/>
  </sheetViews>
  <sheetFormatPr defaultColWidth="12.42578125" defaultRowHeight="12" x14ac:dyDescent="0.15"/>
  <cols>
    <col min="1" max="1" width="7.5703125" style="53" customWidth="1"/>
    <col min="2" max="2" width="24.85546875" style="53" customWidth="1"/>
    <col min="3" max="3" width="3" style="53" customWidth="1"/>
    <col min="4" max="4" width="13.28515625" style="53" customWidth="1"/>
    <col min="5" max="5" width="3" style="53" customWidth="1"/>
    <col min="6" max="6" width="12.140625" style="53" customWidth="1"/>
    <col min="7" max="7" width="4.140625" style="53" customWidth="1"/>
    <col min="8" max="8" width="12.140625" style="53" customWidth="1"/>
    <col min="9" max="10" width="7.5703125" style="53" customWidth="1"/>
    <col min="11" max="11" width="23.5703125" style="53" customWidth="1"/>
    <col min="12" max="12" width="3" style="53" customWidth="1"/>
    <col min="13" max="13" width="13.28515625" style="53" customWidth="1"/>
    <col min="14" max="14" width="3" style="53" customWidth="1"/>
    <col min="15" max="15" width="12.140625" style="53" customWidth="1"/>
    <col min="16" max="16" width="4.140625" style="53" customWidth="1"/>
    <col min="17" max="17" width="11" style="53" customWidth="1"/>
    <col min="18" max="18" width="4.140625" style="53" customWidth="1"/>
    <col min="19" max="19" width="7.5703125" style="53" customWidth="1"/>
    <col min="20" max="20" width="25.85546875" style="53" customWidth="1"/>
    <col min="21" max="21" width="3" style="53" customWidth="1"/>
    <col min="22" max="22" width="17.85546875" style="53" customWidth="1"/>
    <col min="23" max="23" width="3" style="53" customWidth="1"/>
    <col min="24" max="24" width="12.140625" style="53" customWidth="1"/>
    <col min="25" max="25" width="3" style="53" customWidth="1"/>
    <col min="26" max="26" width="12.140625" style="53" customWidth="1"/>
    <col min="27" max="27" width="12.42578125" style="53"/>
    <col min="28" max="29" width="6.42578125" style="53" customWidth="1"/>
    <col min="30" max="30" width="29.28515625" style="53" customWidth="1"/>
    <col min="31" max="31" width="17.85546875" style="53" customWidth="1"/>
    <col min="32" max="32" width="12.140625" style="53" customWidth="1"/>
    <col min="33" max="43" width="11" style="53" customWidth="1"/>
    <col min="44" max="16384" width="12.42578125" style="53"/>
  </cols>
  <sheetData>
    <row r="1" spans="1:110" x14ac:dyDescent="0.15">
      <c r="A1" s="52" t="s">
        <v>63</v>
      </c>
      <c r="C1" s="71" t="s">
        <v>526</v>
      </c>
      <c r="CA1" s="52" t="s">
        <v>64</v>
      </c>
      <c r="CD1" s="52" t="s">
        <v>65</v>
      </c>
    </row>
    <row r="2" spans="1:110" x14ac:dyDescent="0.15">
      <c r="A2" s="52" t="s">
        <v>66</v>
      </c>
      <c r="CA2" s="52" t="s">
        <v>67</v>
      </c>
      <c r="CD2" s="52" t="s">
        <v>68</v>
      </c>
    </row>
    <row r="3" spans="1:110" x14ac:dyDescent="0.15">
      <c r="A3" s="52" t="s">
        <v>69</v>
      </c>
      <c r="AG3" s="54"/>
      <c r="CA3" s="52" t="s">
        <v>70</v>
      </c>
      <c r="CD3" s="52" t="s">
        <v>71</v>
      </c>
    </row>
    <row r="4" spans="1:110" x14ac:dyDescent="0.15">
      <c r="B4" s="52"/>
      <c r="AG4" s="54"/>
      <c r="CA4" s="52" t="s">
        <v>72</v>
      </c>
      <c r="CD4" s="52" t="s">
        <v>73</v>
      </c>
    </row>
    <row r="5" spans="1:110" x14ac:dyDescent="0.15">
      <c r="A5" s="52" t="s">
        <v>74</v>
      </c>
      <c r="B5" s="52" t="s">
        <v>75</v>
      </c>
      <c r="K5" s="52" t="s">
        <v>76</v>
      </c>
      <c r="T5" s="52" t="s">
        <v>77</v>
      </c>
      <c r="AD5" s="52" t="s">
        <v>78</v>
      </c>
      <c r="BC5" s="52" t="s">
        <v>79</v>
      </c>
      <c r="BK5" s="52" t="s">
        <v>80</v>
      </c>
      <c r="BP5" s="55"/>
      <c r="CA5" s="52" t="s">
        <v>81</v>
      </c>
      <c r="CD5" s="52" t="s">
        <v>82</v>
      </c>
      <c r="CH5" s="52" t="s">
        <v>83</v>
      </c>
      <c r="CJ5" s="52" t="s">
        <v>84</v>
      </c>
      <c r="CK5" s="52" t="s">
        <v>85</v>
      </c>
      <c r="CL5" s="52" t="s">
        <v>83</v>
      </c>
      <c r="CM5" s="52" t="s">
        <v>86</v>
      </c>
      <c r="CN5" s="52" t="s">
        <v>87</v>
      </c>
      <c r="CO5" s="52" t="s">
        <v>88</v>
      </c>
      <c r="CP5" s="52" t="s">
        <v>89</v>
      </c>
    </row>
    <row r="6" spans="1:110" x14ac:dyDescent="0.15">
      <c r="T6" s="52" t="s">
        <v>90</v>
      </c>
      <c r="AD6" s="52" t="s">
        <v>91</v>
      </c>
      <c r="AO6" s="52" t="s">
        <v>92</v>
      </c>
      <c r="BC6" s="52" t="s">
        <v>93</v>
      </c>
      <c r="BK6" s="52" t="s">
        <v>94</v>
      </c>
      <c r="CA6" s="52" t="s">
        <v>95</v>
      </c>
      <c r="CD6" s="52" t="s">
        <v>96</v>
      </c>
      <c r="CH6" s="55">
        <f>($F$87)/(1+(1.71*($AF$11^0.79)*($AF$10^(1.01))*($F$87^0.4)))*(10^(0.0179))</f>
        <v>5.5277106480953898E-3</v>
      </c>
      <c r="CI6" s="52" t="s">
        <v>97</v>
      </c>
      <c r="CJ6" s="55">
        <f>($F$87)/(1+(3*($AF$11^0.25)*($AF$10^(0.58))*($F$87^0.53)))*(10^(0.0151))</f>
        <v>3.5979572200700326E-2</v>
      </c>
      <c r="CK6" s="55">
        <f>($F$87)/(1+(12.258*($AF$11^0.45)*($AF$10^(-0.158))*($F$87^0.502)))*(10^(0.0143))</f>
        <v>1.5758012599127853E-2</v>
      </c>
      <c r="CL6" s="55">
        <f>($F$87)/(1+(1.71*($AF$11^0.79)*($AF$10^(1.01))*($F$87^0.4)))*(10^(0.0179))</f>
        <v>5.5277106480953898E-3</v>
      </c>
      <c r="CM6" s="55">
        <f>($F$87)/(1+(3.36*($AF$11^0.461)*($AF$10^(0.292))*($F$87^0.473)))*(10^(0.0148))</f>
        <v>2.5541078963742646E-2</v>
      </c>
      <c r="CN6" s="55">
        <f>($F$87)/(1+(2.519*($AF$11^0.661)*($AF$10^(-0.307))*($F$87^0.214)))*(10^(0.0278))</f>
        <v>3.7270823953621447E-2</v>
      </c>
      <c r="CO6" s="55">
        <f>($F$87)/(1+(10.767*($AF$11^0.395)*($AF$10^(0.009))*($F$87^0.821)))*(10^(0.024))</f>
        <v>2.2189376466653251E-2</v>
      </c>
      <c r="CP6" s="55">
        <f>($F$87)/(1+(4.16*($AF$11^0.31)*($AF$10^(0.39))*($F$87^0.84)))*(10^(0.023))</f>
        <v>3.9468130623404908E-2</v>
      </c>
      <c r="CS6" s="55"/>
      <c r="CU6" s="55"/>
      <c r="CV6" s="55"/>
      <c r="CW6" s="55"/>
      <c r="DB6" s="55"/>
      <c r="DD6" s="55"/>
      <c r="DE6" s="55"/>
      <c r="DF6" s="55"/>
    </row>
    <row r="7" spans="1:110" x14ac:dyDescent="0.15">
      <c r="B7" s="52" t="s">
        <v>98</v>
      </c>
      <c r="D7" s="52" t="s">
        <v>99</v>
      </c>
      <c r="F7" s="52" t="s">
        <v>100</v>
      </c>
      <c r="G7" s="52" t="s">
        <v>101</v>
      </c>
      <c r="H7" s="52" t="s">
        <v>102</v>
      </c>
      <c r="K7" s="52" t="s">
        <v>103</v>
      </c>
      <c r="M7" s="52" t="s">
        <v>104</v>
      </c>
      <c r="O7" s="52" t="s">
        <v>105</v>
      </c>
      <c r="P7" s="52" t="s">
        <v>101</v>
      </c>
      <c r="Q7" s="52" t="s">
        <v>106</v>
      </c>
      <c r="S7" s="52" t="s">
        <v>107</v>
      </c>
      <c r="T7" s="52" t="s">
        <v>108</v>
      </c>
      <c r="V7" s="52" t="s">
        <v>109</v>
      </c>
      <c r="X7" s="52" t="s">
        <v>110</v>
      </c>
      <c r="AD7" s="52" t="s">
        <v>111</v>
      </c>
      <c r="AE7" s="52" t="s">
        <v>112</v>
      </c>
      <c r="AF7" s="52" t="s">
        <v>113</v>
      </c>
      <c r="AG7" s="52" t="s">
        <v>101</v>
      </c>
      <c r="AO7" s="52" t="s">
        <v>114</v>
      </c>
      <c r="BC7" s="52" t="s">
        <v>115</v>
      </c>
      <c r="BF7" s="52" t="s">
        <v>116</v>
      </c>
      <c r="BK7" s="52" t="s">
        <v>117</v>
      </c>
      <c r="CA7" s="52" t="s">
        <v>118</v>
      </c>
      <c r="CD7" s="52" t="s">
        <v>119</v>
      </c>
      <c r="CH7" s="55">
        <f>($F$88)/(1+(0.2*($AF$11^0.109)*($AF$10^(1.56))*($F$88^0.327)))*(10^(0.0093))</f>
        <v>1.0959952968327216</v>
      </c>
      <c r="CI7" s="52" t="s">
        <v>37</v>
      </c>
      <c r="CJ7" s="55">
        <f>($F$88)/(1+(0.67*($AF$11^0.25)))*(10^(0.0064))</f>
        <v>3.5372511242367324</v>
      </c>
      <c r="CK7" s="55">
        <f>($F$88)/(1+(0.693*($AF$11^0.45)))*(10^(0.02))</f>
        <v>2.3337604439405495</v>
      </c>
      <c r="CL7" s="55">
        <f>($F$88)/(1+(0.2*($AF$11^0.109)*($AF$10^(1.56))*($F$88^0.327)))*(10^(0.0093))</f>
        <v>1.0959952968327216</v>
      </c>
      <c r="CM7" s="55">
        <f>($F$88)/(1+(0.925*($AF$11^0.378)*($AF$10^(-0.1))*($F$88^0.329)))*(10^(0.0071))</f>
        <v>1.3963159621236447</v>
      </c>
      <c r="CN7" s="56" t="s">
        <v>74</v>
      </c>
      <c r="CO7" s="55">
        <f>($F$88)/(1+(0.459*($AF$11^0.253)*($AF$10^(0.218))*($F$88^0.955)))*(10^(0.0058))</f>
        <v>0.70760716179366956</v>
      </c>
      <c r="CP7" s="55">
        <f>($F$88)/(1+(0.69*($AF$11^0.06)*($AF$10^(0.29))*($F$88^0.998)))*(10^(0.0128))</f>
        <v>0.71486202015911693</v>
      </c>
      <c r="CS7" s="55"/>
      <c r="CU7" s="55"/>
      <c r="CV7" s="55"/>
      <c r="CW7" s="55"/>
      <c r="DB7" s="55"/>
      <c r="DD7" s="55"/>
      <c r="DE7" s="55"/>
      <c r="DF7" s="55"/>
    </row>
    <row r="8" spans="1:110" x14ac:dyDescent="0.15">
      <c r="A8" s="52" t="s">
        <v>120</v>
      </c>
      <c r="B8" s="52" t="s">
        <v>121</v>
      </c>
      <c r="C8" s="52" t="s">
        <v>122</v>
      </c>
      <c r="D8" s="52" t="s">
        <v>123</v>
      </c>
      <c r="E8" s="52" t="s">
        <v>122</v>
      </c>
      <c r="F8" s="52" t="s">
        <v>124</v>
      </c>
      <c r="G8" s="52" t="s">
        <v>74</v>
      </c>
      <c r="H8" s="52" t="s">
        <v>125</v>
      </c>
      <c r="I8" s="52" t="s">
        <v>74</v>
      </c>
      <c r="J8" s="52" t="s">
        <v>120</v>
      </c>
      <c r="K8" s="52" t="s">
        <v>121</v>
      </c>
      <c r="L8" s="52" t="s">
        <v>122</v>
      </c>
      <c r="M8" s="52" t="s">
        <v>123</v>
      </c>
      <c r="N8" s="52" t="s">
        <v>122</v>
      </c>
      <c r="O8" s="52" t="s">
        <v>126</v>
      </c>
      <c r="P8" s="52" t="s">
        <v>127</v>
      </c>
      <c r="Q8" s="52" t="s">
        <v>123</v>
      </c>
      <c r="R8" s="52" t="s">
        <v>122</v>
      </c>
      <c r="S8" s="52" t="s">
        <v>125</v>
      </c>
      <c r="T8" s="52" t="s">
        <v>128</v>
      </c>
      <c r="U8" s="52" t="s">
        <v>122</v>
      </c>
      <c r="V8" s="52" t="s">
        <v>123</v>
      </c>
      <c r="W8" s="52" t="s">
        <v>129</v>
      </c>
      <c r="X8" s="52" t="s">
        <v>130</v>
      </c>
      <c r="Y8" s="52" t="s">
        <v>122</v>
      </c>
      <c r="Z8" s="52" t="s">
        <v>126</v>
      </c>
      <c r="AA8" s="52" t="s">
        <v>129</v>
      </c>
      <c r="AD8" s="52" t="s">
        <v>128</v>
      </c>
      <c r="AE8" s="52" t="s">
        <v>131</v>
      </c>
      <c r="AF8" s="52" t="s">
        <v>125</v>
      </c>
      <c r="AG8" s="52" t="s">
        <v>74</v>
      </c>
      <c r="AO8" s="52" t="s">
        <v>132</v>
      </c>
      <c r="BC8" s="52" t="s">
        <v>133</v>
      </c>
      <c r="BF8" s="52" t="s">
        <v>134</v>
      </c>
      <c r="BK8" s="52" t="s">
        <v>135</v>
      </c>
      <c r="CA8" s="52" t="s">
        <v>136</v>
      </c>
      <c r="CH8" s="55">
        <f>10^((1.462)+(0.299*LOG(CH6/10^0.0179))+(0.958*LOG(CH7/10^0.0093)))*(10^0.0241)</f>
        <v>6.8390577445139753</v>
      </c>
      <c r="CI8" s="52" t="s">
        <v>137</v>
      </c>
      <c r="CJ8" s="55">
        <f>10^((0.678*LOG(1000*CJ6))+(0.858*LOG(1000*CJ7))-2.5)</f>
        <v>39.78884213208503</v>
      </c>
      <c r="CK8" s="55">
        <f>IF($BP$5&gt;-1.659,$BS$7,$BS$6)</f>
        <v>0</v>
      </c>
      <c r="CL8" s="55">
        <f>10^((1.462)+(0.299*LOG(CL6/10^0.0179))+(0.958*LOG(CL7/10^0.0093)))*(10^0.0241)</f>
        <v>6.8390577445139753</v>
      </c>
      <c r="CM8" s="55">
        <f>10^((2.369)+(0.869*LOG(CM6/10^0.0148))+(0.185*LOG($AF$11)))*(10^0.045)</f>
        <v>18.659748012185116</v>
      </c>
      <c r="CN8" s="55">
        <f>10^((1.921)+(0.431*LOG(CN6/10^0.0278))-(0.34*LOG($AF$10))+(0.049*LOG($AF$11)))*(10^0.0367)</f>
        <v>14.434269209054207</v>
      </c>
      <c r="CO8" s="55">
        <f>10^((1.985)+(0.51*LOG(CO6/10^0.024))-(0.352*LOG($AF$10))+(0.234*LOG($AF$11)))*(10^0.025)</f>
        <v>16.95090036037972</v>
      </c>
      <c r="CP8" s="55">
        <f>10^((1.95)+(0.79*LOG(CP6/10^0.023)))*(10^0.045)</f>
        <v>7.3767451518711891</v>
      </c>
      <c r="CS8" s="55"/>
      <c r="CU8" s="55"/>
      <c r="CV8" s="55"/>
      <c r="CW8" s="55"/>
      <c r="DB8" s="55"/>
      <c r="DD8" s="55"/>
      <c r="DE8" s="55"/>
      <c r="DF8" s="55"/>
    </row>
    <row r="9" spans="1:110" x14ac:dyDescent="0.15">
      <c r="A9" s="52" t="s">
        <v>138</v>
      </c>
      <c r="B9" s="52" t="s">
        <v>93</v>
      </c>
      <c r="C9" s="52" t="s">
        <v>139</v>
      </c>
      <c r="D9" s="53">
        <v>0.3</v>
      </c>
      <c r="E9" s="52" t="s">
        <v>139</v>
      </c>
      <c r="F9" s="52" t="s">
        <v>140</v>
      </c>
      <c r="G9" s="52" t="s">
        <v>141</v>
      </c>
      <c r="H9" s="52" t="s">
        <v>140</v>
      </c>
      <c r="I9" s="52" t="s">
        <v>141</v>
      </c>
      <c r="J9" s="52" t="s">
        <v>138</v>
      </c>
      <c r="K9" s="53" t="str">
        <f>$B$9</f>
        <v xml:space="preserve">   Res low-med density</v>
      </c>
      <c r="L9" s="52" t="s">
        <v>139</v>
      </c>
      <c r="M9" s="52" t="s">
        <v>140</v>
      </c>
      <c r="N9" s="52" t="s">
        <v>139</v>
      </c>
      <c r="O9" s="52" t="s">
        <v>140</v>
      </c>
      <c r="P9" s="52" t="s">
        <v>139</v>
      </c>
      <c r="Q9" s="52" t="s">
        <v>140</v>
      </c>
      <c r="R9" s="52" t="s">
        <v>139</v>
      </c>
      <c r="S9" s="52" t="s">
        <v>140</v>
      </c>
      <c r="T9" s="52" t="s">
        <v>142</v>
      </c>
      <c r="U9" s="52" t="s">
        <v>139</v>
      </c>
      <c r="V9" s="57">
        <v>263.281632</v>
      </c>
      <c r="W9" s="52" t="s">
        <v>139</v>
      </c>
      <c r="X9" s="52" t="s">
        <v>143</v>
      </c>
      <c r="Y9" s="52" t="s">
        <v>139</v>
      </c>
      <c r="Z9" s="58">
        <v>1922.76</v>
      </c>
      <c r="AA9" s="52" t="s">
        <v>139</v>
      </c>
      <c r="AD9" s="52" t="s">
        <v>144</v>
      </c>
      <c r="AE9" s="52" t="s">
        <v>145</v>
      </c>
      <c r="AF9" s="165">
        <f>Summary!AH52</f>
        <v>21.584007341306233</v>
      </c>
      <c r="AG9" s="52" t="s">
        <v>141</v>
      </c>
      <c r="AN9" s="52" t="s">
        <v>146</v>
      </c>
      <c r="BC9" s="52" t="s">
        <v>147</v>
      </c>
      <c r="BF9" s="52" t="s">
        <v>148</v>
      </c>
      <c r="BK9" s="52" t="s">
        <v>149</v>
      </c>
      <c r="CA9" s="52" t="s">
        <v>150</v>
      </c>
      <c r="CH9" s="55">
        <f>10^(-0.149+(0.454*LOG($AF$10))-(0.556*(LOG(CH7/10^0.0093))))*10^(0.0156)</f>
        <v>1.4696205332097467</v>
      </c>
      <c r="CI9" s="52" t="s">
        <v>151</v>
      </c>
      <c r="CJ9" s="55">
        <f>10^(-0.47+(0.137*LOG($AF$10))-(0.364*(LOG(CJ6)))+(0.102*LOG($AF$11)))*10^(0.007688)</f>
        <v>1.9910792164993738</v>
      </c>
      <c r="CK9" s="55">
        <f>10^(0.499-(0.601*LOG(LOG(1000*$CK$6)))+(0.098*LOG($AF$11)))*10^(0.011)</f>
        <v>3.9576902531762297</v>
      </c>
      <c r="CL9" s="55">
        <f>10^(-0.149+(0.454*LOG($AF$10))-(0.556*(LOG(CL7/10^0.0093))))*10^(0.0156)</f>
        <v>1.4696205332097467</v>
      </c>
      <c r="CM9" s="55">
        <f>10^(-0.886+(0.307*LOG($AF$10))+(0.066*LOG($AF$11))-(0.494*LOG(CM6/10^0.0148))+(0.287*(LOG(CM7/10^0.0071))))*10^(0.0176)</f>
        <v>1.8647593420869082</v>
      </c>
      <c r="CN9" s="55">
        <f>10^(-0.423+(0.352*LOG($AF$10))+(0.054*LOG($AF$11))-(0.275*LOG(CN6/10^0.0278)))*10^(0.0138)</f>
        <v>2.0494770118036922</v>
      </c>
      <c r="CO9" s="55">
        <f>10^(-1.323+(0.472*LOG($AF$10))-(0.656*LOG(CO6/10^0.024)))*10^(0.0146)</f>
        <v>1.3256585035362043</v>
      </c>
      <c r="CP9" s="56" t="s">
        <v>74</v>
      </c>
      <c r="CS9" s="55"/>
      <c r="CU9" s="55"/>
      <c r="CV9" s="55"/>
      <c r="CW9" s="55"/>
      <c r="DB9" s="55"/>
      <c r="DD9" s="55"/>
      <c r="DE9" s="55"/>
      <c r="DF9" s="55"/>
    </row>
    <row r="10" spans="1:110" x14ac:dyDescent="0.15">
      <c r="A10" s="52" t="s">
        <v>138</v>
      </c>
      <c r="B10" s="52" t="s">
        <v>115</v>
      </c>
      <c r="C10" s="52" t="s">
        <v>139</v>
      </c>
      <c r="D10" s="53">
        <v>0.5</v>
      </c>
      <c r="E10" s="52" t="s">
        <v>139</v>
      </c>
      <c r="F10" s="53" t="str">
        <f>F9</f>
        <v xml:space="preserve">    ***</v>
      </c>
      <c r="G10" s="52" t="s">
        <v>141</v>
      </c>
      <c r="H10" s="52" t="s">
        <v>140</v>
      </c>
      <c r="I10" s="52" t="s">
        <v>141</v>
      </c>
      <c r="J10" s="52" t="s">
        <v>138</v>
      </c>
      <c r="K10" s="53" t="str">
        <f>$B$10</f>
        <v xml:space="preserve">   Res high density</v>
      </c>
      <c r="L10" s="52" t="s">
        <v>139</v>
      </c>
      <c r="M10" s="52" t="s">
        <v>140</v>
      </c>
      <c r="N10" s="52" t="s">
        <v>139</v>
      </c>
      <c r="O10" s="52" t="s">
        <v>140</v>
      </c>
      <c r="P10" s="52" t="s">
        <v>139</v>
      </c>
      <c r="Q10" s="52" t="s">
        <v>140</v>
      </c>
      <c r="R10" s="52" t="s">
        <v>139</v>
      </c>
      <c r="S10" s="52" t="s">
        <v>140</v>
      </c>
      <c r="T10" s="52" t="s">
        <v>152</v>
      </c>
      <c r="U10" s="52" t="s">
        <v>139</v>
      </c>
      <c r="V10" s="57">
        <v>0</v>
      </c>
      <c r="W10" s="52" t="s">
        <v>139</v>
      </c>
      <c r="X10" s="52" t="s">
        <v>153</v>
      </c>
      <c r="Y10" s="52" t="s">
        <v>139</v>
      </c>
      <c r="Z10" s="53">
        <v>1.48</v>
      </c>
      <c r="AA10" s="52" t="s">
        <v>139</v>
      </c>
      <c r="AD10" s="52" t="s">
        <v>154</v>
      </c>
      <c r="AE10" s="52" t="s">
        <v>155</v>
      </c>
      <c r="AF10" s="165">
        <f>Summary!AH53</f>
        <v>5.0059796725395938</v>
      </c>
      <c r="AG10" s="52" t="s">
        <v>141</v>
      </c>
      <c r="AN10" s="52" t="s">
        <v>156</v>
      </c>
      <c r="BC10" s="52" t="s">
        <v>157</v>
      </c>
      <c r="BF10" s="52" t="s">
        <v>158</v>
      </c>
      <c r="CA10" s="52" t="s">
        <v>159</v>
      </c>
      <c r="CH10" s="56" t="s">
        <v>74</v>
      </c>
      <c r="CI10" s="52" t="s">
        <v>160</v>
      </c>
      <c r="CJ10" s="55">
        <f>(1/(1+EXP(-1.9-(0.459*LOG($F$88))-(2.21*LOG($F$87))-(1.14*LOG($AF$11))-(1.67*LOG($AF$10)))))</f>
        <v>0.98458481443359103</v>
      </c>
      <c r="CK10" s="55">
        <f>1-(1/((100000*($AF$10^(-2.49))*(($F$87)^2)*(($AF$10/$AF$11)^(-1.78)))+1))</f>
        <v>0.99976914252679139</v>
      </c>
      <c r="CL10" s="56" t="s">
        <v>74</v>
      </c>
      <c r="CM10" s="56" t="s">
        <v>74</v>
      </c>
      <c r="CN10" s="56" t="s">
        <v>74</v>
      </c>
      <c r="CO10" s="56" t="s">
        <v>74</v>
      </c>
      <c r="CP10" s="56" t="s">
        <v>74</v>
      </c>
      <c r="CS10" s="55"/>
      <c r="CU10" s="55"/>
      <c r="CV10" s="55"/>
      <c r="CW10" s="55"/>
      <c r="DB10" s="55"/>
      <c r="DD10" s="55"/>
      <c r="DE10" s="55"/>
      <c r="DF10" s="55"/>
    </row>
    <row r="11" spans="1:110" x14ac:dyDescent="0.15">
      <c r="A11" s="52" t="s">
        <v>138</v>
      </c>
      <c r="B11" s="52" t="s">
        <v>133</v>
      </c>
      <c r="C11" s="52" t="s">
        <v>139</v>
      </c>
      <c r="D11" s="53">
        <v>0.6</v>
      </c>
      <c r="E11" s="52" t="s">
        <v>139</v>
      </c>
      <c r="F11" s="53" t="str">
        <f>F9</f>
        <v xml:space="preserve">    ***</v>
      </c>
      <c r="G11" s="52" t="s">
        <v>141</v>
      </c>
      <c r="H11" s="52" t="s">
        <v>140</v>
      </c>
      <c r="I11" s="52" t="s">
        <v>141</v>
      </c>
      <c r="J11" s="52" t="s">
        <v>138</v>
      </c>
      <c r="K11" s="53" t="str">
        <f>$B$11</f>
        <v xml:space="preserve">   Commercial</v>
      </c>
      <c r="L11" s="52" t="s">
        <v>139</v>
      </c>
      <c r="M11" s="52" t="s">
        <v>140</v>
      </c>
      <c r="N11" s="52" t="s">
        <v>139</v>
      </c>
      <c r="O11" s="52" t="s">
        <v>140</v>
      </c>
      <c r="P11" s="52" t="s">
        <v>139</v>
      </c>
      <c r="Q11" s="52" t="s">
        <v>140</v>
      </c>
      <c r="R11" s="52" t="s">
        <v>139</v>
      </c>
      <c r="S11" s="52" t="s">
        <v>140</v>
      </c>
      <c r="T11" s="52" t="s">
        <v>161</v>
      </c>
      <c r="U11" s="52" t="s">
        <v>139</v>
      </c>
      <c r="V11" s="57">
        <v>6.0421709999999997</v>
      </c>
      <c r="W11" s="52" t="s">
        <v>139</v>
      </c>
      <c r="X11" s="52" t="s">
        <v>162</v>
      </c>
      <c r="Y11" s="52" t="s">
        <v>139</v>
      </c>
      <c r="Z11" s="53">
        <v>4.75</v>
      </c>
      <c r="AA11" s="52" t="s">
        <v>139</v>
      </c>
      <c r="AD11" s="52" t="s">
        <v>163</v>
      </c>
      <c r="AE11" s="52" t="s">
        <v>164</v>
      </c>
      <c r="AF11" s="166">
        <f>Summary!AH54</f>
        <v>23.566935292004509</v>
      </c>
      <c r="AG11" s="52" t="s">
        <v>141</v>
      </c>
      <c r="AN11" s="52" t="s">
        <v>165</v>
      </c>
      <c r="BC11" s="52" t="s">
        <v>166</v>
      </c>
      <c r="BF11" s="52" t="s">
        <v>167</v>
      </c>
      <c r="BP11" s="55"/>
      <c r="CA11" s="52" t="s">
        <v>168</v>
      </c>
      <c r="CH11" s="56" t="s">
        <v>74</v>
      </c>
      <c r="CI11" s="52" t="s">
        <v>169</v>
      </c>
      <c r="CJ11" s="55">
        <f>1/(1+EXP(-4.43+(2.05*LOG($F$88))-(3.09*LOG($F$87))-(1.14*LOG($AF$11))))</f>
        <v>0.94319536314555319</v>
      </c>
      <c r="CL11" s="56" t="s">
        <v>74</v>
      </c>
      <c r="CM11" s="56" t="s">
        <v>74</v>
      </c>
      <c r="CN11" s="56" t="s">
        <v>74</v>
      </c>
      <c r="CO11" s="56" t="s">
        <v>74</v>
      </c>
      <c r="CP11" s="56" t="s">
        <v>74</v>
      </c>
      <c r="CS11" s="55"/>
      <c r="CU11" s="55"/>
      <c r="CV11" s="55"/>
      <c r="CW11" s="55"/>
      <c r="DB11" s="55"/>
      <c r="DD11" s="55"/>
      <c r="DE11" s="55"/>
      <c r="DF11" s="55"/>
    </row>
    <row r="12" spans="1:110" x14ac:dyDescent="0.15">
      <c r="A12" s="52" t="s">
        <v>138</v>
      </c>
      <c r="B12" s="52" t="s">
        <v>147</v>
      </c>
      <c r="C12" s="52" t="s">
        <v>139</v>
      </c>
      <c r="D12" s="53">
        <v>0.65</v>
      </c>
      <c r="E12" s="52" t="s">
        <v>139</v>
      </c>
      <c r="F12" s="53" t="str">
        <f>F9</f>
        <v xml:space="preserve">    ***</v>
      </c>
      <c r="G12" s="52" t="s">
        <v>141</v>
      </c>
      <c r="H12" s="52" t="s">
        <v>140</v>
      </c>
      <c r="I12" s="52" t="s">
        <v>141</v>
      </c>
      <c r="J12" s="52" t="s">
        <v>138</v>
      </c>
      <c r="K12" s="53" t="str">
        <f>$B$12</f>
        <v xml:space="preserve">   Institutional</v>
      </c>
      <c r="L12" s="52" t="s">
        <v>139</v>
      </c>
      <c r="M12" s="52" t="s">
        <v>140</v>
      </c>
      <c r="N12" s="52" t="s">
        <v>139</v>
      </c>
      <c r="O12" s="52" t="s">
        <v>140</v>
      </c>
      <c r="P12" s="52" t="s">
        <v>139</v>
      </c>
      <c r="Q12" s="52" t="s">
        <v>140</v>
      </c>
      <c r="R12" s="52" t="s">
        <v>139</v>
      </c>
      <c r="S12" s="52" t="s">
        <v>140</v>
      </c>
      <c r="T12" s="52" t="s">
        <v>170</v>
      </c>
      <c r="U12" s="52" t="s">
        <v>139</v>
      </c>
      <c r="V12" s="57">
        <v>1.3071809999999999</v>
      </c>
      <c r="W12" s="52" t="s">
        <v>139</v>
      </c>
      <c r="X12" s="52" t="s">
        <v>171</v>
      </c>
      <c r="Y12" s="52" t="s">
        <v>139</v>
      </c>
      <c r="Z12" s="53">
        <v>0.9</v>
      </c>
      <c r="AA12" s="52" t="s">
        <v>139</v>
      </c>
      <c r="AD12" s="52" t="s">
        <v>172</v>
      </c>
      <c r="AE12" s="52" t="s">
        <v>173</v>
      </c>
      <c r="AF12" s="52" t="s">
        <v>74</v>
      </c>
      <c r="AG12" s="52" t="s">
        <v>141</v>
      </c>
      <c r="AO12" s="52" t="s">
        <v>174</v>
      </c>
      <c r="BC12" s="52" t="s">
        <v>175</v>
      </c>
      <c r="BF12" s="52" t="s">
        <v>176</v>
      </c>
      <c r="CA12" s="52" t="s">
        <v>177</v>
      </c>
      <c r="CI12" s="52" t="s">
        <v>178</v>
      </c>
      <c r="CS12" s="55"/>
      <c r="CU12" s="55"/>
      <c r="CV12" s="55"/>
      <c r="CW12" s="55"/>
      <c r="DB12" s="55"/>
      <c r="DD12" s="55"/>
      <c r="DE12" s="55"/>
      <c r="DF12" s="55"/>
    </row>
    <row r="13" spans="1:110" x14ac:dyDescent="0.15">
      <c r="A13" s="52" t="s">
        <v>138</v>
      </c>
      <c r="B13" s="52" t="s">
        <v>157</v>
      </c>
      <c r="C13" s="52" t="s">
        <v>139</v>
      </c>
      <c r="D13" s="53">
        <v>0.4</v>
      </c>
      <c r="E13" s="52" t="s">
        <v>139</v>
      </c>
      <c r="F13" s="53" t="str">
        <f>F9</f>
        <v xml:space="preserve">    ***</v>
      </c>
      <c r="G13" s="52" t="s">
        <v>141</v>
      </c>
      <c r="H13" s="52" t="s">
        <v>140</v>
      </c>
      <c r="I13" s="52" t="s">
        <v>141</v>
      </c>
      <c r="J13" s="52" t="s">
        <v>138</v>
      </c>
      <c r="K13" s="53" t="str">
        <f>$B$13</f>
        <v xml:space="preserve">   Industrial/Mining</v>
      </c>
      <c r="L13" s="52" t="s">
        <v>139</v>
      </c>
      <c r="M13" s="52" t="s">
        <v>140</v>
      </c>
      <c r="N13" s="52" t="s">
        <v>139</v>
      </c>
      <c r="O13" s="52" t="s">
        <v>140</v>
      </c>
      <c r="P13" s="52" t="s">
        <v>139</v>
      </c>
      <c r="Q13" s="52" t="s">
        <v>140</v>
      </c>
      <c r="R13" s="52" t="s">
        <v>139</v>
      </c>
      <c r="S13" s="52" t="s">
        <v>140</v>
      </c>
      <c r="T13" s="52" t="s">
        <v>179</v>
      </c>
      <c r="U13" s="52" t="s">
        <v>139</v>
      </c>
      <c r="V13" s="57">
        <v>7.3533989999999996</v>
      </c>
      <c r="W13" s="52" t="s">
        <v>139</v>
      </c>
      <c r="X13" s="52" t="s">
        <v>180</v>
      </c>
      <c r="Y13" s="52" t="s">
        <v>139</v>
      </c>
      <c r="Z13" s="53">
        <v>0.45</v>
      </c>
      <c r="AA13" s="52" t="s">
        <v>139</v>
      </c>
      <c r="AD13" s="52" t="s">
        <v>181</v>
      </c>
      <c r="AE13" s="52" t="s">
        <v>182</v>
      </c>
      <c r="AF13" s="52" t="s">
        <v>183</v>
      </c>
      <c r="AG13" s="52" t="s">
        <v>141</v>
      </c>
      <c r="AO13" s="52" t="s">
        <v>74</v>
      </c>
      <c r="BC13" s="52" t="s">
        <v>184</v>
      </c>
      <c r="CA13" s="52" t="s">
        <v>185</v>
      </c>
      <c r="CH13" s="55">
        <f>5*(3.76+(1.98*LN(CH7))+(1.86*LN(1000*CH6)))</f>
        <v>35.608358485148329</v>
      </c>
      <c r="CI13" s="52" t="s">
        <v>186</v>
      </c>
      <c r="CJ13" s="55"/>
      <c r="CK13" s="55" t="e">
        <f>((60-14.41*LN(CK9))+(30.6+9.81*LN(CK8))+(4.15+14.42*LN(1000*CK6)))/3</f>
        <v>#NUM!</v>
      </c>
      <c r="CL13" s="55">
        <f>5*(3.76+(1.98*LN(CL7))+(1.86*LN(1000*CL6)))</f>
        <v>35.608358485148329</v>
      </c>
      <c r="CM13" s="55">
        <f>((60-14.41*LN(CM9))+(30.6+9.81*LN(CM8))+(4.15+14.42*LN(1000*CM6)))/3</f>
        <v>53.734432999724483</v>
      </c>
      <c r="CN13" s="55">
        <f>((60-14.41*LN(CN9))+(30.6+9.81*LN(CN8))+(4.15+14.42*LN(1000*CN6)))/3</f>
        <v>54.257677393950239</v>
      </c>
      <c r="CO13" s="55">
        <f>((60-14.41*LN(CO9))+(30.6+9.81*LN(CO8))+(4.15+14.42*LN(1000*CO6)))/3</f>
        <v>54.383187958055707</v>
      </c>
      <c r="CP13" s="55">
        <f>((30.6+9.81*LN(CP8))+(4.15+14.42*LN(1000*CP6)))/2</f>
        <v>53.677129263732979</v>
      </c>
      <c r="CS13" s="55"/>
      <c r="CU13" s="55"/>
      <c r="CV13" s="55"/>
      <c r="CW13" s="55"/>
      <c r="DB13" s="55"/>
      <c r="DD13" s="55"/>
      <c r="DE13" s="55"/>
      <c r="DF13" s="55"/>
    </row>
    <row r="14" spans="1:110" x14ac:dyDescent="0.15">
      <c r="A14" s="52" t="s">
        <v>138</v>
      </c>
      <c r="B14" s="52" t="s">
        <v>166</v>
      </c>
      <c r="C14" s="52" t="s">
        <v>139</v>
      </c>
      <c r="D14" s="53">
        <v>0.1</v>
      </c>
      <c r="E14" s="52" t="s">
        <v>139</v>
      </c>
      <c r="F14" s="53" t="str">
        <f>F9</f>
        <v xml:space="preserve">    ***</v>
      </c>
      <c r="G14" s="52" t="s">
        <v>141</v>
      </c>
      <c r="H14" s="52" t="s">
        <v>140</v>
      </c>
      <c r="I14" s="52" t="s">
        <v>141</v>
      </c>
      <c r="J14" s="52" t="s">
        <v>138</v>
      </c>
      <c r="K14" s="53" t="str">
        <f>$B$14</f>
        <v xml:space="preserve">   Recreation/Open</v>
      </c>
      <c r="L14" s="52" t="s">
        <v>139</v>
      </c>
      <c r="M14" s="52" t="s">
        <v>140</v>
      </c>
      <c r="N14" s="52" t="s">
        <v>139</v>
      </c>
      <c r="O14" s="52" t="s">
        <v>140</v>
      </c>
      <c r="P14" s="52" t="s">
        <v>139</v>
      </c>
      <c r="Q14" s="52" t="s">
        <v>140</v>
      </c>
      <c r="R14" s="52" t="s">
        <v>139</v>
      </c>
      <c r="S14" s="52" t="s">
        <v>140</v>
      </c>
      <c r="T14" s="52" t="s">
        <v>187</v>
      </c>
      <c r="U14" s="52" t="s">
        <v>139</v>
      </c>
      <c r="V14" s="57">
        <v>47.285148</v>
      </c>
      <c r="W14" s="52" t="s">
        <v>139</v>
      </c>
      <c r="X14" s="52" t="s">
        <v>188</v>
      </c>
      <c r="Y14" s="52" t="s">
        <v>139</v>
      </c>
      <c r="Z14" s="52" t="s">
        <v>74</v>
      </c>
      <c r="AA14" s="52" t="s">
        <v>139</v>
      </c>
      <c r="AD14" s="52" t="s">
        <v>189</v>
      </c>
      <c r="AE14" s="52" t="s">
        <v>190</v>
      </c>
      <c r="AF14" s="53">
        <f>AF10/AF11</f>
        <v>0.21241538666412679</v>
      </c>
      <c r="AG14" s="52" t="s">
        <v>141</v>
      </c>
      <c r="AH14" s="167"/>
      <c r="AM14" s="52" t="s">
        <v>191</v>
      </c>
      <c r="BC14" s="52" t="s">
        <v>192</v>
      </c>
      <c r="BH14" s="52" t="s">
        <v>116</v>
      </c>
      <c r="CA14" s="52" t="s">
        <v>193</v>
      </c>
      <c r="CH14" s="55"/>
      <c r="CJ14" s="55"/>
      <c r="CL14" s="55"/>
      <c r="CM14" s="55"/>
      <c r="CN14" s="55"/>
      <c r="CO14" s="55"/>
      <c r="CP14" s="55"/>
      <c r="CS14" s="55"/>
      <c r="CU14" s="55"/>
      <c r="CV14" s="55"/>
      <c r="CW14" s="55"/>
      <c r="DB14" s="55"/>
      <c r="DD14" s="55"/>
      <c r="DE14" s="55"/>
      <c r="DF14" s="55"/>
    </row>
    <row r="15" spans="1:110" ht="24" x14ac:dyDescent="0.15">
      <c r="A15" s="52" t="s">
        <v>138</v>
      </c>
      <c r="B15" s="52" t="s">
        <v>175</v>
      </c>
      <c r="C15" s="52" t="s">
        <v>139</v>
      </c>
      <c r="D15" s="53">
        <v>0.1</v>
      </c>
      <c r="E15" s="52" t="s">
        <v>139</v>
      </c>
      <c r="F15" s="53" t="str">
        <f>F10</f>
        <v xml:space="preserve">    ***</v>
      </c>
      <c r="G15" s="52" t="s">
        <v>141</v>
      </c>
      <c r="H15" s="52" t="s">
        <v>140</v>
      </c>
      <c r="I15" s="52" t="s">
        <v>141</v>
      </c>
      <c r="J15" s="52" t="s">
        <v>138</v>
      </c>
      <c r="K15" s="53" t="str">
        <f>$B$15</f>
        <v xml:space="preserve">   Forest/Rangeland</v>
      </c>
      <c r="L15" s="52" t="s">
        <v>139</v>
      </c>
      <c r="M15" s="52" t="s">
        <v>140</v>
      </c>
      <c r="N15" s="52" t="s">
        <v>139</v>
      </c>
      <c r="O15" s="52" t="s">
        <v>140</v>
      </c>
      <c r="P15" s="52" t="s">
        <v>139</v>
      </c>
      <c r="Q15" s="52" t="s">
        <v>140</v>
      </c>
      <c r="R15" s="52" t="s">
        <v>139</v>
      </c>
      <c r="S15" s="52" t="s">
        <v>140</v>
      </c>
      <c r="T15" s="52" t="s">
        <v>194</v>
      </c>
      <c r="U15" s="52" t="s">
        <v>139</v>
      </c>
      <c r="V15" s="57">
        <v>442.34924100000001</v>
      </c>
      <c r="W15" s="52" t="s">
        <v>139</v>
      </c>
      <c r="X15" s="52" t="s">
        <v>195</v>
      </c>
      <c r="Y15" s="52" t="s">
        <v>139</v>
      </c>
      <c r="Z15" s="52" t="s">
        <v>196</v>
      </c>
      <c r="AA15" s="52" t="s">
        <v>139</v>
      </c>
      <c r="AD15" s="52" t="s">
        <v>197</v>
      </c>
      <c r="AE15" s="195" t="s">
        <v>658</v>
      </c>
      <c r="AF15" s="53">
        <f>AF16/AF11</f>
        <v>4.5883302713500571</v>
      </c>
      <c r="AG15" s="52" t="s">
        <v>141</v>
      </c>
      <c r="AM15" s="52" t="s">
        <v>198</v>
      </c>
      <c r="BC15" s="52" t="s">
        <v>199</v>
      </c>
      <c r="BH15" s="52" t="s">
        <v>200</v>
      </c>
      <c r="CA15" s="52" t="s">
        <v>201</v>
      </c>
      <c r="CH15" s="55">
        <f>(CH6)*(10^(-1.68*$H$100))</f>
        <v>5.5277106480953898E-3</v>
      </c>
      <c r="CI15" s="52" t="s">
        <v>202</v>
      </c>
      <c r="CJ15" s="55">
        <f t="shared" ref="CJ15:CP15" si="0">(CJ6)*(10^(-1.68*$H$100))</f>
        <v>3.5979572200700326E-2</v>
      </c>
      <c r="CK15" s="55">
        <f t="shared" si="0"/>
        <v>1.5758012599127853E-2</v>
      </c>
      <c r="CL15" s="55">
        <f t="shared" si="0"/>
        <v>5.5277106480953898E-3</v>
      </c>
      <c r="CM15" s="55">
        <f t="shared" si="0"/>
        <v>2.5541078963742646E-2</v>
      </c>
      <c r="CN15" s="55">
        <f t="shared" si="0"/>
        <v>3.7270823953621447E-2</v>
      </c>
      <c r="CO15" s="55">
        <f t="shared" si="0"/>
        <v>2.2189376466653251E-2</v>
      </c>
      <c r="CP15" s="55">
        <f t="shared" si="0"/>
        <v>3.9468130623404908E-2</v>
      </c>
    </row>
    <row r="16" spans="1:110" x14ac:dyDescent="0.15">
      <c r="A16" s="52" t="s">
        <v>138</v>
      </c>
      <c r="B16" s="52" t="s">
        <v>184</v>
      </c>
      <c r="C16" s="52" t="s">
        <v>139</v>
      </c>
      <c r="D16" s="53">
        <v>0.33</v>
      </c>
      <c r="E16" s="52" t="s">
        <v>139</v>
      </c>
      <c r="F16" s="53" t="str">
        <f>F11</f>
        <v xml:space="preserve">    ***</v>
      </c>
      <c r="G16" s="52" t="s">
        <v>141</v>
      </c>
      <c r="H16" s="52" t="s">
        <v>140</v>
      </c>
      <c r="I16" s="52" t="s">
        <v>141</v>
      </c>
      <c r="J16" s="52" t="s">
        <v>138</v>
      </c>
      <c r="K16" s="53" t="str">
        <f>$B$16</f>
        <v xml:space="preserve">   Water/wetlands</v>
      </c>
      <c r="L16" s="52" t="s">
        <v>139</v>
      </c>
      <c r="M16" s="52" t="s">
        <v>140</v>
      </c>
      <c r="N16" s="52" t="s">
        <v>139</v>
      </c>
      <c r="O16" s="52" t="s">
        <v>140</v>
      </c>
      <c r="P16" s="52" t="s">
        <v>139</v>
      </c>
      <c r="Q16" s="52" t="s">
        <v>140</v>
      </c>
      <c r="R16" s="52" t="s">
        <v>139</v>
      </c>
      <c r="S16" s="52" t="s">
        <v>140</v>
      </c>
      <c r="T16" s="52" t="s">
        <v>203</v>
      </c>
      <c r="U16" s="52" t="s">
        <v>139</v>
      </c>
      <c r="V16" s="57">
        <v>220.70314500000001</v>
      </c>
      <c r="W16" s="52" t="s">
        <v>139</v>
      </c>
      <c r="X16" s="52" t="s">
        <v>188</v>
      </c>
      <c r="Y16" s="52" t="s">
        <v>139</v>
      </c>
      <c r="Z16" s="52" t="s">
        <v>74</v>
      </c>
      <c r="AA16" s="52" t="s">
        <v>139</v>
      </c>
      <c r="AD16" s="52" t="s">
        <v>204</v>
      </c>
      <c r="AE16" s="52" t="s">
        <v>205</v>
      </c>
      <c r="AF16" s="172">
        <f>Summary!AH55</f>
        <v>108.13288260325228</v>
      </c>
      <c r="AG16" s="52" t="s">
        <v>141</v>
      </c>
      <c r="AM16" s="52" t="s">
        <v>206</v>
      </c>
      <c r="BC16" s="52" t="s">
        <v>207</v>
      </c>
      <c r="BH16" s="52" t="s">
        <v>208</v>
      </c>
      <c r="CA16" s="52" t="s">
        <v>209</v>
      </c>
      <c r="CH16" s="55">
        <f>(CH7)*(10^(-1.68*$H$101))</f>
        <v>1.0959952968327216</v>
      </c>
      <c r="CI16" s="52" t="s">
        <v>37</v>
      </c>
      <c r="CJ16" s="55">
        <f>(CJ7)*(10^(-1.68*$H$101))</f>
        <v>3.5372511242367324</v>
      </c>
      <c r="CK16" s="55">
        <f>(CK7)*(10^(-1.68*$H$101))</f>
        <v>2.3337604439405495</v>
      </c>
      <c r="CL16" s="55">
        <f>(CL7)*(10^(-1.68*$H$101))</f>
        <v>1.0959952968327216</v>
      </c>
      <c r="CM16" s="55">
        <f>(CM7)*(10^(-1.68*$H$101))</f>
        <v>1.3963159621236447</v>
      </c>
      <c r="CN16" s="56" t="s">
        <v>74</v>
      </c>
      <c r="CO16" s="55">
        <f>(CO7)*(10^(-1.68*$H$101))</f>
        <v>0.70760716179366956</v>
      </c>
      <c r="CP16" s="55">
        <f>(CP7)*(10^(-1.68*$H$101))</f>
        <v>0.71486202015911693</v>
      </c>
    </row>
    <row r="17" spans="1:94" x14ac:dyDescent="0.15">
      <c r="A17" s="52" t="s">
        <v>138</v>
      </c>
      <c r="B17" s="52" t="s">
        <v>192</v>
      </c>
      <c r="C17" s="52" t="s">
        <v>139</v>
      </c>
      <c r="D17" s="53">
        <v>0.31</v>
      </c>
      <c r="E17" s="52" t="s">
        <v>139</v>
      </c>
      <c r="F17" s="53" t="str">
        <f>F12</f>
        <v xml:space="preserve">    ***</v>
      </c>
      <c r="G17" s="52" t="s">
        <v>141</v>
      </c>
      <c r="H17" s="52" t="s">
        <v>140</v>
      </c>
      <c r="I17" s="52" t="s">
        <v>141</v>
      </c>
      <c r="J17" s="52" t="s">
        <v>138</v>
      </c>
      <c r="K17" s="53" t="str">
        <f>$B$17</f>
        <v xml:space="preserve">   Feedlots</v>
      </c>
      <c r="L17" s="52" t="s">
        <v>139</v>
      </c>
      <c r="M17" s="52" t="s">
        <v>140</v>
      </c>
      <c r="N17" s="52" t="s">
        <v>139</v>
      </c>
      <c r="O17" s="52" t="s">
        <v>140</v>
      </c>
      <c r="P17" s="52" t="s">
        <v>139</v>
      </c>
      <c r="Q17" s="52" t="s">
        <v>140</v>
      </c>
      <c r="R17" s="52" t="s">
        <v>139</v>
      </c>
      <c r="S17" s="52" t="s">
        <v>140</v>
      </c>
      <c r="T17" s="52" t="s">
        <v>210</v>
      </c>
      <c r="U17" s="52" t="s">
        <v>139</v>
      </c>
      <c r="V17" s="57">
        <v>0</v>
      </c>
      <c r="W17" s="52" t="s">
        <v>139</v>
      </c>
      <c r="X17" s="52" t="s">
        <v>211</v>
      </c>
      <c r="Y17" s="52" t="s">
        <v>139</v>
      </c>
      <c r="Z17" s="53">
        <v>0</v>
      </c>
      <c r="AA17" s="52" t="s">
        <v>139</v>
      </c>
      <c r="AD17" s="52" t="s">
        <v>212</v>
      </c>
      <c r="AE17" s="52" t="s">
        <v>190</v>
      </c>
      <c r="AG17" s="52" t="s">
        <v>141</v>
      </c>
      <c r="BC17" s="52" t="s">
        <v>213</v>
      </c>
      <c r="BH17" s="52" t="s">
        <v>158</v>
      </c>
      <c r="BP17" s="55"/>
      <c r="CA17" s="52" t="s">
        <v>214</v>
      </c>
      <c r="CH17" s="55">
        <f>10^((1.462)+(0.299*LOG(CH15/10^0.0179))+(0.958*LOG(CH16/10^0.0093)))*(10^0.0241)</f>
        <v>6.8390577445139753</v>
      </c>
      <c r="CI17" s="52" t="s">
        <v>137</v>
      </c>
      <c r="CJ17" s="55">
        <f>10^((0.678*LOG(1000*CJ15))+(0.858*LOG(1000*CJ16))-2.5)</f>
        <v>39.78884213208503</v>
      </c>
      <c r="CK17" s="55">
        <f>IF($BP$17&gt;-1.659,$BS$19,$BS$18)</f>
        <v>0</v>
      </c>
      <c r="CL17" s="55">
        <f>10^((1.462)+(0.299*LOG(CL15/10^0.0179))+(0.958*LOG(CL16/10^0.0093)))*(10^0.0241)</f>
        <v>6.8390577445139753</v>
      </c>
      <c r="CM17" s="55">
        <f>10^((2.369)+(0.869*LOG(CM15/10^0.0148))+(0.185*LOG($AF$11)))*(10^0.045)</f>
        <v>18.659748012185116</v>
      </c>
      <c r="CN17" s="55">
        <f>10^((1.921)+(0.431*LOG(CN15/10^0.0278))-(0.34*LOG($AF$10))+(0.049*LOG($AF$11)))*(10^0.0367)</f>
        <v>14.434269209054207</v>
      </c>
      <c r="CO17" s="55">
        <f>10^((1.985)+(0.51*LOG(CO15/10^0.024))-(0.352*LOG($AF$10))+(0.234*LOG($AF$11)))*(10^0.025)</f>
        <v>16.95090036037972</v>
      </c>
      <c r="CP17" s="55">
        <f>10^((1.95)+(0.79*LOG(CP15/10^0.023)))*(10^0.045)</f>
        <v>7.3767451518711891</v>
      </c>
    </row>
    <row r="18" spans="1:94" x14ac:dyDescent="0.15">
      <c r="A18" s="52" t="s">
        <v>138</v>
      </c>
      <c r="B18" s="52" t="s">
        <v>199</v>
      </c>
      <c r="C18" s="52" t="s">
        <v>139</v>
      </c>
      <c r="D18" s="53">
        <v>0.15</v>
      </c>
      <c r="E18" s="52" t="s">
        <v>139</v>
      </c>
      <c r="F18" s="53" t="str">
        <f>F9</f>
        <v xml:space="preserve">    ***</v>
      </c>
      <c r="G18" s="52" t="s">
        <v>141</v>
      </c>
      <c r="H18" s="52" t="s">
        <v>140</v>
      </c>
      <c r="I18" s="52" t="s">
        <v>141</v>
      </c>
      <c r="J18" s="52" t="s">
        <v>138</v>
      </c>
      <c r="K18" s="53" t="str">
        <f>$B$18</f>
        <v xml:space="preserve">   Pasture</v>
      </c>
      <c r="L18" s="52" t="s">
        <v>139</v>
      </c>
      <c r="M18" s="52" t="s">
        <v>140</v>
      </c>
      <c r="N18" s="52" t="s">
        <v>139</v>
      </c>
      <c r="O18" s="52" t="s">
        <v>140</v>
      </c>
      <c r="P18" s="52" t="s">
        <v>139</v>
      </c>
      <c r="Q18" s="52" t="s">
        <v>140</v>
      </c>
      <c r="R18" s="52" t="s">
        <v>139</v>
      </c>
      <c r="S18" s="52" t="s">
        <v>140</v>
      </c>
      <c r="T18" s="52" t="s">
        <v>215</v>
      </c>
      <c r="U18" s="52" t="s">
        <v>139</v>
      </c>
      <c r="V18" s="57">
        <v>141.81092699999999</v>
      </c>
      <c r="W18" s="52" t="s">
        <v>139</v>
      </c>
      <c r="X18" s="52" t="s">
        <v>216</v>
      </c>
      <c r="Y18" s="52" t="s">
        <v>139</v>
      </c>
      <c r="Z18" s="53">
        <v>1.5</v>
      </c>
      <c r="AA18" s="52" t="s">
        <v>139</v>
      </c>
      <c r="AD18" s="52" t="s">
        <v>217</v>
      </c>
      <c r="AE18" s="52" t="s">
        <v>145</v>
      </c>
      <c r="AF18" s="53">
        <f>0.01*(V9+V10+V11+V12+V13+V14+V15+V16+V17+V18+V19+V20)</f>
        <v>19.32134928</v>
      </c>
      <c r="AG18" s="52" t="s">
        <v>141</v>
      </c>
      <c r="AL18" s="52" t="s">
        <v>218</v>
      </c>
      <c r="BC18" s="52" t="s">
        <v>219</v>
      </c>
      <c r="BH18" s="52" t="s">
        <v>167</v>
      </c>
      <c r="CA18" s="52" t="s">
        <v>220</v>
      </c>
      <c r="CH18" s="55">
        <f>10^(-0.149+(0.454*LOG($AF$10))-(0.556*(LOG(CH16/10^0.0093))))*10^(0.0156)</f>
        <v>1.4696205332097467</v>
      </c>
      <c r="CI18" s="52" t="s">
        <v>151</v>
      </c>
      <c r="CJ18" s="55">
        <f>10^(-0.47+(0.137*LOG($AF$10))-(0.364*(LOG(CJ15)))+(0.102*LOG($AF$11)))*10^(0.007688)</f>
        <v>1.9910792164993738</v>
      </c>
      <c r="CK18" s="55">
        <f>10^(0.499-(0.601*LOG(LOG(1000*$CK$15)))+(0.098*LOG($AF$11)))*10^(0.011)</f>
        <v>3.9576902531762297</v>
      </c>
      <c r="CL18" s="55">
        <f>10^(-0.149+(0.454*LOG($AF$10))-(0.556*(LOG(CL16/10^0.0093))))*10^(0.0156)</f>
        <v>1.4696205332097467</v>
      </c>
      <c r="CM18" s="55">
        <f>10^(-0.886+(0.307*LOG($AF$10))+(0.066*LOG($AF$11))-(0.494*LOG(CM15/10^0.0148))+(0.287*(LOG(CM16/10^0.0071))))*10^(0.0176)</f>
        <v>1.8647593420869082</v>
      </c>
      <c r="CN18" s="55">
        <f>10^(-0.423+(0.352*LOG($AF$10))+(0.054*LOG($AF$11))-(0.275*LOG(CN15/10^0.0278)))*10^(0.0138)</f>
        <v>2.0494770118036922</v>
      </c>
      <c r="CO18" s="55">
        <f>10^(-1.323+(0.472*LOG($AF$10))-(0.656*LOG(CO15/10^0.024)))*10^(0.0146)</f>
        <v>1.3256585035362043</v>
      </c>
      <c r="CP18" s="56" t="s">
        <v>74</v>
      </c>
    </row>
    <row r="19" spans="1:94" x14ac:dyDescent="0.15">
      <c r="A19" s="52" t="s">
        <v>138</v>
      </c>
      <c r="B19" s="52" t="s">
        <v>207</v>
      </c>
      <c r="C19" s="52" t="s">
        <v>139</v>
      </c>
      <c r="D19" s="53">
        <v>0.15</v>
      </c>
      <c r="E19" s="52" t="s">
        <v>139</v>
      </c>
      <c r="F19" s="53" t="str">
        <f>F9</f>
        <v xml:space="preserve">    ***</v>
      </c>
      <c r="G19" s="52" t="s">
        <v>141</v>
      </c>
      <c r="H19" s="52" t="s">
        <v>140</v>
      </c>
      <c r="I19" s="52" t="s">
        <v>141</v>
      </c>
      <c r="J19" s="52" t="s">
        <v>138</v>
      </c>
      <c r="K19" s="53" t="str">
        <f>$B$19</f>
        <v xml:space="preserve">   Citrus groves</v>
      </c>
      <c r="L19" s="52" t="s">
        <v>139</v>
      </c>
      <c r="M19" s="52" t="s">
        <v>140</v>
      </c>
      <c r="N19" s="52" t="s">
        <v>139</v>
      </c>
      <c r="O19" s="52" t="s">
        <v>140</v>
      </c>
      <c r="P19" s="52" t="s">
        <v>139</v>
      </c>
      <c r="Q19" s="52" t="s">
        <v>140</v>
      </c>
      <c r="R19" s="52" t="s">
        <v>139</v>
      </c>
      <c r="S19" s="52" t="s">
        <v>140</v>
      </c>
      <c r="T19" s="52" t="s">
        <v>221</v>
      </c>
      <c r="U19" s="52" t="s">
        <v>139</v>
      </c>
      <c r="V19" s="57">
        <v>518.57853299999999</v>
      </c>
      <c r="W19" s="52" t="s">
        <v>139</v>
      </c>
      <c r="X19" s="52" t="s">
        <v>222</v>
      </c>
      <c r="Y19" s="52" t="s">
        <v>139</v>
      </c>
      <c r="Z19" s="53">
        <v>5</v>
      </c>
      <c r="AA19" s="52" t="s">
        <v>139</v>
      </c>
      <c r="AD19" s="52" t="s">
        <v>223</v>
      </c>
      <c r="AE19" s="52" t="s">
        <v>155</v>
      </c>
      <c r="AG19" s="52" t="s">
        <v>141</v>
      </c>
      <c r="AL19" s="52" t="s">
        <v>224</v>
      </c>
      <c r="BC19" s="52" t="s">
        <v>225</v>
      </c>
      <c r="BH19" s="52" t="s">
        <v>176</v>
      </c>
      <c r="CA19" s="52" t="s">
        <v>226</v>
      </c>
      <c r="CH19" s="55"/>
      <c r="CI19" s="52" t="s">
        <v>160</v>
      </c>
      <c r="CJ19" s="55"/>
      <c r="CL19" s="55"/>
      <c r="CM19" s="55"/>
      <c r="CN19" s="55"/>
      <c r="CO19" s="55"/>
      <c r="CP19" s="55"/>
    </row>
    <row r="20" spans="1:94" x14ac:dyDescent="0.15">
      <c r="A20" s="52" t="s">
        <v>138</v>
      </c>
      <c r="B20" s="52" t="s">
        <v>213</v>
      </c>
      <c r="C20" s="52" t="s">
        <v>139</v>
      </c>
      <c r="D20" s="53">
        <v>0.15</v>
      </c>
      <c r="E20" s="52" t="s">
        <v>139</v>
      </c>
      <c r="F20" s="53" t="str">
        <f>F9</f>
        <v xml:space="preserve">    ***</v>
      </c>
      <c r="G20" s="52" t="s">
        <v>141</v>
      </c>
      <c r="H20" s="52" t="s">
        <v>140</v>
      </c>
      <c r="I20" s="52" t="s">
        <v>141</v>
      </c>
      <c r="J20" s="52" t="s">
        <v>138</v>
      </c>
      <c r="K20" s="53" t="str">
        <f>$B$20</f>
        <v xml:space="preserve">   Other Agric</v>
      </c>
      <c r="L20" s="52" t="s">
        <v>139</v>
      </c>
      <c r="M20" s="52" t="s">
        <v>140</v>
      </c>
      <c r="N20" s="52" t="s">
        <v>139</v>
      </c>
      <c r="O20" s="52" t="s">
        <v>140</v>
      </c>
      <c r="P20" s="52" t="s">
        <v>139</v>
      </c>
      <c r="Q20" s="52" t="s">
        <v>140</v>
      </c>
      <c r="R20" s="52" t="s">
        <v>139</v>
      </c>
      <c r="S20" s="52" t="s">
        <v>140</v>
      </c>
      <c r="T20" s="52" t="s">
        <v>227</v>
      </c>
      <c r="U20" s="52" t="s">
        <v>139</v>
      </c>
      <c r="V20" s="57">
        <v>283.42355099999997</v>
      </c>
      <c r="W20" s="52" t="s">
        <v>139</v>
      </c>
      <c r="X20" s="52" t="s">
        <v>188</v>
      </c>
      <c r="Y20" s="52" t="s">
        <v>139</v>
      </c>
      <c r="Z20" s="52" t="s">
        <v>74</v>
      </c>
      <c r="AA20" s="52" t="s">
        <v>139</v>
      </c>
      <c r="AD20" s="52" t="s">
        <v>228</v>
      </c>
      <c r="AE20" s="52" t="s">
        <v>229</v>
      </c>
      <c r="AF20" s="53">
        <f>AF18/AF9</f>
        <v>0.89516969552840686</v>
      </c>
      <c r="AG20" s="52" t="s">
        <v>141</v>
      </c>
      <c r="AN20" s="52" t="s">
        <v>230</v>
      </c>
      <c r="AO20" s="52" t="s">
        <v>231</v>
      </c>
      <c r="BC20" s="52" t="s">
        <v>232</v>
      </c>
      <c r="CA20" s="52" t="s">
        <v>233</v>
      </c>
      <c r="CH20" s="55"/>
      <c r="CI20" s="52" t="s">
        <v>169</v>
      </c>
      <c r="CJ20" s="55"/>
      <c r="CL20" s="55"/>
      <c r="CM20" s="55"/>
      <c r="CN20" s="55"/>
      <c r="CO20" s="55"/>
      <c r="CP20" s="55"/>
    </row>
    <row r="21" spans="1:94" x14ac:dyDescent="0.15">
      <c r="A21" s="52" t="s">
        <v>234</v>
      </c>
      <c r="B21" s="52" t="s">
        <v>235</v>
      </c>
      <c r="C21" s="52" t="s">
        <v>236</v>
      </c>
      <c r="D21" s="52" t="s">
        <v>123</v>
      </c>
      <c r="E21" s="52" t="s">
        <v>237</v>
      </c>
      <c r="F21" s="52" t="s">
        <v>238</v>
      </c>
      <c r="H21" s="52" t="s">
        <v>239</v>
      </c>
      <c r="J21" s="52" t="s">
        <v>138</v>
      </c>
      <c r="K21" s="52" t="s">
        <v>74</v>
      </c>
      <c r="L21" s="52" t="s">
        <v>139</v>
      </c>
      <c r="M21" s="52" t="s">
        <v>74</v>
      </c>
      <c r="N21" s="52" t="s">
        <v>139</v>
      </c>
      <c r="O21" s="52" t="s">
        <v>74</v>
      </c>
      <c r="P21" s="52" t="s">
        <v>139</v>
      </c>
      <c r="Q21" s="52" t="s">
        <v>74</v>
      </c>
      <c r="R21" s="52" t="s">
        <v>139</v>
      </c>
      <c r="S21" s="52" t="s">
        <v>74</v>
      </c>
      <c r="T21" s="52" t="s">
        <v>240</v>
      </c>
      <c r="U21" s="52" t="s">
        <v>237</v>
      </c>
      <c r="V21" s="52" t="s">
        <v>123</v>
      </c>
      <c r="W21" s="52" t="s">
        <v>241</v>
      </c>
      <c r="X21" s="52" t="s">
        <v>242</v>
      </c>
      <c r="Y21" s="52" t="s">
        <v>237</v>
      </c>
      <c r="Z21" s="52" t="s">
        <v>243</v>
      </c>
      <c r="AA21" s="52" t="s">
        <v>241</v>
      </c>
      <c r="AD21" s="52" t="s">
        <v>240</v>
      </c>
      <c r="AE21" s="52" t="s">
        <v>244</v>
      </c>
      <c r="AF21" s="52" t="s">
        <v>239</v>
      </c>
      <c r="AK21" s="52" t="s">
        <v>74</v>
      </c>
      <c r="AL21" s="52" t="s">
        <v>74</v>
      </c>
      <c r="AN21" s="52" t="s">
        <v>245</v>
      </c>
      <c r="AO21" s="52" t="s">
        <v>246</v>
      </c>
      <c r="AP21" s="52" t="s">
        <v>188</v>
      </c>
      <c r="BC21" s="52" t="s">
        <v>247</v>
      </c>
      <c r="CA21" s="52" t="s">
        <v>248</v>
      </c>
      <c r="CH21" s="55"/>
      <c r="CI21" s="52" t="s">
        <v>178</v>
      </c>
      <c r="CJ21" s="55"/>
      <c r="CL21" s="55"/>
      <c r="CM21" s="55"/>
      <c r="CN21" s="55"/>
      <c r="CO21" s="55"/>
      <c r="CP21" s="55"/>
    </row>
    <row r="22" spans="1:94" x14ac:dyDescent="0.15">
      <c r="A22" s="52" t="s">
        <v>138</v>
      </c>
      <c r="B22" s="52" t="s">
        <v>249</v>
      </c>
      <c r="C22" s="52" t="s">
        <v>139</v>
      </c>
      <c r="D22" s="53">
        <v>106.52760000000001</v>
      </c>
      <c r="E22" s="52" t="s">
        <v>250</v>
      </c>
      <c r="F22" s="52" t="s">
        <v>141</v>
      </c>
      <c r="G22" s="52" t="s">
        <v>74</v>
      </c>
      <c r="H22" s="52" t="s">
        <v>74</v>
      </c>
      <c r="I22" s="52" t="s">
        <v>74</v>
      </c>
      <c r="J22" s="52" t="s">
        <v>251</v>
      </c>
      <c r="K22" s="52" t="s">
        <v>235</v>
      </c>
      <c r="L22" s="52" t="s">
        <v>237</v>
      </c>
      <c r="M22" s="52" t="s">
        <v>123</v>
      </c>
      <c r="N22" s="52" t="s">
        <v>237</v>
      </c>
      <c r="O22" s="52" t="s">
        <v>126</v>
      </c>
      <c r="P22" s="52" t="s">
        <v>252</v>
      </c>
      <c r="Q22" s="52" t="s">
        <v>123</v>
      </c>
      <c r="R22" s="52" t="s">
        <v>237</v>
      </c>
      <c r="S22" s="52" t="s">
        <v>239</v>
      </c>
      <c r="AN22" s="52" t="s">
        <v>253</v>
      </c>
      <c r="AO22" s="52" t="s">
        <v>254</v>
      </c>
      <c r="BC22" s="52" t="s">
        <v>255</v>
      </c>
      <c r="CA22" s="52" t="s">
        <v>256</v>
      </c>
      <c r="CH22" s="55">
        <f>5*(3.76+(1.98*LN(CH16))+(1.86*LN(1000*CH15)))</f>
        <v>35.608358485148329</v>
      </c>
      <c r="CI22" s="52" t="s">
        <v>186</v>
      </c>
      <c r="CJ22" s="55"/>
      <c r="CK22" s="55" t="e">
        <f>((60-14.41*LN(CK18))+(30.6+9.81*LN(CK17))+(4.15+14.42*LN(1000*CK15)))/3</f>
        <v>#NUM!</v>
      </c>
      <c r="CL22" s="55">
        <f>5*(3.76+(1.98*LN(CL16))+(1.86*LN(1000*CL15)))</f>
        <v>35.608358485148329</v>
      </c>
      <c r="CM22" s="55">
        <f>((60-14.41*LN(CM18))+(30.6+9.81*LN(CM17))+(4.15+14.42*LN(1000*CM15)))/3</f>
        <v>53.734432999724483</v>
      </c>
      <c r="CN22" s="55">
        <f>((60-14.41*LN(CN18))+(30.6+9.81*LN(CN17))+(4.15+14.42*LN(1000*CN15)))/3</f>
        <v>54.257677393950239</v>
      </c>
      <c r="CO22" s="55">
        <f>((60-14.41*LN(CO18))+(30.6+9.81*LN(CO17))+(4.15+14.42*LN(1000*CO15)))/3</f>
        <v>54.383187958055707</v>
      </c>
      <c r="CP22" s="55">
        <f>((30.6+9.81*LN(CP17))+(4.15+14.42*LN(1000*CP15)))/2</f>
        <v>53.677129263732979</v>
      </c>
    </row>
    <row r="23" spans="1:94" x14ac:dyDescent="0.15">
      <c r="A23" s="52" t="s">
        <v>138</v>
      </c>
      <c r="B23" s="52" t="s">
        <v>257</v>
      </c>
      <c r="C23" s="52" t="s">
        <v>139</v>
      </c>
      <c r="D23" s="53">
        <v>0</v>
      </c>
      <c r="E23" s="52" t="s">
        <v>74</v>
      </c>
      <c r="F23" s="52" t="s">
        <v>141</v>
      </c>
      <c r="G23" s="52" t="s">
        <v>74</v>
      </c>
      <c r="H23" s="52" t="s">
        <v>74</v>
      </c>
      <c r="I23" s="52" t="s">
        <v>74</v>
      </c>
      <c r="J23" s="52" t="s">
        <v>138</v>
      </c>
      <c r="K23" s="52" t="s">
        <v>258</v>
      </c>
      <c r="L23" s="52" t="s">
        <v>259</v>
      </c>
      <c r="M23" s="53">
        <f>(S9*V9+S10*V10+S11*V11+S12*V12+S13*V13+S14*V14+S15*V15+S16*V16+S17*V17+S18*V18+S19*V19+S20*V20)/(V9+V10+V11+V12+V13+V14+V15+V16+V17+V18+V19+V20)</f>
        <v>0</v>
      </c>
      <c r="N23" s="52" t="s">
        <v>260</v>
      </c>
      <c r="O23" s="52" t="s">
        <v>261</v>
      </c>
      <c r="P23" s="52" t="s">
        <v>262</v>
      </c>
      <c r="Q23" s="52" t="s">
        <v>263</v>
      </c>
      <c r="R23" s="52" t="s">
        <v>264</v>
      </c>
      <c r="S23" s="52" t="s">
        <v>265</v>
      </c>
      <c r="AC23" s="52" t="s">
        <v>266</v>
      </c>
      <c r="AL23" s="52" t="s">
        <v>267</v>
      </c>
      <c r="BC23" s="52" t="s">
        <v>268</v>
      </c>
      <c r="CA23" s="52" t="s">
        <v>269</v>
      </c>
      <c r="CH23" s="55"/>
      <c r="CJ23" s="55"/>
      <c r="CL23" s="55"/>
      <c r="CM23" s="55"/>
      <c r="CN23" s="55"/>
      <c r="CO23" s="55"/>
      <c r="CP23" s="55"/>
    </row>
    <row r="24" spans="1:94" x14ac:dyDescent="0.15">
      <c r="A24" s="52" t="s">
        <v>251</v>
      </c>
      <c r="B24" s="52" t="s">
        <v>235</v>
      </c>
      <c r="C24" s="52" t="s">
        <v>237</v>
      </c>
      <c r="D24" s="52" t="s">
        <v>123</v>
      </c>
      <c r="E24" s="52" t="s">
        <v>270</v>
      </c>
      <c r="F24" s="52" t="s">
        <v>271</v>
      </c>
      <c r="H24" s="52" t="s">
        <v>74</v>
      </c>
      <c r="J24" s="52" t="s">
        <v>251</v>
      </c>
      <c r="K24" s="52" t="s">
        <v>235</v>
      </c>
      <c r="L24" s="52" t="s">
        <v>272</v>
      </c>
      <c r="M24" s="52" t="s">
        <v>123</v>
      </c>
      <c r="N24" s="52" t="s">
        <v>272</v>
      </c>
      <c r="O24" s="52" t="s">
        <v>126</v>
      </c>
      <c r="P24" s="52" t="s">
        <v>273</v>
      </c>
      <c r="Q24" s="52" t="s">
        <v>123</v>
      </c>
      <c r="R24" s="52" t="s">
        <v>272</v>
      </c>
      <c r="S24" s="52" t="s">
        <v>274</v>
      </c>
      <c r="BB24" s="52" t="s">
        <v>275</v>
      </c>
      <c r="BH24" s="52" t="s">
        <v>276</v>
      </c>
      <c r="CA24" s="52" t="s">
        <v>277</v>
      </c>
      <c r="CH24" s="55">
        <f>(CH6)*(10^(1.68*$H$100))</f>
        <v>5.5277106480953898E-3</v>
      </c>
      <c r="CI24" s="52" t="s">
        <v>278</v>
      </c>
      <c r="CJ24" s="55">
        <f>($CJ$6)*(10^(1.68*$H$100))</f>
        <v>3.5979572200700326E-2</v>
      </c>
      <c r="CK24" s="55">
        <f>($CK$6)*(10^(1.68*$H$100))</f>
        <v>1.5758012599127853E-2</v>
      </c>
      <c r="CL24" s="55">
        <f>(CL6)*(10^(1.68*$H$100))</f>
        <v>5.5277106480953898E-3</v>
      </c>
      <c r="CM24" s="55">
        <f>(CM6)*(10^(1.68*$H$100))</f>
        <v>2.5541078963742646E-2</v>
      </c>
      <c r="CN24" s="55">
        <f>(CN6)*(10^(1.68*$H$100))</f>
        <v>3.7270823953621447E-2</v>
      </c>
      <c r="CO24" s="55">
        <f>(CO6)*(10^(1.68*$H$100))</f>
        <v>2.2189376466653251E-2</v>
      </c>
      <c r="CP24" s="55">
        <f>(CP6)*(10^(1.68*$H$100))</f>
        <v>3.9468130623404908E-2</v>
      </c>
    </row>
    <row r="25" spans="1:94" x14ac:dyDescent="0.15">
      <c r="A25" s="52" t="s">
        <v>279</v>
      </c>
      <c r="J25" s="52" t="s">
        <v>280</v>
      </c>
      <c r="T25" s="52" t="s">
        <v>281</v>
      </c>
      <c r="AC25" s="52" t="s">
        <v>282</v>
      </c>
      <c r="AD25" s="52" t="s">
        <v>283</v>
      </c>
      <c r="AJ25" s="52" t="s">
        <v>283</v>
      </c>
      <c r="BB25" s="59" t="s">
        <v>284</v>
      </c>
      <c r="BC25" s="59" t="s">
        <v>284</v>
      </c>
      <c r="BH25" s="52" t="s">
        <v>285</v>
      </c>
      <c r="CA25" s="52" t="s">
        <v>286</v>
      </c>
      <c r="CH25" s="55">
        <f>(CH7)*(10^(1.68*$H$101))</f>
        <v>1.0959952968327216</v>
      </c>
      <c r="CI25" s="52" t="s">
        <v>37</v>
      </c>
      <c r="CJ25" s="55">
        <f>($CJ$7)*(10^(1.68*$H$101))</f>
        <v>3.5372511242367324</v>
      </c>
      <c r="CK25" s="55">
        <f>($CK$7)*(10^(1.68*$H$101))</f>
        <v>2.3337604439405495</v>
      </c>
      <c r="CL25" s="55">
        <f>(CL7)*(10^(1.68*$H$101))</f>
        <v>1.0959952968327216</v>
      </c>
      <c r="CM25" s="55">
        <f>(CM7)*(10^(1.68*$H$101))</f>
        <v>1.3963159621236447</v>
      </c>
      <c r="CN25" s="56" t="s">
        <v>74</v>
      </c>
      <c r="CO25" s="55">
        <f>(CO7)*(10^(1.68*$H$101))</f>
        <v>0.70760716179366956</v>
      </c>
      <c r="CP25" s="55">
        <f>(CP7)*(10^(1.68*$H$101))</f>
        <v>0.71486202015911693</v>
      </c>
    </row>
    <row r="26" spans="1:94" x14ac:dyDescent="0.15">
      <c r="A26" s="52" t="s">
        <v>287</v>
      </c>
      <c r="J26" s="52" t="s">
        <v>287</v>
      </c>
      <c r="T26" s="52" t="s">
        <v>288</v>
      </c>
      <c r="BB26" s="52" t="s">
        <v>289</v>
      </c>
      <c r="BC26" s="52" t="s">
        <v>290</v>
      </c>
      <c r="BH26" s="52" t="s">
        <v>291</v>
      </c>
      <c r="CA26" s="52" t="s">
        <v>292</v>
      </c>
      <c r="CH26" s="55">
        <f>10^((1.462)+(0.299*LOG(CH24/10^0.0179))+(0.958*LOG(CH25/10^0.0093)))*(10^0.0241)</f>
        <v>6.8390577445139753</v>
      </c>
      <c r="CI26" s="52" t="s">
        <v>137</v>
      </c>
      <c r="CJ26" s="55">
        <f>10^((0.678*LOG(1000*CJ24))+(0.858*LOG(1000*CJ25))-2.5)</f>
        <v>39.78884213208503</v>
      </c>
      <c r="CK26" s="55">
        <f>IF($BP$11&gt;-1.659,$BS$13,$BS$12)</f>
        <v>0</v>
      </c>
      <c r="CL26" s="55">
        <f>10^((1.462)+(0.299*LOG(CL24/10^0.0179))+(0.958*LOG(CL25/10^0.0093)))*(10^0.0241)</f>
        <v>6.8390577445139753</v>
      </c>
      <c r="CM26" s="55">
        <f>10^((2.369)+(0.869*LOG(CM24/10^0.0148))+(0.185*LOG($AF$11)))*(10^0.045)</f>
        <v>18.659748012185116</v>
      </c>
      <c r="CN26" s="55">
        <f>10^((1.921)+(0.431*LOG(CN24/10^0.0278))-(0.34*LOG($AF$10))+(0.049*LOG($AF$11)))*(10^0.0367)</f>
        <v>14.434269209054207</v>
      </c>
      <c r="CO26" s="55">
        <f>10^((1.985)+(0.51*LOG(CO24/10^0.024))-(0.352*LOG($AF$10))+(0.234*LOG($AF$11)))*(10^0.025)</f>
        <v>16.95090036037972</v>
      </c>
      <c r="CP26" s="55">
        <f>10^((1.95)+(0.79*LOG(CP24/10^0.023)))*(10^0.045)</f>
        <v>7.3767451518711891</v>
      </c>
    </row>
    <row r="27" spans="1:94" x14ac:dyDescent="0.15">
      <c r="B27" s="52" t="s">
        <v>98</v>
      </c>
      <c r="D27" s="52" t="s">
        <v>293</v>
      </c>
      <c r="F27" s="52" t="s">
        <v>294</v>
      </c>
      <c r="G27" s="52" t="s">
        <v>101</v>
      </c>
      <c r="H27" s="52" t="s">
        <v>295</v>
      </c>
      <c r="K27" s="52" t="s">
        <v>98</v>
      </c>
      <c r="M27" s="52" t="s">
        <v>293</v>
      </c>
      <c r="O27" s="52" t="s">
        <v>296</v>
      </c>
      <c r="P27" s="52" t="s">
        <v>101</v>
      </c>
      <c r="Q27" s="52" t="s">
        <v>295</v>
      </c>
      <c r="T27" s="52" t="s">
        <v>90</v>
      </c>
      <c r="AC27" s="52" t="s">
        <v>297</v>
      </c>
      <c r="AD27" s="52" t="s">
        <v>298</v>
      </c>
      <c r="AE27" s="52" t="s">
        <v>299</v>
      </c>
      <c r="AF27" s="52" t="s">
        <v>300</v>
      </c>
      <c r="AG27" s="52" t="s">
        <v>101</v>
      </c>
      <c r="AJ27" s="52" t="s">
        <v>298</v>
      </c>
      <c r="BB27" s="52" t="s">
        <v>301</v>
      </c>
      <c r="BC27" s="52" t="s">
        <v>302</v>
      </c>
      <c r="BH27" s="52" t="s">
        <v>303</v>
      </c>
      <c r="BN27" s="52" t="s">
        <v>74</v>
      </c>
      <c r="CA27" s="52" t="s">
        <v>304</v>
      </c>
      <c r="CH27" s="55">
        <f>10^(-0.149+(0.454*LOG($AF$10))-(0.556*(LOG(CH25/10^0.0093))))*10^(0.0156)</f>
        <v>1.4696205332097467</v>
      </c>
      <c r="CI27" s="52" t="s">
        <v>151</v>
      </c>
      <c r="CJ27" s="55">
        <f>10^(-0.47+(0.137*LOG($AF$10))-(0.364*(LOG(CJ24)))+(0.102*LOG($AF$11)))*10^(0.007688)</f>
        <v>1.9910792164993738</v>
      </c>
      <c r="CK27" s="55">
        <f>10^(0.499-(0.601*LOG(LOG(1000*$CK$24)))+(0.098*LOG($AF$11)))*10^(0.011)</f>
        <v>3.9576902531762297</v>
      </c>
      <c r="CL27" s="55">
        <f>10^(-0.149+(0.454*LOG($AF$10))-(0.556*(LOG(CL25/10^0.0093))))*10^(0.0156)</f>
        <v>1.4696205332097467</v>
      </c>
      <c r="CM27" s="55">
        <f>10^(-0.886+(0.307*LOG($AF$10))+(0.066*LOG($AF$11))-(0.494*LOG(CM24/10^0.0148))+(0.287*(LOG(CM25/10^0.0071))))*10^(0.0176)</f>
        <v>1.8647593420869082</v>
      </c>
      <c r="CN27" s="55">
        <f>10^(-0.423+(0.352*LOG($AF$10))+(0.054*LOG($AF$11))-(0.275*LOG(CN24/10^0.0278)))*10^(0.0138)</f>
        <v>2.0494770118036922</v>
      </c>
      <c r="CO27" s="55">
        <f>10^(-1.323+(0.472*LOG($AF$10))-(0.656*LOG(CO24/10^0.024)))*10^(0.0146)</f>
        <v>1.3256585035362043</v>
      </c>
      <c r="CP27" s="56" t="s">
        <v>74</v>
      </c>
    </row>
    <row r="28" spans="1:94" x14ac:dyDescent="0.15">
      <c r="A28" s="52" t="s">
        <v>120</v>
      </c>
      <c r="B28" s="52" t="s">
        <v>121</v>
      </c>
      <c r="C28" s="52" t="s">
        <v>122</v>
      </c>
      <c r="D28" s="52" t="s">
        <v>123</v>
      </c>
      <c r="E28" s="52" t="s">
        <v>122</v>
      </c>
      <c r="F28" s="52" t="s">
        <v>124</v>
      </c>
      <c r="G28" s="52" t="s">
        <v>74</v>
      </c>
      <c r="H28" s="52" t="s">
        <v>125</v>
      </c>
      <c r="I28" s="52" t="s">
        <v>74</v>
      </c>
      <c r="J28" s="52" t="s">
        <v>120</v>
      </c>
      <c r="K28" s="52" t="s">
        <v>121</v>
      </c>
      <c r="L28" s="52" t="s">
        <v>122</v>
      </c>
      <c r="M28" s="52" t="s">
        <v>123</v>
      </c>
      <c r="N28" s="52" t="s">
        <v>122</v>
      </c>
      <c r="O28" s="52" t="s">
        <v>124</v>
      </c>
      <c r="P28" s="52" t="s">
        <v>74</v>
      </c>
      <c r="Q28" s="52" t="s">
        <v>305</v>
      </c>
      <c r="R28" s="52" t="s">
        <v>74</v>
      </c>
      <c r="T28" s="52" t="s">
        <v>306</v>
      </c>
      <c r="V28" s="52" t="s">
        <v>307</v>
      </c>
      <c r="X28" s="52" t="s">
        <v>308</v>
      </c>
      <c r="Z28" s="52" t="s">
        <v>309</v>
      </c>
      <c r="AD28" s="52" t="s">
        <v>128</v>
      </c>
      <c r="AE28" s="52" t="s">
        <v>131</v>
      </c>
      <c r="AF28" s="52" t="s">
        <v>125</v>
      </c>
      <c r="AG28" s="52" t="s">
        <v>74</v>
      </c>
      <c r="AJ28" s="52" t="s">
        <v>128</v>
      </c>
      <c r="AL28" s="52" t="s">
        <v>310</v>
      </c>
      <c r="BB28" s="52" t="s">
        <v>311</v>
      </c>
      <c r="BC28" s="52" t="s">
        <v>312</v>
      </c>
      <c r="BH28" s="52" t="s">
        <v>313</v>
      </c>
      <c r="CA28" s="52" t="s">
        <v>314</v>
      </c>
      <c r="CH28" s="55"/>
      <c r="CI28" s="52" t="s">
        <v>160</v>
      </c>
      <c r="CJ28" s="55"/>
      <c r="CL28" s="55"/>
      <c r="CM28" s="55"/>
      <c r="CN28" s="55"/>
      <c r="CO28" s="55"/>
      <c r="CP28" s="55"/>
    </row>
    <row r="29" spans="1:94" x14ac:dyDescent="0.15">
      <c r="A29" s="52" t="s">
        <v>138</v>
      </c>
      <c r="B29" s="53" t="str">
        <f>$B$9</f>
        <v xml:space="preserve">   Res low-med density</v>
      </c>
      <c r="C29" s="52" t="s">
        <v>139</v>
      </c>
      <c r="D29" s="52" t="s">
        <v>315</v>
      </c>
      <c r="E29" s="52" t="s">
        <v>139</v>
      </c>
      <c r="F29" s="52" t="s">
        <v>315</v>
      </c>
      <c r="G29" s="52" t="s">
        <v>141</v>
      </c>
      <c r="H29" s="60">
        <v>0.3</v>
      </c>
      <c r="I29" s="52" t="s">
        <v>141</v>
      </c>
      <c r="J29" s="52" t="s">
        <v>138</v>
      </c>
      <c r="K29" s="53" t="str">
        <f>$B$9</f>
        <v xml:space="preserve">   Res low-med density</v>
      </c>
      <c r="L29" s="52" t="s">
        <v>139</v>
      </c>
      <c r="M29" s="52" t="s">
        <v>315</v>
      </c>
      <c r="N29" s="52" t="s">
        <v>139</v>
      </c>
      <c r="O29" s="52" t="s">
        <v>315</v>
      </c>
      <c r="P29" s="52" t="s">
        <v>141</v>
      </c>
      <c r="Q29" s="60">
        <v>2.29</v>
      </c>
      <c r="R29" s="52" t="s">
        <v>141</v>
      </c>
      <c r="T29" s="52" t="s">
        <v>128</v>
      </c>
      <c r="U29" s="52" t="s">
        <v>122</v>
      </c>
      <c r="V29" s="52" t="s">
        <v>123</v>
      </c>
      <c r="W29" s="52" t="s">
        <v>122</v>
      </c>
      <c r="X29" s="52" t="s">
        <v>126</v>
      </c>
      <c r="Y29" s="52" t="s">
        <v>122</v>
      </c>
      <c r="Z29" s="52" t="s">
        <v>126</v>
      </c>
      <c r="AA29" s="52" t="s">
        <v>129</v>
      </c>
      <c r="AC29" s="53">
        <v>0.6</v>
      </c>
      <c r="AD29" s="53">
        <f>(AL29/AD49)*(EXP((-AL30)*(LN(AC29))^2))</f>
        <v>4.3823317339525447</v>
      </c>
      <c r="AJ29" s="53">
        <v>0.50771673581247279</v>
      </c>
      <c r="AL29" s="53">
        <f>(0.4343)/((0.174)*SQRT(2*3.1415926))</f>
        <v>0.99575076928790873</v>
      </c>
      <c r="AM29" s="52" t="s">
        <v>316</v>
      </c>
      <c r="BB29" s="52" t="s">
        <v>317</v>
      </c>
      <c r="BC29" s="52" t="s">
        <v>318</v>
      </c>
      <c r="BH29" s="52" t="s">
        <v>319</v>
      </c>
      <c r="CA29" s="52" t="s">
        <v>320</v>
      </c>
      <c r="CH29" s="55"/>
      <c r="CI29" s="52" t="s">
        <v>169</v>
      </c>
      <c r="CJ29" s="55"/>
      <c r="CL29" s="55"/>
      <c r="CM29" s="55"/>
      <c r="CN29" s="55"/>
      <c r="CO29" s="55"/>
      <c r="CP29" s="55"/>
    </row>
    <row r="30" spans="1:94" x14ac:dyDescent="0.15">
      <c r="A30" s="52" t="s">
        <v>138</v>
      </c>
      <c r="B30" s="53" t="str">
        <f>$B$10</f>
        <v xml:space="preserve">   Res high density</v>
      </c>
      <c r="C30" s="52" t="s">
        <v>139</v>
      </c>
      <c r="D30" s="52" t="s">
        <v>315</v>
      </c>
      <c r="E30" s="52" t="s">
        <v>139</v>
      </c>
      <c r="F30" s="52" t="s">
        <v>315</v>
      </c>
      <c r="G30" s="52" t="s">
        <v>141</v>
      </c>
      <c r="H30" s="60">
        <v>0.47</v>
      </c>
      <c r="I30" s="52" t="s">
        <v>141</v>
      </c>
      <c r="J30" s="52" t="s">
        <v>138</v>
      </c>
      <c r="K30" s="53" t="str">
        <f>$B$10</f>
        <v xml:space="preserve">   Res high density</v>
      </c>
      <c r="L30" s="52" t="s">
        <v>139</v>
      </c>
      <c r="M30" s="52" t="s">
        <v>315</v>
      </c>
      <c r="N30" s="52" t="s">
        <v>139</v>
      </c>
      <c r="O30" s="52" t="s">
        <v>315</v>
      </c>
      <c r="P30" s="52" t="s">
        <v>141</v>
      </c>
      <c r="Q30" s="60">
        <v>2.2200000000000002</v>
      </c>
      <c r="R30" s="52" t="s">
        <v>141</v>
      </c>
      <c r="T30" s="52" t="s">
        <v>321</v>
      </c>
      <c r="U30" s="52" t="s">
        <v>139</v>
      </c>
      <c r="V30" s="53">
        <v>0</v>
      </c>
      <c r="W30" s="52" t="s">
        <v>139</v>
      </c>
      <c r="X30" s="53">
        <v>0.34017586037667835</v>
      </c>
      <c r="Y30" s="52" t="s">
        <v>139</v>
      </c>
      <c r="Z30" s="53">
        <v>1</v>
      </c>
      <c r="AA30" s="52" t="s">
        <v>139</v>
      </c>
      <c r="AC30" s="53">
        <v>0.7</v>
      </c>
      <c r="AD30" s="53">
        <f>(AL29/AD50)*(EXP((-AL30)*(LN(AC30))^2))</f>
        <v>34.188041976709329</v>
      </c>
      <c r="AJ30" s="53">
        <v>3.9608688091212012</v>
      </c>
      <c r="AL30" s="53">
        <f>(0.5/(0.174^2))</f>
        <v>16.514731140177041</v>
      </c>
      <c r="AM30" s="52" t="s">
        <v>322</v>
      </c>
      <c r="BB30" s="52" t="s">
        <v>323</v>
      </c>
      <c r="BC30" s="52" t="s">
        <v>324</v>
      </c>
      <c r="BH30" s="52" t="s">
        <v>325</v>
      </c>
      <c r="CA30" s="52" t="s">
        <v>326</v>
      </c>
      <c r="CH30" s="55"/>
      <c r="CI30" s="52" t="s">
        <v>178</v>
      </c>
      <c r="CJ30" s="55"/>
      <c r="CL30" s="55"/>
      <c r="CM30" s="55"/>
      <c r="CN30" s="55"/>
      <c r="CO30" s="55"/>
      <c r="CP30" s="55"/>
    </row>
    <row r="31" spans="1:94" x14ac:dyDescent="0.15">
      <c r="A31" s="52" t="s">
        <v>138</v>
      </c>
      <c r="B31" s="53" t="str">
        <f>$B$11</f>
        <v xml:space="preserve">   Commercial</v>
      </c>
      <c r="C31" s="52" t="s">
        <v>139</v>
      </c>
      <c r="D31" s="52" t="s">
        <v>315</v>
      </c>
      <c r="E31" s="52" t="s">
        <v>139</v>
      </c>
      <c r="F31" s="52" t="s">
        <v>315</v>
      </c>
      <c r="G31" s="52" t="s">
        <v>141</v>
      </c>
      <c r="H31" s="60">
        <v>0.26800000000000002</v>
      </c>
      <c r="I31" s="52" t="s">
        <v>141</v>
      </c>
      <c r="J31" s="52" t="s">
        <v>138</v>
      </c>
      <c r="K31" s="53" t="str">
        <f>$B$11</f>
        <v xml:space="preserve">   Commercial</v>
      </c>
      <c r="L31" s="52" t="s">
        <v>139</v>
      </c>
      <c r="M31" s="52" t="s">
        <v>315</v>
      </c>
      <c r="N31" s="52" t="s">
        <v>139</v>
      </c>
      <c r="O31" s="52" t="s">
        <v>315</v>
      </c>
      <c r="P31" s="52" t="s">
        <v>141</v>
      </c>
      <c r="Q31" s="60">
        <v>1.8859999999999999</v>
      </c>
      <c r="R31" s="52" t="s">
        <v>141</v>
      </c>
      <c r="T31" s="52" t="s">
        <v>128</v>
      </c>
      <c r="U31" s="52" t="s">
        <v>122</v>
      </c>
      <c r="V31" s="52" t="s">
        <v>123</v>
      </c>
      <c r="W31" s="52" t="s">
        <v>122</v>
      </c>
      <c r="X31" s="52" t="s">
        <v>126</v>
      </c>
      <c r="Y31" s="52" t="s">
        <v>122</v>
      </c>
      <c r="Z31" s="52" t="s">
        <v>126</v>
      </c>
      <c r="AA31" s="52" t="s">
        <v>129</v>
      </c>
      <c r="AC31" s="53">
        <v>0.8</v>
      </c>
      <c r="AD31" s="53">
        <f>(AL29/AD51)*(EXP((-AL30)*(LN(AC31))^2))</f>
        <v>107.44516320429354</v>
      </c>
      <c r="AJ31" s="53">
        <v>12.448100886173801</v>
      </c>
      <c r="BB31" s="52" t="s">
        <v>327</v>
      </c>
      <c r="BC31" s="52" t="s">
        <v>328</v>
      </c>
      <c r="BH31" s="52" t="s">
        <v>329</v>
      </c>
      <c r="CA31" s="52" t="s">
        <v>330</v>
      </c>
      <c r="CH31" s="55">
        <f>5*(3.76+(1.98*LN(CH25))+(1.86*LN(1000*CH24)))</f>
        <v>35.608358485148329</v>
      </c>
      <c r="CI31" s="52" t="s">
        <v>186</v>
      </c>
      <c r="CJ31" s="55"/>
      <c r="CK31" s="55" t="e">
        <f>((60-14.41*LN(CK27))+(30.6+9.81*LN(CK26))+(4.15+14.42*LN(1000*CK24)))/3</f>
        <v>#NUM!</v>
      </c>
      <c r="CL31" s="55">
        <f>5*(3.76+(1.98*LN(CL25))+(1.86*LN(1000*CL24)))</f>
        <v>35.608358485148329</v>
      </c>
      <c r="CM31" s="55">
        <f>((60-14.41*LN(CM27))+(30.6+9.81*LN(CM26))+(4.15+14.42*LN(1000*CM24)))/3</f>
        <v>53.734432999724483</v>
      </c>
      <c r="CN31" s="55">
        <f>((60-14.41*LN(CN27))+(30.6+9.81*LN(CN26))+(4.15+14.42*LN(1000*CN24)))/3</f>
        <v>54.257677393950239</v>
      </c>
      <c r="CO31" s="55">
        <f>((60-14.41*LN(CO27))+(30.6+9.81*LN(CO26))+(4.15+14.42*LN(1000*CO24)))/3</f>
        <v>54.383187958055707</v>
      </c>
      <c r="CP31" s="55">
        <f>((30.6+9.81*LN(CP26))+(4.15+14.42*LN(1000*CP24)))/2</f>
        <v>53.677129263732979</v>
      </c>
    </row>
    <row r="32" spans="1:94" ht="12.75" x14ac:dyDescent="0.2">
      <c r="A32" s="52" t="s">
        <v>138</v>
      </c>
      <c r="B32" s="53" t="str">
        <f>$B$12</f>
        <v xml:space="preserve">   Institutional</v>
      </c>
      <c r="C32" s="52" t="s">
        <v>139</v>
      </c>
      <c r="D32" s="52" t="s">
        <v>315</v>
      </c>
      <c r="E32" s="52" t="s">
        <v>139</v>
      </c>
      <c r="F32" s="52" t="s">
        <v>315</v>
      </c>
      <c r="G32" s="52" t="s">
        <v>141</v>
      </c>
      <c r="H32" s="60">
        <v>0.15</v>
      </c>
      <c r="I32" s="52" t="s">
        <v>141</v>
      </c>
      <c r="J32" s="52" t="s">
        <v>138</v>
      </c>
      <c r="K32" s="53" t="str">
        <f>$B$12</f>
        <v xml:space="preserve">   Institutional</v>
      </c>
      <c r="L32" s="52" t="s">
        <v>139</v>
      </c>
      <c r="M32" s="52" t="s">
        <v>315</v>
      </c>
      <c r="N32" s="52" t="s">
        <v>139</v>
      </c>
      <c r="O32" s="52" t="s">
        <v>315</v>
      </c>
      <c r="P32" s="52" t="s">
        <v>141</v>
      </c>
      <c r="Q32" s="60">
        <v>1.18</v>
      </c>
      <c r="R32" s="52" t="s">
        <v>141</v>
      </c>
      <c r="T32" s="53" t="str">
        <f>$T$9</f>
        <v xml:space="preserve">    ‡  Res low-med density</v>
      </c>
      <c r="U32" s="52" t="s">
        <v>139</v>
      </c>
      <c r="V32" s="14">
        <v>444.834</v>
      </c>
      <c r="W32" s="52" t="s">
        <v>139</v>
      </c>
      <c r="X32" s="57">
        <v>0</v>
      </c>
      <c r="Y32" s="52" t="s">
        <v>139</v>
      </c>
      <c r="Z32" s="53">
        <v>0</v>
      </c>
      <c r="AA32" s="52" t="s">
        <v>139</v>
      </c>
      <c r="AC32" s="53">
        <v>0.9</v>
      </c>
      <c r="AD32" s="53">
        <f>(AL29/AD52)*(EXP((-AL30)*(LN(AC32))^2))</f>
        <v>180.94424682046503</v>
      </c>
      <c r="AJ32" s="53">
        <v>20.963365609219675</v>
      </c>
      <c r="BH32" s="52" t="s">
        <v>331</v>
      </c>
      <c r="CA32" s="52" t="s">
        <v>332</v>
      </c>
      <c r="CH32" s="55"/>
      <c r="CJ32" s="55"/>
      <c r="CL32" s="55"/>
      <c r="CM32" s="55"/>
      <c r="CN32" s="55"/>
      <c r="CO32" s="55"/>
      <c r="CP32" s="55"/>
    </row>
    <row r="33" spans="1:94" x14ac:dyDescent="0.15">
      <c r="A33" s="52" t="s">
        <v>138</v>
      </c>
      <c r="B33" s="53" t="str">
        <f>$B$13</f>
        <v xml:space="preserve">   Industrial/Mining</v>
      </c>
      <c r="C33" s="52" t="s">
        <v>139</v>
      </c>
      <c r="D33" s="52" t="s">
        <v>315</v>
      </c>
      <c r="E33" s="52" t="s">
        <v>139</v>
      </c>
      <c r="F33" s="52" t="s">
        <v>315</v>
      </c>
      <c r="G33" s="52" t="s">
        <v>141</v>
      </c>
      <c r="H33" s="60">
        <v>0.27</v>
      </c>
      <c r="I33" s="52" t="s">
        <v>141</v>
      </c>
      <c r="J33" s="52" t="s">
        <v>138</v>
      </c>
      <c r="K33" s="53" t="str">
        <f>$B$13</f>
        <v xml:space="preserve">   Industrial/Mining</v>
      </c>
      <c r="L33" s="52" t="s">
        <v>139</v>
      </c>
      <c r="M33" s="52" t="s">
        <v>315</v>
      </c>
      <c r="N33" s="52" t="s">
        <v>139</v>
      </c>
      <c r="O33" s="52" t="s">
        <v>315</v>
      </c>
      <c r="P33" s="52" t="s">
        <v>141</v>
      </c>
      <c r="Q33" s="60">
        <v>1.6375</v>
      </c>
      <c r="R33" s="52" t="s">
        <v>141</v>
      </c>
      <c r="T33" s="53" t="str">
        <f>$T$10</f>
        <v xml:space="preserve">    ‡  Res High density</v>
      </c>
      <c r="U33" s="52" t="s">
        <v>139</v>
      </c>
      <c r="V33" s="57">
        <v>0</v>
      </c>
      <c r="W33" s="52" t="s">
        <v>139</v>
      </c>
      <c r="X33" s="57">
        <v>0</v>
      </c>
      <c r="Y33" s="52" t="s">
        <v>139</v>
      </c>
      <c r="Z33" s="53">
        <v>0</v>
      </c>
      <c r="AA33" s="52" t="s">
        <v>139</v>
      </c>
      <c r="AC33" s="53">
        <v>1</v>
      </c>
      <c r="AD33" s="53">
        <f>(AL29/AD53)*(EXP((-AL30)*(LN(AC33))^2))</f>
        <v>195.61643915531579</v>
      </c>
      <c r="AJ33" s="53">
        <v>22.663218119642124</v>
      </c>
      <c r="BH33" s="52" t="s">
        <v>333</v>
      </c>
      <c r="CA33" s="52" t="s">
        <v>334</v>
      </c>
      <c r="CH33" s="55">
        <f>($F$87)/(1+(1.71*($AF$11^0.79)*($AF$10^(1.01))*($F$87^0.4)))*(10^(-0.0179))</f>
        <v>5.0903225392897643E-3</v>
      </c>
      <c r="CI33" s="52" t="s">
        <v>335</v>
      </c>
      <c r="CJ33" s="55">
        <f>($O$87)/(1+(3*($AF$11^0.25)*($AF$10^(0.58))*($O$87^0.53)))*(10^(-0.0151))</f>
        <v>3.3562630775019239E-2</v>
      </c>
      <c r="CK33" s="55">
        <f>($F$87)/(1+(12.258*($AF$11^0.45)*($AF$10^(-0.158))*($F$87^0.502)))*(10^(-0.0143))</f>
        <v>1.4753716817981856E-2</v>
      </c>
      <c r="CL33" s="55">
        <f>($F$87)/(1+(1.71*($AF$11^0.79)*($AF$10^(1.01))*($F$87^0.4)))*(10^(-0.0179))</f>
        <v>5.0903225392897643E-3</v>
      </c>
      <c r="CM33" s="55">
        <f>($F$87)/(1+(3.36*($AF$11^0.461)*($AF$10^(0.292))*($F$87^0.473)))*(10^(-0.0148))</f>
        <v>2.3858285966923104E-2</v>
      </c>
      <c r="CN33" s="55">
        <f>($F$87)/(1+(2.519*($AF$11^0.661)*($AF$10^(-0.307))*($F$87^0.214)))*(10^(-0.0278))</f>
        <v>3.2792082195372545E-2</v>
      </c>
      <c r="CO33" s="55">
        <f>($F$87)/(1+(10.767*($AF$11^0.395)*($AF$10^(0.009))*($F$87^0.821)))*(10^(-0.024))</f>
        <v>1.9867585857756664E-2</v>
      </c>
      <c r="CP33" s="55">
        <f>($F$87)/(1+(4.16*($AF$11^0.31)*($AF$10^(0.39))*($F$87^0.84)))*(10^(-0.023))</f>
        <v>3.5501488043264237E-2</v>
      </c>
    </row>
    <row r="34" spans="1:94" x14ac:dyDescent="0.15">
      <c r="A34" s="52" t="s">
        <v>138</v>
      </c>
      <c r="B34" s="53" t="str">
        <f>$B$14</f>
        <v xml:space="preserve">   Recreation/Open</v>
      </c>
      <c r="C34" s="52" t="s">
        <v>139</v>
      </c>
      <c r="D34" s="52" t="s">
        <v>315</v>
      </c>
      <c r="E34" s="52" t="s">
        <v>139</v>
      </c>
      <c r="F34" s="52" t="s">
        <v>315</v>
      </c>
      <c r="G34" s="52" t="s">
        <v>141</v>
      </c>
      <c r="H34" s="60">
        <v>5.3000000000000005E-2</v>
      </c>
      <c r="I34" s="52" t="s">
        <v>141</v>
      </c>
      <c r="J34" s="52" t="s">
        <v>138</v>
      </c>
      <c r="K34" s="53" t="str">
        <f>$B$14</f>
        <v xml:space="preserve">   Recreation/Open</v>
      </c>
      <c r="L34" s="52" t="s">
        <v>139</v>
      </c>
      <c r="M34" s="52" t="s">
        <v>315</v>
      </c>
      <c r="N34" s="52" t="s">
        <v>139</v>
      </c>
      <c r="O34" s="52" t="s">
        <v>315</v>
      </c>
      <c r="P34" s="52" t="s">
        <v>141</v>
      </c>
      <c r="Q34" s="60">
        <v>1.25</v>
      </c>
      <c r="R34" s="52" t="s">
        <v>141</v>
      </c>
      <c r="T34" s="53" t="str">
        <f>$T$11</f>
        <v xml:space="preserve">    ‡  Commercial</v>
      </c>
      <c r="U34" s="52" t="s">
        <v>139</v>
      </c>
      <c r="V34" s="57">
        <v>0</v>
      </c>
      <c r="W34" s="52" t="s">
        <v>139</v>
      </c>
      <c r="X34" s="57">
        <v>6.0421709999999997</v>
      </c>
      <c r="Y34" s="52" t="s">
        <v>139</v>
      </c>
      <c r="Z34" s="53">
        <v>0</v>
      </c>
      <c r="AA34" s="52" t="s">
        <v>139</v>
      </c>
      <c r="AC34" s="53">
        <v>1.1000000000000001</v>
      </c>
      <c r="AD34" s="53">
        <f>(AL29/AD54)*(EXP((-AL30)*(LN(AC34))^2))</f>
        <v>153.05928036608276</v>
      </c>
      <c r="AJ34" s="53">
        <v>17.732742049444106</v>
      </c>
      <c r="BH34" s="52" t="s">
        <v>336</v>
      </c>
      <c r="CA34" s="52" t="s">
        <v>337</v>
      </c>
      <c r="CH34" s="55">
        <f>($F$88)/(1+(0.2*($AF$11^0.109)*($AF$10^(1.56))*($F$88^0.328)))*(10^(-0.0093))</f>
        <v>1.0480665804694511</v>
      </c>
      <c r="CI34" s="52" t="s">
        <v>37</v>
      </c>
      <c r="CJ34" s="55">
        <f>($O$88)/(1+(0.67*($AF$11^0.25)))*(10^(-0.0064))</f>
        <v>3.4345187629296166</v>
      </c>
      <c r="CK34" s="55">
        <f>($F$88)/(1+(0.693*($AF$11^0.45)))*(10^(-0.02))</f>
        <v>2.1284148213338407</v>
      </c>
      <c r="CL34" s="55">
        <f>($F$88)/(1+(0.2*($AF$11^0.109)*($AF$10^(1.56))*($F$88^0.328)))*(10^(-0.0093))</f>
        <v>1.0480665804694511</v>
      </c>
      <c r="CM34" s="55">
        <f>($F$88)/(1+(0.925*($AF$11^0.378)*($AF$10^(-0.1))*($F$88^0.329)))*(10^(-0.0071))</f>
        <v>1.3513993407514748</v>
      </c>
      <c r="CN34" s="56" t="s">
        <v>74</v>
      </c>
      <c r="CO34" s="55">
        <f>($F$88)/(1+(0.459*($AF$11^0.253)*($AF$10^(0.218))*($F$88^0.955)))*(10^(-0.0058))</f>
        <v>0.68895716302404664</v>
      </c>
      <c r="CP34" s="55">
        <f>($F$88)/(1+(0.69*($AF$11^0.06)*($AF$10^(0.29))*($F$88^0.998)))*(10^(-0.0128))</f>
        <v>0.67394153706608417</v>
      </c>
    </row>
    <row r="35" spans="1:94" x14ac:dyDescent="0.15">
      <c r="A35" s="52" t="s">
        <v>138</v>
      </c>
      <c r="B35" s="53" t="str">
        <f>$B$15</f>
        <v xml:space="preserve">   Forest/Rangeland</v>
      </c>
      <c r="C35" s="52" t="s">
        <v>139</v>
      </c>
      <c r="D35" s="52" t="s">
        <v>315</v>
      </c>
      <c r="E35" s="52" t="s">
        <v>139</v>
      </c>
      <c r="F35" s="52" t="s">
        <v>315</v>
      </c>
      <c r="G35" s="52" t="s">
        <v>141</v>
      </c>
      <c r="H35" s="60">
        <v>5.3000000000000005E-2</v>
      </c>
      <c r="I35" s="52" t="s">
        <v>141</v>
      </c>
      <c r="J35" s="52" t="s">
        <v>138</v>
      </c>
      <c r="K35" s="53" t="str">
        <f>$B$15</f>
        <v xml:space="preserve">   Forest/Rangeland</v>
      </c>
      <c r="L35" s="52" t="s">
        <v>139</v>
      </c>
      <c r="M35" s="52" t="s">
        <v>315</v>
      </c>
      <c r="N35" s="52" t="s">
        <v>139</v>
      </c>
      <c r="O35" s="52" t="s">
        <v>315</v>
      </c>
      <c r="P35" s="52" t="s">
        <v>141</v>
      </c>
      <c r="Q35" s="60">
        <v>1.25</v>
      </c>
      <c r="R35" s="52" t="s">
        <v>141</v>
      </c>
      <c r="T35" s="53" t="str">
        <f>$T$12</f>
        <v xml:space="preserve">    ‡  Institutional</v>
      </c>
      <c r="U35" s="52" t="s">
        <v>139</v>
      </c>
      <c r="V35" s="57">
        <v>1.3071809999999999</v>
      </c>
      <c r="W35" s="52" t="s">
        <v>139</v>
      </c>
      <c r="X35" s="57">
        <v>0</v>
      </c>
      <c r="Y35" s="52" t="s">
        <v>139</v>
      </c>
      <c r="Z35" s="53">
        <v>0</v>
      </c>
      <c r="AA35" s="52" t="s">
        <v>139</v>
      </c>
      <c r="AC35" s="53">
        <v>1.2</v>
      </c>
      <c r="AD35" s="53">
        <f>(AL29/AD55)*(EXP((-AL30)*(LN(AC35))^2))</f>
        <v>94.147771562511082</v>
      </c>
      <c r="AJ35" s="53">
        <v>10.907526441094848</v>
      </c>
      <c r="BH35" s="52" t="s">
        <v>338</v>
      </c>
      <c r="CA35" s="52" t="s">
        <v>339</v>
      </c>
      <c r="CH35" s="55">
        <f>10^((1.462)+(0.299*LOG(CH33*10^0.0179))+(0.958*LOG(CH34*10^0.0093)))*(10^-0.0241)</f>
        <v>6.1095733811170589</v>
      </c>
      <c r="CI35" s="52" t="s">
        <v>137</v>
      </c>
      <c r="CJ35" s="55">
        <f>10^((0.678*LOG(1000*CJ33))+(0.858*LOG(1000*CJ34))-2.5)</f>
        <v>37.008654943804579</v>
      </c>
      <c r="CK35" s="55">
        <f>IF($BP$5&gt;-1.659,$BT$7,$BT$6)</f>
        <v>0</v>
      </c>
      <c r="CL35" s="55">
        <f>10^((1.462)+(0.299*LOG(CL33*10^0.0179))+(0.958*LOG(CL34*10^0.0093)))*(10^-0.0241)</f>
        <v>6.1095733811170589</v>
      </c>
      <c r="CM35" s="55">
        <f>10^((2.369)+(0.869*LOG(CM33/10^0.0148))+(0.185*LOG($AF$11)))*(10^-0.045)</f>
        <v>14.294974157781134</v>
      </c>
      <c r="CN35" s="55">
        <f>10^((1.921)+(0.431*LOG(CN33/10^0.0278))-(0.34*LOG($AF$10))+(0.049*LOG($AF$11)))*(10^-0.0367)</f>
        <v>11.53536128100682</v>
      </c>
      <c r="CO35" s="55">
        <f>10^((1.985)+(0.51*LOG(CO33/10^0.024))-(0.352*LOG($AF$10))+(0.234*LOG($AF$11)))*(10^-0.025)</f>
        <v>14.279492446191641</v>
      </c>
      <c r="CP35" s="55">
        <f>10^((1.95)+(0.79*LOG(CP33/10^0.023)))*(10^-0.045)</f>
        <v>5.514736674087418</v>
      </c>
    </row>
    <row r="36" spans="1:94" x14ac:dyDescent="0.15">
      <c r="A36" s="52" t="s">
        <v>138</v>
      </c>
      <c r="B36" s="53" t="str">
        <f>$B$16</f>
        <v xml:space="preserve">   Water/wetlands</v>
      </c>
      <c r="C36" s="52" t="s">
        <v>139</v>
      </c>
      <c r="D36" s="52" t="s">
        <v>315</v>
      </c>
      <c r="E36" s="52" t="s">
        <v>139</v>
      </c>
      <c r="F36" s="52" t="s">
        <v>315</v>
      </c>
      <c r="G36" s="52" t="s">
        <v>141</v>
      </c>
      <c r="H36" s="60">
        <v>0.16333333333333333</v>
      </c>
      <c r="I36" s="52" t="s">
        <v>141</v>
      </c>
      <c r="J36" s="52" t="s">
        <v>138</v>
      </c>
      <c r="K36" s="53" t="str">
        <f>$B$16</f>
        <v xml:space="preserve">   Water/wetlands</v>
      </c>
      <c r="L36" s="52" t="s">
        <v>139</v>
      </c>
      <c r="M36" s="52" t="s">
        <v>315</v>
      </c>
      <c r="N36" s="52" t="s">
        <v>139</v>
      </c>
      <c r="O36" s="52" t="s">
        <v>315</v>
      </c>
      <c r="P36" s="52" t="s">
        <v>141</v>
      </c>
      <c r="Q36" s="60">
        <v>1.45</v>
      </c>
      <c r="R36" s="52" t="s">
        <v>141</v>
      </c>
      <c r="T36" s="53" t="str">
        <f>$T$13</f>
        <v xml:space="preserve">    ‡  Industrial/Mining</v>
      </c>
      <c r="U36" s="52" t="s">
        <v>139</v>
      </c>
      <c r="V36" s="57">
        <v>0</v>
      </c>
      <c r="W36" s="52" t="s">
        <v>139</v>
      </c>
      <c r="X36" s="57">
        <v>7.3533989999999996</v>
      </c>
      <c r="Y36" s="52" t="s">
        <v>139</v>
      </c>
      <c r="Z36" s="53">
        <v>0</v>
      </c>
      <c r="AA36" s="52" t="s">
        <v>139</v>
      </c>
      <c r="AC36" s="53">
        <v>1.3</v>
      </c>
      <c r="AD36" s="53">
        <f>(AL29/AD56)*(EXP((-AL30)*(LN(AC36))^2))</f>
        <v>48.279155109547013</v>
      </c>
      <c r="AJ36" s="53">
        <v>5.5934001641393527</v>
      </c>
      <c r="BH36" s="52" t="s">
        <v>340</v>
      </c>
      <c r="CA36" s="52" t="s">
        <v>341</v>
      </c>
      <c r="CH36" s="55">
        <f>10^(-0.149+(0.454*LOG($AF$10))-(0.556*(LOG(CH34*10^0.0093))))*10^(-0.0156)</f>
        <v>1.3691815231238607</v>
      </c>
      <c r="CI36" s="52" t="s">
        <v>151</v>
      </c>
      <c r="CJ36" s="55">
        <f>10^(-0.47+(0.137*LOG($AF$10))-(0.364*(LOG(CJ33)))+(0.102*LOG($AF$11)))*10^(-0.007688)</f>
        <v>1.9710849370152539</v>
      </c>
      <c r="CK36" s="55">
        <f>10^(0.499-(0.601*LOG(LOG(1000*$CK$33)))+(0.098*LOG($AF$11)))*10^(-0.011)</f>
        <v>3.8172551516288653</v>
      </c>
      <c r="CL36" s="55">
        <f>10^(-0.149+(0.454*LOG($AF$10))-(0.556*(LOG(CL34*10^0.0093))))*10^(-0.0156)</f>
        <v>1.3691815231238607</v>
      </c>
      <c r="CM36" s="55">
        <f>10^(-0.886+(0.307*LOG($AF$10))+(0.066*LOG($AF$11))-(0.494*LOG(CM33/10^0.0148))+(0.287*(LOG(CM34/10^0.0071))))*10^(-0.0176)</f>
        <v>1.7618534920249584</v>
      </c>
      <c r="CN36" s="55">
        <f>10^(-0.423+(0.352*LOG($AF$10))+(0.054*LOG($AF$11))-(0.275*LOG(CN33/10^0.0278)))*10^(-0.0138)</f>
        <v>1.9922005302951007</v>
      </c>
      <c r="CO36" s="55">
        <f>10^(-1.323+(0.472*LOG($AF$10))-(0.656*LOG(CO33/10^0.024)))*10^(-0.0146)</f>
        <v>1.3326609189759757</v>
      </c>
      <c r="CP36" s="56" t="s">
        <v>74</v>
      </c>
    </row>
    <row r="37" spans="1:94" x14ac:dyDescent="0.15">
      <c r="A37" s="52" t="s">
        <v>138</v>
      </c>
      <c r="B37" s="53" t="str">
        <f>$B$17</f>
        <v xml:space="preserve">   Feedlots</v>
      </c>
      <c r="C37" s="52" t="s">
        <v>139</v>
      </c>
      <c r="D37" s="52" t="s">
        <v>315</v>
      </c>
      <c r="E37" s="52" t="s">
        <v>139</v>
      </c>
      <c r="F37" s="52" t="s">
        <v>315</v>
      </c>
      <c r="G37" s="52" t="s">
        <v>141</v>
      </c>
      <c r="H37" s="60">
        <v>47.5</v>
      </c>
      <c r="I37" s="52" t="s">
        <v>141</v>
      </c>
      <c r="J37" s="52" t="s">
        <v>138</v>
      </c>
      <c r="K37" s="53" t="str">
        <f>$B$17</f>
        <v xml:space="preserve">   Feedlots</v>
      </c>
      <c r="L37" s="52" t="s">
        <v>139</v>
      </c>
      <c r="M37" s="52" t="s">
        <v>315</v>
      </c>
      <c r="N37" s="52" t="s">
        <v>139</v>
      </c>
      <c r="O37" s="52" t="s">
        <v>315</v>
      </c>
      <c r="P37" s="52" t="s">
        <v>141</v>
      </c>
      <c r="Q37" s="60">
        <v>127.1</v>
      </c>
      <c r="R37" s="52" t="s">
        <v>141</v>
      </c>
      <c r="T37" s="53" t="str">
        <f>$T$14</f>
        <v xml:space="preserve">    ‡  Recreation/Open</v>
      </c>
      <c r="U37" s="52" t="s">
        <v>139</v>
      </c>
      <c r="V37" s="57">
        <v>15.880428</v>
      </c>
      <c r="W37" s="52" t="s">
        <v>139</v>
      </c>
      <c r="X37" s="57">
        <v>31.404720000000001</v>
      </c>
      <c r="Y37" s="52" t="s">
        <v>139</v>
      </c>
      <c r="Z37" s="53">
        <v>0</v>
      </c>
      <c r="AA37" s="52" t="s">
        <v>139</v>
      </c>
      <c r="AC37" s="53">
        <v>1.4</v>
      </c>
      <c r="AD37" s="53">
        <f>(AL29/AD57)*(EXP((-AL30)*(LN(AC37))^2))</f>
        <v>21.541729436143953</v>
      </c>
      <c r="AJ37" s="53">
        <v>2.4957253848078702</v>
      </c>
      <c r="BH37" s="52" t="s">
        <v>342</v>
      </c>
      <c r="CA37" s="52" t="s">
        <v>343</v>
      </c>
      <c r="CH37" s="55" t="str">
        <f>CH10</f>
        <v/>
      </c>
      <c r="CI37" s="52" t="s">
        <v>160</v>
      </c>
      <c r="CJ37" s="55">
        <f t="shared" ref="CJ37:CP37" si="1">CJ10</f>
        <v>0.98458481443359103</v>
      </c>
      <c r="CK37" s="55">
        <f t="shared" si="1"/>
        <v>0.99976914252679139</v>
      </c>
      <c r="CL37" s="55" t="str">
        <f t="shared" si="1"/>
        <v/>
      </c>
      <c r="CM37" s="55" t="str">
        <f t="shared" si="1"/>
        <v/>
      </c>
      <c r="CN37" s="55" t="str">
        <f t="shared" si="1"/>
        <v/>
      </c>
      <c r="CO37" s="55" t="str">
        <f t="shared" si="1"/>
        <v/>
      </c>
      <c r="CP37" s="55" t="str">
        <f t="shared" si="1"/>
        <v/>
      </c>
    </row>
    <row r="38" spans="1:94" x14ac:dyDescent="0.15">
      <c r="A38" s="52" t="s">
        <v>138</v>
      </c>
      <c r="B38" s="53" t="str">
        <f>$B$18</f>
        <v xml:space="preserve">   Pasture</v>
      </c>
      <c r="C38" s="52" t="s">
        <v>139</v>
      </c>
      <c r="D38" s="52" t="s">
        <v>315</v>
      </c>
      <c r="E38" s="52" t="s">
        <v>139</v>
      </c>
      <c r="F38" s="52" t="s">
        <v>315</v>
      </c>
      <c r="G38" s="52" t="s">
        <v>141</v>
      </c>
      <c r="H38" s="60">
        <v>0.38700000000000001</v>
      </c>
      <c r="I38" s="52" t="s">
        <v>141</v>
      </c>
      <c r="J38" s="52" t="s">
        <v>138</v>
      </c>
      <c r="K38" s="53" t="str">
        <f>$B$18</f>
        <v xml:space="preserve">   Pasture</v>
      </c>
      <c r="L38" s="52" t="s">
        <v>139</v>
      </c>
      <c r="M38" s="52" t="s">
        <v>315</v>
      </c>
      <c r="N38" s="52" t="s">
        <v>139</v>
      </c>
      <c r="O38" s="52" t="s">
        <v>315</v>
      </c>
      <c r="P38" s="52" t="s">
        <v>141</v>
      </c>
      <c r="Q38" s="60">
        <v>2.4769999999999999</v>
      </c>
      <c r="R38" s="52" t="s">
        <v>141</v>
      </c>
      <c r="T38" s="53" t="str">
        <f>$T$15</f>
        <v xml:space="preserve">    ‡  Forest/Rangeland</v>
      </c>
      <c r="U38" s="52" t="s">
        <v>139</v>
      </c>
      <c r="V38" s="57">
        <v>221.88486900000001</v>
      </c>
      <c r="W38" s="52" t="s">
        <v>139</v>
      </c>
      <c r="X38" s="57">
        <v>220.464372</v>
      </c>
      <c r="Y38" s="52" t="s">
        <v>139</v>
      </c>
      <c r="Z38" s="53">
        <v>0</v>
      </c>
      <c r="AA38" s="52" t="s">
        <v>139</v>
      </c>
      <c r="AC38" s="53">
        <v>1.5</v>
      </c>
      <c r="AD38" s="53">
        <f>(AL29/AD58)*(EXP((-AL30)*(LN(AC38))^2))</f>
        <v>8.6333846432810475</v>
      </c>
      <c r="AJ38" s="53">
        <v>1.0002241126886919</v>
      </c>
      <c r="BH38" s="52" t="s">
        <v>344</v>
      </c>
      <c r="CA38" s="52" t="s">
        <v>345</v>
      </c>
      <c r="CH38" s="56" t="s">
        <v>74</v>
      </c>
      <c r="CI38" s="52" t="s">
        <v>169</v>
      </c>
      <c r="CJ38" s="55">
        <f>1/(1+EXP(-4.43+(2.05*LOG($O$88))-(3.09*LOG($O$87))-(1.14*LOG($AF$11))))</f>
        <v>0.94319536314555319</v>
      </c>
      <c r="CL38" s="56" t="s">
        <v>74</v>
      </c>
      <c r="CM38" s="56" t="s">
        <v>74</v>
      </c>
      <c r="CN38" s="56" t="s">
        <v>74</v>
      </c>
      <c r="CO38" s="56" t="s">
        <v>74</v>
      </c>
      <c r="CP38" s="56" t="s">
        <v>74</v>
      </c>
    </row>
    <row r="39" spans="1:94" x14ac:dyDescent="0.15">
      <c r="A39" s="52" t="s">
        <v>138</v>
      </c>
      <c r="B39" s="53" t="str">
        <f>$B$19</f>
        <v xml:space="preserve">   Citrus groves</v>
      </c>
      <c r="C39" s="52" t="s">
        <v>139</v>
      </c>
      <c r="D39" s="52" t="s">
        <v>315</v>
      </c>
      <c r="E39" s="52" t="s">
        <v>139</v>
      </c>
      <c r="F39" s="52" t="s">
        <v>315</v>
      </c>
      <c r="G39" s="52" t="s">
        <v>141</v>
      </c>
      <c r="H39" s="60">
        <v>0.14000000000000001</v>
      </c>
      <c r="I39" s="52" t="s">
        <v>141</v>
      </c>
      <c r="J39" s="52" t="s">
        <v>138</v>
      </c>
      <c r="K39" s="53" t="str">
        <f>$B$19</f>
        <v xml:space="preserve">   Citrus groves</v>
      </c>
      <c r="L39" s="52" t="s">
        <v>139</v>
      </c>
      <c r="M39" s="52" t="s">
        <v>315</v>
      </c>
      <c r="N39" s="52" t="s">
        <v>139</v>
      </c>
      <c r="O39" s="52" t="s">
        <v>315</v>
      </c>
      <c r="P39" s="52" t="s">
        <v>141</v>
      </c>
      <c r="Q39" s="60">
        <v>2.0499999999999998</v>
      </c>
      <c r="R39" s="52" t="s">
        <v>141</v>
      </c>
      <c r="T39" s="53" t="str">
        <f>$T$16</f>
        <v xml:space="preserve">    ‡  Water/wetlands</v>
      </c>
      <c r="U39" s="52" t="s">
        <v>139</v>
      </c>
      <c r="V39" s="57">
        <v>138.90113400000001</v>
      </c>
      <c r="W39" s="52" t="s">
        <v>139</v>
      </c>
      <c r="X39" s="57">
        <v>81.802010999999993</v>
      </c>
      <c r="Y39" s="52" t="s">
        <v>139</v>
      </c>
      <c r="Z39" s="53">
        <v>0</v>
      </c>
      <c r="AA39" s="52" t="s">
        <v>139</v>
      </c>
      <c r="AC39" s="53">
        <v>1.6</v>
      </c>
      <c r="AD39" s="53">
        <f>(AL29/AD59)*(EXP((-AL30)*(LN(AC39))^2))</f>
        <v>3.1835334274687956</v>
      </c>
      <c r="AJ39" s="53">
        <v>0.36882949495166051</v>
      </c>
      <c r="BH39" s="52" t="s">
        <v>346</v>
      </c>
      <c r="CA39" s="52" t="s">
        <v>347</v>
      </c>
      <c r="CH39" s="55"/>
      <c r="CI39" s="52" t="s">
        <v>178</v>
      </c>
      <c r="CJ39" s="55"/>
      <c r="CL39" s="55"/>
      <c r="CM39" s="55"/>
      <c r="CN39" s="55"/>
      <c r="CO39" s="55"/>
      <c r="CP39" s="55"/>
    </row>
    <row r="40" spans="1:94" x14ac:dyDescent="0.15">
      <c r="A40" s="52" t="s">
        <v>138</v>
      </c>
      <c r="B40" s="53" t="str">
        <f>$B$20</f>
        <v xml:space="preserve">   Other Agric</v>
      </c>
      <c r="C40" s="52" t="s">
        <v>139</v>
      </c>
      <c r="D40" s="52" t="s">
        <v>315</v>
      </c>
      <c r="E40" s="52" t="s">
        <v>139</v>
      </c>
      <c r="F40" s="52" t="s">
        <v>315</v>
      </c>
      <c r="G40" s="52" t="s">
        <v>141</v>
      </c>
      <c r="H40" s="60">
        <v>0.47100000000000003</v>
      </c>
      <c r="I40" s="52" t="s">
        <v>141</v>
      </c>
      <c r="J40" s="52" t="s">
        <v>138</v>
      </c>
      <c r="K40" s="53" t="str">
        <f>$B$20</f>
        <v xml:space="preserve">   Other Agric</v>
      </c>
      <c r="L40" s="52" t="s">
        <v>139</v>
      </c>
      <c r="M40" s="52" t="s">
        <v>315</v>
      </c>
      <c r="N40" s="52" t="s">
        <v>139</v>
      </c>
      <c r="O40" s="52" t="s">
        <v>315</v>
      </c>
      <c r="P40" s="52" t="s">
        <v>141</v>
      </c>
      <c r="Q40" s="60">
        <v>2.68</v>
      </c>
      <c r="R40" s="52" t="s">
        <v>141</v>
      </c>
      <c r="T40" s="53" t="str">
        <f>$T$17</f>
        <v xml:space="preserve">    ‡  Feedlots</v>
      </c>
      <c r="U40" s="52" t="s">
        <v>139</v>
      </c>
      <c r="V40" s="57">
        <v>0</v>
      </c>
      <c r="W40" s="52" t="s">
        <v>139</v>
      </c>
      <c r="X40" s="57">
        <v>0</v>
      </c>
      <c r="Y40" s="52" t="s">
        <v>139</v>
      </c>
      <c r="Z40" s="53">
        <v>0</v>
      </c>
      <c r="AA40" s="52" t="s">
        <v>139</v>
      </c>
      <c r="AC40" s="53">
        <v>1.7</v>
      </c>
      <c r="AD40" s="53">
        <f>(AL29/AD60)*(EXP((-AL30)*(LN(AC40))^2))</f>
        <v>1.1002474740555537</v>
      </c>
      <c r="AJ40" s="53">
        <v>0.12746959610234115</v>
      </c>
      <c r="BH40" s="52" t="s">
        <v>348</v>
      </c>
      <c r="CA40" s="52" t="s">
        <v>349</v>
      </c>
      <c r="CH40" s="55">
        <f>5*(3.76+(1.98*LN(CH34))+(1.86*LN(1000*CH33)))</f>
        <v>34.399049558106604</v>
      </c>
      <c r="CI40" s="52" t="s">
        <v>186</v>
      </c>
      <c r="CJ40" s="55"/>
      <c r="CK40" s="55" t="e">
        <f>((60-14.41*LN(CK36))+(30.6+9.81*LN(CK35))+(4.15+14.42*LN(1000*CK33)))/3</f>
        <v>#NUM!</v>
      </c>
      <c r="CL40" s="55">
        <f>5*(3.76+(1.98*LN(CL34))+(1.86*LN(1000*CL33)))</f>
        <v>34.399049558106604</v>
      </c>
      <c r="CM40" s="55">
        <f>((60-14.41*LN(CM36))+(30.6+9.81*LN(CM35))+(4.15+14.42*LN(1000*CM33)))/3</f>
        <v>52.808165175865099</v>
      </c>
      <c r="CN40" s="55">
        <f>((60-14.41*LN(CN36))+(30.6+9.81*LN(CN35))+(4.15+14.42*LN(1000*CN33)))/3</f>
        <v>53.045364948657358</v>
      </c>
      <c r="CO40" s="55">
        <f>((60-14.41*LN(CO36))+(30.6+9.81*LN(CO35))+(4.15+14.42*LN(1000*CO33)))/3</f>
        <v>53.265836375461184</v>
      </c>
      <c r="CP40" s="55">
        <f>((30.6+9.81*LN(CP35))+(4.15+14.42*LN(1000*CP33)))/2</f>
        <v>51.486547205607877</v>
      </c>
    </row>
    <row r="41" spans="1:94" x14ac:dyDescent="0.15">
      <c r="A41" s="52" t="s">
        <v>138</v>
      </c>
      <c r="B41" s="52" t="s">
        <v>247</v>
      </c>
      <c r="C41" s="52" t="s">
        <v>139</v>
      </c>
      <c r="D41" s="52" t="s">
        <v>315</v>
      </c>
      <c r="E41" s="52" t="s">
        <v>139</v>
      </c>
      <c r="F41" s="52" t="s">
        <v>315</v>
      </c>
      <c r="G41" s="52" t="s">
        <v>141</v>
      </c>
      <c r="H41" s="53">
        <v>1.1420454545454546E-2</v>
      </c>
      <c r="I41" s="52" t="s">
        <v>141</v>
      </c>
      <c r="J41" s="52" t="s">
        <v>138</v>
      </c>
      <c r="K41" s="52" t="s">
        <v>247</v>
      </c>
      <c r="L41" s="52" t="s">
        <v>139</v>
      </c>
      <c r="M41" s="52" t="s">
        <v>315</v>
      </c>
      <c r="N41" s="52" t="s">
        <v>139</v>
      </c>
      <c r="O41" s="52" t="s">
        <v>315</v>
      </c>
      <c r="P41" s="52" t="s">
        <v>141</v>
      </c>
      <c r="Q41" s="53">
        <v>0.55106756756756758</v>
      </c>
      <c r="R41" s="52" t="s">
        <v>141</v>
      </c>
      <c r="T41" s="53" t="str">
        <f>$T$18</f>
        <v xml:space="preserve">    ‡  Pasture</v>
      </c>
      <c r="U41" s="52" t="s">
        <v>139</v>
      </c>
      <c r="V41" s="57">
        <v>57.0627</v>
      </c>
      <c r="W41" s="52" t="s">
        <v>139</v>
      </c>
      <c r="X41" s="57">
        <v>84.748227</v>
      </c>
      <c r="Y41" s="52" t="s">
        <v>139</v>
      </c>
      <c r="Z41" s="53">
        <v>0</v>
      </c>
      <c r="AA41" s="52" t="s">
        <v>139</v>
      </c>
      <c r="AC41" s="53">
        <v>1.8</v>
      </c>
      <c r="AD41" s="53">
        <f>(AL29/AD61)*(EXP((-AL30)*(LN(AC41))^2))</f>
        <v>0.36154904672488491</v>
      </c>
      <c r="AJ41" s="53">
        <v>4.1887404464861951E-2</v>
      </c>
      <c r="CA41" s="52" t="s">
        <v>350</v>
      </c>
      <c r="CH41" s="55"/>
      <c r="CJ41" s="55"/>
      <c r="CL41" s="55"/>
      <c r="CM41" s="55"/>
      <c r="CN41" s="55"/>
      <c r="CO41" s="55"/>
      <c r="CP41" s="55"/>
    </row>
    <row r="42" spans="1:94" x14ac:dyDescent="0.15">
      <c r="A42" s="52" t="s">
        <v>251</v>
      </c>
      <c r="B42" s="52" t="s">
        <v>235</v>
      </c>
      <c r="C42" s="52" t="s">
        <v>237</v>
      </c>
      <c r="D42" s="52" t="s">
        <v>351</v>
      </c>
      <c r="E42" s="52" t="s">
        <v>237</v>
      </c>
      <c r="F42" s="52" t="s">
        <v>352</v>
      </c>
      <c r="G42" s="52" t="s">
        <v>353</v>
      </c>
      <c r="H42" s="52" t="s">
        <v>352</v>
      </c>
      <c r="I42" s="52" t="s">
        <v>354</v>
      </c>
      <c r="J42" s="52" t="s">
        <v>251</v>
      </c>
      <c r="K42" s="52" t="s">
        <v>235</v>
      </c>
      <c r="L42" s="52" t="s">
        <v>237</v>
      </c>
      <c r="M42" s="52" t="s">
        <v>351</v>
      </c>
      <c r="N42" s="52" t="s">
        <v>237</v>
      </c>
      <c r="O42" s="52" t="s">
        <v>352</v>
      </c>
      <c r="P42" s="52" t="s">
        <v>353</v>
      </c>
      <c r="Q42" s="52" t="s">
        <v>352</v>
      </c>
      <c r="R42" s="52" t="s">
        <v>355</v>
      </c>
      <c r="T42" s="53" t="str">
        <f>$T$19</f>
        <v xml:space="preserve">    ‡  Citrus groves</v>
      </c>
      <c r="U42" s="52" t="s">
        <v>139</v>
      </c>
      <c r="V42" s="57">
        <v>187.90625700000001</v>
      </c>
      <c r="W42" s="52" t="s">
        <v>139</v>
      </c>
      <c r="X42" s="57">
        <v>330.67227600000001</v>
      </c>
      <c r="Y42" s="52" t="s">
        <v>139</v>
      </c>
      <c r="Z42" s="53">
        <v>0</v>
      </c>
      <c r="AA42" s="52" t="s">
        <v>139</v>
      </c>
      <c r="AC42" s="53">
        <v>1.9</v>
      </c>
      <c r="AD42" s="53">
        <f>(AL29/AD62)*(EXP((-AL30)*(LN(AC42))^2))</f>
        <v>0.11424868554897</v>
      </c>
      <c r="AJ42" s="53">
        <v>1.3236325595431694E-2</v>
      </c>
      <c r="CA42" s="52" t="s">
        <v>356</v>
      </c>
      <c r="CH42" s="55">
        <f>CH33*(10^-0.189)</f>
        <v>3.2941646430799478E-3</v>
      </c>
      <c r="CI42" s="52" t="s">
        <v>357</v>
      </c>
      <c r="CJ42" s="55">
        <f>CJ33*(10^-0.174)</f>
        <v>2.2483089807714851E-2</v>
      </c>
      <c r="CK42" s="55">
        <f>(CK33/(10^(-0.0143)))*(10^-0.169)</f>
        <v>1.0332405534642649E-2</v>
      </c>
      <c r="CL42" s="55">
        <f>CL33*(10^-0.189)</f>
        <v>3.2941646430799478E-3</v>
      </c>
      <c r="CM42" s="55">
        <f>CM33*(10^-0.172)</f>
        <v>1.6056069514694973E-2</v>
      </c>
      <c r="CN42" s="55">
        <f>CN33*(10^-0.236)</f>
        <v>1.9044474515506522E-2</v>
      </c>
      <c r="CO42" s="55">
        <f>CO33*(10^-0.219)</f>
        <v>1.1999001247809685E-2</v>
      </c>
      <c r="CP42" s="55">
        <f>CP33*(10^-0.214)</f>
        <v>2.1689350992312808E-2</v>
      </c>
    </row>
    <row r="43" spans="1:94" x14ac:dyDescent="0.15">
      <c r="A43" s="52" t="s">
        <v>74</v>
      </c>
      <c r="B43" s="52" t="s">
        <v>74</v>
      </c>
      <c r="D43" s="52" t="s">
        <v>358</v>
      </c>
      <c r="G43" s="52" t="s">
        <v>359</v>
      </c>
      <c r="H43" s="53">
        <v>2</v>
      </c>
      <c r="I43" s="52" t="s">
        <v>188</v>
      </c>
      <c r="J43" s="52" t="s">
        <v>74</v>
      </c>
      <c r="K43" s="52" t="s">
        <v>74</v>
      </c>
      <c r="M43" s="52" t="s">
        <v>360</v>
      </c>
      <c r="P43" s="52" t="s">
        <v>359</v>
      </c>
      <c r="Q43" s="53">
        <v>2</v>
      </c>
      <c r="R43" s="52" t="s">
        <v>139</v>
      </c>
      <c r="T43" s="53" t="str">
        <f>$T$20</f>
        <v xml:space="preserve">    ‡  Other Agric</v>
      </c>
      <c r="U43" s="52" t="s">
        <v>139</v>
      </c>
      <c r="V43" s="57">
        <v>104.93871</v>
      </c>
      <c r="W43" s="52" t="s">
        <v>139</v>
      </c>
      <c r="X43" s="57">
        <v>178.48484099999999</v>
      </c>
      <c r="Y43" s="52" t="s">
        <v>139</v>
      </c>
      <c r="Z43" s="53">
        <v>0</v>
      </c>
      <c r="AA43" s="52" t="s">
        <v>139</v>
      </c>
      <c r="AC43" s="53">
        <v>2</v>
      </c>
      <c r="AD43" s="53">
        <f>(AL29/AD63)*(EXP((-AL30)*(LN(AC43))^2))</f>
        <v>3.5030235041454992E-2</v>
      </c>
      <c r="AJ43" s="53">
        <v>4.0584414119535514E-3</v>
      </c>
      <c r="CA43" s="52" t="s">
        <v>361</v>
      </c>
      <c r="CH43" s="55">
        <f>CH34*(10^(-0.1362))</f>
        <v>0.76592963421234339</v>
      </c>
      <c r="CI43" s="52" t="s">
        <v>37</v>
      </c>
      <c r="CJ43" s="55">
        <f>CJ34*(10^(-0.113))</f>
        <v>2.6476824289093162</v>
      </c>
      <c r="CK43" s="55">
        <f>(CK34/(10^(-0.02)))*(10^(-0.2))</f>
        <v>1.4062297270975266</v>
      </c>
      <c r="CL43" s="55">
        <f>CL34*(10^(-0.1362))</f>
        <v>0.76592963421234339</v>
      </c>
      <c r="CM43" s="55">
        <f>CM34*(10^(-0.119))</f>
        <v>1.0275044294129849</v>
      </c>
      <c r="CN43" s="56" t="s">
        <v>74</v>
      </c>
      <c r="CO43" s="55">
        <f>CO34*(10^(-0.1075))</f>
        <v>0.53788845120960149</v>
      </c>
      <c r="CP43" s="55">
        <f>CP34*(10^(-0.16))</f>
        <v>0.46625362793102948</v>
      </c>
    </row>
    <row r="44" spans="1:94" x14ac:dyDescent="0.15">
      <c r="B44" s="52" t="s">
        <v>74</v>
      </c>
      <c r="D44" s="52" t="s">
        <v>362</v>
      </c>
      <c r="E44" s="52" t="s">
        <v>270</v>
      </c>
      <c r="F44" s="52" t="s">
        <v>363</v>
      </c>
      <c r="K44" s="52" t="s">
        <v>74</v>
      </c>
      <c r="M44" s="52" t="s">
        <v>362</v>
      </c>
      <c r="N44" s="52" t="s">
        <v>270</v>
      </c>
      <c r="O44" s="52" t="s">
        <v>363</v>
      </c>
      <c r="T44" s="52" t="s">
        <v>240</v>
      </c>
      <c r="U44" s="52" t="s">
        <v>237</v>
      </c>
      <c r="V44" s="52" t="s">
        <v>123</v>
      </c>
      <c r="W44" s="52" t="s">
        <v>237</v>
      </c>
      <c r="X44" s="52" t="s">
        <v>243</v>
      </c>
      <c r="Y44" s="52" t="s">
        <v>237</v>
      </c>
      <c r="Z44" s="52" t="s">
        <v>243</v>
      </c>
      <c r="AA44" s="52" t="s">
        <v>241</v>
      </c>
      <c r="AD44" s="52" t="s">
        <v>240</v>
      </c>
      <c r="AE44" s="52" t="s">
        <v>244</v>
      </c>
      <c r="AF44" s="52" t="s">
        <v>239</v>
      </c>
      <c r="BH44" s="52" t="s">
        <v>364</v>
      </c>
      <c r="CH44" s="55">
        <f>CH35*(10^(-0.2195))</f>
        <v>3.6856227960085985</v>
      </c>
      <c r="CI44" s="52" t="s">
        <v>137</v>
      </c>
      <c r="CJ44" s="56" t="s">
        <v>74</v>
      </c>
      <c r="CK44" s="55">
        <f>(CK35/10^((-0.0449)))*(10^(-0.2996))</f>
        <v>0</v>
      </c>
      <c r="CL44" s="55">
        <f>CL35*(10^(-0.2195))</f>
        <v>3.6856227960085985</v>
      </c>
      <c r="CM44" s="55">
        <f>CM35/(10^-0.045)*(10^(-0.3))</f>
        <v>7.9466369918809328</v>
      </c>
      <c r="CN44" s="55">
        <f>CN35/(10^-0.0367)*(10^(-0.271))</f>
        <v>6.7256025787603377</v>
      </c>
      <c r="CO44" s="55">
        <f>CO35/(10^-0.025)*(10^(-0.226))</f>
        <v>8.9890287829402862</v>
      </c>
      <c r="CP44" s="55">
        <f>CP35/(10^-0.045)*(10^(-0.3))</f>
        <v>3.0656655948504214</v>
      </c>
    </row>
    <row r="45" spans="1:94" x14ac:dyDescent="0.15">
      <c r="B45" s="52" t="s">
        <v>365</v>
      </c>
      <c r="K45" s="52" t="s">
        <v>366</v>
      </c>
      <c r="T45" s="52" t="s">
        <v>281</v>
      </c>
      <c r="AC45" s="52" t="s">
        <v>367</v>
      </c>
      <c r="AD45" s="52" t="s">
        <v>283</v>
      </c>
      <c r="AJ45" s="52" t="s">
        <v>283</v>
      </c>
      <c r="BH45" s="52" t="s">
        <v>368</v>
      </c>
      <c r="CH45" s="55">
        <f>(CH36/10^(-0.0156))*(10^(0.1768))</f>
        <v>2.1323624676538957</v>
      </c>
      <c r="CI45" s="52" t="s">
        <v>151</v>
      </c>
      <c r="CJ45" s="55">
        <f>(CJ36/10^(-0.007688))*(10^(0.124))</f>
        <v>2.6692751237755776</v>
      </c>
      <c r="CK45" s="55">
        <f>(CK36/10^(-0.011))*(10^(0.15))</f>
        <v>5.5303318214786419</v>
      </c>
      <c r="CL45" s="55">
        <f>(CL36/10^(-0.0156))*(10^(0.1768))</f>
        <v>2.1323624676538957</v>
      </c>
      <c r="CM45" s="55">
        <f>(CM36/10^(-0.0176))*(10^(0.188))</f>
        <v>2.8285886315732718</v>
      </c>
      <c r="CN45" s="55">
        <f>(CN36/10^(-0.0138))*(10^(0.166))</f>
        <v>3.0139292364225247</v>
      </c>
      <c r="CO45" s="55">
        <f>(CO36/10^(-0.0146))*(10^(0.171))</f>
        <v>2.0432413168636936</v>
      </c>
      <c r="CP45" s="56" t="s">
        <v>74</v>
      </c>
    </row>
    <row r="46" spans="1:94" x14ac:dyDescent="0.15">
      <c r="B46" s="52" t="s">
        <v>369</v>
      </c>
      <c r="F46" s="52" t="s">
        <v>370</v>
      </c>
      <c r="H46" s="52" t="s">
        <v>371</v>
      </c>
      <c r="K46" s="52" t="s">
        <v>372</v>
      </c>
      <c r="O46" s="52"/>
      <c r="Q46" s="52" t="s">
        <v>371</v>
      </c>
      <c r="T46" s="52" t="s">
        <v>288</v>
      </c>
      <c r="BH46" s="52" t="s">
        <v>373</v>
      </c>
      <c r="CH46" s="55"/>
      <c r="CI46" s="52" t="s">
        <v>160</v>
      </c>
      <c r="CJ46" s="55"/>
      <c r="CK46" s="56" t="s">
        <v>74</v>
      </c>
      <c r="CL46" s="55"/>
      <c r="CM46" s="55"/>
      <c r="CN46" s="55"/>
      <c r="CO46" s="55"/>
      <c r="CP46" s="55"/>
    </row>
    <row r="47" spans="1:94" x14ac:dyDescent="0.15">
      <c r="B47" s="52" t="s">
        <v>374</v>
      </c>
      <c r="D47" s="52" t="s">
        <v>74</v>
      </c>
      <c r="F47" s="52" t="s">
        <v>375</v>
      </c>
      <c r="G47" s="52" t="s">
        <v>101</v>
      </c>
      <c r="H47" s="52" t="s">
        <v>376</v>
      </c>
      <c r="K47" s="52" t="s">
        <v>374</v>
      </c>
      <c r="M47" s="52" t="s">
        <v>74</v>
      </c>
      <c r="O47" s="52"/>
      <c r="P47" s="52" t="s">
        <v>101</v>
      </c>
      <c r="Q47" s="52" t="s">
        <v>376</v>
      </c>
      <c r="AC47" s="52" t="s">
        <v>297</v>
      </c>
      <c r="AD47" s="52" t="s">
        <v>377</v>
      </c>
      <c r="AE47" s="52" t="s">
        <v>299</v>
      </c>
      <c r="AF47" s="52" t="s">
        <v>300</v>
      </c>
      <c r="AG47" s="52" t="s">
        <v>101</v>
      </c>
      <c r="AJ47" s="52" t="s">
        <v>377</v>
      </c>
      <c r="BH47" s="52" t="s">
        <v>378</v>
      </c>
      <c r="CH47" s="55"/>
      <c r="CI47" s="52" t="s">
        <v>169</v>
      </c>
      <c r="CJ47" s="55"/>
      <c r="CL47" s="55"/>
      <c r="CM47" s="55"/>
      <c r="CN47" s="55"/>
      <c r="CO47" s="55"/>
      <c r="CP47" s="55"/>
    </row>
    <row r="48" spans="1:94" x14ac:dyDescent="0.15">
      <c r="A48" s="52" t="s">
        <v>138</v>
      </c>
      <c r="B48" s="52" t="s">
        <v>121</v>
      </c>
      <c r="C48" s="52" t="s">
        <v>122</v>
      </c>
      <c r="D48" s="52" t="s">
        <v>126</v>
      </c>
      <c r="E48" s="52" t="s">
        <v>122</v>
      </c>
      <c r="F48" s="52" t="s">
        <v>243</v>
      </c>
      <c r="G48" s="52" t="s">
        <v>379</v>
      </c>
      <c r="H48" s="52" t="s">
        <v>352</v>
      </c>
      <c r="I48" s="52" t="s">
        <v>380</v>
      </c>
      <c r="J48" s="52" t="s">
        <v>138</v>
      </c>
      <c r="K48" s="52" t="s">
        <v>121</v>
      </c>
      <c r="L48" s="52" t="s">
        <v>122</v>
      </c>
      <c r="M48" s="52" t="s">
        <v>126</v>
      </c>
      <c r="N48" s="52" t="s">
        <v>122</v>
      </c>
      <c r="O48" s="52" t="s">
        <v>243</v>
      </c>
      <c r="P48" s="52" t="s">
        <v>379</v>
      </c>
      <c r="Q48" s="52" t="s">
        <v>352</v>
      </c>
      <c r="R48" s="52" t="s">
        <v>380</v>
      </c>
      <c r="T48" s="52" t="s">
        <v>306</v>
      </c>
      <c r="V48" s="52" t="s">
        <v>381</v>
      </c>
      <c r="X48" s="52" t="s">
        <v>382</v>
      </c>
      <c r="Z48" s="52" t="s">
        <v>383</v>
      </c>
      <c r="AD48" s="52" t="s">
        <v>128</v>
      </c>
      <c r="AE48" s="52" t="s">
        <v>131</v>
      </c>
      <c r="AF48" s="52" t="s">
        <v>125</v>
      </c>
      <c r="AG48" s="52" t="s">
        <v>74</v>
      </c>
      <c r="AJ48" s="52" t="s">
        <v>128</v>
      </c>
      <c r="BH48" s="52" t="s">
        <v>384</v>
      </c>
      <c r="CH48" s="55"/>
      <c r="CI48" s="52" t="s">
        <v>178</v>
      </c>
      <c r="CJ48" s="55"/>
      <c r="CL48" s="55"/>
      <c r="CM48" s="55"/>
      <c r="CN48" s="55"/>
      <c r="CO48" s="55"/>
      <c r="CP48" s="55"/>
    </row>
    <row r="49" spans="1:94" ht="12.75" x14ac:dyDescent="0.2">
      <c r="A49" s="52" t="s">
        <v>138</v>
      </c>
      <c r="B49" s="61" t="s">
        <v>7</v>
      </c>
      <c r="C49" s="52" t="s">
        <v>139</v>
      </c>
      <c r="D49" s="52" t="s">
        <v>74</v>
      </c>
      <c r="E49" s="52" t="s">
        <v>139</v>
      </c>
      <c r="G49" s="52" t="s">
        <v>141</v>
      </c>
      <c r="H49" s="53">
        <f t="shared" ref="H49:H60" si="2">V133</f>
        <v>426.48388576559995</v>
      </c>
      <c r="I49" s="52" t="s">
        <v>141</v>
      </c>
      <c r="J49" s="52" t="s">
        <v>138</v>
      </c>
      <c r="K49" s="61" t="s">
        <v>7</v>
      </c>
      <c r="L49" s="52" t="s">
        <v>139</v>
      </c>
      <c r="M49" s="52" t="s">
        <v>74</v>
      </c>
      <c r="N49" s="52" t="s">
        <v>139</v>
      </c>
      <c r="P49" s="52" t="s">
        <v>141</v>
      </c>
      <c r="Q49" s="53">
        <f t="shared" ref="Q49:Q60" si="3">X133</f>
        <v>3255.49366134408</v>
      </c>
      <c r="R49" s="52" t="s">
        <v>141</v>
      </c>
      <c r="T49" s="52" t="s">
        <v>128</v>
      </c>
      <c r="U49" s="52" t="s">
        <v>122</v>
      </c>
      <c r="V49" s="52" t="s">
        <v>123</v>
      </c>
      <c r="W49" s="52" t="s">
        <v>122</v>
      </c>
      <c r="X49" s="52" t="s">
        <v>126</v>
      </c>
      <c r="Y49" s="52" t="s">
        <v>122</v>
      </c>
      <c r="Z49" s="52" t="s">
        <v>126</v>
      </c>
      <c r="AA49" s="52" t="s">
        <v>129</v>
      </c>
      <c r="AC49" s="53">
        <v>0.6</v>
      </c>
      <c r="AD49" s="53">
        <f>AC49*O89</f>
        <v>3.0541935235738585E-3</v>
      </c>
      <c r="AJ49" s="53">
        <v>2.6362119378577447E-2</v>
      </c>
      <c r="BH49" s="52" t="s">
        <v>385</v>
      </c>
      <c r="CH49" s="55">
        <f>5*(3.76+(1.98*LN(CH43))+(1.86*LN(1000*CH42)))</f>
        <v>27.247036052459663</v>
      </c>
      <c r="CI49" s="52" t="s">
        <v>186</v>
      </c>
      <c r="CJ49" s="55"/>
      <c r="CK49" s="55" t="e">
        <f>((60-14.41*LN(CK45))+(30.6+9.81*LN(CK44))+(4.15+14.42*LN(1000*CK42)))/3</f>
        <v>#NUM!</v>
      </c>
      <c r="CL49" s="55">
        <f>5*(3.76+(1.98*LN(CL43))+(1.86*LN(1000*CL42)))</f>
        <v>27.247036052459663</v>
      </c>
      <c r="CM49" s="55">
        <f>((60-14.41*LN(CM45))+(30.6+9.81*LN(CM44))+(4.15+14.42*LN(1000*CM42)))/3</f>
        <v>46.710546830831795</v>
      </c>
      <c r="CN49" s="55">
        <f>((60-14.41*LN(CN45))+(30.6+9.81*LN(CN44))+(4.15+14.42*LN(1000*CN42)))/3</f>
        <v>46.680619869344007</v>
      </c>
      <c r="CO49" s="55">
        <f>((60-14.41*LN(CO45))+(30.6+9.81*LN(CO44))+(4.15+14.42*LN(1000*CO42)))/3</f>
        <v>47.27582550710715</v>
      </c>
      <c r="CP49" s="55">
        <f>((30.6+9.81*LN(CP44))+(4.15+14.42*LN(1000*CP42)))/2</f>
        <v>45.053780692534019</v>
      </c>
    </row>
    <row r="50" spans="1:94" ht="12.75" x14ac:dyDescent="0.2">
      <c r="A50" s="52" t="s">
        <v>138</v>
      </c>
      <c r="B50" s="62" t="s">
        <v>16</v>
      </c>
      <c r="C50" s="52" t="s">
        <v>139</v>
      </c>
      <c r="D50" s="52" t="s">
        <v>74</v>
      </c>
      <c r="E50" s="52" t="s">
        <v>139</v>
      </c>
      <c r="G50" s="52" t="s">
        <v>141</v>
      </c>
      <c r="H50" s="53">
        <f t="shared" si="2"/>
        <v>0</v>
      </c>
      <c r="I50" s="52" t="s">
        <v>141</v>
      </c>
      <c r="J50" s="52" t="s">
        <v>138</v>
      </c>
      <c r="K50" s="62" t="s">
        <v>16</v>
      </c>
      <c r="L50" s="52" t="s">
        <v>139</v>
      </c>
      <c r="M50" s="52" t="s">
        <v>74</v>
      </c>
      <c r="N50" s="52" t="s">
        <v>139</v>
      </c>
      <c r="P50" s="52" t="s">
        <v>141</v>
      </c>
      <c r="Q50" s="53">
        <f t="shared" si="3"/>
        <v>0</v>
      </c>
      <c r="R50" s="52" t="s">
        <v>141</v>
      </c>
      <c r="T50" s="52" t="s">
        <v>321</v>
      </c>
      <c r="U50" s="52" t="s">
        <v>139</v>
      </c>
      <c r="V50" s="53">
        <v>1</v>
      </c>
      <c r="W50" s="52" t="s">
        <v>139</v>
      </c>
      <c r="X50" s="53">
        <v>1</v>
      </c>
      <c r="Y50" s="52" t="s">
        <v>139</v>
      </c>
      <c r="Z50" s="53">
        <v>1</v>
      </c>
      <c r="AA50" s="52" t="s">
        <v>139</v>
      </c>
      <c r="AC50" s="53">
        <v>0.7</v>
      </c>
      <c r="AD50" s="53">
        <f>AC50*O89</f>
        <v>3.5632257775028348E-3</v>
      </c>
      <c r="AJ50" s="53">
        <v>3.0755805941673688E-2</v>
      </c>
      <c r="BH50" s="52" t="s">
        <v>386</v>
      </c>
      <c r="CH50" s="55"/>
      <c r="CJ50" s="55"/>
      <c r="CL50" s="55"/>
      <c r="CM50" s="55"/>
      <c r="CN50" s="55"/>
      <c r="CO50" s="55"/>
      <c r="CP50" s="55"/>
    </row>
    <row r="51" spans="1:94" ht="12.75" x14ac:dyDescent="0.2">
      <c r="A51" s="52" t="s">
        <v>138</v>
      </c>
      <c r="B51" s="62" t="s">
        <v>17</v>
      </c>
      <c r="C51" s="52" t="s">
        <v>139</v>
      </c>
      <c r="D51" s="52" t="s">
        <v>74</v>
      </c>
      <c r="E51" s="52" t="s">
        <v>139</v>
      </c>
      <c r="G51" s="52" t="s">
        <v>141</v>
      </c>
      <c r="H51" s="53">
        <f t="shared" si="2"/>
        <v>6.8291932030742615</v>
      </c>
      <c r="I51" s="52" t="s">
        <v>141</v>
      </c>
      <c r="J51" s="52" t="s">
        <v>138</v>
      </c>
      <c r="K51" s="62" t="s">
        <v>17</v>
      </c>
      <c r="L51" s="52" t="s">
        <v>139</v>
      </c>
      <c r="M51" s="52" t="s">
        <v>74</v>
      </c>
      <c r="N51" s="52" t="s">
        <v>139</v>
      </c>
      <c r="P51" s="52" t="s">
        <v>141</v>
      </c>
      <c r="Q51" s="53">
        <f t="shared" si="3"/>
        <v>48.059173063425582</v>
      </c>
      <c r="R51" s="52" t="s">
        <v>141</v>
      </c>
      <c r="T51" s="52" t="s">
        <v>128</v>
      </c>
      <c r="U51" s="52" t="s">
        <v>122</v>
      </c>
      <c r="V51" s="52" t="s">
        <v>123</v>
      </c>
      <c r="W51" s="52" t="s">
        <v>122</v>
      </c>
      <c r="X51" s="52" t="s">
        <v>126</v>
      </c>
      <c r="Y51" s="52" t="s">
        <v>122</v>
      </c>
      <c r="Z51" s="52" t="s">
        <v>126</v>
      </c>
      <c r="AA51" s="52" t="s">
        <v>129</v>
      </c>
      <c r="AC51" s="53">
        <v>0.8</v>
      </c>
      <c r="AD51" s="53">
        <f>AC51*O89</f>
        <v>4.0722580314318116E-3</v>
      </c>
      <c r="AJ51" s="53">
        <v>3.5149492504769932E-2</v>
      </c>
      <c r="BH51" s="52" t="s">
        <v>74</v>
      </c>
      <c r="BK51" s="52" t="s">
        <v>387</v>
      </c>
      <c r="CH51" s="55">
        <f>CH$33*(10^0.189)</f>
        <v>7.8658435025199605E-3</v>
      </c>
      <c r="CI51" s="52" t="s">
        <v>388</v>
      </c>
      <c r="CJ51" s="55">
        <f>CJ$33*(10^0.174)</f>
        <v>5.0102107591712693E-2</v>
      </c>
      <c r="CK51" s="55">
        <f>(CK33/(10^(-0.0143)))*(10^0.169)</f>
        <v>2.2500980504707158E-2</v>
      </c>
      <c r="CL51" s="55">
        <f>CL$33*(10^0.189)</f>
        <v>7.8658435025199605E-3</v>
      </c>
      <c r="CM51" s="55">
        <f>CM$33*(10^0.172)</f>
        <v>3.5451877482126963E-2</v>
      </c>
      <c r="CN51" s="55">
        <f>CN$33*(10^0.236)</f>
        <v>5.6463655840570136E-2</v>
      </c>
      <c r="CO51" s="55">
        <f>CO$33*(10^0.219)</f>
        <v>3.2896151909925467E-2</v>
      </c>
      <c r="CP51" s="55">
        <f>CP$33*(10^0.214)</f>
        <v>5.8109422164486703E-2</v>
      </c>
    </row>
    <row r="52" spans="1:94" ht="12.75" x14ac:dyDescent="0.2">
      <c r="A52" s="52" t="s">
        <v>138</v>
      </c>
      <c r="B52" s="62" t="s">
        <v>18</v>
      </c>
      <c r="C52" s="52" t="s">
        <v>139</v>
      </c>
      <c r="D52" s="52" t="s">
        <v>74</v>
      </c>
      <c r="E52" s="52" t="s">
        <v>139</v>
      </c>
      <c r="G52" s="52" t="s">
        <v>141</v>
      </c>
      <c r="H52" s="53">
        <f t="shared" si="2"/>
        <v>1.3576958332820999</v>
      </c>
      <c r="I52" s="52" t="s">
        <v>141</v>
      </c>
      <c r="J52" s="52" t="s">
        <v>138</v>
      </c>
      <c r="K52" s="62" t="s">
        <v>18</v>
      </c>
      <c r="L52" s="52" t="s">
        <v>139</v>
      </c>
      <c r="M52" s="52" t="s">
        <v>74</v>
      </c>
      <c r="N52" s="52" t="s">
        <v>139</v>
      </c>
      <c r="P52" s="52" t="s">
        <v>141</v>
      </c>
      <c r="Q52" s="53">
        <f t="shared" si="3"/>
        <v>10.68054055515252</v>
      </c>
      <c r="R52" s="52" t="s">
        <v>141</v>
      </c>
      <c r="T52" s="53" t="str">
        <f>$T$9</f>
        <v xml:space="preserve">    ‡  Res low-med density</v>
      </c>
      <c r="U52" s="52" t="s">
        <v>139</v>
      </c>
      <c r="V52" s="53">
        <v>0</v>
      </c>
      <c r="W52" s="52" t="s">
        <v>139</v>
      </c>
      <c r="X52" s="53">
        <v>0</v>
      </c>
      <c r="Y52" s="52" t="s">
        <v>139</v>
      </c>
      <c r="Z52" s="53">
        <v>0</v>
      </c>
      <c r="AA52" s="52" t="s">
        <v>139</v>
      </c>
      <c r="AC52" s="53">
        <v>0.9</v>
      </c>
      <c r="AD52" s="53">
        <f>AC52*O89</f>
        <v>4.581290285360788E-3</v>
      </c>
      <c r="AJ52" s="53">
        <v>3.9543179067866169E-2</v>
      </c>
      <c r="BH52" s="52" t="s">
        <v>389</v>
      </c>
      <c r="BK52" s="52" t="s">
        <v>390</v>
      </c>
      <c r="CH52" s="55">
        <f>CH34*(10^0.1362)</f>
        <v>1.4341311630102043</v>
      </c>
      <c r="CI52" s="52" t="s">
        <v>37</v>
      </c>
      <c r="CJ52" s="55">
        <f>CJ$34*(10^0.113)</f>
        <v>4.4551865450777584</v>
      </c>
      <c r="CK52" s="55">
        <f>(CK34/(10^(-0.02)))*(10^0.2)</f>
        <v>3.5322893710816974</v>
      </c>
      <c r="CL52" s="55">
        <f>CL34*(10^0.1362)</f>
        <v>1.4341311630102043</v>
      </c>
      <c r="CM52" s="55">
        <f>CM34*(10^0.119)</f>
        <v>1.7773939711645601</v>
      </c>
      <c r="CN52" s="56" t="s">
        <v>74</v>
      </c>
      <c r="CO52" s="55">
        <f>CO34*(10^(0.1075))</f>
        <v>0.88245429217661164</v>
      </c>
      <c r="CP52" s="55">
        <f>CP34*(10^(0.16))</f>
        <v>0.97414190083295871</v>
      </c>
    </row>
    <row r="53" spans="1:94" ht="12.75" x14ac:dyDescent="0.2">
      <c r="A53" s="52" t="s">
        <v>138</v>
      </c>
      <c r="B53" s="62" t="s">
        <v>19</v>
      </c>
      <c r="C53" s="52" t="s">
        <v>139</v>
      </c>
      <c r="D53" s="52" t="s">
        <v>74</v>
      </c>
      <c r="E53" s="52" t="s">
        <v>139</v>
      </c>
      <c r="G53" s="52" t="s">
        <v>141</v>
      </c>
      <c r="H53" s="53">
        <f t="shared" si="2"/>
        <v>5.5821593530942115</v>
      </c>
      <c r="I53" s="52" t="s">
        <v>141</v>
      </c>
      <c r="J53" s="52" t="s">
        <v>138</v>
      </c>
      <c r="K53" s="62" t="s">
        <v>19</v>
      </c>
      <c r="L53" s="52" t="s">
        <v>139</v>
      </c>
      <c r="M53" s="52" t="s">
        <v>74</v>
      </c>
      <c r="N53" s="52" t="s">
        <v>139</v>
      </c>
      <c r="P53" s="52" t="s">
        <v>141</v>
      </c>
      <c r="Q53" s="53">
        <f t="shared" si="3"/>
        <v>33.85476274330285</v>
      </c>
      <c r="R53" s="52" t="s">
        <v>141</v>
      </c>
      <c r="T53" s="53" t="str">
        <f>$T$10</f>
        <v xml:space="preserve">    ‡  Res High density</v>
      </c>
      <c r="U53" s="52" t="s">
        <v>139</v>
      </c>
      <c r="V53" s="53">
        <v>0</v>
      </c>
      <c r="W53" s="52" t="s">
        <v>139</v>
      </c>
      <c r="X53" s="53">
        <v>0</v>
      </c>
      <c r="Y53" s="52" t="s">
        <v>139</v>
      </c>
      <c r="Z53" s="53">
        <v>0</v>
      </c>
      <c r="AA53" s="52" t="s">
        <v>139</v>
      </c>
      <c r="AC53" s="53">
        <v>1</v>
      </c>
      <c r="AD53" s="53">
        <f>AC53*O89</f>
        <v>5.0903225392897643E-3</v>
      </c>
      <c r="AJ53" s="53">
        <v>4.3936865630962413E-2</v>
      </c>
      <c r="BH53" s="52" t="s">
        <v>391</v>
      </c>
      <c r="BK53" s="52" t="s">
        <v>392</v>
      </c>
      <c r="CH53" s="55">
        <f>CH35*(10^0.2195)</f>
        <v>10.127701331692938</v>
      </c>
      <c r="CI53" s="52" t="s">
        <v>137</v>
      </c>
      <c r="CJ53" s="56" t="s">
        <v>74</v>
      </c>
      <c r="CK53" s="55">
        <f>(CK35/(10^(-0.0449)))*(10^(0.2996))</f>
        <v>0</v>
      </c>
      <c r="CL53" s="55">
        <f>CL35*(10^0.2195)</f>
        <v>10.127701331692938</v>
      </c>
      <c r="CM53" s="55">
        <f>CM35/(10^-0.045)*(10^0.3)</f>
        <v>31.636131682534735</v>
      </c>
      <c r="CN53" s="55">
        <f>CN35/(10^-0.0367)*(10^(0.271))</f>
        <v>23.42778344284654</v>
      </c>
      <c r="CO53" s="55">
        <f>CO35/(10^-0.025)*(10^(0.226))</f>
        <v>25.451464146027362</v>
      </c>
      <c r="CP53" s="55">
        <f>CP35/(10^-0.045)*(10^(0.3))</f>
        <v>12.204634558291055</v>
      </c>
    </row>
    <row r="54" spans="1:94" ht="12.75" x14ac:dyDescent="0.2">
      <c r="A54" s="52" t="s">
        <v>138</v>
      </c>
      <c r="B54" s="62" t="s">
        <v>20</v>
      </c>
      <c r="C54" s="52" t="s">
        <v>139</v>
      </c>
      <c r="D54" s="52" t="s">
        <v>74</v>
      </c>
      <c r="E54" s="52" t="s">
        <v>139</v>
      </c>
      <c r="G54" s="52" t="s">
        <v>141</v>
      </c>
      <c r="H54" s="53">
        <f t="shared" si="2"/>
        <v>2.0665364532415542</v>
      </c>
      <c r="I54" s="52" t="s">
        <v>141</v>
      </c>
      <c r="J54" s="52" t="s">
        <v>138</v>
      </c>
      <c r="K54" s="62" t="s">
        <v>20</v>
      </c>
      <c r="L54" s="52" t="s">
        <v>139</v>
      </c>
      <c r="M54" s="52" t="s">
        <v>74</v>
      </c>
      <c r="N54" s="52" t="s">
        <v>139</v>
      </c>
      <c r="P54" s="52" t="s">
        <v>141</v>
      </c>
      <c r="Q54" s="53">
        <f t="shared" si="3"/>
        <v>48.739067293432875</v>
      </c>
      <c r="R54" s="52" t="s">
        <v>141</v>
      </c>
      <c r="T54" s="53" t="str">
        <f>$T$11</f>
        <v xml:space="preserve">    ‡  Commercial</v>
      </c>
      <c r="U54" s="52" t="s">
        <v>139</v>
      </c>
      <c r="V54" s="53">
        <v>0</v>
      </c>
      <c r="W54" s="52" t="s">
        <v>139</v>
      </c>
      <c r="X54" s="53">
        <v>0</v>
      </c>
      <c r="Y54" s="52" t="s">
        <v>139</v>
      </c>
      <c r="Z54" s="53">
        <v>0</v>
      </c>
      <c r="AA54" s="52" t="s">
        <v>139</v>
      </c>
      <c r="AC54" s="53">
        <v>1.1000000000000001</v>
      </c>
      <c r="AD54" s="53">
        <f>AC54*O89</f>
        <v>5.5993547932187415E-3</v>
      </c>
      <c r="AJ54" s="53">
        <v>4.833055219405865E-2</v>
      </c>
      <c r="BH54" s="52" t="s">
        <v>348</v>
      </c>
      <c r="BK54" s="52" t="s">
        <v>348</v>
      </c>
      <c r="CH54" s="55">
        <f>(CH36/10^(-0.0156))*(10^(-0.1768))</f>
        <v>0.94462846827494784</v>
      </c>
      <c r="CI54" s="52" t="s">
        <v>151</v>
      </c>
      <c r="CJ54" s="55">
        <f>(CJ$36/10^(-0.007688))*(10^(-0.124))</f>
        <v>1.5079722133675093</v>
      </c>
      <c r="CK54" s="55">
        <f>(CK36/10^(-0.011))*(10^(-0.15))</f>
        <v>2.771731706647754</v>
      </c>
      <c r="CL54" s="55">
        <f>(CL36/10^(-0.0156))*(10^(-0.1768))</f>
        <v>0.94462846827494784</v>
      </c>
      <c r="CM54" s="55">
        <f>(CM36/10^(-0.0176))*(10^(-0.188))</f>
        <v>1.190062558048391</v>
      </c>
      <c r="CN54" s="55">
        <f>(CN36/10^(-0.0138))*(10^(-0.166))</f>
        <v>1.4032435393405978</v>
      </c>
      <c r="CO54" s="55">
        <f>(CO36/10^(-0.0146))*(10^(-0.171))</f>
        <v>0.92965040317824277</v>
      </c>
      <c r="CP54" s="56" t="s">
        <v>74</v>
      </c>
    </row>
    <row r="55" spans="1:94" ht="12.75" x14ac:dyDescent="0.2">
      <c r="A55" s="52" t="s">
        <v>138</v>
      </c>
      <c r="B55" s="63" t="s">
        <v>21</v>
      </c>
      <c r="C55" s="52" t="s">
        <v>139</v>
      </c>
      <c r="D55" s="52" t="s">
        <v>74</v>
      </c>
      <c r="E55" s="52" t="s">
        <v>139</v>
      </c>
      <c r="G55" s="52" t="s">
        <v>141</v>
      </c>
      <c r="H55" s="53">
        <f t="shared" si="2"/>
        <v>20.740590213342038</v>
      </c>
      <c r="I55" s="52" t="s">
        <v>141</v>
      </c>
      <c r="J55" s="52" t="s">
        <v>138</v>
      </c>
      <c r="K55" s="63" t="s">
        <v>21</v>
      </c>
      <c r="L55" s="52" t="s">
        <v>139</v>
      </c>
      <c r="M55" s="52" t="s">
        <v>74</v>
      </c>
      <c r="N55" s="52" t="s">
        <v>139</v>
      </c>
      <c r="P55" s="52" t="s">
        <v>141</v>
      </c>
      <c r="Q55" s="53">
        <f t="shared" si="3"/>
        <v>489.16486352221779</v>
      </c>
      <c r="R55" s="52" t="s">
        <v>141</v>
      </c>
      <c r="T55" s="53" t="str">
        <f>$T$12</f>
        <v xml:space="preserve">    ‡  Institutional</v>
      </c>
      <c r="U55" s="52" t="s">
        <v>139</v>
      </c>
      <c r="V55" s="53">
        <v>0</v>
      </c>
      <c r="W55" s="52" t="s">
        <v>139</v>
      </c>
      <c r="X55" s="53">
        <v>0</v>
      </c>
      <c r="Y55" s="52" t="s">
        <v>139</v>
      </c>
      <c r="Z55" s="53">
        <v>0</v>
      </c>
      <c r="AA55" s="52" t="s">
        <v>139</v>
      </c>
      <c r="AC55" s="53">
        <v>1.2</v>
      </c>
      <c r="AD55" s="53">
        <f>AC55*O89</f>
        <v>6.108387047147717E-3</v>
      </c>
      <c r="AJ55" s="53">
        <v>5.2724238757154894E-2</v>
      </c>
      <c r="CI55" s="52" t="s">
        <v>160</v>
      </c>
      <c r="CK55" s="56" t="s">
        <v>74</v>
      </c>
    </row>
    <row r="56" spans="1:94" ht="12.75" x14ac:dyDescent="0.2">
      <c r="A56" s="52" t="s">
        <v>138</v>
      </c>
      <c r="B56" s="62" t="s">
        <v>22</v>
      </c>
      <c r="C56" s="52" t="s">
        <v>139</v>
      </c>
      <c r="D56" s="52" t="s">
        <v>74</v>
      </c>
      <c r="E56" s="52" t="s">
        <v>139</v>
      </c>
      <c r="G56" s="52" t="s">
        <v>141</v>
      </c>
      <c r="H56" s="53">
        <f t="shared" si="2"/>
        <v>110.74631103194692</v>
      </c>
      <c r="I56" s="52" t="s">
        <v>141</v>
      </c>
      <c r="J56" s="52" t="s">
        <v>138</v>
      </c>
      <c r="K56" s="62" t="s">
        <v>22</v>
      </c>
      <c r="L56" s="52" t="s">
        <v>139</v>
      </c>
      <c r="M56" s="52" t="s">
        <v>74</v>
      </c>
      <c r="N56" s="52" t="s">
        <v>139</v>
      </c>
      <c r="P56" s="52" t="s">
        <v>141</v>
      </c>
      <c r="Q56" s="53">
        <f t="shared" si="3"/>
        <v>983.15602650810001</v>
      </c>
      <c r="R56" s="52" t="s">
        <v>141</v>
      </c>
      <c r="T56" s="53" t="str">
        <f>$T$13</f>
        <v xml:space="preserve">    ‡  Industrial/Mining</v>
      </c>
      <c r="U56" s="52" t="s">
        <v>139</v>
      </c>
      <c r="V56" s="53">
        <v>0</v>
      </c>
      <c r="W56" s="52" t="s">
        <v>139</v>
      </c>
      <c r="X56" s="53">
        <v>0</v>
      </c>
      <c r="Y56" s="52" t="s">
        <v>139</v>
      </c>
      <c r="Z56" s="53">
        <v>0</v>
      </c>
      <c r="AA56" s="52" t="s">
        <v>139</v>
      </c>
      <c r="AC56" s="53">
        <v>1.3</v>
      </c>
      <c r="AD56" s="53">
        <f>AC56*O89</f>
        <v>6.6174193010766942E-3</v>
      </c>
      <c r="AJ56" s="53">
        <v>5.7117925320251131E-2</v>
      </c>
      <c r="CI56" s="52" t="s">
        <v>169</v>
      </c>
    </row>
    <row r="57" spans="1:94" ht="12.75" x14ac:dyDescent="0.2">
      <c r="A57" s="52" t="s">
        <v>138</v>
      </c>
      <c r="B57" s="62" t="s">
        <v>23</v>
      </c>
      <c r="C57" s="52" t="s">
        <v>139</v>
      </c>
      <c r="D57" s="52" t="s">
        <v>74</v>
      </c>
      <c r="E57" s="52" t="s">
        <v>139</v>
      </c>
      <c r="G57" s="52" t="s">
        <v>141</v>
      </c>
      <c r="H57" s="53">
        <f t="shared" si="2"/>
        <v>0</v>
      </c>
      <c r="I57" s="52" t="s">
        <v>141</v>
      </c>
      <c r="J57" s="52" t="s">
        <v>138</v>
      </c>
      <c r="K57" s="62" t="s">
        <v>23</v>
      </c>
      <c r="L57" s="52" t="s">
        <v>139</v>
      </c>
      <c r="M57" s="52" t="s">
        <v>74</v>
      </c>
      <c r="N57" s="52" t="s">
        <v>139</v>
      </c>
      <c r="P57" s="52" t="s">
        <v>141</v>
      </c>
      <c r="Q57" s="53">
        <f t="shared" si="3"/>
        <v>0</v>
      </c>
      <c r="R57" s="52" t="s">
        <v>141</v>
      </c>
      <c r="T57" s="53" t="str">
        <f>$T$14</f>
        <v xml:space="preserve">    ‡  Recreation/Open</v>
      </c>
      <c r="U57" s="52" t="s">
        <v>139</v>
      </c>
      <c r="V57" s="53">
        <v>0</v>
      </c>
      <c r="W57" s="52" t="s">
        <v>139</v>
      </c>
      <c r="X57" s="53">
        <v>0</v>
      </c>
      <c r="Y57" s="52" t="s">
        <v>139</v>
      </c>
      <c r="Z57" s="53">
        <v>0</v>
      </c>
      <c r="AA57" s="52" t="s">
        <v>139</v>
      </c>
      <c r="AC57" s="53">
        <v>1.4</v>
      </c>
      <c r="AD57" s="53">
        <f>AC57*O89</f>
        <v>7.1264515550056697E-3</v>
      </c>
      <c r="AJ57" s="53">
        <v>6.1511611883347375E-2</v>
      </c>
      <c r="CI57" s="52" t="s">
        <v>178</v>
      </c>
    </row>
    <row r="58" spans="1:94" ht="12.75" x14ac:dyDescent="0.2">
      <c r="A58" s="52" t="s">
        <v>138</v>
      </c>
      <c r="B58" s="62" t="s">
        <v>24</v>
      </c>
      <c r="C58" s="52" t="s">
        <v>139</v>
      </c>
      <c r="D58" s="52" t="s">
        <v>74</v>
      </c>
      <c r="E58" s="52" t="s">
        <v>139</v>
      </c>
      <c r="G58" s="52" t="s">
        <v>141</v>
      </c>
      <c r="H58" s="53">
        <f t="shared" si="2"/>
        <v>69.867014764479634</v>
      </c>
      <c r="I58" s="52" t="s">
        <v>141</v>
      </c>
      <c r="J58" s="52" t="s">
        <v>138</v>
      </c>
      <c r="K58" s="62" t="s">
        <v>24</v>
      </c>
      <c r="L58" s="52" t="s">
        <v>139</v>
      </c>
      <c r="M58" s="52" t="s">
        <v>74</v>
      </c>
      <c r="N58" s="52" t="s">
        <v>139</v>
      </c>
      <c r="P58" s="52" t="s">
        <v>141</v>
      </c>
      <c r="Q58" s="53">
        <f t="shared" si="3"/>
        <v>447.18500147704407</v>
      </c>
      <c r="R58" s="52" t="s">
        <v>141</v>
      </c>
      <c r="T58" s="53" t="str">
        <f>$T$15</f>
        <v xml:space="preserve">    ‡  Forest/Rangeland</v>
      </c>
      <c r="U58" s="52" t="s">
        <v>139</v>
      </c>
      <c r="V58" s="53">
        <v>0</v>
      </c>
      <c r="W58" s="52" t="s">
        <v>139</v>
      </c>
      <c r="X58" s="53">
        <v>0</v>
      </c>
      <c r="Y58" s="52" t="s">
        <v>139</v>
      </c>
      <c r="Z58" s="53">
        <v>0</v>
      </c>
      <c r="AA58" s="52" t="s">
        <v>139</v>
      </c>
      <c r="AC58" s="53">
        <v>1.5</v>
      </c>
      <c r="AD58" s="53">
        <f>AC58*O89</f>
        <v>7.6354838089346469E-3</v>
      </c>
      <c r="AJ58" s="53">
        <v>6.5905298446443619E-2</v>
      </c>
      <c r="CH58" s="55">
        <f>5*(3.76+(1.98*LN(CH52))+(1.86*LN(1000*CH51)))</f>
        <v>41.551063063753553</v>
      </c>
      <c r="CI58" s="52" t="s">
        <v>186</v>
      </c>
      <c r="CK58" s="55" t="e">
        <f>((60-14.41*LN(CK54))+(30.6+9.81*LN(CK53))+(4.15+14.42*LN(1000*CK51)))/3</f>
        <v>#NUM!</v>
      </c>
      <c r="CL58" s="55">
        <f>5*(3.76+(1.98*LN(CL52))+(1.86*LN(1000*CL51)))</f>
        <v>41.551063063753553</v>
      </c>
      <c r="CM58" s="55">
        <f>((60-14.41*LN(CM54))+(30.6+9.81*LN(CM53))+(4.15+14.42*LN(1000*CM51)))/3</f>
        <v>59.194119366470026</v>
      </c>
      <c r="CN58" s="55">
        <f>((60-14.41*LN(CN54))+(30.6+9.81*LN(CN53))+(4.15+14.42*LN(1000*CN51)))/3</f>
        <v>59.657513585872557</v>
      </c>
      <c r="CO58" s="55">
        <f>((60-14.41*LN(CO54))+(30.6+9.81*LN(CO53))+(4.15+14.42*LN(1000*CO51)))/3</f>
        <v>59.309365461603328</v>
      </c>
      <c r="CP58" s="55">
        <f>((30.6+9.81*LN(CP53))+(4.15+14.42*LN(1000*CP51)))/2</f>
        <v>58.93578990798396</v>
      </c>
    </row>
    <row r="59" spans="1:94" ht="12.75" x14ac:dyDescent="0.2">
      <c r="A59" s="52" t="s">
        <v>138</v>
      </c>
      <c r="B59" s="62" t="s">
        <v>25</v>
      </c>
      <c r="C59" s="52" t="s">
        <v>139</v>
      </c>
      <c r="D59" s="52" t="s">
        <v>74</v>
      </c>
      <c r="E59" s="52" t="s">
        <v>139</v>
      </c>
      <c r="G59" s="52" t="s">
        <v>141</v>
      </c>
      <c r="H59" s="53">
        <f t="shared" si="2"/>
        <v>90.84596971869388</v>
      </c>
      <c r="I59" s="52" t="s">
        <v>141</v>
      </c>
      <c r="J59" s="52" t="s">
        <v>138</v>
      </c>
      <c r="K59" s="62" t="s">
        <v>25</v>
      </c>
      <c r="L59" s="52" t="s">
        <v>139</v>
      </c>
      <c r="M59" s="52" t="s">
        <v>74</v>
      </c>
      <c r="N59" s="52" t="s">
        <v>139</v>
      </c>
      <c r="P59" s="52" t="s">
        <v>141</v>
      </c>
      <c r="Q59" s="53">
        <f t="shared" si="3"/>
        <v>1330.2445565951602</v>
      </c>
      <c r="R59" s="52" t="s">
        <v>141</v>
      </c>
      <c r="T59" s="53" t="str">
        <f>$T$16</f>
        <v xml:space="preserve">    ‡  Water/wetlands</v>
      </c>
      <c r="U59" s="52" t="s">
        <v>139</v>
      </c>
      <c r="V59" s="53">
        <v>0</v>
      </c>
      <c r="W59" s="52" t="s">
        <v>139</v>
      </c>
      <c r="X59" s="53">
        <v>0</v>
      </c>
      <c r="Y59" s="52" t="s">
        <v>139</v>
      </c>
      <c r="Z59" s="53">
        <v>0</v>
      </c>
      <c r="AA59" s="52" t="s">
        <v>139</v>
      </c>
      <c r="AC59" s="53">
        <v>1.6</v>
      </c>
      <c r="AD59" s="53">
        <f>AC59*O89</f>
        <v>8.1445160628636232E-3</v>
      </c>
      <c r="AJ59" s="53">
        <v>7.0298985009539863E-2</v>
      </c>
    </row>
    <row r="60" spans="1:94" ht="12.75" x14ac:dyDescent="0.2">
      <c r="A60" s="52" t="s">
        <v>138</v>
      </c>
      <c r="B60" s="62" t="s">
        <v>26</v>
      </c>
      <c r="C60" s="52" t="s">
        <v>139</v>
      </c>
      <c r="D60" s="52" t="s">
        <v>74</v>
      </c>
      <c r="E60" s="52" t="s">
        <v>139</v>
      </c>
      <c r="G60" s="52" t="s">
        <v>141</v>
      </c>
      <c r="H60" s="53">
        <f t="shared" si="2"/>
        <v>167.61342255155668</v>
      </c>
      <c r="I60" s="52" t="s">
        <v>141</v>
      </c>
      <c r="J60" s="52" t="s">
        <v>138</v>
      </c>
      <c r="K60" s="62" t="s">
        <v>26</v>
      </c>
      <c r="L60" s="52" t="s">
        <v>139</v>
      </c>
      <c r="M60" s="52" t="s">
        <v>74</v>
      </c>
      <c r="N60" s="52" t="s">
        <v>139</v>
      </c>
      <c r="P60" s="52" t="s">
        <v>141</v>
      </c>
      <c r="Q60" s="53">
        <f t="shared" si="3"/>
        <v>953.72393298974907</v>
      </c>
      <c r="R60" s="52" t="s">
        <v>141</v>
      </c>
      <c r="T60" s="53" t="str">
        <f>$T$17</f>
        <v xml:space="preserve">    ‡  Feedlots</v>
      </c>
      <c r="U60" s="52" t="s">
        <v>139</v>
      </c>
      <c r="V60" s="53">
        <v>0</v>
      </c>
      <c r="W60" s="52" t="s">
        <v>139</v>
      </c>
      <c r="X60" s="53">
        <v>0</v>
      </c>
      <c r="Y60" s="52" t="s">
        <v>139</v>
      </c>
      <c r="Z60" s="53">
        <v>0</v>
      </c>
      <c r="AA60" s="52" t="s">
        <v>139</v>
      </c>
      <c r="AC60" s="53">
        <v>1.7</v>
      </c>
      <c r="AD60" s="53">
        <f>AC60*O89</f>
        <v>8.6535483167925996E-3</v>
      </c>
      <c r="AJ60" s="53">
        <v>7.4692671572636093E-2</v>
      </c>
      <c r="CH60" s="55">
        <f>0.587*($AF$11*$D$23)*($F$87^(0.4))*($AF$11^(-0.21))*($AF$10^(1.01))/(1+1.71*($F$87^(0.4))*($AF$11^(0.79))*($AF$10^(1.01)))</f>
        <v>0</v>
      </c>
      <c r="CI60" s="52" t="s">
        <v>393</v>
      </c>
      <c r="CJ60" s="55">
        <f>0.326*($AF$11*$D$23)*($F$87^(0.53))*($AF$11^(-0.75))*($AF$10^(0.58))/(1+3*($F$87^(0.53))*($AF$11^(0.25))*($AF$10^(0.58)))</f>
        <v>0</v>
      </c>
      <c r="CK60" s="55">
        <f>2.396*($AF$11*$D$23)*($F$87^(0.5))*($AF$11^(-0.55))*($AF$10^(-0.16))/(1+12.26*($F$87^(0.5))*($AF$11^(0.45))*($AF$10^(-0.16)))</f>
        <v>0</v>
      </c>
      <c r="CL60" s="55">
        <f>0.587*($AF$11*$D$23)*($F$87^(0.4))*($AF$11^(-0.21))*($AF$10^(1.01))/(1+1.71*($F$87^(0.4))*($AF$11^(0.79))*($AF$10^(1.01)))</f>
        <v>0</v>
      </c>
      <c r="CM60" s="55">
        <f>0.587*($AF$11*$D$23)*($F$87^(0.4))*($AF$11^(-0.21))*($AF$10^(1.01))/(1+1.71*($F$87^(0.4))*($AF$11^(0.79))*($AF$10^(1.01)))</f>
        <v>0</v>
      </c>
      <c r="CN60" s="55">
        <f>0.587*($AF$11*$D$23)*($F$87^(0.4))*($AF$11^(-0.21))*($AF$10^(1.01))/(1+1.71*($F$87^(0.4))*($AF$11^(0.79))*($AF$10^(1.01)))</f>
        <v>0</v>
      </c>
      <c r="CO60" s="55">
        <f>0.587*($AF$11*$D$23)*($F$87^(0.4))*($AF$11^(-0.21))*($AF$10^(1.01))/(1+1.71*($F$87^(0.4))*($AF$11^(0.79))*($AF$10^(1.01)))</f>
        <v>0</v>
      </c>
      <c r="CP60" s="55">
        <f>0.587*($AF$11*$D$23)*($F$87^(0.4))*($AF$11^(-0.21))*($AF$10^(1.01))/(1+1.71*($F$87^(0.4))*($AF$11^(0.79))*($AF$10^(1.01)))</f>
        <v>0</v>
      </c>
    </row>
    <row r="61" spans="1:94" ht="12.75" x14ac:dyDescent="0.2">
      <c r="A61" s="52" t="s">
        <v>138</v>
      </c>
      <c r="B61" s="62" t="s">
        <v>27</v>
      </c>
      <c r="C61" s="52" t="s">
        <v>139</v>
      </c>
      <c r="D61" s="52" t="s">
        <v>74</v>
      </c>
      <c r="E61" s="52" t="s">
        <v>139</v>
      </c>
      <c r="G61" s="52" t="s">
        <v>141</v>
      </c>
      <c r="I61" s="52" t="s">
        <v>141</v>
      </c>
      <c r="J61" s="52" t="s">
        <v>138</v>
      </c>
      <c r="K61" s="62" t="s">
        <v>27</v>
      </c>
      <c r="L61" s="52" t="s">
        <v>139</v>
      </c>
      <c r="M61" s="52" t="s">
        <v>74</v>
      </c>
      <c r="N61" s="52" t="s">
        <v>139</v>
      </c>
      <c r="P61" s="52" t="s">
        <v>141</v>
      </c>
      <c r="R61" s="52" t="s">
        <v>141</v>
      </c>
      <c r="T61" s="53" t="str">
        <f>$T$18</f>
        <v xml:space="preserve">    ‡  Pasture</v>
      </c>
      <c r="U61" s="52" t="s">
        <v>139</v>
      </c>
      <c r="V61" s="53">
        <v>0</v>
      </c>
      <c r="W61" s="52" t="s">
        <v>139</v>
      </c>
      <c r="X61" s="53">
        <v>0</v>
      </c>
      <c r="Y61" s="52" t="s">
        <v>139</v>
      </c>
      <c r="Z61" s="53">
        <v>0</v>
      </c>
      <c r="AA61" s="52" t="s">
        <v>139</v>
      </c>
      <c r="AC61" s="53">
        <v>1.8</v>
      </c>
      <c r="AD61" s="53">
        <f>AC61*O89</f>
        <v>9.1625805707215759E-3</v>
      </c>
      <c r="AJ61" s="53">
        <v>7.9086358135732338E-2</v>
      </c>
      <c r="CH61" s="55">
        <f>0.00947*($AF$11*$D$23)*($F$88^(0.328))*($AF$11^(-0.891))*($AF$10^(1.56))/(1+0.2*($F$88^(0.328))*($AF$11^(0.109))*($AF$10^(1.56)))</f>
        <v>0</v>
      </c>
      <c r="CI61" s="52" t="s">
        <v>394</v>
      </c>
      <c r="CJ61" s="55">
        <f>0.073*($AF$11*$D$23)*($AF$11^(-0.75))/(1+0.67*($AF$11^(0.25)))</f>
        <v>0</v>
      </c>
      <c r="CK61" s="55">
        <f>0.135*($AF$11*$D$23)*($AF$11^(-0.55))/(1+0.693*($AF$11^(0.45)))</f>
        <v>0</v>
      </c>
      <c r="CL61" s="55">
        <f>0.00947*($AF$11*$D$23)*($F$88^(0.328))*($AF$11^(-0.891))*($AF$10^(1.56))/(1+0.2*($F$88^(0.328))*($AF$11^(0.109))*($AF$10^(1.56)))</f>
        <v>0</v>
      </c>
      <c r="CM61" s="55">
        <f>0.00947*($AF$11*$D$23)*($F$88^(0.328))*($AF$11^(-0.891))*($AF$10^(1.56))/(1+0.2*($F$88^(0.328))*($AF$11^(0.109))*($AF$10^(1.56)))</f>
        <v>0</v>
      </c>
      <c r="CN61" s="55">
        <f>0.00947*($AF$11*$D$23)*($F$88^(0.328))*($AF$11^(-0.891))*($AF$10^(1.56))/(1+0.2*($F$88^(0.328))*($AF$11^(0.109))*($AF$10^(1.56)))</f>
        <v>0</v>
      </c>
      <c r="CO61" s="55">
        <f>0.00947*($AF$11*$D$23)*($F$88^(0.328))*($AF$11^(-0.891))*($AF$10^(1.56))/(1+0.2*($F$88^(0.328))*($AF$11^(0.109))*($AF$10^(1.56)))</f>
        <v>0</v>
      </c>
      <c r="CP61" s="55">
        <f>0.00947*($AF$11*$D$23)*($F$88^(0.328))*($AF$11^(-0.891))*($AF$10^(1.56))/(1+0.2*($F$88^(0.328))*($AF$11^(0.109))*($AF$10^(1.56)))</f>
        <v>0</v>
      </c>
    </row>
    <row r="62" spans="1:94" ht="12.75" x14ac:dyDescent="0.2">
      <c r="A62" s="52" t="s">
        <v>138</v>
      </c>
      <c r="B62" s="62" t="s">
        <v>28</v>
      </c>
      <c r="C62" s="52" t="s">
        <v>139</v>
      </c>
      <c r="D62" s="52" t="s">
        <v>74</v>
      </c>
      <c r="E62" s="52" t="s">
        <v>139</v>
      </c>
      <c r="G62" s="52" t="s">
        <v>141</v>
      </c>
      <c r="I62" s="52" t="s">
        <v>141</v>
      </c>
      <c r="J62" s="52" t="s">
        <v>138</v>
      </c>
      <c r="K62" s="62" t="s">
        <v>28</v>
      </c>
      <c r="L62" s="52" t="s">
        <v>139</v>
      </c>
      <c r="M62" s="52" t="s">
        <v>74</v>
      </c>
      <c r="N62" s="52" t="s">
        <v>139</v>
      </c>
      <c r="P62" s="52" t="s">
        <v>141</v>
      </c>
      <c r="R62" s="52" t="s">
        <v>141</v>
      </c>
      <c r="T62" s="53" t="str">
        <f>$T$19</f>
        <v xml:space="preserve">    ‡  Citrus groves</v>
      </c>
      <c r="U62" s="52" t="s">
        <v>139</v>
      </c>
      <c r="V62" s="53">
        <v>0</v>
      </c>
      <c r="W62" s="52" t="s">
        <v>139</v>
      </c>
      <c r="X62" s="53">
        <v>0</v>
      </c>
      <c r="Y62" s="52" t="s">
        <v>139</v>
      </c>
      <c r="Z62" s="53">
        <v>0</v>
      </c>
      <c r="AA62" s="52" t="s">
        <v>139</v>
      </c>
      <c r="AC62" s="53">
        <v>1.9</v>
      </c>
      <c r="AD62" s="53">
        <f>AC62*O89</f>
        <v>9.6716128246505523E-3</v>
      </c>
      <c r="AJ62" s="53">
        <v>8.3480044698828582E-2</v>
      </c>
    </row>
    <row r="63" spans="1:94" ht="12.75" x14ac:dyDescent="0.2">
      <c r="A63" s="52" t="s">
        <v>138</v>
      </c>
      <c r="B63" s="62" t="s">
        <v>29</v>
      </c>
      <c r="C63" s="52" t="s">
        <v>139</v>
      </c>
      <c r="D63" s="52" t="s">
        <v>74</v>
      </c>
      <c r="E63" s="52" t="s">
        <v>139</v>
      </c>
      <c r="G63" s="52" t="s">
        <v>141</v>
      </c>
      <c r="I63" s="52" t="s">
        <v>141</v>
      </c>
      <c r="J63" s="52" t="s">
        <v>138</v>
      </c>
      <c r="K63" s="62" t="s">
        <v>29</v>
      </c>
      <c r="L63" s="52" t="s">
        <v>139</v>
      </c>
      <c r="M63" s="52" t="s">
        <v>74</v>
      </c>
      <c r="N63" s="52" t="s">
        <v>139</v>
      </c>
      <c r="P63" s="52" t="s">
        <v>141</v>
      </c>
      <c r="R63" s="52" t="s">
        <v>141</v>
      </c>
      <c r="T63" s="53" t="str">
        <f>$T$20</f>
        <v xml:space="preserve">    ‡  Other Agric</v>
      </c>
      <c r="U63" s="52" t="s">
        <v>139</v>
      </c>
      <c r="V63" s="53">
        <v>0</v>
      </c>
      <c r="W63" s="52" t="s">
        <v>139</v>
      </c>
      <c r="X63" s="53">
        <v>0</v>
      </c>
      <c r="Y63" s="52" t="s">
        <v>139</v>
      </c>
      <c r="Z63" s="53">
        <v>0</v>
      </c>
      <c r="AA63" s="52" t="s">
        <v>139</v>
      </c>
      <c r="AC63" s="53">
        <v>2</v>
      </c>
      <c r="AD63" s="53">
        <f>AC63*O89</f>
        <v>1.0180645078579529E-2</v>
      </c>
      <c r="AJ63" s="53">
        <v>8.7873731261924826E-2</v>
      </c>
      <c r="CH63" s="53">
        <f>10^(-1.712+(0.82*LOG($D$108))+(0.139*(1/ABS($AF$10-2.25)))+(0.505*LOG(ABS(LOG($AF$11+0.5)))))</f>
        <v>0.52843260020818006</v>
      </c>
      <c r="CI63" s="52" t="s">
        <v>395</v>
      </c>
      <c r="CL63" s="53">
        <f>10^(-1.712+(0.82*LOG($D$108))+(0.139*(1/ABS($AF$10-2.25)))+(0.505*LOG(ABS(LOG($AF$11+0.5)))))</f>
        <v>0.52843260020818006</v>
      </c>
      <c r="CM63" s="52" t="s">
        <v>74</v>
      </c>
      <c r="CN63" s="52" t="s">
        <v>74</v>
      </c>
      <c r="CO63" s="52" t="s">
        <v>74</v>
      </c>
      <c r="CP63" s="52" t="s">
        <v>74</v>
      </c>
    </row>
    <row r="64" spans="1:94" ht="12.75" x14ac:dyDescent="0.2">
      <c r="A64" s="52" t="s">
        <v>138</v>
      </c>
      <c r="B64" s="62" t="s">
        <v>30</v>
      </c>
      <c r="C64" s="52" t="s">
        <v>139</v>
      </c>
      <c r="D64" s="52" t="s">
        <v>74</v>
      </c>
      <c r="E64" s="52" t="s">
        <v>139</v>
      </c>
      <c r="G64" s="52" t="s">
        <v>141</v>
      </c>
      <c r="I64" s="52" t="s">
        <v>141</v>
      </c>
      <c r="J64" s="52" t="s">
        <v>138</v>
      </c>
      <c r="K64" s="62" t="s">
        <v>30</v>
      </c>
      <c r="L64" s="52" t="s">
        <v>139</v>
      </c>
      <c r="M64" s="52" t="s">
        <v>74</v>
      </c>
      <c r="N64" s="52" t="s">
        <v>139</v>
      </c>
      <c r="P64" s="52" t="s">
        <v>141</v>
      </c>
      <c r="R64" s="52" t="s">
        <v>141</v>
      </c>
      <c r="T64" s="52" t="s">
        <v>240</v>
      </c>
      <c r="U64" s="52" t="s">
        <v>237</v>
      </c>
      <c r="V64" s="52" t="s">
        <v>123</v>
      </c>
      <c r="W64" s="52" t="s">
        <v>237</v>
      </c>
      <c r="X64" s="52" t="s">
        <v>243</v>
      </c>
      <c r="Y64" s="52" t="s">
        <v>237</v>
      </c>
      <c r="Z64" s="52" t="s">
        <v>243</v>
      </c>
      <c r="AA64" s="52" t="s">
        <v>241</v>
      </c>
      <c r="AD64" s="52" t="s">
        <v>240</v>
      </c>
      <c r="AE64" s="52" t="s">
        <v>244</v>
      </c>
      <c r="AF64" s="52" t="s">
        <v>239</v>
      </c>
      <c r="CH64" s="53">
        <f>10^(-0.219+(0.467*LOG($D$108))+(0.286*LOG($AF$10))+(0.153*LOG($AF$11)))</f>
        <v>8.6931719311825031</v>
      </c>
      <c r="CI64" s="52" t="s">
        <v>396</v>
      </c>
      <c r="CL64" s="53">
        <f>10^(-0.219+(0.467*LOG($D$108))+(0.286*LOG($AF$10))+(0.153*LOG($AF$11)))</f>
        <v>8.6931719311825031</v>
      </c>
      <c r="CM64" s="52" t="s">
        <v>74</v>
      </c>
      <c r="CN64" s="52" t="s">
        <v>74</v>
      </c>
      <c r="CO64" s="52" t="s">
        <v>74</v>
      </c>
      <c r="CP64" s="52" t="s">
        <v>74</v>
      </c>
    </row>
    <row r="65" spans="1:94" ht="12.75" x14ac:dyDescent="0.2">
      <c r="A65" s="52" t="s">
        <v>138</v>
      </c>
      <c r="B65" s="64" t="s">
        <v>397</v>
      </c>
      <c r="C65" s="52" t="s">
        <v>139</v>
      </c>
      <c r="D65" s="52" t="s">
        <v>74</v>
      </c>
      <c r="E65" s="52" t="s">
        <v>139</v>
      </c>
      <c r="G65" s="52" t="s">
        <v>141</v>
      </c>
      <c r="I65" s="52" t="s">
        <v>141</v>
      </c>
      <c r="J65" s="52" t="s">
        <v>138</v>
      </c>
      <c r="K65" s="64" t="s">
        <v>397</v>
      </c>
      <c r="L65" s="52" t="s">
        <v>139</v>
      </c>
      <c r="M65" s="52" t="s">
        <v>74</v>
      </c>
      <c r="N65" s="52" t="s">
        <v>139</v>
      </c>
      <c r="P65" s="52" t="s">
        <v>141</v>
      </c>
      <c r="R65" s="52" t="s">
        <v>141</v>
      </c>
      <c r="T65" s="52" t="s">
        <v>281</v>
      </c>
      <c r="AC65" s="52" t="s">
        <v>398</v>
      </c>
      <c r="AD65" s="52" t="s">
        <v>283</v>
      </c>
    </row>
    <row r="66" spans="1:94" ht="12.75" x14ac:dyDescent="0.2">
      <c r="A66" s="52" t="s">
        <v>138</v>
      </c>
      <c r="B66" s="61" t="s">
        <v>399</v>
      </c>
      <c r="C66" s="52" t="s">
        <v>139</v>
      </c>
      <c r="D66" s="52" t="s">
        <v>74</v>
      </c>
      <c r="E66" s="52" t="s">
        <v>139</v>
      </c>
      <c r="G66" s="52" t="s">
        <v>141</v>
      </c>
      <c r="I66" s="52" t="s">
        <v>141</v>
      </c>
      <c r="J66" s="52" t="s">
        <v>138</v>
      </c>
      <c r="K66" s="61" t="s">
        <v>399</v>
      </c>
      <c r="L66" s="52" t="s">
        <v>139</v>
      </c>
      <c r="M66" s="52" t="s">
        <v>74</v>
      </c>
      <c r="N66" s="52" t="s">
        <v>139</v>
      </c>
      <c r="P66" s="52" t="s">
        <v>141</v>
      </c>
      <c r="R66" s="52" t="s">
        <v>141</v>
      </c>
      <c r="T66" s="52" t="s">
        <v>288</v>
      </c>
      <c r="CH66" s="53">
        <f>CH63</f>
        <v>0.52843260020818006</v>
      </c>
      <c r="CI66" s="52" t="s">
        <v>395</v>
      </c>
      <c r="CL66" s="53">
        <f>CL63</f>
        <v>0.52843260020818006</v>
      </c>
      <c r="CM66" s="52" t="s">
        <v>74</v>
      </c>
      <c r="CN66" s="52" t="s">
        <v>74</v>
      </c>
      <c r="CO66" s="52" t="s">
        <v>74</v>
      </c>
      <c r="CP66" s="52" t="s">
        <v>74</v>
      </c>
    </row>
    <row r="67" spans="1:94" ht="12.75" x14ac:dyDescent="0.2">
      <c r="A67" s="52" t="s">
        <v>138</v>
      </c>
      <c r="B67" s="61" t="s">
        <v>400</v>
      </c>
      <c r="C67" s="52" t="s">
        <v>139</v>
      </c>
      <c r="D67" s="52" t="s">
        <v>74</v>
      </c>
      <c r="E67" s="52" t="s">
        <v>139</v>
      </c>
      <c r="G67" s="52" t="s">
        <v>141</v>
      </c>
      <c r="H67" s="53">
        <f>V145</f>
        <v>284.56847999999991</v>
      </c>
      <c r="I67" s="52" t="s">
        <v>141</v>
      </c>
      <c r="J67" s="52" t="s">
        <v>138</v>
      </c>
      <c r="K67" s="61" t="s">
        <v>400</v>
      </c>
      <c r="L67" s="52" t="s">
        <v>139</v>
      </c>
      <c r="M67" s="52" t="s">
        <v>74</v>
      </c>
      <c r="N67" s="52" t="s">
        <v>139</v>
      </c>
      <c r="P67" s="52" t="s">
        <v>141</v>
      </c>
      <c r="Q67" s="53">
        <f>X145</f>
        <v>5023.210500000001</v>
      </c>
      <c r="R67" s="52" t="s">
        <v>141</v>
      </c>
      <c r="AC67" s="52" t="s">
        <v>297</v>
      </c>
      <c r="AD67" s="52" t="s">
        <v>298</v>
      </c>
      <c r="AE67" s="52" t="s">
        <v>299</v>
      </c>
      <c r="AF67" s="52" t="s">
        <v>300</v>
      </c>
      <c r="AG67" s="52" t="s">
        <v>101</v>
      </c>
      <c r="CH67" s="53">
        <f>1000*CH66*$AF$15</f>
        <v>2424.6232959034151</v>
      </c>
      <c r="CI67" s="52" t="s">
        <v>401</v>
      </c>
      <c r="CL67" s="53">
        <f>1000*CL66*$AF$15</f>
        <v>2424.6232959034151</v>
      </c>
      <c r="CM67" s="52" t="s">
        <v>74</v>
      </c>
      <c r="CN67" s="52" t="s">
        <v>74</v>
      </c>
      <c r="CO67" s="52" t="s">
        <v>74</v>
      </c>
      <c r="CP67" s="52" t="s">
        <v>74</v>
      </c>
    </row>
    <row r="68" spans="1:94" ht="12.75" x14ac:dyDescent="0.2">
      <c r="A68" s="52" t="s">
        <v>138</v>
      </c>
      <c r="B68" s="61" t="s">
        <v>402</v>
      </c>
      <c r="C68" s="52" t="s">
        <v>139</v>
      </c>
      <c r="D68" s="52" t="s">
        <v>74</v>
      </c>
      <c r="E68" s="52" t="s">
        <v>139</v>
      </c>
      <c r="G68" s="52" t="s">
        <v>141</v>
      </c>
      <c r="I68" s="52" t="s">
        <v>141</v>
      </c>
      <c r="J68" s="52" t="s">
        <v>138</v>
      </c>
      <c r="K68" s="61" t="s">
        <v>402</v>
      </c>
      <c r="L68" s="52" t="s">
        <v>139</v>
      </c>
      <c r="M68" s="52" t="s">
        <v>74</v>
      </c>
      <c r="N68" s="52" t="s">
        <v>139</v>
      </c>
      <c r="P68" s="52" t="s">
        <v>141</v>
      </c>
      <c r="R68" s="52" t="s">
        <v>141</v>
      </c>
      <c r="AC68" s="52"/>
      <c r="AD68" s="52"/>
      <c r="AE68" s="52"/>
      <c r="AF68" s="52"/>
      <c r="AG68" s="52"/>
      <c r="CI68" s="52"/>
      <c r="CM68" s="52"/>
      <c r="CN68" s="52"/>
      <c r="CO68" s="52"/>
      <c r="CP68" s="52"/>
    </row>
    <row r="69" spans="1:94" ht="12.75" x14ac:dyDescent="0.2">
      <c r="A69" s="52" t="s">
        <v>138</v>
      </c>
      <c r="B69" s="61" t="s">
        <v>403</v>
      </c>
      <c r="C69" s="52" t="s">
        <v>139</v>
      </c>
      <c r="D69" s="52" t="s">
        <v>74</v>
      </c>
      <c r="E69" s="52" t="s">
        <v>139</v>
      </c>
      <c r="G69" s="52" t="s">
        <v>141</v>
      </c>
      <c r="I69" s="52" t="s">
        <v>141</v>
      </c>
      <c r="J69" s="52" t="s">
        <v>138</v>
      </c>
      <c r="K69" s="61" t="s">
        <v>403</v>
      </c>
      <c r="L69" s="52" t="s">
        <v>139</v>
      </c>
      <c r="M69" s="52" t="s">
        <v>74</v>
      </c>
      <c r="N69" s="52" t="s">
        <v>139</v>
      </c>
      <c r="P69" s="52" t="s">
        <v>141</v>
      </c>
      <c r="R69" s="52" t="s">
        <v>141</v>
      </c>
      <c r="AC69" s="52"/>
      <c r="AD69" s="52"/>
      <c r="AE69" s="52"/>
      <c r="AF69" s="52"/>
      <c r="AG69" s="52"/>
      <c r="CI69" s="52"/>
      <c r="CM69" s="52"/>
      <c r="CN69" s="52"/>
      <c r="CO69" s="52"/>
      <c r="CP69" s="52"/>
    </row>
    <row r="70" spans="1:94" ht="12.75" x14ac:dyDescent="0.2">
      <c r="A70" s="52" t="s">
        <v>138</v>
      </c>
      <c r="B70" s="61" t="s">
        <v>404</v>
      </c>
      <c r="C70" s="52" t="s">
        <v>139</v>
      </c>
      <c r="D70" s="52" t="s">
        <v>74</v>
      </c>
      <c r="E70" s="52" t="s">
        <v>139</v>
      </c>
      <c r="G70" s="52" t="s">
        <v>141</v>
      </c>
      <c r="I70" s="52" t="s">
        <v>141</v>
      </c>
      <c r="J70" s="52" t="s">
        <v>138</v>
      </c>
      <c r="K70" s="61" t="s">
        <v>404</v>
      </c>
      <c r="L70" s="52" t="s">
        <v>139</v>
      </c>
      <c r="M70" s="52" t="s">
        <v>74</v>
      </c>
      <c r="N70" s="52" t="s">
        <v>139</v>
      </c>
      <c r="P70" s="52" t="s">
        <v>141</v>
      </c>
      <c r="R70" s="52" t="s">
        <v>141</v>
      </c>
      <c r="AC70" s="52"/>
      <c r="AD70" s="52"/>
      <c r="AE70" s="52"/>
      <c r="AF70" s="52"/>
      <c r="AG70" s="52"/>
      <c r="CI70" s="52"/>
      <c r="CM70" s="52"/>
      <c r="CN70" s="52"/>
      <c r="CO70" s="52"/>
      <c r="CP70" s="52"/>
    </row>
    <row r="71" spans="1:94" ht="12.75" x14ac:dyDescent="0.2">
      <c r="A71" s="52" t="s">
        <v>138</v>
      </c>
      <c r="B71" s="61" t="s">
        <v>405</v>
      </c>
      <c r="C71" s="52" t="s">
        <v>139</v>
      </c>
      <c r="D71" s="52" t="s">
        <v>74</v>
      </c>
      <c r="E71" s="52" t="s">
        <v>139</v>
      </c>
      <c r="G71" s="52" t="s">
        <v>141</v>
      </c>
      <c r="I71" s="52" t="s">
        <v>141</v>
      </c>
      <c r="J71" s="52" t="s">
        <v>138</v>
      </c>
      <c r="K71" s="61" t="s">
        <v>405</v>
      </c>
      <c r="L71" s="52" t="s">
        <v>139</v>
      </c>
      <c r="M71" s="52" t="s">
        <v>74</v>
      </c>
      <c r="N71" s="52" t="s">
        <v>139</v>
      </c>
      <c r="P71" s="52" t="s">
        <v>141</v>
      </c>
      <c r="Q71" s="53">
        <f>X146</f>
        <v>0</v>
      </c>
      <c r="R71" s="52" t="s">
        <v>141</v>
      </c>
      <c r="T71" s="52" t="s">
        <v>306</v>
      </c>
      <c r="V71" s="52" t="s">
        <v>406</v>
      </c>
      <c r="X71" s="52" t="s">
        <v>407</v>
      </c>
      <c r="Z71" s="52" t="s">
        <v>408</v>
      </c>
      <c r="AD71" s="52" t="s">
        <v>128</v>
      </c>
      <c r="AE71" s="52" t="s">
        <v>131</v>
      </c>
      <c r="AF71" s="52" t="s">
        <v>125</v>
      </c>
      <c r="AG71" s="52" t="s">
        <v>74</v>
      </c>
    </row>
    <row r="72" spans="1:94" ht="12.75" x14ac:dyDescent="0.2">
      <c r="A72" s="52" t="s">
        <v>138</v>
      </c>
      <c r="B72" s="61" t="s">
        <v>54</v>
      </c>
      <c r="C72" s="52" t="s">
        <v>139</v>
      </c>
      <c r="D72" s="52" t="s">
        <v>74</v>
      </c>
      <c r="E72" s="52" t="s">
        <v>139</v>
      </c>
      <c r="G72" s="52" t="s">
        <v>141</v>
      </c>
      <c r="H72" s="53">
        <f>V147</f>
        <v>262.58965488113552</v>
      </c>
      <c r="I72" s="52" t="s">
        <v>141</v>
      </c>
      <c r="J72" s="52" t="s">
        <v>138</v>
      </c>
      <c r="K72" s="61" t="s">
        <v>54</v>
      </c>
      <c r="L72" s="52" t="s">
        <v>139</v>
      </c>
      <c r="M72" s="52" t="s">
        <v>74</v>
      </c>
      <c r="N72" s="52" t="s">
        <v>139</v>
      </c>
      <c r="P72" s="52" t="s">
        <v>141</v>
      </c>
      <c r="Q72" s="53">
        <f>X147</f>
        <v>12670.655253502873</v>
      </c>
      <c r="R72" s="52" t="s">
        <v>141</v>
      </c>
      <c r="T72" s="52" t="s">
        <v>128</v>
      </c>
      <c r="U72" s="52" t="s">
        <v>122</v>
      </c>
      <c r="V72" s="52" t="s">
        <v>123</v>
      </c>
      <c r="W72" s="52" t="s">
        <v>122</v>
      </c>
      <c r="X72" s="52" t="s">
        <v>126</v>
      </c>
      <c r="Y72" s="52" t="s">
        <v>122</v>
      </c>
      <c r="Z72" s="52" t="s">
        <v>126</v>
      </c>
      <c r="AA72" s="52" t="s">
        <v>129</v>
      </c>
      <c r="AC72" s="53">
        <v>0.6</v>
      </c>
      <c r="AD72" s="53">
        <f>(AL29/AJ49)*(EXP((-AL30)*(LN(AJ49/O89))^2))</f>
        <v>1.508728007193216E-18</v>
      </c>
      <c r="CH72" s="53">
        <f>CH64</f>
        <v>8.6931719311825031</v>
      </c>
      <c r="CI72" s="52" t="s">
        <v>396</v>
      </c>
      <c r="CL72" s="53">
        <f>CL64</f>
        <v>8.6931719311825031</v>
      </c>
      <c r="CM72" s="52" t="s">
        <v>74</v>
      </c>
      <c r="CN72" s="52" t="s">
        <v>74</v>
      </c>
      <c r="CO72" s="52" t="s">
        <v>74</v>
      </c>
      <c r="CP72" s="52" t="s">
        <v>74</v>
      </c>
    </row>
    <row r="73" spans="1:94" ht="12.75" x14ac:dyDescent="0.2">
      <c r="A73" s="52" t="s">
        <v>138</v>
      </c>
      <c r="B73" s="61" t="s">
        <v>55</v>
      </c>
      <c r="C73" s="52" t="s">
        <v>139</v>
      </c>
      <c r="D73" s="52" t="s">
        <v>74</v>
      </c>
      <c r="E73" s="52" t="s">
        <v>139</v>
      </c>
      <c r="G73" s="52" t="s">
        <v>141</v>
      </c>
      <c r="H73" s="53">
        <f>0.0000345275541464805*AF9*1000000</f>
        <v>745.24298217498358</v>
      </c>
      <c r="I73" s="52" t="s">
        <v>141</v>
      </c>
      <c r="J73" s="52" t="s">
        <v>138</v>
      </c>
      <c r="K73" s="61" t="s">
        <v>55</v>
      </c>
      <c r="L73" s="52" t="s">
        <v>139</v>
      </c>
      <c r="M73" s="52" t="s">
        <v>74</v>
      </c>
      <c r="N73" s="52" t="s">
        <v>139</v>
      </c>
      <c r="P73" s="52" t="s">
        <v>141</v>
      </c>
      <c r="Q73" s="53">
        <f>0.000146470682530635*AF9*1000000</f>
        <v>3161.4242870273606</v>
      </c>
      <c r="R73" s="52" t="s">
        <v>141</v>
      </c>
      <c r="T73" s="52" t="s">
        <v>321</v>
      </c>
      <c r="U73" s="52" t="s">
        <v>139</v>
      </c>
      <c r="V73" s="53">
        <v>1</v>
      </c>
      <c r="W73" s="52" t="s">
        <v>139</v>
      </c>
      <c r="X73" s="53">
        <v>1</v>
      </c>
      <c r="Y73" s="52" t="s">
        <v>139</v>
      </c>
      <c r="Z73" s="53">
        <v>1</v>
      </c>
      <c r="AA73" s="52" t="s">
        <v>139</v>
      </c>
      <c r="AC73" s="53">
        <v>0.7</v>
      </c>
      <c r="AD73" s="53">
        <f>(AL29/AJ50)*(EXP((-AL30)*(LN(AJ50/O89))^2))</f>
        <v>2.0169551819077162E-22</v>
      </c>
      <c r="CH73" s="53">
        <f>1000*CH72*$AF$15</f>
        <v>39887.143925895318</v>
      </c>
      <c r="CI73" s="52" t="s">
        <v>409</v>
      </c>
      <c r="CL73" s="53">
        <f>1000*CL72*$AF$15</f>
        <v>39887.143925895318</v>
      </c>
      <c r="CM73" s="52" t="s">
        <v>74</v>
      </c>
      <c r="CN73" s="52" t="s">
        <v>74</v>
      </c>
      <c r="CO73" s="52" t="s">
        <v>74</v>
      </c>
      <c r="CP73" s="52" t="s">
        <v>74</v>
      </c>
    </row>
    <row r="74" spans="1:94" ht="12.75" x14ac:dyDescent="0.2">
      <c r="A74" s="52" t="s">
        <v>138</v>
      </c>
      <c r="B74" s="61"/>
      <c r="C74" s="52" t="s">
        <v>139</v>
      </c>
      <c r="D74" s="52" t="s">
        <v>74</v>
      </c>
      <c r="E74" s="52" t="s">
        <v>139</v>
      </c>
      <c r="G74" s="52" t="s">
        <v>141</v>
      </c>
      <c r="H74" s="65"/>
      <c r="I74" s="52" t="s">
        <v>141</v>
      </c>
      <c r="J74" s="52" t="s">
        <v>138</v>
      </c>
      <c r="K74" s="61" t="s">
        <v>410</v>
      </c>
      <c r="L74" s="52" t="s">
        <v>139</v>
      </c>
      <c r="M74" s="52" t="s">
        <v>74</v>
      </c>
      <c r="N74" s="52" t="s">
        <v>139</v>
      </c>
      <c r="P74" s="52" t="s">
        <v>141</v>
      </c>
      <c r="Q74" s="65">
        <v>550315.21895671997</v>
      </c>
      <c r="R74" s="52" t="s">
        <v>141</v>
      </c>
      <c r="T74" s="52" t="s">
        <v>128</v>
      </c>
      <c r="U74" s="52" t="s">
        <v>122</v>
      </c>
      <c r="V74" s="52" t="s">
        <v>123</v>
      </c>
      <c r="W74" s="52" t="s">
        <v>122</v>
      </c>
      <c r="X74" s="52" t="s">
        <v>126</v>
      </c>
      <c r="Y74" s="52" t="s">
        <v>122</v>
      </c>
      <c r="Z74" s="52" t="s">
        <v>126</v>
      </c>
      <c r="AA74" s="52" t="s">
        <v>129</v>
      </c>
      <c r="AC74" s="53">
        <v>0.8</v>
      </c>
      <c r="AD74" s="53">
        <f>(AL29/AJ51)*(EXP((-AL30)*(LN(AJ51/O89))^2))</f>
        <v>4.7145409510815795E-26</v>
      </c>
    </row>
    <row r="75" spans="1:94" ht="12.75" x14ac:dyDescent="0.2">
      <c r="A75" s="52" t="s">
        <v>138</v>
      </c>
      <c r="B75" s="61"/>
      <c r="C75" s="52" t="s">
        <v>139</v>
      </c>
      <c r="D75" s="52" t="s">
        <v>74</v>
      </c>
      <c r="E75" s="52" t="s">
        <v>139</v>
      </c>
      <c r="G75" s="52" t="s">
        <v>141</v>
      </c>
      <c r="H75" s="65"/>
      <c r="I75" s="52" t="s">
        <v>141</v>
      </c>
      <c r="J75" s="52" t="s">
        <v>138</v>
      </c>
      <c r="K75" s="61" t="s">
        <v>56</v>
      </c>
      <c r="L75" s="52" t="s">
        <v>139</v>
      </c>
      <c r="M75" s="52" t="s">
        <v>74</v>
      </c>
      <c r="N75" s="52" t="s">
        <v>139</v>
      </c>
      <c r="P75" s="52" t="s">
        <v>141</v>
      </c>
      <c r="Q75" s="65"/>
      <c r="R75" s="52" t="s">
        <v>141</v>
      </c>
      <c r="T75" s="52"/>
      <c r="U75" s="52"/>
      <c r="V75" s="52"/>
      <c r="W75" s="52"/>
      <c r="X75" s="52"/>
      <c r="Y75" s="52"/>
      <c r="Z75" s="52"/>
      <c r="AA75" s="52"/>
    </row>
    <row r="76" spans="1:94" x14ac:dyDescent="0.15">
      <c r="A76" s="52" t="s">
        <v>138</v>
      </c>
      <c r="B76" s="52" t="s">
        <v>411</v>
      </c>
      <c r="C76" s="52" t="s">
        <v>237</v>
      </c>
      <c r="D76" s="52" t="s">
        <v>243</v>
      </c>
      <c r="E76" s="52" t="s">
        <v>237</v>
      </c>
      <c r="F76" s="52" t="s">
        <v>352</v>
      </c>
      <c r="G76" s="52" t="s">
        <v>353</v>
      </c>
      <c r="H76" s="52" t="s">
        <v>352</v>
      </c>
      <c r="I76" s="52" t="s">
        <v>271</v>
      </c>
      <c r="J76" s="52" t="s">
        <v>138</v>
      </c>
      <c r="K76" s="52" t="s">
        <v>411</v>
      </c>
      <c r="L76" s="52" t="s">
        <v>237</v>
      </c>
      <c r="M76" s="52" t="s">
        <v>243</v>
      </c>
      <c r="N76" s="52" t="s">
        <v>237</v>
      </c>
      <c r="O76" s="52" t="s">
        <v>352</v>
      </c>
      <c r="P76" s="52" t="s">
        <v>353</v>
      </c>
      <c r="Q76" s="52" t="s">
        <v>352</v>
      </c>
      <c r="R76" s="52" t="s">
        <v>271</v>
      </c>
      <c r="T76" s="53" t="str">
        <f>$T$9</f>
        <v xml:space="preserve">    ‡  Res low-med density</v>
      </c>
      <c r="U76" s="52" t="s">
        <v>139</v>
      </c>
      <c r="V76" s="53">
        <v>0</v>
      </c>
      <c r="W76" s="52" t="s">
        <v>139</v>
      </c>
      <c r="X76" s="53">
        <v>0</v>
      </c>
      <c r="Y76" s="52" t="s">
        <v>139</v>
      </c>
      <c r="Z76" s="53">
        <v>0</v>
      </c>
      <c r="AA76" s="52" t="s">
        <v>139</v>
      </c>
      <c r="AC76" s="53">
        <v>0.9</v>
      </c>
      <c r="AD76" s="53">
        <f>(AL29/AJ52)*(EXP((-AL30)*(LN(AJ52/O89))^2))</f>
        <v>1.8119280840517803E-29</v>
      </c>
      <c r="CH76" s="53">
        <f>$M$118*(1+(2.376*($AF$11^0.9889)))</f>
        <v>2.753254816718897</v>
      </c>
      <c r="CI76" s="52" t="s">
        <v>412</v>
      </c>
      <c r="CL76" s="53">
        <f>$M$118*(1+(2.376*($AF$11^0.9889)))</f>
        <v>2.753254816718897</v>
      </c>
      <c r="CM76" s="53">
        <f>$M$118*(1+1.174*($AF$11^0.326)*($AF$10^-0.239)*($M$118^-0.292))</f>
        <v>0.31836865097564648</v>
      </c>
      <c r="CN76" s="53">
        <f>$M$118*(1+1.031*($AF$11^0.517)*($AF$10^-0.56)*($M$118^-0.34))</f>
        <v>0.3467192276718607</v>
      </c>
      <c r="CO76" s="53">
        <f>$M$118*(1+1.492*($AF$11^0.352)*($AF$10^-0.971)*($M$118^-0.778))</f>
        <v>0.53841271349349817</v>
      </c>
      <c r="CP76" s="52" t="s">
        <v>74</v>
      </c>
    </row>
    <row r="77" spans="1:94" x14ac:dyDescent="0.15">
      <c r="A77" s="52" t="s">
        <v>413</v>
      </c>
      <c r="B77" s="52" t="s">
        <v>414</v>
      </c>
      <c r="H77" s="52" t="s">
        <v>415</v>
      </c>
      <c r="J77" s="52" t="s">
        <v>413</v>
      </c>
      <c r="K77" s="52" t="s">
        <v>414</v>
      </c>
      <c r="Q77" s="52" t="s">
        <v>415</v>
      </c>
      <c r="T77" s="53" t="str">
        <f>$T$10</f>
        <v xml:space="preserve">    ‡  Res High density</v>
      </c>
      <c r="U77" s="52" t="s">
        <v>139</v>
      </c>
      <c r="V77" s="53">
        <v>0</v>
      </c>
      <c r="W77" s="52" t="s">
        <v>139</v>
      </c>
      <c r="X77" s="53">
        <v>0</v>
      </c>
      <c r="Y77" s="52" t="s">
        <v>139</v>
      </c>
      <c r="Z77" s="53">
        <v>0</v>
      </c>
      <c r="AA77" s="52" t="s">
        <v>139</v>
      </c>
      <c r="AC77" s="53">
        <v>1</v>
      </c>
      <c r="AD77" s="53">
        <f>(AL29/AJ53)*(EXP((-AL30)*(LN(AJ53/O89))^2))</f>
        <v>1.082502486640103E-32</v>
      </c>
      <c r="CH77" s="53">
        <f>1000*CH76*$AF$15</f>
        <v>12632.842420291669</v>
      </c>
      <c r="CI77" s="52" t="s">
        <v>416</v>
      </c>
      <c r="CL77" s="53">
        <f>1000*CL76*$AF$15</f>
        <v>12632.842420291669</v>
      </c>
      <c r="CM77" s="53">
        <f>1000*CM76*$AF$15</f>
        <v>1460.7805187204397</v>
      </c>
      <c r="CN77" s="53">
        <f>1000*CN76*$AF$15</f>
        <v>1590.862327985911</v>
      </c>
      <c r="CO77" s="53">
        <f>1000*CO76*$AF$15</f>
        <v>2470.415351801943</v>
      </c>
      <c r="CP77" s="52" t="s">
        <v>74</v>
      </c>
    </row>
    <row r="78" spans="1:94" x14ac:dyDescent="0.15">
      <c r="B78" s="52" t="s">
        <v>417</v>
      </c>
      <c r="F78" s="165">
        <f>Summary!AH31</f>
        <v>1786.4546200301506</v>
      </c>
      <c r="H78" s="52" t="s">
        <v>415</v>
      </c>
      <c r="K78" s="52" t="s">
        <v>417</v>
      </c>
      <c r="O78" s="165">
        <f>Summary!BH40</f>
        <v>39601.304346098121</v>
      </c>
      <c r="Q78" s="52" t="s">
        <v>415</v>
      </c>
      <c r="T78" s="53" t="str">
        <f>$T$11</f>
        <v xml:space="preserve">    ‡  Commercial</v>
      </c>
      <c r="U78" s="52" t="s">
        <v>139</v>
      </c>
      <c r="V78" s="53">
        <v>0</v>
      </c>
      <c r="W78" s="52" t="s">
        <v>139</v>
      </c>
      <c r="X78" s="53">
        <v>0</v>
      </c>
      <c r="Y78" s="52" t="s">
        <v>139</v>
      </c>
      <c r="Z78" s="53">
        <v>0</v>
      </c>
      <c r="AA78" s="52" t="s">
        <v>139</v>
      </c>
      <c r="AC78" s="53">
        <v>1.1000000000000001</v>
      </c>
      <c r="AD78" s="53">
        <f>(AL29/AJ54)*(EXP((-AL30)*(LN(AJ54/O89))^2))</f>
        <v>9.5730501496562089E-36</v>
      </c>
    </row>
    <row r="79" spans="1:94" x14ac:dyDescent="0.15">
      <c r="B79" s="52" t="s">
        <v>418</v>
      </c>
      <c r="K79" s="52" t="s">
        <v>419</v>
      </c>
      <c r="T79" s="53" t="str">
        <f>$T$12</f>
        <v xml:space="preserve">    ‡  Institutional</v>
      </c>
      <c r="U79" s="52" t="s">
        <v>139</v>
      </c>
      <c r="V79" s="53">
        <v>0</v>
      </c>
      <c r="W79" s="52" t="s">
        <v>139</v>
      </c>
      <c r="X79" s="53">
        <v>0</v>
      </c>
      <c r="Y79" s="52" t="s">
        <v>139</v>
      </c>
      <c r="Z79" s="53">
        <v>0</v>
      </c>
      <c r="AA79" s="52" t="s">
        <v>139</v>
      </c>
      <c r="AC79" s="53">
        <v>1.2</v>
      </c>
      <c r="AD79" s="53">
        <f>(AL29/AJ55)*(EXP((-AL30)*(LN(AJ55/O89))^2))</f>
        <v>1.2015810265179805E-38</v>
      </c>
      <c r="CH79" s="53">
        <f>10^(-0.219+(0.2028*(($D$128-16.8)/14.4))+(0.286*LOG($AF$10))+(0.153*LOG($AF$11)))</f>
        <v>6.301098274729414</v>
      </c>
      <c r="CI79" s="52" t="s">
        <v>420</v>
      </c>
      <c r="CL79" s="53">
        <f>10^(-0.219+(0.2028*(($D$128-16.8)/14.4))+(0.286*LOG($AF$10))+(0.153*LOG($AF$11)))</f>
        <v>6.301098274729414</v>
      </c>
      <c r="CM79" s="52" t="s">
        <v>74</v>
      </c>
      <c r="CN79" s="52" t="s">
        <v>74</v>
      </c>
      <c r="CO79" s="52" t="s">
        <v>74</v>
      </c>
      <c r="CP79" s="52" t="s">
        <v>74</v>
      </c>
    </row>
    <row r="80" spans="1:94" x14ac:dyDescent="0.15">
      <c r="T80" s="53" t="str">
        <f>$T$13</f>
        <v xml:space="preserve">    ‡  Industrial/Mining</v>
      </c>
      <c r="U80" s="52" t="s">
        <v>139</v>
      </c>
      <c r="V80" s="53">
        <v>0</v>
      </c>
      <c r="W80" s="52" t="s">
        <v>139</v>
      </c>
      <c r="X80" s="53">
        <v>0</v>
      </c>
      <c r="Y80" s="52" t="s">
        <v>139</v>
      </c>
      <c r="Z80" s="53">
        <v>0</v>
      </c>
      <c r="AA80" s="52" t="s">
        <v>139</v>
      </c>
      <c r="AC80" s="53">
        <v>1.3</v>
      </c>
      <c r="AD80" s="53">
        <f>(AL29/AJ56)*(EXP((-AL30)*(LN(AJ56/O89))^2))</f>
        <v>2.0649747274437136E-41</v>
      </c>
      <c r="CH80" s="53">
        <f>1000*CH79*$AF$15</f>
        <v>28911.519956692588</v>
      </c>
      <c r="CL80" s="53">
        <f>1000*CL79*$AF$15</f>
        <v>28911.519956692588</v>
      </c>
      <c r="CM80" s="52" t="s">
        <v>74</v>
      </c>
      <c r="CN80" s="52" t="s">
        <v>74</v>
      </c>
      <c r="CO80" s="52" t="s">
        <v>74</v>
      </c>
      <c r="CP80" s="52" t="s">
        <v>74</v>
      </c>
    </row>
    <row r="81" spans="1:94" x14ac:dyDescent="0.15">
      <c r="T81" s="53" t="str">
        <f>$T$14</f>
        <v xml:space="preserve">    ‡  Recreation/Open</v>
      </c>
      <c r="U81" s="52" t="s">
        <v>139</v>
      </c>
      <c r="V81" s="53">
        <v>0</v>
      </c>
      <c r="W81" s="52" t="s">
        <v>139</v>
      </c>
      <c r="X81" s="53">
        <v>0</v>
      </c>
      <c r="Y81" s="52" t="s">
        <v>139</v>
      </c>
      <c r="Z81" s="53">
        <v>0</v>
      </c>
      <c r="AA81" s="52" t="s">
        <v>139</v>
      </c>
      <c r="AC81" s="53">
        <v>1.4</v>
      </c>
      <c r="AD81" s="53">
        <f>(AL29/AJ57)*(EXP((-AL30)*(LN(AJ57/O89))^2))</f>
        <v>4.7112906834611074E-44</v>
      </c>
    </row>
    <row r="82" spans="1:94" x14ac:dyDescent="0.15">
      <c r="T82" s="53" t="str">
        <f>$T$15</f>
        <v xml:space="preserve">    ‡  Forest/Rangeland</v>
      </c>
      <c r="U82" s="52" t="s">
        <v>139</v>
      </c>
      <c r="V82" s="53">
        <v>0</v>
      </c>
      <c r="W82" s="52" t="s">
        <v>139</v>
      </c>
      <c r="X82" s="53">
        <v>0</v>
      </c>
      <c r="Y82" s="52" t="s">
        <v>139</v>
      </c>
      <c r="Z82" s="53">
        <v>0</v>
      </c>
      <c r="AA82" s="52" t="s">
        <v>139</v>
      </c>
      <c r="AC82" s="53">
        <v>1.5</v>
      </c>
      <c r="AD82" s="53">
        <f>(AL29/AJ58)*(EXP((-AL30)*(LN(AJ58/O89))^2))</f>
        <v>1.3896170004777866E-46</v>
      </c>
      <c r="CH82" s="53">
        <f>10^(-1.712+(0.356*(($D$128-16.8)/14.4))+(0.139*(1/ABS($AF$10-2.25)))+(0.505*LOG(ABS(LOG($AF$11+0.5)))))</f>
        <v>0.30012378126295108</v>
      </c>
      <c r="CI82" s="52" t="s">
        <v>421</v>
      </c>
      <c r="CL82" s="53">
        <f>10^(-1.712+(0.356*(($D$128-16.8)/14.4))+(0.139*(1/ABS($AF$10-2.25)))+(0.505*LOG(ABS(LOG($AF$11+0.5)))))</f>
        <v>0.30012378126295108</v>
      </c>
      <c r="CM82" s="52" t="s">
        <v>74</v>
      </c>
      <c r="CN82" s="52" t="s">
        <v>74</v>
      </c>
      <c r="CO82" s="52" t="s">
        <v>74</v>
      </c>
      <c r="CP82" s="52" t="s">
        <v>74</v>
      </c>
    </row>
    <row r="83" spans="1:94" x14ac:dyDescent="0.15">
      <c r="A83" s="52" t="s">
        <v>422</v>
      </c>
      <c r="J83" s="52" t="s">
        <v>423</v>
      </c>
      <c r="T83" s="53" t="str">
        <f>$T$16</f>
        <v xml:space="preserve">    ‡  Water/wetlands</v>
      </c>
      <c r="U83" s="52" t="s">
        <v>139</v>
      </c>
      <c r="V83" s="53">
        <v>0</v>
      </c>
      <c r="W83" s="52" t="s">
        <v>139</v>
      </c>
      <c r="X83" s="53">
        <v>0</v>
      </c>
      <c r="Y83" s="52" t="s">
        <v>139</v>
      </c>
      <c r="Z83" s="53">
        <v>0</v>
      </c>
      <c r="AA83" s="52" t="s">
        <v>139</v>
      </c>
      <c r="AC83" s="53">
        <v>1.6</v>
      </c>
      <c r="AD83" s="53">
        <f>(AL29/AJ59)*(EXP((-AL30)*(LN(AJ59/O89))^2))</f>
        <v>5.1784438471740024E-49</v>
      </c>
      <c r="CH83" s="53">
        <f>1000*CH82*$AF$15</f>
        <v>1377.0670307208416</v>
      </c>
      <c r="CL83" s="53">
        <f>1000*CL82*$AF$15</f>
        <v>1377.0670307208416</v>
      </c>
      <c r="CM83" s="52" t="s">
        <v>74</v>
      </c>
      <c r="CN83" s="52" t="s">
        <v>74</v>
      </c>
      <c r="CO83" s="52" t="s">
        <v>74</v>
      </c>
      <c r="CP83" s="52" t="s">
        <v>74</v>
      </c>
    </row>
    <row r="84" spans="1:94" x14ac:dyDescent="0.15">
      <c r="A84" s="52" t="s">
        <v>424</v>
      </c>
      <c r="J84" s="52" t="s">
        <v>425</v>
      </c>
      <c r="T84" s="53" t="str">
        <f>$T$17</f>
        <v xml:space="preserve">    ‡  Feedlots</v>
      </c>
      <c r="U84" s="52" t="s">
        <v>139</v>
      </c>
      <c r="V84" s="53">
        <v>0</v>
      </c>
      <c r="W84" s="52" t="s">
        <v>139</v>
      </c>
      <c r="X84" s="53">
        <v>0</v>
      </c>
      <c r="Y84" s="52" t="s">
        <v>139</v>
      </c>
      <c r="Z84" s="53">
        <v>0</v>
      </c>
      <c r="AA84" s="52" t="s">
        <v>139</v>
      </c>
      <c r="AC84" s="53">
        <v>1.7</v>
      </c>
      <c r="AD84" s="53">
        <f>(AL29/AJ60)*(EXP((-AL30)*(LN(AJ60/O89))^2))</f>
        <v>2.3898318781060569E-51</v>
      </c>
    </row>
    <row r="85" spans="1:94" x14ac:dyDescent="0.15">
      <c r="B85" s="52" t="s">
        <v>426</v>
      </c>
      <c r="D85" s="52" t="s">
        <v>427</v>
      </c>
      <c r="F85" s="52" t="s">
        <v>375</v>
      </c>
      <c r="G85" s="52" t="s">
        <v>101</v>
      </c>
      <c r="H85" s="52" t="s">
        <v>428</v>
      </c>
      <c r="K85" s="52" t="s">
        <v>426</v>
      </c>
      <c r="M85" s="52" t="s">
        <v>429</v>
      </c>
      <c r="O85" s="52" t="s">
        <v>430</v>
      </c>
      <c r="P85" s="52" t="s">
        <v>101</v>
      </c>
      <c r="Q85" s="52" t="s">
        <v>431</v>
      </c>
      <c r="T85" s="53" t="str">
        <f>$T$18</f>
        <v xml:space="preserve">    ‡  Pasture</v>
      </c>
      <c r="U85" s="52" t="s">
        <v>139</v>
      </c>
      <c r="V85" s="53">
        <v>0</v>
      </c>
      <c r="W85" s="52" t="s">
        <v>139</v>
      </c>
      <c r="X85" s="53">
        <v>0</v>
      </c>
      <c r="Y85" s="52" t="s">
        <v>139</v>
      </c>
      <c r="Z85" s="53">
        <v>0</v>
      </c>
      <c r="AA85" s="52" t="s">
        <v>139</v>
      </c>
      <c r="AC85" s="53">
        <v>1.8</v>
      </c>
      <c r="AD85" s="53">
        <f>(AL29/AJ61)*(EXP((-AL30)*(LN(AJ61/O89))^2))</f>
        <v>1.3421489392117354E-53</v>
      </c>
    </row>
    <row r="86" spans="1:94" x14ac:dyDescent="0.15">
      <c r="A86" s="52" t="s">
        <v>120</v>
      </c>
      <c r="B86" s="52" t="s">
        <v>411</v>
      </c>
      <c r="C86" s="52" t="s">
        <v>122</v>
      </c>
      <c r="D86" s="52" t="s">
        <v>432</v>
      </c>
      <c r="E86" s="52" t="s">
        <v>122</v>
      </c>
      <c r="F86" s="52" t="s">
        <v>243</v>
      </c>
      <c r="G86" s="52" t="s">
        <v>379</v>
      </c>
      <c r="H86" s="52" t="s">
        <v>352</v>
      </c>
      <c r="I86" s="52" t="s">
        <v>380</v>
      </c>
      <c r="J86" s="52" t="s">
        <v>120</v>
      </c>
      <c r="K86" s="52" t="s">
        <v>411</v>
      </c>
      <c r="L86" s="52" t="s">
        <v>122</v>
      </c>
      <c r="M86" s="52" t="s">
        <v>432</v>
      </c>
      <c r="N86" s="52" t="s">
        <v>122</v>
      </c>
      <c r="O86" s="52" t="s">
        <v>243</v>
      </c>
      <c r="P86" s="52" t="s">
        <v>379</v>
      </c>
      <c r="Q86" s="52" t="s">
        <v>352</v>
      </c>
      <c r="R86" s="52" t="s">
        <v>380</v>
      </c>
      <c r="T86" s="53" t="str">
        <f>$T$19</f>
        <v xml:space="preserve">    ‡  Citrus groves</v>
      </c>
      <c r="U86" s="52" t="s">
        <v>139</v>
      </c>
      <c r="V86" s="53">
        <v>0</v>
      </c>
      <c r="W86" s="52" t="s">
        <v>139</v>
      </c>
      <c r="X86" s="53">
        <v>0</v>
      </c>
      <c r="Y86" s="52" t="s">
        <v>139</v>
      </c>
      <c r="Z86" s="53">
        <v>0</v>
      </c>
      <c r="AA86" s="52" t="s">
        <v>139</v>
      </c>
      <c r="AC86" s="53">
        <v>1.9</v>
      </c>
      <c r="AD86" s="53">
        <f>(AL29/AJ62)*(EXP((-AL30)*(LN(AJ62/O89))^2))</f>
        <v>9.0326624240834103E-56</v>
      </c>
    </row>
    <row r="87" spans="1:94" x14ac:dyDescent="0.15">
      <c r="A87" s="52" t="s">
        <v>138</v>
      </c>
      <c r="B87" s="52" t="s">
        <v>433</v>
      </c>
      <c r="C87" s="52" t="s">
        <v>139</v>
      </c>
      <c r="D87" s="56" t="s">
        <v>74</v>
      </c>
      <c r="E87" s="52" t="s">
        <v>139</v>
      </c>
      <c r="F87" s="55">
        <f>0.001*(F78)/AF15</f>
        <v>0.38934743455259369</v>
      </c>
      <c r="G87" s="56" t="s">
        <v>141</v>
      </c>
      <c r="H87" s="56" t="s">
        <v>74</v>
      </c>
      <c r="I87" s="52" t="s">
        <v>141</v>
      </c>
      <c r="J87" s="52" t="s">
        <v>138</v>
      </c>
      <c r="K87" s="52" t="s">
        <v>433</v>
      </c>
      <c r="L87" s="52" t="s">
        <v>139</v>
      </c>
      <c r="M87" s="56" t="s">
        <v>74</v>
      </c>
      <c r="N87" s="52" t="s">
        <v>139</v>
      </c>
      <c r="O87" s="55">
        <f>F87</f>
        <v>0.38934743455259369</v>
      </c>
      <c r="P87" s="56" t="s">
        <v>141</v>
      </c>
      <c r="Q87" s="56" t="s">
        <v>74</v>
      </c>
      <c r="R87" s="52" t="s">
        <v>141</v>
      </c>
      <c r="T87" s="53" t="str">
        <f>$T$20</f>
        <v xml:space="preserve">    ‡  Other Agric</v>
      </c>
      <c r="U87" s="52" t="s">
        <v>139</v>
      </c>
      <c r="V87" s="53">
        <v>0</v>
      </c>
      <c r="W87" s="52" t="s">
        <v>139</v>
      </c>
      <c r="X87" s="53">
        <v>0</v>
      </c>
      <c r="Y87" s="52" t="s">
        <v>139</v>
      </c>
      <c r="Z87" s="53">
        <v>0</v>
      </c>
      <c r="AA87" s="52" t="s">
        <v>139</v>
      </c>
      <c r="AC87" s="53">
        <v>2</v>
      </c>
      <c r="AD87" s="53">
        <f>(AL29/AJ63)*(EXP((-AL30)*(LN(AJ63/O89))^2))</f>
        <v>7.186276435627467E-58</v>
      </c>
    </row>
    <row r="88" spans="1:94" x14ac:dyDescent="0.15">
      <c r="A88" s="52" t="s">
        <v>138</v>
      </c>
      <c r="B88" s="52" t="s">
        <v>434</v>
      </c>
      <c r="C88" s="52" t="s">
        <v>139</v>
      </c>
      <c r="D88" s="56" t="s">
        <v>74</v>
      </c>
      <c r="E88" s="52" t="s">
        <v>139</v>
      </c>
      <c r="F88" s="55">
        <f>0.001*(O78)/AF15</f>
        <v>8.6308748507866113</v>
      </c>
      <c r="G88" s="56" t="s">
        <v>141</v>
      </c>
      <c r="H88" s="56" t="s">
        <v>74</v>
      </c>
      <c r="I88" s="52" t="s">
        <v>141</v>
      </c>
      <c r="J88" s="52" t="s">
        <v>138</v>
      </c>
      <c r="K88" s="52" t="s">
        <v>434</v>
      </c>
      <c r="L88" s="52" t="s">
        <v>139</v>
      </c>
      <c r="M88" s="56" t="s">
        <v>74</v>
      </c>
      <c r="N88" s="52" t="s">
        <v>139</v>
      </c>
      <c r="O88" s="55">
        <f>F88</f>
        <v>8.6308748507866113</v>
      </c>
      <c r="P88" s="56" t="s">
        <v>141</v>
      </c>
      <c r="Q88" s="56" t="s">
        <v>74</v>
      </c>
      <c r="R88" s="52" t="s">
        <v>141</v>
      </c>
      <c r="T88" s="52" t="s">
        <v>240</v>
      </c>
      <c r="U88" s="52" t="s">
        <v>237</v>
      </c>
      <c r="V88" s="52" t="s">
        <v>123</v>
      </c>
      <c r="W88" s="52" t="s">
        <v>237</v>
      </c>
      <c r="X88" s="52" t="s">
        <v>243</v>
      </c>
      <c r="Y88" s="52" t="s">
        <v>237</v>
      </c>
      <c r="Z88" s="52" t="s">
        <v>243</v>
      </c>
      <c r="AA88" s="52" t="s">
        <v>241</v>
      </c>
      <c r="AD88" s="52" t="s">
        <v>240</v>
      </c>
      <c r="AE88" s="52" t="s">
        <v>244</v>
      </c>
      <c r="AF88" s="52" t="s">
        <v>239</v>
      </c>
    </row>
    <row r="89" spans="1:94" x14ac:dyDescent="0.15">
      <c r="A89" s="52" t="s">
        <v>138</v>
      </c>
      <c r="B89" s="52" t="s">
        <v>435</v>
      </c>
      <c r="C89" s="52" t="s">
        <v>139</v>
      </c>
      <c r="D89" s="55">
        <f t="shared" ref="D89:D96" si="4">CH15</f>
        <v>5.5277106480953898E-3</v>
      </c>
      <c r="E89" s="52" t="s">
        <v>139</v>
      </c>
      <c r="F89" s="55">
        <f t="shared" ref="F89:F96" si="5">CH6</f>
        <v>5.5277106480953898E-3</v>
      </c>
      <c r="G89" s="56" t="s">
        <v>141</v>
      </c>
      <c r="H89" s="55">
        <f t="shared" ref="H89:H96" si="6">CH24</f>
        <v>5.5277106480953898E-3</v>
      </c>
      <c r="I89" s="52" t="s">
        <v>141</v>
      </c>
      <c r="J89" s="52" t="s">
        <v>138</v>
      </c>
      <c r="K89" s="52" t="s">
        <v>435</v>
      </c>
      <c r="L89" s="52" t="s">
        <v>139</v>
      </c>
      <c r="M89" s="55">
        <f t="shared" ref="M89:M96" si="7">CH42</f>
        <v>3.2941646430799478E-3</v>
      </c>
      <c r="N89" s="52" t="s">
        <v>139</v>
      </c>
      <c r="O89" s="55">
        <f t="shared" ref="O89:O96" si="8">CH33</f>
        <v>5.0903225392897643E-3</v>
      </c>
      <c r="P89" s="56" t="s">
        <v>141</v>
      </c>
      <c r="Q89" s="55">
        <f t="shared" ref="Q89:Q96" si="9">CH51</f>
        <v>7.8658435025199605E-3</v>
      </c>
      <c r="R89" s="52" t="s">
        <v>141</v>
      </c>
      <c r="T89" s="52" t="s">
        <v>436</v>
      </c>
    </row>
    <row r="90" spans="1:94" x14ac:dyDescent="0.15">
      <c r="A90" s="52" t="s">
        <v>138</v>
      </c>
      <c r="B90" s="52" t="s">
        <v>437</v>
      </c>
      <c r="C90" s="52" t="s">
        <v>139</v>
      </c>
      <c r="D90" s="55">
        <f t="shared" si="4"/>
        <v>1.0959952968327216</v>
      </c>
      <c r="E90" s="52" t="s">
        <v>139</v>
      </c>
      <c r="F90" s="55">
        <f t="shared" si="5"/>
        <v>1.0959952968327216</v>
      </c>
      <c r="G90" s="56" t="s">
        <v>141</v>
      </c>
      <c r="H90" s="55">
        <f t="shared" si="6"/>
        <v>1.0959952968327216</v>
      </c>
      <c r="I90" s="52" t="s">
        <v>141</v>
      </c>
      <c r="J90" s="52" t="s">
        <v>138</v>
      </c>
      <c r="K90" s="52" t="s">
        <v>437</v>
      </c>
      <c r="L90" s="52" t="s">
        <v>139</v>
      </c>
      <c r="M90" s="55">
        <f t="shared" si="7"/>
        <v>0.76592963421234339</v>
      </c>
      <c r="N90" s="52" t="s">
        <v>139</v>
      </c>
      <c r="O90" s="55">
        <f t="shared" si="8"/>
        <v>1.0480665804694511</v>
      </c>
      <c r="P90" s="56" t="s">
        <v>141</v>
      </c>
      <c r="Q90" s="55">
        <f t="shared" si="9"/>
        <v>1.4341311630102043</v>
      </c>
      <c r="R90" s="52" t="s">
        <v>141</v>
      </c>
    </row>
    <row r="91" spans="1:94" x14ac:dyDescent="0.15">
      <c r="A91" s="52" t="s">
        <v>138</v>
      </c>
      <c r="B91" s="52" t="s">
        <v>438</v>
      </c>
      <c r="C91" s="52" t="s">
        <v>139</v>
      </c>
      <c r="D91" s="55">
        <f t="shared" si="4"/>
        <v>6.8390577445139753</v>
      </c>
      <c r="E91" s="52" t="s">
        <v>139</v>
      </c>
      <c r="F91" s="55">
        <f t="shared" si="5"/>
        <v>6.8390577445139753</v>
      </c>
      <c r="G91" s="56" t="s">
        <v>141</v>
      </c>
      <c r="H91" s="55">
        <f t="shared" si="6"/>
        <v>6.8390577445139753</v>
      </c>
      <c r="I91" s="52" t="s">
        <v>141</v>
      </c>
      <c r="J91" s="52" t="s">
        <v>138</v>
      </c>
      <c r="K91" s="52" t="s">
        <v>438</v>
      </c>
      <c r="L91" s="52" t="s">
        <v>139</v>
      </c>
      <c r="M91" s="55">
        <f t="shared" si="7"/>
        <v>3.6856227960085985</v>
      </c>
      <c r="N91" s="52" t="s">
        <v>139</v>
      </c>
      <c r="O91" s="55">
        <f t="shared" si="8"/>
        <v>6.1095733811170589</v>
      </c>
      <c r="P91" s="56" t="s">
        <v>141</v>
      </c>
      <c r="Q91" s="55">
        <f t="shared" si="9"/>
        <v>10.127701331692938</v>
      </c>
      <c r="R91" s="52" t="s">
        <v>141</v>
      </c>
      <c r="T91" s="52" t="s">
        <v>439</v>
      </c>
      <c r="V91" s="52" t="s">
        <v>440</v>
      </c>
      <c r="X91" s="52" t="s">
        <v>441</v>
      </c>
      <c r="Z91" s="52" t="s">
        <v>74</v>
      </c>
    </row>
    <row r="92" spans="1:94" x14ac:dyDescent="0.15">
      <c r="A92" s="52" t="s">
        <v>138</v>
      </c>
      <c r="B92" s="52" t="s">
        <v>442</v>
      </c>
      <c r="C92" s="52" t="s">
        <v>139</v>
      </c>
      <c r="D92" s="55">
        <f t="shared" si="4"/>
        <v>1.4696205332097467</v>
      </c>
      <c r="E92" s="52" t="s">
        <v>139</v>
      </c>
      <c r="F92" s="55">
        <f t="shared" si="5"/>
        <v>1.4696205332097467</v>
      </c>
      <c r="G92" s="56" t="s">
        <v>141</v>
      </c>
      <c r="H92" s="55">
        <f t="shared" si="6"/>
        <v>1.4696205332097467</v>
      </c>
      <c r="I92" s="52" t="s">
        <v>141</v>
      </c>
      <c r="J92" s="52" t="s">
        <v>138</v>
      </c>
      <c r="K92" s="52" t="s">
        <v>442</v>
      </c>
      <c r="L92" s="52" t="s">
        <v>139</v>
      </c>
      <c r="M92" s="55">
        <f t="shared" si="7"/>
        <v>2.1323624676538957</v>
      </c>
      <c r="N92" s="52" t="s">
        <v>139</v>
      </c>
      <c r="O92" s="55">
        <f t="shared" si="8"/>
        <v>1.3691815231238607</v>
      </c>
      <c r="P92" s="56" t="s">
        <v>141</v>
      </c>
      <c r="Q92" s="55">
        <f t="shared" si="9"/>
        <v>0.94462846827494784</v>
      </c>
      <c r="R92" s="52" t="s">
        <v>141</v>
      </c>
      <c r="T92" s="52" t="s">
        <v>128</v>
      </c>
      <c r="U92" s="52" t="s">
        <v>122</v>
      </c>
      <c r="V92" s="52" t="s">
        <v>123</v>
      </c>
      <c r="W92" s="52" t="s">
        <v>122</v>
      </c>
      <c r="X92" s="52" t="s">
        <v>126</v>
      </c>
      <c r="Y92" s="52" t="s">
        <v>122</v>
      </c>
      <c r="Z92" s="52" t="s">
        <v>126</v>
      </c>
      <c r="AA92" s="52" t="s">
        <v>129</v>
      </c>
    </row>
    <row r="93" spans="1:94" x14ac:dyDescent="0.15">
      <c r="A93" s="52" t="s">
        <v>138</v>
      </c>
      <c r="B93" s="52" t="s">
        <v>443</v>
      </c>
      <c r="C93" s="52" t="s">
        <v>139</v>
      </c>
      <c r="D93" s="55">
        <f t="shared" si="4"/>
        <v>0</v>
      </c>
      <c r="E93" s="52" t="s">
        <v>139</v>
      </c>
      <c r="F93" s="55" t="str">
        <f t="shared" si="5"/>
        <v/>
      </c>
      <c r="G93" s="56" t="s">
        <v>141</v>
      </c>
      <c r="H93" s="55">
        <f t="shared" si="6"/>
        <v>0</v>
      </c>
      <c r="I93" s="52" t="s">
        <v>141</v>
      </c>
      <c r="J93" s="52" t="s">
        <v>138</v>
      </c>
      <c r="K93" s="52" t="s">
        <v>443</v>
      </c>
      <c r="L93" s="52" t="s">
        <v>139</v>
      </c>
      <c r="M93" s="55">
        <f t="shared" si="7"/>
        <v>0</v>
      </c>
      <c r="N93" s="52" t="s">
        <v>139</v>
      </c>
      <c r="O93" s="55" t="str">
        <f t="shared" si="8"/>
        <v/>
      </c>
      <c r="P93" s="56" t="s">
        <v>141</v>
      </c>
      <c r="Q93" s="55">
        <f t="shared" si="9"/>
        <v>0</v>
      </c>
      <c r="R93" s="52" t="s">
        <v>141</v>
      </c>
      <c r="T93" s="53" t="str">
        <f>$T$9</f>
        <v xml:space="preserve">    ‡  Res low-med density</v>
      </c>
      <c r="U93" s="52" t="s">
        <v>139</v>
      </c>
      <c r="V93" s="53">
        <f>0.1*V9*D29*D9*D22</f>
        <v>0</v>
      </c>
      <c r="W93" s="52" t="s">
        <v>139</v>
      </c>
      <c r="X93" s="53">
        <f>0.1*V9*M29*D9*D22</f>
        <v>0</v>
      </c>
      <c r="Y93" s="52" t="s">
        <v>139</v>
      </c>
      <c r="AA93" s="52" t="s">
        <v>139</v>
      </c>
    </row>
    <row r="94" spans="1:94" x14ac:dyDescent="0.15">
      <c r="A94" s="52" t="s">
        <v>138</v>
      </c>
      <c r="B94" s="52" t="s">
        <v>444</v>
      </c>
      <c r="C94" s="52" t="s">
        <v>139</v>
      </c>
      <c r="D94" s="55">
        <f t="shared" si="4"/>
        <v>0</v>
      </c>
      <c r="E94" s="52" t="s">
        <v>139</v>
      </c>
      <c r="F94" s="55" t="str">
        <f t="shared" si="5"/>
        <v/>
      </c>
      <c r="G94" s="56" t="s">
        <v>141</v>
      </c>
      <c r="H94" s="55">
        <f t="shared" si="6"/>
        <v>0</v>
      </c>
      <c r="I94" s="52" t="s">
        <v>141</v>
      </c>
      <c r="J94" s="52" t="s">
        <v>138</v>
      </c>
      <c r="K94" s="52" t="s">
        <v>444</v>
      </c>
      <c r="L94" s="52" t="s">
        <v>139</v>
      </c>
      <c r="M94" s="55">
        <f t="shared" si="7"/>
        <v>0</v>
      </c>
      <c r="N94" s="52" t="s">
        <v>139</v>
      </c>
      <c r="O94" s="55" t="str">
        <f t="shared" si="8"/>
        <v/>
      </c>
      <c r="P94" s="56" t="s">
        <v>141</v>
      </c>
      <c r="Q94" s="55">
        <f t="shared" si="9"/>
        <v>0</v>
      </c>
      <c r="R94" s="52" t="s">
        <v>141</v>
      </c>
      <c r="T94" s="53" t="str">
        <f>$T$10</f>
        <v xml:space="preserve">    ‡  Res High density</v>
      </c>
      <c r="U94" s="52" t="s">
        <v>139</v>
      </c>
      <c r="V94" s="53">
        <f>0.1*V10*D30*D10*D22</f>
        <v>0</v>
      </c>
      <c r="W94" s="52" t="s">
        <v>139</v>
      </c>
      <c r="X94" s="53">
        <f>0.1*V10*M30*D10*D22</f>
        <v>0</v>
      </c>
      <c r="Y94" s="52" t="s">
        <v>139</v>
      </c>
      <c r="AA94" s="52" t="s">
        <v>139</v>
      </c>
    </row>
    <row r="95" spans="1:94" x14ac:dyDescent="0.15">
      <c r="A95" s="52" t="s">
        <v>138</v>
      </c>
      <c r="B95" s="52" t="s">
        <v>445</v>
      </c>
      <c r="C95" s="52" t="s">
        <v>139</v>
      </c>
      <c r="D95" s="55">
        <f t="shared" si="4"/>
        <v>0</v>
      </c>
      <c r="E95" s="52" t="s">
        <v>139</v>
      </c>
      <c r="F95" s="55">
        <f t="shared" si="5"/>
        <v>0</v>
      </c>
      <c r="G95" s="56" t="s">
        <v>141</v>
      </c>
      <c r="H95" s="55">
        <f t="shared" si="6"/>
        <v>0</v>
      </c>
      <c r="I95" s="52" t="s">
        <v>141</v>
      </c>
      <c r="J95" s="52" t="s">
        <v>138</v>
      </c>
      <c r="K95" s="52" t="s">
        <v>445</v>
      </c>
      <c r="L95" s="52" t="s">
        <v>139</v>
      </c>
      <c r="M95" s="55">
        <f t="shared" si="7"/>
        <v>0</v>
      </c>
      <c r="N95" s="52" t="s">
        <v>139</v>
      </c>
      <c r="O95" s="55">
        <f t="shared" si="8"/>
        <v>0</v>
      </c>
      <c r="P95" s="56" t="s">
        <v>141</v>
      </c>
      <c r="Q95" s="55">
        <f t="shared" si="9"/>
        <v>0</v>
      </c>
      <c r="R95" s="52" t="s">
        <v>141</v>
      </c>
      <c r="T95" s="53" t="str">
        <f>$T$11</f>
        <v xml:space="preserve">    ‡  Commercial</v>
      </c>
      <c r="U95" s="52" t="s">
        <v>139</v>
      </c>
      <c r="V95" s="53">
        <f>0.1*V11*D31*D11*D22</f>
        <v>0</v>
      </c>
      <c r="W95" s="52" t="s">
        <v>139</v>
      </c>
      <c r="X95" s="53">
        <f>0.1*V11*M31*D11*D22</f>
        <v>0</v>
      </c>
      <c r="Y95" s="52" t="s">
        <v>139</v>
      </c>
      <c r="AA95" s="52" t="s">
        <v>139</v>
      </c>
    </row>
    <row r="96" spans="1:94" x14ac:dyDescent="0.15">
      <c r="A96" s="52" t="s">
        <v>138</v>
      </c>
      <c r="B96" s="52" t="s">
        <v>446</v>
      </c>
      <c r="C96" s="52" t="s">
        <v>139</v>
      </c>
      <c r="D96" s="55">
        <f t="shared" si="4"/>
        <v>35.608358485148329</v>
      </c>
      <c r="E96" s="52" t="s">
        <v>139</v>
      </c>
      <c r="F96" s="55">
        <f t="shared" si="5"/>
        <v>35.608358485148329</v>
      </c>
      <c r="G96" s="56" t="s">
        <v>141</v>
      </c>
      <c r="H96" s="55">
        <f t="shared" si="6"/>
        <v>35.608358485148329</v>
      </c>
      <c r="I96" s="52" t="s">
        <v>141</v>
      </c>
      <c r="J96" s="52" t="s">
        <v>138</v>
      </c>
      <c r="K96" s="52" t="s">
        <v>446</v>
      </c>
      <c r="L96" s="52" t="s">
        <v>139</v>
      </c>
      <c r="M96" s="55">
        <f t="shared" si="7"/>
        <v>27.247036052459663</v>
      </c>
      <c r="N96" s="52" t="s">
        <v>139</v>
      </c>
      <c r="O96" s="55">
        <f t="shared" si="8"/>
        <v>34.399049558106604</v>
      </c>
      <c r="P96" s="56" t="s">
        <v>141</v>
      </c>
      <c r="Q96" s="55">
        <f t="shared" si="9"/>
        <v>41.551063063753553</v>
      </c>
      <c r="R96" s="52" t="s">
        <v>141</v>
      </c>
      <c r="T96" s="53" t="str">
        <f>$T$12</f>
        <v xml:space="preserve">    ‡  Institutional</v>
      </c>
      <c r="U96" s="52" t="s">
        <v>139</v>
      </c>
      <c r="V96" s="53">
        <f>0.1*V12*D32*D12*D22</f>
        <v>0</v>
      </c>
      <c r="W96" s="52" t="s">
        <v>139</v>
      </c>
      <c r="X96" s="53">
        <f>0.1*V12*M32*D12*D22</f>
        <v>0</v>
      </c>
      <c r="Y96" s="52" t="s">
        <v>139</v>
      </c>
      <c r="AA96" s="52" t="s">
        <v>139</v>
      </c>
    </row>
    <row r="97" spans="1:27" x14ac:dyDescent="0.15">
      <c r="A97" s="52" t="s">
        <v>251</v>
      </c>
      <c r="B97" s="52" t="s">
        <v>411</v>
      </c>
      <c r="C97" s="52" t="s">
        <v>237</v>
      </c>
      <c r="D97" s="56" t="s">
        <v>432</v>
      </c>
      <c r="E97" s="52" t="s">
        <v>237</v>
      </c>
      <c r="F97" s="56" t="s">
        <v>352</v>
      </c>
      <c r="G97" s="56" t="s">
        <v>353</v>
      </c>
      <c r="H97" s="56" t="s">
        <v>352</v>
      </c>
      <c r="I97" s="52" t="s">
        <v>271</v>
      </c>
      <c r="J97" s="52" t="s">
        <v>251</v>
      </c>
      <c r="K97" s="52" t="s">
        <v>411</v>
      </c>
      <c r="L97" s="52" t="s">
        <v>237</v>
      </c>
      <c r="M97" s="56" t="s">
        <v>432</v>
      </c>
      <c r="N97" s="52" t="s">
        <v>237</v>
      </c>
      <c r="O97" s="56" t="s">
        <v>352</v>
      </c>
      <c r="P97" s="56" t="s">
        <v>353</v>
      </c>
      <c r="Q97" s="56" t="s">
        <v>352</v>
      </c>
      <c r="R97" s="52" t="s">
        <v>271</v>
      </c>
      <c r="T97" s="53" t="str">
        <f>$T$13</f>
        <v xml:space="preserve">    ‡  Industrial/Mining</v>
      </c>
      <c r="U97" s="52" t="s">
        <v>139</v>
      </c>
      <c r="V97" s="53">
        <f>0.1*V13*D33*D13*D22</f>
        <v>0</v>
      </c>
      <c r="W97" s="52" t="s">
        <v>139</v>
      </c>
      <c r="X97" s="53">
        <f>0.1*V13*M33*D13*D22</f>
        <v>0</v>
      </c>
      <c r="Y97" s="52" t="s">
        <v>139</v>
      </c>
      <c r="AA97" s="52" t="s">
        <v>139</v>
      </c>
    </row>
    <row r="98" spans="1:27" x14ac:dyDescent="0.15">
      <c r="B98" s="52" t="s">
        <v>74</v>
      </c>
      <c r="F98" s="52" t="s">
        <v>447</v>
      </c>
      <c r="H98" s="52" t="s">
        <v>448</v>
      </c>
      <c r="K98" s="52" t="s">
        <v>449</v>
      </c>
      <c r="T98" s="53" t="str">
        <f>$T$14</f>
        <v xml:space="preserve">    ‡  Recreation/Open</v>
      </c>
      <c r="U98" s="52" t="s">
        <v>139</v>
      </c>
      <c r="V98" s="53">
        <f>0.1*V14*D34*D14*D22</f>
        <v>0</v>
      </c>
      <c r="W98" s="52" t="s">
        <v>139</v>
      </c>
      <c r="X98" s="53">
        <f>0.1*V14*M34*D14*D22</f>
        <v>0</v>
      </c>
      <c r="Y98" s="52" t="s">
        <v>139</v>
      </c>
      <c r="AA98" s="52" t="s">
        <v>139</v>
      </c>
    </row>
    <row r="99" spans="1:27" x14ac:dyDescent="0.15">
      <c r="B99" s="52" t="s">
        <v>450</v>
      </c>
      <c r="E99" s="52" t="s">
        <v>451</v>
      </c>
      <c r="F99" s="52" t="s">
        <v>243</v>
      </c>
      <c r="G99" s="52" t="s">
        <v>379</v>
      </c>
      <c r="H99" s="52" t="s">
        <v>352</v>
      </c>
      <c r="I99" s="52" t="s">
        <v>380</v>
      </c>
      <c r="K99" s="52" t="s">
        <v>452</v>
      </c>
      <c r="T99" s="53" t="str">
        <f>$T$15</f>
        <v xml:space="preserve">    ‡  Forest/Rangeland</v>
      </c>
      <c r="U99" s="52" t="s">
        <v>139</v>
      </c>
      <c r="V99" s="52" t="s">
        <v>453</v>
      </c>
      <c r="W99" s="52" t="s">
        <v>139</v>
      </c>
      <c r="X99" s="52" t="s">
        <v>453</v>
      </c>
      <c r="Y99" s="52" t="s">
        <v>139</v>
      </c>
      <c r="AA99" s="52" t="s">
        <v>139</v>
      </c>
    </row>
    <row r="100" spans="1:27" x14ac:dyDescent="0.15">
      <c r="B100" s="52" t="s">
        <v>454</v>
      </c>
      <c r="E100" s="52" t="s">
        <v>139</v>
      </c>
      <c r="F100" s="56" t="s">
        <v>455</v>
      </c>
      <c r="G100" s="56" t="s">
        <v>456</v>
      </c>
      <c r="H100" s="55">
        <f>CH60</f>
        <v>0</v>
      </c>
      <c r="I100" s="52" t="s">
        <v>141</v>
      </c>
      <c r="K100" s="52" t="s">
        <v>74</v>
      </c>
      <c r="T100" s="53" t="str">
        <f>$T$16</f>
        <v xml:space="preserve">    ‡  Water/wetlands</v>
      </c>
      <c r="U100" s="52" t="s">
        <v>139</v>
      </c>
      <c r="V100" s="52" t="s">
        <v>453</v>
      </c>
      <c r="W100" s="52" t="s">
        <v>139</v>
      </c>
      <c r="X100" s="52" t="s">
        <v>453</v>
      </c>
      <c r="Y100" s="52" t="s">
        <v>139</v>
      </c>
      <c r="AA100" s="52" t="s">
        <v>139</v>
      </c>
    </row>
    <row r="101" spans="1:27" x14ac:dyDescent="0.15">
      <c r="B101" s="52" t="s">
        <v>457</v>
      </c>
      <c r="E101" s="52" t="s">
        <v>139</v>
      </c>
      <c r="F101" s="56" t="s">
        <v>458</v>
      </c>
      <c r="G101" s="56" t="s">
        <v>141</v>
      </c>
      <c r="H101" s="55">
        <f>CH61</f>
        <v>0</v>
      </c>
      <c r="I101" s="52" t="s">
        <v>141</v>
      </c>
      <c r="K101" s="52" t="s">
        <v>459</v>
      </c>
      <c r="T101" s="53" t="str">
        <f>$T$17</f>
        <v xml:space="preserve">    ‡  Feedlots</v>
      </c>
      <c r="U101" s="52" t="s">
        <v>139</v>
      </c>
      <c r="V101" s="52" t="s">
        <v>453</v>
      </c>
      <c r="W101" s="52" t="s">
        <v>139</v>
      </c>
      <c r="X101" s="52" t="s">
        <v>453</v>
      </c>
      <c r="Y101" s="52" t="s">
        <v>139</v>
      </c>
      <c r="AA101" s="52" t="s">
        <v>139</v>
      </c>
    </row>
    <row r="102" spans="1:27" x14ac:dyDescent="0.15">
      <c r="E102" s="52" t="s">
        <v>460</v>
      </c>
      <c r="F102" s="56" t="s">
        <v>352</v>
      </c>
      <c r="G102" s="56" t="s">
        <v>353</v>
      </c>
      <c r="H102" s="56" t="s">
        <v>352</v>
      </c>
      <c r="I102" s="52" t="s">
        <v>271</v>
      </c>
      <c r="K102" s="52" t="s">
        <v>461</v>
      </c>
      <c r="T102" s="53" t="str">
        <f>$T$18</f>
        <v xml:space="preserve">    ‡  Pasture</v>
      </c>
      <c r="U102" s="52" t="s">
        <v>139</v>
      </c>
      <c r="V102" s="53">
        <f>0.1*V18*D38*D18*D22</f>
        <v>0</v>
      </c>
      <c r="W102" s="52" t="s">
        <v>139</v>
      </c>
      <c r="X102" s="53">
        <f>0.1*V18*M38*D18*D22</f>
        <v>0</v>
      </c>
      <c r="Y102" s="52" t="s">
        <v>139</v>
      </c>
      <c r="AA102" s="52" t="s">
        <v>139</v>
      </c>
    </row>
    <row r="103" spans="1:27" x14ac:dyDescent="0.15">
      <c r="T103" s="53" t="str">
        <f>$T$19</f>
        <v xml:space="preserve">    ‡  Citrus groves</v>
      </c>
      <c r="U103" s="52" t="s">
        <v>139</v>
      </c>
      <c r="V103" s="53">
        <f>0.1*V19*D39*D19*D22</f>
        <v>0</v>
      </c>
      <c r="W103" s="52" t="s">
        <v>139</v>
      </c>
      <c r="X103" s="53">
        <f>0.1*V19*M39*D19*D22</f>
        <v>0</v>
      </c>
      <c r="Y103" s="52" t="s">
        <v>139</v>
      </c>
      <c r="AA103" s="52" t="s">
        <v>139</v>
      </c>
    </row>
    <row r="104" spans="1:27" x14ac:dyDescent="0.15">
      <c r="A104" s="52" t="s">
        <v>462</v>
      </c>
      <c r="J104" s="52" t="s">
        <v>463</v>
      </c>
      <c r="T104" s="53" t="str">
        <f>$T$20</f>
        <v xml:space="preserve">    ‡  Other Agric</v>
      </c>
      <c r="U104" s="52" t="s">
        <v>139</v>
      </c>
      <c r="V104" s="53">
        <f>0.1*V20*D40*D20*D22</f>
        <v>0</v>
      </c>
      <c r="W104" s="52" t="s">
        <v>139</v>
      </c>
      <c r="X104" s="53">
        <f>0.1*V20*M40*D20*D22</f>
        <v>0</v>
      </c>
      <c r="Y104" s="52" t="s">
        <v>139</v>
      </c>
      <c r="AA104" s="52" t="s">
        <v>139</v>
      </c>
    </row>
    <row r="105" spans="1:27" x14ac:dyDescent="0.15">
      <c r="F105" s="55"/>
      <c r="G105" s="55"/>
      <c r="H105" s="55"/>
      <c r="T105" s="52" t="s">
        <v>240</v>
      </c>
      <c r="U105" s="52" t="s">
        <v>237</v>
      </c>
      <c r="V105" s="52" t="s">
        <v>123</v>
      </c>
      <c r="W105" s="52" t="s">
        <v>237</v>
      </c>
      <c r="X105" s="52" t="s">
        <v>243</v>
      </c>
      <c r="Y105" s="52" t="s">
        <v>237</v>
      </c>
      <c r="Z105" s="52" t="s">
        <v>243</v>
      </c>
      <c r="AA105" s="52" t="s">
        <v>241</v>
      </c>
    </row>
    <row r="106" spans="1:27" x14ac:dyDescent="0.15">
      <c r="B106" s="52" t="s">
        <v>464</v>
      </c>
      <c r="D106" s="52" t="s">
        <v>465</v>
      </c>
      <c r="F106" s="52" t="s">
        <v>466</v>
      </c>
      <c r="G106" s="52" t="s">
        <v>101</v>
      </c>
      <c r="H106" s="52" t="s">
        <v>467</v>
      </c>
      <c r="K106" s="52" t="s">
        <v>464</v>
      </c>
      <c r="M106" s="52" t="s">
        <v>465</v>
      </c>
      <c r="O106" s="52" t="s">
        <v>466</v>
      </c>
      <c r="P106" s="52" t="s">
        <v>101</v>
      </c>
      <c r="Q106" s="52" t="s">
        <v>467</v>
      </c>
    </row>
    <row r="107" spans="1:27" x14ac:dyDescent="0.15">
      <c r="A107" s="52" t="s">
        <v>120</v>
      </c>
      <c r="B107" s="52" t="s">
        <v>411</v>
      </c>
      <c r="C107" s="52" t="s">
        <v>468</v>
      </c>
      <c r="D107" s="52" t="s">
        <v>432</v>
      </c>
      <c r="E107" s="52" t="s">
        <v>272</v>
      </c>
      <c r="F107" s="52" t="s">
        <v>243</v>
      </c>
      <c r="G107" s="52" t="s">
        <v>468</v>
      </c>
      <c r="H107" s="52" t="s">
        <v>352</v>
      </c>
      <c r="I107" s="52" t="s">
        <v>380</v>
      </c>
      <c r="J107" s="52" t="s">
        <v>120</v>
      </c>
      <c r="K107" s="52" t="s">
        <v>411</v>
      </c>
      <c r="L107" s="52" t="s">
        <v>468</v>
      </c>
      <c r="M107" s="52" t="s">
        <v>432</v>
      </c>
      <c r="N107" s="52" t="s">
        <v>272</v>
      </c>
      <c r="O107" s="52" t="s">
        <v>243</v>
      </c>
      <c r="P107" s="52" t="s">
        <v>468</v>
      </c>
      <c r="Q107" s="52" t="s">
        <v>352</v>
      </c>
      <c r="R107" s="52" t="s">
        <v>380</v>
      </c>
    </row>
    <row r="108" spans="1:27" x14ac:dyDescent="0.15">
      <c r="A108" s="52" t="s">
        <v>138</v>
      </c>
      <c r="B108" s="52" t="s">
        <v>469</v>
      </c>
      <c r="C108" s="52" t="s">
        <v>259</v>
      </c>
      <c r="D108" s="55">
        <v>40</v>
      </c>
      <c r="E108" s="52" t="s">
        <v>260</v>
      </c>
      <c r="F108" s="56" t="s">
        <v>470</v>
      </c>
      <c r="G108" s="56" t="s">
        <v>471</v>
      </c>
      <c r="H108" s="56" t="s">
        <v>74</v>
      </c>
      <c r="I108" s="52" t="s">
        <v>141</v>
      </c>
      <c r="J108" s="52" t="s">
        <v>138</v>
      </c>
      <c r="K108" s="52" t="s">
        <v>469</v>
      </c>
      <c r="L108" s="52" t="s">
        <v>259</v>
      </c>
      <c r="M108" s="55">
        <f>D108</f>
        <v>40</v>
      </c>
      <c r="N108" s="52" t="s">
        <v>260</v>
      </c>
      <c r="O108" s="56" t="s">
        <v>470</v>
      </c>
      <c r="P108" s="56" t="s">
        <v>471</v>
      </c>
      <c r="Q108" s="56" t="s">
        <v>74</v>
      </c>
      <c r="R108" s="52" t="s">
        <v>141</v>
      </c>
    </row>
    <row r="109" spans="1:27" x14ac:dyDescent="0.15">
      <c r="A109" s="52" t="s">
        <v>138</v>
      </c>
      <c r="B109" s="52" t="s">
        <v>74</v>
      </c>
      <c r="C109" s="52" t="s">
        <v>260</v>
      </c>
      <c r="D109" s="66" t="s">
        <v>196</v>
      </c>
      <c r="E109" s="52" t="s">
        <v>260</v>
      </c>
      <c r="F109" s="56" t="s">
        <v>74</v>
      </c>
      <c r="G109" s="56" t="s">
        <v>471</v>
      </c>
      <c r="H109" s="56" t="s">
        <v>74</v>
      </c>
      <c r="I109" s="52" t="s">
        <v>141</v>
      </c>
      <c r="J109" s="52" t="s">
        <v>138</v>
      </c>
      <c r="K109" s="52" t="s">
        <v>74</v>
      </c>
      <c r="L109" s="52" t="s">
        <v>260</v>
      </c>
      <c r="M109" s="66" t="s">
        <v>196</v>
      </c>
      <c r="N109" s="52" t="s">
        <v>260</v>
      </c>
      <c r="O109" s="56" t="s">
        <v>74</v>
      </c>
      <c r="P109" s="56" t="s">
        <v>471</v>
      </c>
      <c r="Q109" s="56" t="s">
        <v>74</v>
      </c>
      <c r="R109" s="52" t="s">
        <v>141</v>
      </c>
      <c r="T109" s="52" t="s">
        <v>472</v>
      </c>
    </row>
    <row r="110" spans="1:27" x14ac:dyDescent="0.15">
      <c r="A110" s="52" t="s">
        <v>138</v>
      </c>
      <c r="B110" s="52" t="s">
        <v>473</v>
      </c>
      <c r="C110" s="52" t="s">
        <v>259</v>
      </c>
      <c r="D110" s="55">
        <f>CH63</f>
        <v>0.52843260020818006</v>
      </c>
      <c r="E110" s="52" t="s">
        <v>260</v>
      </c>
      <c r="F110" s="56" t="s">
        <v>474</v>
      </c>
      <c r="G110" s="56" t="s">
        <v>471</v>
      </c>
      <c r="H110" s="56" t="s">
        <v>74</v>
      </c>
      <c r="I110" s="52" t="s">
        <v>141</v>
      </c>
      <c r="J110" s="52" t="s">
        <v>138</v>
      </c>
      <c r="K110" s="52" t="s">
        <v>475</v>
      </c>
      <c r="L110" s="52" t="s">
        <v>259</v>
      </c>
      <c r="M110" s="55">
        <f>CH72</f>
        <v>8.6931719311825031</v>
      </c>
      <c r="N110" s="52" t="s">
        <v>260</v>
      </c>
      <c r="O110" s="56" t="s">
        <v>474</v>
      </c>
      <c r="P110" s="56" t="s">
        <v>471</v>
      </c>
      <c r="Q110" s="56" t="s">
        <v>74</v>
      </c>
      <c r="R110" s="52" t="s">
        <v>141</v>
      </c>
    </row>
    <row r="111" spans="1:27" x14ac:dyDescent="0.15">
      <c r="A111" s="52" t="s">
        <v>138</v>
      </c>
      <c r="B111" s="52" t="s">
        <v>475</v>
      </c>
      <c r="C111" s="52" t="s">
        <v>259</v>
      </c>
      <c r="D111" s="55">
        <f>CH64</f>
        <v>8.6931719311825031</v>
      </c>
      <c r="E111" s="52" t="s">
        <v>260</v>
      </c>
      <c r="F111" s="56" t="s">
        <v>474</v>
      </c>
      <c r="G111" s="56" t="s">
        <v>471</v>
      </c>
      <c r="H111" s="56" t="s">
        <v>74</v>
      </c>
      <c r="I111" s="52" t="s">
        <v>141</v>
      </c>
      <c r="J111" s="52" t="s">
        <v>138</v>
      </c>
      <c r="K111" s="52" t="s">
        <v>476</v>
      </c>
      <c r="L111" s="52" t="s">
        <v>259</v>
      </c>
      <c r="M111" s="55">
        <f>CH73</f>
        <v>39887.143925895318</v>
      </c>
      <c r="N111" s="52" t="s">
        <v>260</v>
      </c>
      <c r="O111" s="56" t="s">
        <v>477</v>
      </c>
      <c r="P111" s="56" t="s">
        <v>471</v>
      </c>
      <c r="Q111" s="56" t="s">
        <v>74</v>
      </c>
      <c r="R111" s="52" t="s">
        <v>141</v>
      </c>
      <c r="T111" s="52" t="s">
        <v>439</v>
      </c>
      <c r="V111" s="52" t="s">
        <v>478</v>
      </c>
      <c r="X111" s="52" t="s">
        <v>479</v>
      </c>
      <c r="Z111" s="52" t="s">
        <v>74</v>
      </c>
    </row>
    <row r="112" spans="1:27" x14ac:dyDescent="0.15">
      <c r="A112" s="52" t="s">
        <v>251</v>
      </c>
      <c r="B112" s="52" t="s">
        <v>411</v>
      </c>
      <c r="C112" s="56" t="s">
        <v>468</v>
      </c>
      <c r="D112" s="56" t="s">
        <v>432</v>
      </c>
      <c r="E112" s="56" t="s">
        <v>468</v>
      </c>
      <c r="F112" s="56" t="s">
        <v>352</v>
      </c>
      <c r="G112" s="56" t="s">
        <v>468</v>
      </c>
      <c r="H112" s="56" t="s">
        <v>352</v>
      </c>
      <c r="I112" s="52" t="s">
        <v>271</v>
      </c>
      <c r="J112" s="52" t="s">
        <v>251</v>
      </c>
      <c r="K112" s="52" t="s">
        <v>411</v>
      </c>
      <c r="L112" s="56" t="s">
        <v>468</v>
      </c>
      <c r="M112" s="56" t="s">
        <v>432</v>
      </c>
      <c r="N112" s="56" t="s">
        <v>468</v>
      </c>
      <c r="O112" s="56" t="s">
        <v>352</v>
      </c>
      <c r="P112" s="56" t="s">
        <v>468</v>
      </c>
      <c r="Q112" s="56" t="s">
        <v>352</v>
      </c>
      <c r="R112" s="52" t="s">
        <v>271</v>
      </c>
      <c r="T112" s="52" t="s">
        <v>128</v>
      </c>
      <c r="U112" s="52" t="s">
        <v>122</v>
      </c>
      <c r="V112" s="52" t="s">
        <v>123</v>
      </c>
      <c r="W112" s="52" t="s">
        <v>122</v>
      </c>
      <c r="X112" s="52" t="s">
        <v>126</v>
      </c>
      <c r="Y112" s="52" t="s">
        <v>122</v>
      </c>
      <c r="Z112" s="52" t="s">
        <v>126</v>
      </c>
      <c r="AA112" s="52" t="s">
        <v>129</v>
      </c>
    </row>
    <row r="113" spans="1:27" x14ac:dyDescent="0.15">
      <c r="D113" s="55"/>
      <c r="F113" s="55"/>
      <c r="G113" s="55"/>
      <c r="H113" s="55"/>
      <c r="M113" s="55"/>
      <c r="O113" s="55"/>
      <c r="P113" s="55"/>
      <c r="Q113" s="55"/>
      <c r="T113" s="53" t="str">
        <f>$T$9</f>
        <v xml:space="preserve">    ‡  Res low-med density</v>
      </c>
      <c r="U113" s="52" t="s">
        <v>139</v>
      </c>
      <c r="W113" s="52" t="s">
        <v>139</v>
      </c>
      <c r="Y113" s="52" t="s">
        <v>139</v>
      </c>
      <c r="AA113" s="52" t="s">
        <v>139</v>
      </c>
    </row>
    <row r="114" spans="1:27" x14ac:dyDescent="0.15">
      <c r="A114" s="52" t="s">
        <v>480</v>
      </c>
      <c r="D114" s="55"/>
      <c r="J114" s="52" t="s">
        <v>481</v>
      </c>
      <c r="M114" s="55"/>
      <c r="O114" s="55"/>
      <c r="P114" s="55"/>
      <c r="Q114" s="55"/>
      <c r="T114" s="53" t="str">
        <f>$T$10</f>
        <v xml:space="preserve">    ‡  Res High density</v>
      </c>
      <c r="U114" s="52" t="s">
        <v>139</v>
      </c>
      <c r="V114" s="53">
        <f>0.001*$H$43*F30*S10*((1-$V$30)*V33+(1-$X$30)*X33+(1-$Z$30)*Z33+(1-$V$50)*V53+(1-$X$50)*X53+(1-$Z$50)*Z53+(1-$V$73)*V77+(1-$X$73)*X77+(1-$Z$73)*Z77)</f>
        <v>0</v>
      </c>
      <c r="W114" s="52" t="s">
        <v>139</v>
      </c>
      <c r="X114" s="53">
        <f>0.001*$Q$43*O30*S10*((1-$V$30)*V33+(1-$X$30)*X33+(1-$Z$30)*Z33+(1-$V$50)*V53+(1-$X$50)*X53+(1-$Z$50)*Z53+(1-$V$73)*V77+(1-$X$73)*X77+(1-$Z$73)*Z77)</f>
        <v>0</v>
      </c>
      <c r="Y114" s="52" t="s">
        <v>139</v>
      </c>
      <c r="AA114" s="52" t="s">
        <v>139</v>
      </c>
    </row>
    <row r="115" spans="1:27" x14ac:dyDescent="0.15">
      <c r="T115" s="53" t="str">
        <f>$T$11</f>
        <v xml:space="preserve">    ‡  Commercial</v>
      </c>
      <c r="U115" s="52" t="s">
        <v>139</v>
      </c>
      <c r="V115" s="53">
        <f>0.001*$H$43*F31*S11*((1-$V$30)*V34+(1-$X$30)*X34+(1-$Z$30)*Z34+(1-$V$50)*V54+(1-$X$50)*X54+(1-$Z$50)*Z54+(1-$V$73)*V78+(1-$X$73)*X78+(1-$Z$73)*Z78)</f>
        <v>0</v>
      </c>
      <c r="W115" s="52" t="s">
        <v>139</v>
      </c>
      <c r="X115" s="53">
        <f>0.001*$Q$43*O31*S11*((1-$V$30)*V34+(1-$X$30)*X34+(1-$Z$30)*Z34+(1-$V$50)*V54+(1-$X$50)*X54+(1-$Z$50)*Z54+(1-$V$73)*V78+(1-$X$73)*X78+(1-$Z$73)*Z78)</f>
        <v>0</v>
      </c>
      <c r="Y115" s="52" t="s">
        <v>139</v>
      </c>
      <c r="AA115" s="52" t="s">
        <v>139</v>
      </c>
    </row>
    <row r="116" spans="1:27" x14ac:dyDescent="0.15">
      <c r="B116" s="52" t="s">
        <v>464</v>
      </c>
      <c r="D116" s="52" t="s">
        <v>465</v>
      </c>
      <c r="F116" s="52" t="s">
        <v>466</v>
      </c>
      <c r="G116" s="52" t="s">
        <v>101</v>
      </c>
      <c r="H116" s="52" t="s">
        <v>467</v>
      </c>
      <c r="K116" s="52" t="s">
        <v>464</v>
      </c>
      <c r="M116" s="52" t="s">
        <v>465</v>
      </c>
      <c r="O116" s="52" t="s">
        <v>466</v>
      </c>
      <c r="P116" s="52" t="s">
        <v>101</v>
      </c>
      <c r="Q116" s="52" t="s">
        <v>467</v>
      </c>
      <c r="T116" s="53" t="str">
        <f>$T$12</f>
        <v xml:space="preserve">    ‡  Institutional</v>
      </c>
      <c r="U116" s="52" t="s">
        <v>139</v>
      </c>
      <c r="V116" s="53">
        <f>0.001*$H$43*F32*S12*((1-$V$30)*V35+(1-$X$30)*X35+(1-$Z$30)*Z35+(1-$V$50)*V55+(1-$X$50)*X55+(1-$Z$50)*Z55+(1-$V$73)*V79+(1-$X$73)*X79+(1-$Z$73)*Z79)</f>
        <v>0</v>
      </c>
      <c r="W116" s="52" t="s">
        <v>139</v>
      </c>
      <c r="X116" s="53">
        <f>0.001*$Q$43*O32*S12*((1-$V$30)*V35+(1-$X$30)*X35+(1-$Z$30)*Z35+(1-$V$50)*V55+(1-$X$50)*X55+(1-$Z$50)*Z55+(1-$V$73)*V79+(1-$X$73)*X79+(1-$Z$73)*Z79)</f>
        <v>0</v>
      </c>
      <c r="Y116" s="52" t="s">
        <v>139</v>
      </c>
      <c r="AA116" s="52" t="s">
        <v>139</v>
      </c>
    </row>
    <row r="117" spans="1:27" x14ac:dyDescent="0.15">
      <c r="A117" s="52" t="s">
        <v>120</v>
      </c>
      <c r="B117" s="52" t="s">
        <v>411</v>
      </c>
      <c r="C117" s="52" t="s">
        <v>468</v>
      </c>
      <c r="D117" s="52" t="s">
        <v>432</v>
      </c>
      <c r="E117" s="52" t="s">
        <v>272</v>
      </c>
      <c r="F117" s="52" t="s">
        <v>243</v>
      </c>
      <c r="G117" s="52" t="s">
        <v>468</v>
      </c>
      <c r="H117" s="52" t="s">
        <v>352</v>
      </c>
      <c r="I117" s="52" t="s">
        <v>380</v>
      </c>
      <c r="J117" s="52" t="s">
        <v>120</v>
      </c>
      <c r="K117" s="52" t="s">
        <v>411</v>
      </c>
      <c r="L117" s="52" t="s">
        <v>468</v>
      </c>
      <c r="M117" s="52" t="s">
        <v>432</v>
      </c>
      <c r="N117" s="52" t="s">
        <v>272</v>
      </c>
      <c r="O117" s="52" t="s">
        <v>243</v>
      </c>
      <c r="P117" s="52" t="s">
        <v>468</v>
      </c>
      <c r="Q117" s="52" t="s">
        <v>352</v>
      </c>
      <c r="R117" s="52" t="s">
        <v>380</v>
      </c>
      <c r="T117" s="53" t="str">
        <f>$T$13</f>
        <v xml:space="preserve">    ‡  Industrial/Mining</v>
      </c>
      <c r="U117" s="52" t="s">
        <v>139</v>
      </c>
      <c r="V117" s="53">
        <f>0.001*$H$43*F33*S13*((1-$V$30)*V36+(1-$X$30)*X36+(1-$Z$30)*Z36+(1-$V$50)*V56+(1-$X$50)*X56+(1-$Z$50)*Z56+(1-$V$73)*V80+(1-$X$73)*X80+(1-$Z$73)*Z80)</f>
        <v>0</v>
      </c>
      <c r="W117" s="52" t="s">
        <v>139</v>
      </c>
      <c r="X117" s="53">
        <f>0.001*$Q$43*O33*S13*((1-$V$30)*V36+(1-$X$30)*X36+(1-$Z$30)*Z36+(1-$V$50)*V56+(1-$X$50)*X56+(1-$Z$50)*Z56+(1-$V$73)*V80+(1-$X$73)*X80+(1-$Z$73)*Z80)</f>
        <v>0</v>
      </c>
      <c r="Y117" s="52" t="s">
        <v>139</v>
      </c>
      <c r="AA117" s="52" t="s">
        <v>139</v>
      </c>
    </row>
    <row r="118" spans="1:27" x14ac:dyDescent="0.15">
      <c r="A118" s="52" t="s">
        <v>138</v>
      </c>
      <c r="B118" s="52" t="s">
        <v>469</v>
      </c>
      <c r="C118" s="52" t="s">
        <v>259</v>
      </c>
      <c r="D118" s="55">
        <f>D108</f>
        <v>40</v>
      </c>
      <c r="E118" s="52" t="s">
        <v>260</v>
      </c>
      <c r="F118" s="56" t="s">
        <v>470</v>
      </c>
      <c r="G118" s="56" t="s">
        <v>471</v>
      </c>
      <c r="H118" s="56" t="s">
        <v>74</v>
      </c>
      <c r="I118" s="52" t="s">
        <v>141</v>
      </c>
      <c r="J118" s="52" t="s">
        <v>138</v>
      </c>
      <c r="K118" s="52" t="s">
        <v>482</v>
      </c>
      <c r="L118" s="52" t="s">
        <v>259</v>
      </c>
      <c r="M118" s="55">
        <v>0.05</v>
      </c>
      <c r="N118" s="52" t="s">
        <v>260</v>
      </c>
      <c r="O118" s="56" t="s">
        <v>474</v>
      </c>
      <c r="P118" s="56" t="s">
        <v>471</v>
      </c>
      <c r="Q118" s="56" t="s">
        <v>74</v>
      </c>
      <c r="R118" s="52" t="s">
        <v>141</v>
      </c>
      <c r="T118" s="53" t="str">
        <f>$T$14</f>
        <v xml:space="preserve">    ‡  Recreation/Open</v>
      </c>
      <c r="U118" s="52" t="s">
        <v>139</v>
      </c>
      <c r="V118" s="53">
        <f>0.001*$H$43*F34*S14*((1-$V$30)*V37+(1-$X$30)*X37+(1-$Z$30)*Z37+(1-$V$50)*V57+(1-$X$50)*X57+(1-$Z$50)*Z57+(1-$V$73)*V81+(1-$X$73)*X81+(1-$Z$73)*Z81)</f>
        <v>0</v>
      </c>
      <c r="W118" s="52" t="s">
        <v>139</v>
      </c>
      <c r="X118" s="53">
        <f>0.001*$Q$43*O34*S14*((1-$V$30)*V37+(1-$X$30)*X37+(1-$Z$30)*Z37+(1-$V$50)*V57+(1-$X$50)*X57+(1-$Z$50)*Z57+(1-$V$73)*V81+(1-$X$73)*X81+(1-$Z$73)*Z81)</f>
        <v>0</v>
      </c>
      <c r="Y118" s="52" t="s">
        <v>139</v>
      </c>
      <c r="AA118" s="52" t="s">
        <v>139</v>
      </c>
    </row>
    <row r="119" spans="1:27" x14ac:dyDescent="0.15">
      <c r="A119" s="52" t="s">
        <v>138</v>
      </c>
      <c r="B119" s="52" t="s">
        <v>74</v>
      </c>
      <c r="C119" s="52" t="s">
        <v>260</v>
      </c>
      <c r="D119" s="66" t="s">
        <v>196</v>
      </c>
      <c r="E119" s="52" t="s">
        <v>260</v>
      </c>
      <c r="F119" s="56" t="s">
        <v>74</v>
      </c>
      <c r="G119" s="56" t="s">
        <v>471</v>
      </c>
      <c r="H119" s="56" t="s">
        <v>74</v>
      </c>
      <c r="I119" s="52" t="s">
        <v>141</v>
      </c>
      <c r="J119" s="52" t="s">
        <v>138</v>
      </c>
      <c r="K119" s="52" t="s">
        <v>74</v>
      </c>
      <c r="L119" s="52" t="s">
        <v>260</v>
      </c>
      <c r="M119" s="66" t="s">
        <v>196</v>
      </c>
      <c r="N119" s="52" t="s">
        <v>260</v>
      </c>
      <c r="O119" s="56" t="s">
        <v>74</v>
      </c>
      <c r="P119" s="56" t="s">
        <v>471</v>
      </c>
      <c r="Q119" s="56" t="s">
        <v>74</v>
      </c>
      <c r="R119" s="52" t="s">
        <v>141</v>
      </c>
      <c r="T119" s="53" t="str">
        <f>$T$15</f>
        <v xml:space="preserve">    ‡  Forest/Rangeland</v>
      </c>
      <c r="U119" s="52" t="s">
        <v>139</v>
      </c>
      <c r="V119" s="52" t="s">
        <v>453</v>
      </c>
      <c r="W119" s="52" t="s">
        <v>139</v>
      </c>
      <c r="X119" s="52" t="s">
        <v>453</v>
      </c>
      <c r="Y119" s="52" t="s">
        <v>139</v>
      </c>
      <c r="AA119" s="52" t="s">
        <v>139</v>
      </c>
    </row>
    <row r="120" spans="1:27" x14ac:dyDescent="0.15">
      <c r="A120" s="52" t="s">
        <v>138</v>
      </c>
      <c r="B120" s="52" t="s">
        <v>473</v>
      </c>
      <c r="C120" s="52" t="s">
        <v>259</v>
      </c>
      <c r="D120" s="55">
        <f>CH66</f>
        <v>0.52843260020818006</v>
      </c>
      <c r="E120" s="52" t="s">
        <v>260</v>
      </c>
      <c r="F120" s="56" t="s">
        <v>474</v>
      </c>
      <c r="G120" s="56" t="s">
        <v>471</v>
      </c>
      <c r="H120" s="56" t="s">
        <v>74</v>
      </c>
      <c r="I120" s="52" t="s">
        <v>141</v>
      </c>
      <c r="J120" s="52" t="s">
        <v>138</v>
      </c>
      <c r="K120" s="52" t="s">
        <v>473</v>
      </c>
      <c r="L120" s="52" t="s">
        <v>259</v>
      </c>
      <c r="M120" s="55">
        <f>CH76</f>
        <v>2.753254816718897</v>
      </c>
      <c r="N120" s="52" t="s">
        <v>260</v>
      </c>
      <c r="O120" s="56" t="s">
        <v>474</v>
      </c>
      <c r="P120" s="56" t="s">
        <v>471</v>
      </c>
      <c r="Q120" s="56" t="s">
        <v>74</v>
      </c>
      <c r="R120" s="52" t="s">
        <v>141</v>
      </c>
      <c r="T120" s="53" t="str">
        <f>$T$16</f>
        <v xml:space="preserve">    ‡  Water/wetlands</v>
      </c>
      <c r="U120" s="52" t="s">
        <v>139</v>
      </c>
      <c r="V120" s="52" t="s">
        <v>453</v>
      </c>
      <c r="W120" s="52" t="s">
        <v>139</v>
      </c>
      <c r="X120" s="52" t="s">
        <v>453</v>
      </c>
      <c r="Y120" s="52" t="s">
        <v>139</v>
      </c>
      <c r="AA120" s="52" t="s">
        <v>139</v>
      </c>
    </row>
    <row r="121" spans="1:27" x14ac:dyDescent="0.15">
      <c r="A121" s="52" t="s">
        <v>138</v>
      </c>
      <c r="B121" s="52" t="s">
        <v>483</v>
      </c>
      <c r="C121" s="52" t="s">
        <v>259</v>
      </c>
      <c r="D121" s="55">
        <f>CH67</f>
        <v>2424.6232959034151</v>
      </c>
      <c r="E121" s="52" t="s">
        <v>260</v>
      </c>
      <c r="F121" s="56" t="s">
        <v>477</v>
      </c>
      <c r="G121" s="56" t="s">
        <v>471</v>
      </c>
      <c r="H121" s="56" t="s">
        <v>74</v>
      </c>
      <c r="I121" s="52" t="s">
        <v>141</v>
      </c>
      <c r="J121" s="52" t="s">
        <v>138</v>
      </c>
      <c r="K121" s="52" t="s">
        <v>483</v>
      </c>
      <c r="L121" s="52" t="s">
        <v>259</v>
      </c>
      <c r="M121" s="55">
        <f>CH77</f>
        <v>12632.842420291669</v>
      </c>
      <c r="N121" s="52" t="s">
        <v>260</v>
      </c>
      <c r="O121" s="56" t="s">
        <v>477</v>
      </c>
      <c r="P121" s="56" t="s">
        <v>471</v>
      </c>
      <c r="Q121" s="56" t="s">
        <v>74</v>
      </c>
      <c r="R121" s="52" t="s">
        <v>141</v>
      </c>
      <c r="T121" s="53" t="str">
        <f>$T$17</f>
        <v xml:space="preserve">    ‡  Feedlots</v>
      </c>
      <c r="U121" s="52" t="s">
        <v>139</v>
      </c>
      <c r="V121" s="52" t="s">
        <v>453</v>
      </c>
      <c r="W121" s="52" t="s">
        <v>139</v>
      </c>
      <c r="X121" s="52" t="s">
        <v>453</v>
      </c>
      <c r="Y121" s="52" t="s">
        <v>139</v>
      </c>
      <c r="AA121" s="52" t="s">
        <v>139</v>
      </c>
    </row>
    <row r="122" spans="1:27" x14ac:dyDescent="0.15">
      <c r="A122" s="52" t="s">
        <v>251</v>
      </c>
      <c r="B122" s="52" t="s">
        <v>411</v>
      </c>
      <c r="C122" s="56" t="s">
        <v>468</v>
      </c>
      <c r="D122" s="56" t="s">
        <v>432</v>
      </c>
      <c r="E122" s="56" t="s">
        <v>468</v>
      </c>
      <c r="F122" s="56" t="s">
        <v>352</v>
      </c>
      <c r="G122" s="56" t="s">
        <v>468</v>
      </c>
      <c r="H122" s="56" t="s">
        <v>352</v>
      </c>
      <c r="I122" s="52" t="s">
        <v>271</v>
      </c>
      <c r="J122" s="52" t="s">
        <v>251</v>
      </c>
      <c r="K122" s="52" t="s">
        <v>411</v>
      </c>
      <c r="L122" s="56" t="s">
        <v>468</v>
      </c>
      <c r="M122" s="56" t="s">
        <v>432</v>
      </c>
      <c r="N122" s="56" t="s">
        <v>468</v>
      </c>
      <c r="O122" s="56" t="s">
        <v>352</v>
      </c>
      <c r="P122" s="56" t="s">
        <v>468</v>
      </c>
      <c r="Q122" s="56" t="s">
        <v>352</v>
      </c>
      <c r="R122" s="52" t="s">
        <v>271</v>
      </c>
      <c r="T122" s="53" t="str">
        <f>$T$18</f>
        <v xml:space="preserve">    ‡  Pasture</v>
      </c>
      <c r="U122" s="52" t="s">
        <v>139</v>
      </c>
      <c r="V122" s="53">
        <f>0.001*$H$43*F38*S18*((1-$V$30)*V41+(1-$X$30)*X41+(1-$Z$30)*Z41+(1-$V$50)*V61+(1-$X$50)*X61+(1-$Z$50)*Z61+(1-$V$73)*V85+(1-$X$73)*X85+(1-$Z$73)*Z85)</f>
        <v>0</v>
      </c>
      <c r="W122" s="52" t="s">
        <v>139</v>
      </c>
      <c r="X122" s="53">
        <f>0.001*$Q$43*O38*S18*((1-$V$30)*V41+(1-$X$30)*X41+(1-$Z$30)*Z41+(1-$V$50)*V61+(1-$X$50)*X61+(1-$Z$50)*Z61+(1-$V$73)*V85+(1-$X$73)*X85+(1-$Z$73)*Z85)</f>
        <v>0</v>
      </c>
      <c r="Y122" s="52" t="s">
        <v>139</v>
      </c>
      <c r="AA122" s="52" t="s">
        <v>139</v>
      </c>
    </row>
    <row r="123" spans="1:27" x14ac:dyDescent="0.15">
      <c r="T123" s="53" t="str">
        <f>$T$19</f>
        <v xml:space="preserve">    ‡  Citrus groves</v>
      </c>
      <c r="U123" s="52" t="s">
        <v>139</v>
      </c>
      <c r="V123" s="53">
        <f>0.001*$H$43*F39*S19*((1-$V$30)*V42+(1-$X$30)*X42+(1-$Z$30)*Z42+(1-$V$50)*V62+(1-$X$50)*X62+(1-$Z$50)*Z62+(1-$V$73)*V86+(1-$X$73)*X86+(1-$Z$73)*Z86)</f>
        <v>0</v>
      </c>
      <c r="W123" s="52" t="s">
        <v>139</v>
      </c>
      <c r="X123" s="53">
        <f>0.001*$Q$43*O39*S19*((1-$V$30)*V42+(1-$X$30)*X42+(1-$Z$30)*Z42+(1-$V$50)*V62+(1-$X$50)*X62+(1-$Z$50)*Z62+(1-$V$73)*V86+(1-$X$73)*X86+(1-$Z$73)*Z86)</f>
        <v>0</v>
      </c>
      <c r="Y123" s="52" t="s">
        <v>139</v>
      </c>
      <c r="AA123" s="52" t="s">
        <v>139</v>
      </c>
    </row>
    <row r="124" spans="1:27" x14ac:dyDescent="0.15">
      <c r="A124" s="52" t="s">
        <v>484</v>
      </c>
      <c r="T124" s="53" t="str">
        <f>$T$20</f>
        <v xml:space="preserve">    ‡  Other Agric</v>
      </c>
      <c r="U124" s="52" t="s">
        <v>139</v>
      </c>
      <c r="V124" s="53">
        <f>0.001*$H$43*F40*S20*((1-$V$30)*V43+(1-$X$30)*X43+(1-$Z$30)*Z43+(1-$V$50)*V63+(1-$X$50)*X63+(1-$Z$50)*Z63+(1-$V$73)*V87+(1-$X$73)*X87+(1-$Z$73)*Z87)</f>
        <v>0</v>
      </c>
      <c r="W124" s="52" t="s">
        <v>139</v>
      </c>
      <c r="X124" s="53">
        <f>0.001*$Q$43*O40*S20*((1-$V$30)*V43+(1-$X$30)*X43+(1-$Z$30)*Z43+(1-$V$50)*V63+(1-$X$50)*X63+(1-$Z$50)*Z63+(1-$V$73)*V87+(1-$X$73)*X87+(1-$Z$73)*Z87)</f>
        <v>0</v>
      </c>
      <c r="Y124" s="52" t="s">
        <v>139</v>
      </c>
      <c r="AA124" s="52" t="s">
        <v>139</v>
      </c>
    </row>
    <row r="125" spans="1:27" x14ac:dyDescent="0.15">
      <c r="F125" s="55"/>
      <c r="G125" s="55"/>
      <c r="H125" s="55"/>
      <c r="T125" s="52" t="s">
        <v>240</v>
      </c>
      <c r="U125" s="52" t="s">
        <v>237</v>
      </c>
      <c r="V125" s="52" t="s">
        <v>123</v>
      </c>
      <c r="W125" s="52" t="s">
        <v>237</v>
      </c>
      <c r="X125" s="52" t="s">
        <v>243</v>
      </c>
      <c r="Y125" s="52" t="s">
        <v>237</v>
      </c>
      <c r="Z125" s="52" t="s">
        <v>243</v>
      </c>
      <c r="AA125" s="52" t="s">
        <v>241</v>
      </c>
    </row>
    <row r="126" spans="1:27" x14ac:dyDescent="0.15">
      <c r="B126" s="52" t="s">
        <v>464</v>
      </c>
      <c r="D126" s="52" t="s">
        <v>465</v>
      </c>
      <c r="F126" s="52" t="s">
        <v>466</v>
      </c>
      <c r="G126" s="52" t="s">
        <v>101</v>
      </c>
      <c r="H126" s="52" t="s">
        <v>467</v>
      </c>
    </row>
    <row r="127" spans="1:27" x14ac:dyDescent="0.15">
      <c r="A127" s="52" t="s">
        <v>120</v>
      </c>
      <c r="B127" s="52" t="s">
        <v>411</v>
      </c>
      <c r="C127" s="52" t="s">
        <v>468</v>
      </c>
      <c r="D127" s="52" t="s">
        <v>432</v>
      </c>
      <c r="E127" s="52" t="s">
        <v>272</v>
      </c>
      <c r="F127" s="52" t="s">
        <v>243</v>
      </c>
      <c r="G127" s="52" t="s">
        <v>468</v>
      </c>
      <c r="H127" s="52" t="s">
        <v>352</v>
      </c>
      <c r="I127" s="52" t="s">
        <v>380</v>
      </c>
    </row>
    <row r="128" spans="1:27" x14ac:dyDescent="0.15">
      <c r="A128" s="52" t="s">
        <v>138</v>
      </c>
      <c r="B128" s="52" t="s">
        <v>485</v>
      </c>
      <c r="C128" s="52" t="s">
        <v>259</v>
      </c>
      <c r="D128" s="55">
        <v>60</v>
      </c>
      <c r="E128" s="52" t="s">
        <v>260</v>
      </c>
      <c r="F128" s="56" t="s">
        <v>74</v>
      </c>
      <c r="G128" s="56" t="s">
        <v>471</v>
      </c>
      <c r="H128" s="56" t="s">
        <v>74</v>
      </c>
      <c r="I128" s="52" t="s">
        <v>141</v>
      </c>
    </row>
    <row r="129" spans="1:27" x14ac:dyDescent="0.15">
      <c r="A129" s="52" t="s">
        <v>138</v>
      </c>
      <c r="B129" s="52" t="s">
        <v>74</v>
      </c>
      <c r="C129" s="52" t="s">
        <v>260</v>
      </c>
      <c r="D129" s="66" t="s">
        <v>196</v>
      </c>
      <c r="E129" s="52" t="s">
        <v>260</v>
      </c>
      <c r="F129" s="56" t="s">
        <v>74</v>
      </c>
      <c r="G129" s="56" t="s">
        <v>471</v>
      </c>
      <c r="H129" s="56" t="s">
        <v>74</v>
      </c>
      <c r="I129" s="52" t="s">
        <v>141</v>
      </c>
      <c r="T129" s="52" t="s">
        <v>486</v>
      </c>
    </row>
    <row r="130" spans="1:27" x14ac:dyDescent="0.15">
      <c r="A130" s="52" t="s">
        <v>138</v>
      </c>
      <c r="B130" s="52" t="s">
        <v>473</v>
      </c>
      <c r="C130" s="52" t="s">
        <v>259</v>
      </c>
      <c r="D130" s="55">
        <f>CH82</f>
        <v>0.30012378126295108</v>
      </c>
      <c r="E130" s="52" t="s">
        <v>260</v>
      </c>
      <c r="F130" s="56" t="s">
        <v>474</v>
      </c>
      <c r="G130" s="56" t="s">
        <v>471</v>
      </c>
      <c r="H130" s="56" t="s">
        <v>74</v>
      </c>
      <c r="I130" s="52" t="s">
        <v>141</v>
      </c>
    </row>
    <row r="131" spans="1:27" x14ac:dyDescent="0.15">
      <c r="A131" s="52" t="s">
        <v>138</v>
      </c>
      <c r="B131" s="52" t="s">
        <v>483</v>
      </c>
      <c r="C131" s="52" t="s">
        <v>259</v>
      </c>
      <c r="D131" s="55">
        <f>CH83</f>
        <v>1377.0670307208416</v>
      </c>
      <c r="E131" s="52" t="s">
        <v>260</v>
      </c>
      <c r="F131" s="56" t="s">
        <v>477</v>
      </c>
      <c r="G131" s="56" t="s">
        <v>471</v>
      </c>
      <c r="H131" s="56" t="s">
        <v>74</v>
      </c>
      <c r="I131" s="52" t="s">
        <v>141</v>
      </c>
      <c r="T131" s="52" t="s">
        <v>439</v>
      </c>
      <c r="V131" s="52" t="s">
        <v>487</v>
      </c>
      <c r="X131" s="52" t="s">
        <v>488</v>
      </c>
      <c r="Z131" s="52" t="s">
        <v>74</v>
      </c>
    </row>
    <row r="132" spans="1:27" x14ac:dyDescent="0.15">
      <c r="A132" s="52" t="s">
        <v>251</v>
      </c>
      <c r="B132" s="52" t="s">
        <v>411</v>
      </c>
      <c r="C132" s="56" t="s">
        <v>468</v>
      </c>
      <c r="D132" s="56" t="s">
        <v>432</v>
      </c>
      <c r="E132" s="56" t="s">
        <v>468</v>
      </c>
      <c r="F132" s="56" t="s">
        <v>352</v>
      </c>
      <c r="G132" s="56" t="s">
        <v>468</v>
      </c>
      <c r="H132" s="56" t="s">
        <v>352</v>
      </c>
      <c r="I132" s="52" t="s">
        <v>271</v>
      </c>
      <c r="T132" s="52" t="s">
        <v>128</v>
      </c>
      <c r="U132" s="52" t="s">
        <v>122</v>
      </c>
      <c r="V132" s="52" t="s">
        <v>123</v>
      </c>
      <c r="W132" s="52" t="s">
        <v>122</v>
      </c>
      <c r="X132" s="52" t="s">
        <v>126</v>
      </c>
      <c r="Y132" s="52" t="s">
        <v>122</v>
      </c>
      <c r="Z132" s="52" t="s">
        <v>126</v>
      </c>
      <c r="AA132" s="52" t="s">
        <v>129</v>
      </c>
    </row>
    <row r="133" spans="1:27" x14ac:dyDescent="0.15">
      <c r="D133" s="55"/>
      <c r="F133" s="55"/>
      <c r="G133" s="55"/>
      <c r="H133" s="55"/>
      <c r="T133" s="53" t="str">
        <f>$T$9</f>
        <v xml:space="preserve">    ‡  Res low-med density</v>
      </c>
      <c r="U133" s="52" t="s">
        <v>139</v>
      </c>
      <c r="V133" s="53">
        <f t="shared" ref="V133:V144" si="10">0.1*H29*D9*$D$22*((1-$V$30)*V32+(1-$X$30)*X32+(1-$Z$30)*Z32+(1-$V$50)*V52+(1-$X$50)*X52+(1-$Z$50)*Z52+(1-$V$73)*V76+(1-$X$73)*X76+(1-$Z$73)*Z76)</f>
        <v>426.48388576559995</v>
      </c>
      <c r="W133" s="52" t="s">
        <v>139</v>
      </c>
      <c r="X133" s="53">
        <f t="shared" ref="X133:X144" si="11">0.1*Q29*D9*$D$22*((1-$V$30)*V32+(1-$X$30)*X32+(1-$Z$30)*Z32+(1-$V$50)*V52+(1-$X$50)*X52+(1-$Z$50)*Z52+(1-$V$73)*V76+(1-$X$73)*X76+(1-$Z$73)*Z76)</f>
        <v>3255.49366134408</v>
      </c>
      <c r="Y133" s="52" t="s">
        <v>139</v>
      </c>
      <c r="AA133" s="52" t="s">
        <v>139</v>
      </c>
    </row>
    <row r="134" spans="1:27" x14ac:dyDescent="0.15">
      <c r="A134" s="52" t="s">
        <v>489</v>
      </c>
      <c r="D134" s="55"/>
      <c r="T134" s="53" t="str">
        <f>$T$10</f>
        <v xml:space="preserve">    ‡  Res High density</v>
      </c>
      <c r="U134" s="52" t="s">
        <v>139</v>
      </c>
      <c r="V134" s="53">
        <f t="shared" si="10"/>
        <v>0</v>
      </c>
      <c r="W134" s="52" t="s">
        <v>139</v>
      </c>
      <c r="X134" s="53">
        <f t="shared" si="11"/>
        <v>0</v>
      </c>
      <c r="Y134" s="52" t="s">
        <v>139</v>
      </c>
      <c r="AA134" s="52" t="s">
        <v>139</v>
      </c>
    </row>
    <row r="135" spans="1:27" x14ac:dyDescent="0.15">
      <c r="A135" s="52" t="s">
        <v>120</v>
      </c>
      <c r="B135" s="52" t="s">
        <v>411</v>
      </c>
      <c r="C135" s="52" t="s">
        <v>468</v>
      </c>
      <c r="D135" s="52" t="s">
        <v>432</v>
      </c>
      <c r="E135" s="52" t="s">
        <v>272</v>
      </c>
      <c r="F135" s="52" t="s">
        <v>243</v>
      </c>
      <c r="G135" s="52" t="s">
        <v>468</v>
      </c>
      <c r="H135" s="52" t="s">
        <v>352</v>
      </c>
      <c r="I135" s="52" t="s">
        <v>380</v>
      </c>
      <c r="T135" s="53" t="str">
        <f>$T$11</f>
        <v xml:space="preserve">    ‡  Commercial</v>
      </c>
      <c r="U135" s="52" t="s">
        <v>139</v>
      </c>
      <c r="V135" s="53">
        <f t="shared" si="10"/>
        <v>6.8291932030742615</v>
      </c>
      <c r="W135" s="52" t="s">
        <v>139</v>
      </c>
      <c r="X135" s="53">
        <f t="shared" si="11"/>
        <v>48.059173063425582</v>
      </c>
      <c r="Y135" s="52" t="s">
        <v>139</v>
      </c>
      <c r="AA135" s="52" t="s">
        <v>139</v>
      </c>
    </row>
    <row r="136" spans="1:27" x14ac:dyDescent="0.15">
      <c r="A136" s="52" t="s">
        <v>138</v>
      </c>
      <c r="B136" s="52" t="s">
        <v>485</v>
      </c>
      <c r="C136" s="52" t="s">
        <v>259</v>
      </c>
      <c r="D136" s="55">
        <f>D128</f>
        <v>60</v>
      </c>
      <c r="I136" s="52" t="s">
        <v>141</v>
      </c>
      <c r="T136" s="53" t="str">
        <f>$T$12</f>
        <v xml:space="preserve">    ‡  Institutional</v>
      </c>
      <c r="U136" s="52" t="s">
        <v>139</v>
      </c>
      <c r="V136" s="53">
        <f t="shared" si="10"/>
        <v>1.3576958332820999</v>
      </c>
      <c r="W136" s="52" t="s">
        <v>139</v>
      </c>
      <c r="X136" s="53">
        <f t="shared" si="11"/>
        <v>10.68054055515252</v>
      </c>
      <c r="Y136" s="52" t="s">
        <v>139</v>
      </c>
      <c r="AA136" s="52" t="s">
        <v>139</v>
      </c>
    </row>
    <row r="137" spans="1:27" x14ac:dyDescent="0.15">
      <c r="A137" s="52" t="s">
        <v>138</v>
      </c>
      <c r="B137" s="52" t="s">
        <v>74</v>
      </c>
      <c r="C137" s="52" t="s">
        <v>260</v>
      </c>
      <c r="D137" s="66" t="s">
        <v>196</v>
      </c>
      <c r="E137" s="52" t="s">
        <v>260</v>
      </c>
      <c r="F137" s="56" t="s">
        <v>74</v>
      </c>
      <c r="G137" s="56" t="s">
        <v>471</v>
      </c>
      <c r="H137" s="56" t="s">
        <v>74</v>
      </c>
      <c r="I137" s="52" t="s">
        <v>141</v>
      </c>
      <c r="T137" s="53" t="str">
        <f>$T$13</f>
        <v xml:space="preserve">    ‡  Industrial/Mining</v>
      </c>
      <c r="U137" s="52" t="s">
        <v>139</v>
      </c>
      <c r="V137" s="53">
        <f t="shared" si="10"/>
        <v>5.5821593530942115</v>
      </c>
      <c r="W137" s="52" t="s">
        <v>139</v>
      </c>
      <c r="X137" s="53">
        <f t="shared" si="11"/>
        <v>33.85476274330285</v>
      </c>
      <c r="Y137" s="52" t="s">
        <v>139</v>
      </c>
      <c r="AA137" s="52" t="s">
        <v>139</v>
      </c>
    </row>
    <row r="138" spans="1:27" x14ac:dyDescent="0.15">
      <c r="A138" s="52" t="s">
        <v>138</v>
      </c>
      <c r="B138" s="52" t="s">
        <v>475</v>
      </c>
      <c r="C138" s="52" t="s">
        <v>259</v>
      </c>
      <c r="D138" s="55">
        <f>CH79</f>
        <v>6.301098274729414</v>
      </c>
      <c r="E138" s="52" t="s">
        <v>260</v>
      </c>
      <c r="F138" s="56" t="s">
        <v>474</v>
      </c>
      <c r="G138" s="56" t="s">
        <v>471</v>
      </c>
      <c r="H138" s="56" t="s">
        <v>74</v>
      </c>
      <c r="I138" s="52" t="s">
        <v>141</v>
      </c>
      <c r="T138" s="53" t="str">
        <f>$T$14</f>
        <v xml:space="preserve">    ‡  Recreation/Open</v>
      </c>
      <c r="U138" s="52" t="s">
        <v>139</v>
      </c>
      <c r="V138" s="53">
        <f t="shared" si="10"/>
        <v>2.0665364532415542</v>
      </c>
      <c r="W138" s="52" t="s">
        <v>139</v>
      </c>
      <c r="X138" s="53">
        <f t="shared" si="11"/>
        <v>48.739067293432875</v>
      </c>
      <c r="Y138" s="52" t="s">
        <v>139</v>
      </c>
      <c r="AA138" s="52" t="s">
        <v>139</v>
      </c>
    </row>
    <row r="139" spans="1:27" x14ac:dyDescent="0.15">
      <c r="A139" s="52" t="s">
        <v>138</v>
      </c>
      <c r="B139" s="52" t="s">
        <v>476</v>
      </c>
      <c r="C139" s="52" t="s">
        <v>259</v>
      </c>
      <c r="D139" s="55">
        <f>CH80</f>
        <v>28911.519956692588</v>
      </c>
      <c r="E139" s="52" t="s">
        <v>260</v>
      </c>
      <c r="F139" s="56" t="s">
        <v>477</v>
      </c>
      <c r="G139" s="56" t="s">
        <v>471</v>
      </c>
      <c r="H139" s="56" t="s">
        <v>74</v>
      </c>
      <c r="I139" s="52" t="s">
        <v>141</v>
      </c>
      <c r="T139" s="53" t="str">
        <f>$T$15</f>
        <v xml:space="preserve">    ‡  Forest/Rangeland</v>
      </c>
      <c r="U139" s="52" t="s">
        <v>139</v>
      </c>
      <c r="V139" s="53">
        <f t="shared" si="10"/>
        <v>20.740590213342038</v>
      </c>
      <c r="W139" s="52" t="s">
        <v>139</v>
      </c>
      <c r="X139" s="53">
        <f t="shared" si="11"/>
        <v>489.16486352221779</v>
      </c>
      <c r="Y139" s="52" t="s">
        <v>139</v>
      </c>
      <c r="AA139" s="52" t="s">
        <v>139</v>
      </c>
    </row>
    <row r="140" spans="1:27" x14ac:dyDescent="0.15">
      <c r="A140" s="52" t="s">
        <v>251</v>
      </c>
      <c r="B140" s="52" t="s">
        <v>411</v>
      </c>
      <c r="C140" s="56" t="s">
        <v>468</v>
      </c>
      <c r="D140" s="56" t="s">
        <v>432</v>
      </c>
      <c r="E140" s="56" t="s">
        <v>468</v>
      </c>
      <c r="F140" s="56" t="s">
        <v>352</v>
      </c>
      <c r="G140" s="56" t="s">
        <v>468</v>
      </c>
      <c r="H140" s="56" t="s">
        <v>352</v>
      </c>
      <c r="I140" s="52" t="s">
        <v>271</v>
      </c>
      <c r="T140" s="53" t="str">
        <f>$T$16</f>
        <v xml:space="preserve">    ‡  Water/wetlands</v>
      </c>
      <c r="U140" s="52" t="s">
        <v>139</v>
      </c>
      <c r="V140" s="53">
        <f t="shared" si="10"/>
        <v>110.74631103194692</v>
      </c>
      <c r="W140" s="52" t="s">
        <v>139</v>
      </c>
      <c r="X140" s="53">
        <f t="shared" si="11"/>
        <v>983.15602650810001</v>
      </c>
      <c r="Y140" s="52" t="s">
        <v>139</v>
      </c>
      <c r="AA140" s="52" t="s">
        <v>139</v>
      </c>
    </row>
    <row r="141" spans="1:27" x14ac:dyDescent="0.15">
      <c r="B141" s="52"/>
      <c r="D141" s="52"/>
      <c r="H141" s="52"/>
      <c r="T141" s="53" t="str">
        <f>$T$17</f>
        <v xml:space="preserve">    ‡  Feedlots</v>
      </c>
      <c r="U141" s="52" t="s">
        <v>139</v>
      </c>
      <c r="V141" s="53">
        <f t="shared" si="10"/>
        <v>0</v>
      </c>
      <c r="W141" s="52" t="s">
        <v>139</v>
      </c>
      <c r="X141" s="53">
        <f t="shared" si="11"/>
        <v>0</v>
      </c>
      <c r="Y141" s="52" t="s">
        <v>139</v>
      </c>
      <c r="AA141" s="52" t="s">
        <v>139</v>
      </c>
    </row>
    <row r="142" spans="1:27" x14ac:dyDescent="0.15">
      <c r="A142" s="52"/>
      <c r="B142" s="67"/>
      <c r="D142" s="67"/>
      <c r="H142" s="52"/>
      <c r="I142" s="52"/>
      <c r="T142" s="53" t="str">
        <f>$T$18</f>
        <v xml:space="preserve">    ‡  Pasture</v>
      </c>
      <c r="U142" s="52" t="s">
        <v>139</v>
      </c>
      <c r="V142" s="53">
        <f t="shared" si="10"/>
        <v>69.867014764479634</v>
      </c>
      <c r="W142" s="52" t="s">
        <v>139</v>
      </c>
      <c r="X142" s="53">
        <f t="shared" si="11"/>
        <v>447.18500147704407</v>
      </c>
      <c r="Y142" s="52" t="s">
        <v>139</v>
      </c>
      <c r="AA142" s="52" t="s">
        <v>139</v>
      </c>
    </row>
    <row r="143" spans="1:27" x14ac:dyDescent="0.15">
      <c r="H143" s="52"/>
      <c r="I143" s="68"/>
      <c r="T143" s="53" t="str">
        <f>$T$19</f>
        <v xml:space="preserve">    ‡  Citrus groves</v>
      </c>
      <c r="U143" s="52" t="s">
        <v>139</v>
      </c>
      <c r="V143" s="53">
        <f t="shared" si="10"/>
        <v>90.84596971869388</v>
      </c>
      <c r="W143" s="52" t="s">
        <v>139</v>
      </c>
      <c r="X143" s="53">
        <f t="shared" si="11"/>
        <v>1330.2445565951602</v>
      </c>
      <c r="Y143" s="52" t="s">
        <v>139</v>
      </c>
      <c r="AA143" s="52" t="s">
        <v>139</v>
      </c>
    </row>
    <row r="144" spans="1:27" x14ac:dyDescent="0.15">
      <c r="H144" s="67"/>
      <c r="I144" s="67"/>
      <c r="T144" s="53" t="str">
        <f>$T$20</f>
        <v xml:space="preserve">    ‡  Other Agric</v>
      </c>
      <c r="U144" s="52" t="s">
        <v>139</v>
      </c>
      <c r="V144" s="53">
        <f t="shared" si="10"/>
        <v>167.61342255155668</v>
      </c>
      <c r="W144" s="52" t="s">
        <v>139</v>
      </c>
      <c r="X144" s="53">
        <f t="shared" si="11"/>
        <v>953.72393298974907</v>
      </c>
      <c r="Y144" s="52" t="s">
        <v>139</v>
      </c>
      <c r="AA144" s="52" t="s">
        <v>139</v>
      </c>
    </row>
    <row r="145" spans="1:58" x14ac:dyDescent="0.15">
      <c r="T145" s="52" t="s">
        <v>490</v>
      </c>
      <c r="U145" s="52" t="s">
        <v>139</v>
      </c>
      <c r="V145" s="53">
        <f>Z9*Z10*(1-Z12)</f>
        <v>284.56847999999991</v>
      </c>
      <c r="W145" s="52" t="s">
        <v>139</v>
      </c>
      <c r="X145" s="53">
        <f>Z9*Z11*(1-Z13)</f>
        <v>5023.210500000001</v>
      </c>
      <c r="Y145" s="52" t="s">
        <v>139</v>
      </c>
      <c r="AA145" s="52" t="s">
        <v>139</v>
      </c>
    </row>
    <row r="146" spans="1:58" x14ac:dyDescent="0.15">
      <c r="T146" s="52" t="s">
        <v>491</v>
      </c>
      <c r="U146" s="52" t="s">
        <v>139</v>
      </c>
      <c r="V146" s="53">
        <f>1381.7*Z17*Z18</f>
        <v>0</v>
      </c>
      <c r="W146" s="52" t="s">
        <v>139</v>
      </c>
      <c r="X146" s="53">
        <f>1381.7*Z17*Z19</f>
        <v>0</v>
      </c>
      <c r="Y146" s="52" t="s">
        <v>139</v>
      </c>
      <c r="AA146" s="52" t="s">
        <v>139</v>
      </c>
    </row>
    <row r="147" spans="1:58" x14ac:dyDescent="0.15">
      <c r="H147" s="52"/>
      <c r="T147" s="52" t="s">
        <v>492</v>
      </c>
      <c r="U147" s="52" t="s">
        <v>139</v>
      </c>
      <c r="V147" s="53">
        <f>10*D22*H41*AF9</f>
        <v>262.58965488113552</v>
      </c>
      <c r="W147" s="52" t="s">
        <v>139</v>
      </c>
      <c r="X147" s="53">
        <f>10*D22*Q41*AF9</f>
        <v>12670.655253502873</v>
      </c>
      <c r="Y147" s="52" t="s">
        <v>139</v>
      </c>
      <c r="AA147" s="52" t="s">
        <v>139</v>
      </c>
    </row>
    <row r="148" spans="1:58" x14ac:dyDescent="0.15">
      <c r="H148" s="52"/>
      <c r="I148" s="52"/>
      <c r="T148" s="52" t="s">
        <v>240</v>
      </c>
      <c r="U148" s="52" t="s">
        <v>237</v>
      </c>
      <c r="V148" s="52" t="s">
        <v>123</v>
      </c>
      <c r="W148" s="52" t="s">
        <v>237</v>
      </c>
      <c r="X148" s="52" t="s">
        <v>243</v>
      </c>
      <c r="Y148" s="52" t="s">
        <v>237</v>
      </c>
      <c r="Z148" s="52" t="s">
        <v>243</v>
      </c>
      <c r="AA148" s="52" t="s">
        <v>241</v>
      </c>
      <c r="AS148" s="52"/>
      <c r="AT148" s="52"/>
      <c r="BE148" s="52"/>
      <c r="BF148" s="52"/>
    </row>
    <row r="149" spans="1:58" x14ac:dyDescent="0.15">
      <c r="H149" s="67"/>
      <c r="I149" s="67"/>
      <c r="T149" s="52" t="s">
        <v>74</v>
      </c>
      <c r="AS149" s="52"/>
      <c r="AT149" s="52"/>
      <c r="BE149" s="52"/>
      <c r="BF149" s="52"/>
    </row>
    <row r="150" spans="1:58" x14ac:dyDescent="0.15">
      <c r="AD150" s="52"/>
      <c r="AS150" s="52"/>
    </row>
    <row r="151" spans="1:58" x14ac:dyDescent="0.15">
      <c r="AD151" s="52"/>
    </row>
    <row r="152" spans="1:58" x14ac:dyDescent="0.15">
      <c r="AD152" s="52"/>
    </row>
    <row r="153" spans="1:58" x14ac:dyDescent="0.15">
      <c r="AD153" s="52"/>
    </row>
    <row r="154" spans="1:58" x14ac:dyDescent="0.15">
      <c r="AD154" s="52"/>
    </row>
    <row r="155" spans="1:58" x14ac:dyDescent="0.15">
      <c r="AD155" s="52"/>
      <c r="AJ155" s="55"/>
      <c r="AK155" s="55"/>
      <c r="AL155" s="55"/>
      <c r="AM155" s="55"/>
      <c r="AN155" s="55"/>
      <c r="AO155" s="55"/>
      <c r="AP155" s="55"/>
    </row>
    <row r="156" spans="1:58" x14ac:dyDescent="0.15">
      <c r="A156" s="52" t="s">
        <v>493</v>
      </c>
      <c r="F156" s="52" t="s">
        <v>494</v>
      </c>
      <c r="AD156" s="52"/>
      <c r="AJ156" s="55"/>
      <c r="AK156" s="55"/>
      <c r="AL156" s="55"/>
      <c r="AM156" s="55"/>
      <c r="AN156" s="55"/>
      <c r="AO156" s="55"/>
      <c r="AP156" s="55"/>
    </row>
    <row r="157" spans="1:58" x14ac:dyDescent="0.15">
      <c r="A157" s="59" t="s">
        <v>284</v>
      </c>
      <c r="B157" s="59" t="s">
        <v>284</v>
      </c>
      <c r="C157" s="59" t="s">
        <v>284</v>
      </c>
      <c r="D157" s="59" t="s">
        <v>284</v>
      </c>
      <c r="F157" s="59" t="s">
        <v>284</v>
      </c>
      <c r="G157" s="59" t="s">
        <v>284</v>
      </c>
      <c r="H157" s="59" t="s">
        <v>284</v>
      </c>
      <c r="I157" s="59" t="s">
        <v>284</v>
      </c>
      <c r="J157" s="59" t="s">
        <v>284</v>
      </c>
      <c r="K157" s="59" t="s">
        <v>284</v>
      </c>
      <c r="L157" s="59" t="s">
        <v>284</v>
      </c>
      <c r="M157" s="59" t="s">
        <v>284</v>
      </c>
      <c r="AD157" s="52"/>
      <c r="AJ157" s="55"/>
      <c r="AK157" s="55"/>
      <c r="AL157" s="55"/>
      <c r="AM157" s="55"/>
      <c r="AN157" s="55"/>
      <c r="AO157" s="55"/>
      <c r="AP157" s="55"/>
    </row>
    <row r="158" spans="1:58" x14ac:dyDescent="0.15">
      <c r="A158" s="52" t="s">
        <v>495</v>
      </c>
      <c r="D158" s="53">
        <f>$F$78/$AF$9</f>
        <v>82.767513547465143</v>
      </c>
      <c r="F158" s="52" t="s">
        <v>496</v>
      </c>
      <c r="H158" s="53">
        <f>$F$87</f>
        <v>0.38934743455259369</v>
      </c>
      <c r="K158" s="52" t="s">
        <v>497</v>
      </c>
      <c r="M158" s="55">
        <f>$F$88</f>
        <v>8.6308748507866113</v>
      </c>
      <c r="AD158" s="52"/>
      <c r="AJ158" s="55"/>
      <c r="AK158" s="55"/>
      <c r="AL158" s="55"/>
      <c r="AM158" s="55"/>
      <c r="AN158" s="55"/>
      <c r="AO158" s="55"/>
      <c r="AP158" s="55"/>
    </row>
    <row r="159" spans="1:58" x14ac:dyDescent="0.15">
      <c r="A159" s="52" t="s">
        <v>498</v>
      </c>
      <c r="D159" s="53">
        <f>$AF$10</f>
        <v>5.0059796725395938</v>
      </c>
      <c r="F159" s="52" t="s">
        <v>499</v>
      </c>
      <c r="H159" s="53">
        <f>$AF$10</f>
        <v>5.0059796725395938</v>
      </c>
    </row>
    <row r="160" spans="1:58" x14ac:dyDescent="0.15">
      <c r="A160" s="52" t="s">
        <v>500</v>
      </c>
      <c r="D160" s="53">
        <f>1/+$AF$11</f>
        <v>4.2432331043878557E-2</v>
      </c>
      <c r="F160" s="52" t="s">
        <v>501</v>
      </c>
      <c r="H160" s="53">
        <f>$AF$11</f>
        <v>23.566935292004509</v>
      </c>
      <c r="M160" s="53">
        <f>$AF$11</f>
        <v>23.566935292004509</v>
      </c>
      <c r="AS160" s="52"/>
    </row>
    <row r="161" spans="1:45" x14ac:dyDescent="0.15">
      <c r="A161" s="52" t="s">
        <v>502</v>
      </c>
      <c r="D161" s="53">
        <f>0.162*(D158/D159)^0.458</f>
        <v>0.58550263406797698</v>
      </c>
      <c r="F161" s="52" t="s">
        <v>502</v>
      </c>
      <c r="H161" s="53">
        <f>(1.71*($AF$11^-0.21)*($AF$10^(1.01))*($F$87^0.4))</f>
        <v>3.0720717663067294</v>
      </c>
      <c r="I161" s="55"/>
      <c r="K161" s="52" t="s">
        <v>503</v>
      </c>
      <c r="M161" s="55">
        <f>(0.2*($AF$11^-0.89)*($AF$10^(1.56))*($F$88^0.327))</f>
        <v>0.29989769084857293</v>
      </c>
      <c r="AD161" s="52"/>
      <c r="AR161" s="52"/>
      <c r="AS161" s="67"/>
    </row>
    <row r="162" spans="1:45" x14ac:dyDescent="0.15">
      <c r="A162" s="52" t="s">
        <v>504</v>
      </c>
      <c r="D162" s="53">
        <f>D158/(D159*(D161+D160))</f>
        <v>26.33032140350987</v>
      </c>
      <c r="F162" s="52" t="s">
        <v>505</v>
      </c>
      <c r="H162" s="53">
        <f>($F$87)/(1+(H161*H160))</f>
        <v>5.3045103546578154E-3</v>
      </c>
      <c r="K162" s="52" t="s">
        <v>506</v>
      </c>
      <c r="M162" s="55">
        <f>($F$88)/(1+(M161*M160))</f>
        <v>1.0698101698539311</v>
      </c>
      <c r="AD162" s="52"/>
      <c r="AR162" s="52"/>
    </row>
    <row r="163" spans="1:45" x14ac:dyDescent="0.15">
      <c r="A163" s="52" t="s">
        <v>505</v>
      </c>
      <c r="D163" s="53">
        <f>D162/1000</f>
        <v>2.6330321403509872E-2</v>
      </c>
      <c r="K163" s="55"/>
      <c r="AD163" s="52"/>
    </row>
    <row r="164" spans="1:45" x14ac:dyDescent="0.15">
      <c r="AD164" s="52"/>
    </row>
    <row r="165" spans="1:45" x14ac:dyDescent="0.15">
      <c r="A165" s="52" t="s">
        <v>507</v>
      </c>
      <c r="AD165" s="52"/>
    </row>
    <row r="166" spans="1:45" x14ac:dyDescent="0.15">
      <c r="A166" s="59" t="s">
        <v>284</v>
      </c>
      <c r="B166" s="59" t="s">
        <v>284</v>
      </c>
      <c r="C166" s="59" t="s">
        <v>284</v>
      </c>
      <c r="D166" s="59" t="s">
        <v>284</v>
      </c>
      <c r="E166" s="59" t="s">
        <v>284</v>
      </c>
      <c r="F166" s="59" t="s">
        <v>284</v>
      </c>
      <c r="G166" s="59" t="s">
        <v>284</v>
      </c>
      <c r="H166" s="59" t="s">
        <v>284</v>
      </c>
      <c r="AD166" s="52"/>
    </row>
    <row r="167" spans="1:45" x14ac:dyDescent="0.15">
      <c r="A167" s="52" t="s">
        <v>508</v>
      </c>
      <c r="D167" s="53">
        <f>1/(1+(0.747*(D160^0.507)))</f>
        <v>0.86918039138248737</v>
      </c>
      <c r="AD167" s="52"/>
      <c r="AJ167" s="69"/>
      <c r="AK167" s="69"/>
      <c r="AL167" s="69"/>
      <c r="AM167" s="69"/>
      <c r="AN167" s="69"/>
      <c r="AO167" s="69"/>
      <c r="AP167" s="69"/>
    </row>
    <row r="168" spans="1:45" x14ac:dyDescent="0.15">
      <c r="A168" s="52" t="s">
        <v>509</v>
      </c>
      <c r="D168" s="53">
        <f>$AF$14</f>
        <v>0.21241538666412679</v>
      </c>
      <c r="AD168" s="52"/>
    </row>
    <row r="169" spans="1:45" x14ac:dyDescent="0.15">
      <c r="A169" s="52" t="s">
        <v>504</v>
      </c>
      <c r="D169" s="53">
        <f>(+D158*(1-D167))/D168</f>
        <v>50.973773127107727</v>
      </c>
      <c r="AD169" s="52"/>
      <c r="AJ169" s="55"/>
      <c r="AK169" s="55"/>
      <c r="AL169" s="55"/>
      <c r="AM169" s="55"/>
      <c r="AN169" s="55"/>
      <c r="AO169" s="55"/>
      <c r="AP169" s="55"/>
    </row>
    <row r="170" spans="1:45" x14ac:dyDescent="0.15">
      <c r="A170" s="52" t="s">
        <v>505</v>
      </c>
      <c r="D170" s="53">
        <f>D169/1000</f>
        <v>5.0973773127107727E-2</v>
      </c>
      <c r="AD170" s="52"/>
      <c r="AJ170" s="55"/>
      <c r="AK170" s="55"/>
      <c r="AL170" s="55"/>
      <c r="AM170" s="55"/>
      <c r="AN170" s="55"/>
      <c r="AO170" s="55"/>
      <c r="AP170" s="55"/>
    </row>
    <row r="171" spans="1:45" x14ac:dyDescent="0.15">
      <c r="AD171" s="52"/>
      <c r="AJ171" s="55"/>
      <c r="AK171" s="55"/>
      <c r="AL171" s="55"/>
      <c r="AM171" s="55"/>
      <c r="AN171" s="55"/>
      <c r="AO171" s="55"/>
      <c r="AP171" s="55"/>
    </row>
    <row r="172" spans="1:45" x14ac:dyDescent="0.15">
      <c r="AD172" s="52"/>
      <c r="AJ172" s="55"/>
      <c r="AK172" s="55"/>
      <c r="AL172" s="55"/>
      <c r="AM172" s="55"/>
      <c r="AN172" s="55"/>
      <c r="AO172" s="55"/>
      <c r="AP172" s="55"/>
    </row>
    <row r="173" spans="1:45" x14ac:dyDescent="0.15">
      <c r="A173" s="53" t="s">
        <v>510</v>
      </c>
      <c r="F173" s="53" t="s">
        <v>511</v>
      </c>
      <c r="K173" s="53" t="s">
        <v>511</v>
      </c>
      <c r="AD173" s="52"/>
    </row>
    <row r="174" spans="1:45" x14ac:dyDescent="0.15">
      <c r="A174" s="52" t="s">
        <v>512</v>
      </c>
      <c r="D174" s="53">
        <f>D158/1000</f>
        <v>8.2767513547465144E-2</v>
      </c>
      <c r="F174" s="53" t="s">
        <v>513</v>
      </c>
      <c r="H174" s="53">
        <f>F78</f>
        <v>1786.4546200301506</v>
      </c>
      <c r="K174" s="167" t="s">
        <v>617</v>
      </c>
      <c r="M174" s="53">
        <f>O78</f>
        <v>39601.304346098121</v>
      </c>
      <c r="AD174" s="52"/>
    </row>
    <row r="175" spans="1:45" x14ac:dyDescent="0.15">
      <c r="A175" s="52" t="s">
        <v>501</v>
      </c>
      <c r="D175" s="53">
        <f>$AF$11</f>
        <v>23.566935292004509</v>
      </c>
      <c r="F175" s="52" t="s">
        <v>514</v>
      </c>
      <c r="H175" s="53">
        <f>AF15*1000000</f>
        <v>4588330.2713500569</v>
      </c>
      <c r="K175" s="52" t="s">
        <v>514</v>
      </c>
      <c r="M175" s="53">
        <f>AF15*1000000</f>
        <v>4588330.2713500569</v>
      </c>
      <c r="AD175" s="52"/>
    </row>
    <row r="176" spans="1:45" x14ac:dyDescent="0.15">
      <c r="A176" s="52" t="s">
        <v>502</v>
      </c>
      <c r="D176" s="53">
        <f>2/SQRT(D175)</f>
        <v>0.41198218914840751</v>
      </c>
      <c r="F176" s="52" t="s">
        <v>502</v>
      </c>
      <c r="H176" s="53">
        <f>Sedimentation!Y11</f>
        <v>0.89777467026500235</v>
      </c>
      <c r="K176" s="52" t="s">
        <v>502</v>
      </c>
      <c r="M176" s="52">
        <f>Sedimentation!AE11</f>
        <v>0.13133781674428055</v>
      </c>
      <c r="AD176" s="52"/>
    </row>
    <row r="177" spans="1:67" x14ac:dyDescent="0.15">
      <c r="A177" s="52" t="s">
        <v>505</v>
      </c>
      <c r="D177" s="53">
        <f>D174/(D159*((1/D175)+D176))</f>
        <v>3.6384685605778275E-2</v>
      </c>
      <c r="F177" s="53" t="s">
        <v>515</v>
      </c>
      <c r="H177" s="53">
        <f>AF16*1000000</f>
        <v>108132882.60325228</v>
      </c>
      <c r="K177" s="53" t="s">
        <v>515</v>
      </c>
      <c r="M177" s="53">
        <f>AF16*1000000</f>
        <v>108132882.60325228</v>
      </c>
    </row>
    <row r="178" spans="1:67" x14ac:dyDescent="0.15">
      <c r="F178" s="52" t="s">
        <v>504</v>
      </c>
      <c r="H178" s="161">
        <f>H174*1000*1000/(H175+H176*H177)</f>
        <v>17.571576483711983</v>
      </c>
      <c r="K178" s="71" t="s">
        <v>618</v>
      </c>
      <c r="M178" s="53">
        <f>M174*1000*1000/(M175+M176*M177)</f>
        <v>2107.5434620296651</v>
      </c>
      <c r="AC178" s="52"/>
      <c r="AQ178" s="52"/>
      <c r="BN178" s="52"/>
      <c r="BO178" s="52"/>
    </row>
    <row r="179" spans="1:67" x14ac:dyDescent="0.15">
      <c r="F179" s="52" t="s">
        <v>505</v>
      </c>
      <c r="H179" s="161">
        <f>H178/1000</f>
        <v>1.7571576483711982E-2</v>
      </c>
      <c r="K179" s="71" t="s">
        <v>506</v>
      </c>
      <c r="M179" s="161">
        <f>M178/1000</f>
        <v>2.1075434620296649</v>
      </c>
      <c r="T179" s="52"/>
      <c r="X179" s="52"/>
      <c r="AC179" s="59"/>
      <c r="AD179" s="59"/>
      <c r="AE179" s="59"/>
      <c r="AF179" s="59"/>
      <c r="AG179" s="59"/>
      <c r="AH179" s="59"/>
      <c r="AI179" s="59"/>
      <c r="AJ179" s="59"/>
      <c r="AK179" s="59"/>
      <c r="AL179" s="59"/>
      <c r="AM179" s="59"/>
      <c r="AN179" s="59"/>
      <c r="AQ179" s="52"/>
      <c r="BN179" s="52"/>
      <c r="BO179" s="52"/>
    </row>
    <row r="180" spans="1:67" x14ac:dyDescent="0.15">
      <c r="T180" s="52"/>
      <c r="X180" s="59"/>
      <c r="Y180" s="59"/>
      <c r="Z180" s="59"/>
      <c r="AA180" s="59"/>
      <c r="AK180" s="52"/>
      <c r="AM180" s="52"/>
      <c r="AO180" s="59"/>
      <c r="AP180" s="59"/>
      <c r="AQ180" s="59"/>
      <c r="AR180" s="59"/>
      <c r="AS180" s="59"/>
      <c r="AT180" s="59"/>
      <c r="AU180" s="59"/>
      <c r="AV180" s="59"/>
      <c r="AW180" s="59"/>
      <c r="AX180" s="59"/>
      <c r="AY180" s="59"/>
      <c r="AZ180" s="59"/>
      <c r="BB180" s="52"/>
      <c r="BD180" s="52"/>
      <c r="BF180" s="52"/>
      <c r="BJ180" s="52"/>
      <c r="BN180" s="52"/>
      <c r="BO180" s="52"/>
    </row>
    <row r="181" spans="1:67" x14ac:dyDescent="0.15">
      <c r="A181" s="184" t="s">
        <v>644</v>
      </c>
      <c r="T181" s="52"/>
      <c r="X181" s="52"/>
      <c r="AC181" s="52"/>
      <c r="AF181" s="52"/>
      <c r="AI181" s="52"/>
      <c r="AJ181" s="52"/>
      <c r="AK181" s="67"/>
      <c r="AM181" s="67"/>
      <c r="AO181" s="52"/>
      <c r="AQ181" s="52"/>
      <c r="AR181" s="52"/>
      <c r="AT181" s="52"/>
      <c r="AV181" s="52"/>
      <c r="AW181" s="52"/>
      <c r="AY181" s="52"/>
      <c r="AZ181" s="52"/>
      <c r="BA181" s="52"/>
      <c r="BB181" s="67"/>
      <c r="BD181" s="67"/>
      <c r="BF181" s="59"/>
      <c r="BG181" s="59"/>
      <c r="BH181" s="59"/>
      <c r="BI181" s="59"/>
      <c r="BJ181" s="59"/>
      <c r="BK181" s="59"/>
      <c r="BL181" s="59"/>
      <c r="BM181" s="59"/>
      <c r="BN181" s="59"/>
      <c r="BO181" s="59"/>
    </row>
    <row r="182" spans="1:67" x14ac:dyDescent="0.15">
      <c r="F182" s="167" t="s">
        <v>649</v>
      </c>
      <c r="K182" s="167" t="s">
        <v>645</v>
      </c>
      <c r="T182" s="52"/>
      <c r="V182" s="67"/>
      <c r="X182" s="52"/>
      <c r="AA182" s="67"/>
      <c r="AC182" s="52"/>
      <c r="AE182" s="67"/>
      <c r="AF182" s="52"/>
      <c r="AH182" s="67"/>
      <c r="AI182" s="67"/>
      <c r="AJ182" s="67"/>
      <c r="AK182" s="67"/>
      <c r="AL182" s="67"/>
      <c r="AM182" s="67"/>
      <c r="AN182" s="67"/>
      <c r="AO182" s="52"/>
      <c r="AP182" s="67"/>
      <c r="AQ182" s="52"/>
      <c r="AR182" s="52"/>
      <c r="AS182" s="52"/>
      <c r="AT182" s="52"/>
      <c r="AV182" s="52"/>
      <c r="AW182" s="52"/>
      <c r="AX182" s="52"/>
      <c r="AY182" s="52"/>
      <c r="AZ182" s="67"/>
      <c r="BA182" s="67"/>
      <c r="BB182" s="67"/>
      <c r="BC182" s="67"/>
      <c r="BD182" s="67"/>
      <c r="BE182" s="67"/>
      <c r="BF182" s="52"/>
      <c r="BG182" s="52"/>
      <c r="BH182" s="52"/>
      <c r="BJ182" s="52"/>
      <c r="BK182" s="52"/>
      <c r="BL182" s="52"/>
      <c r="BN182" s="52"/>
      <c r="BO182" s="52"/>
    </row>
    <row r="183" spans="1:67" x14ac:dyDescent="0.15">
      <c r="B183" s="52"/>
      <c r="F183" s="167" t="s">
        <v>647</v>
      </c>
      <c r="H183" s="53">
        <f>MAX(AF10/AF11,4)</f>
        <v>4</v>
      </c>
      <c r="K183" s="167" t="s">
        <v>617</v>
      </c>
      <c r="M183" s="53">
        <f>O78</f>
        <v>39601.304346098121</v>
      </c>
      <c r="AE183" s="52"/>
      <c r="AH183" s="52"/>
      <c r="AI183" s="52"/>
      <c r="AJ183" s="52"/>
      <c r="AK183" s="52"/>
      <c r="AL183" s="52"/>
      <c r="AM183" s="52"/>
      <c r="AN183" s="52"/>
      <c r="AS183" s="52"/>
      <c r="AX183" s="52"/>
      <c r="AZ183" s="52"/>
      <c r="BA183" s="52"/>
      <c r="BB183" s="52"/>
      <c r="BC183" s="52"/>
      <c r="BD183" s="52"/>
      <c r="BE183" s="52"/>
      <c r="BF183" s="67"/>
      <c r="BG183" s="67"/>
      <c r="BH183" s="67"/>
      <c r="BI183" s="67"/>
      <c r="BJ183" s="67"/>
      <c r="BK183" s="67"/>
      <c r="BL183" s="67"/>
      <c r="BM183" s="67"/>
      <c r="BN183" s="67"/>
      <c r="BO183" s="67"/>
    </row>
    <row r="184" spans="1:67" x14ac:dyDescent="0.15">
      <c r="B184" s="52"/>
      <c r="D184" s="52"/>
      <c r="F184" s="52"/>
      <c r="H184" s="52"/>
      <c r="I184" s="52"/>
      <c r="K184" s="71" t="s">
        <v>646</v>
      </c>
      <c r="M184" s="52">
        <f>AF16</f>
        <v>108.13288260325228</v>
      </c>
      <c r="O184" s="67"/>
      <c r="Q184" s="67"/>
      <c r="T184" s="59"/>
      <c r="U184" s="59"/>
      <c r="V184" s="59"/>
      <c r="X184" s="59"/>
      <c r="Y184" s="59"/>
      <c r="Z184" s="59"/>
      <c r="AA184" s="59"/>
      <c r="AC184" s="59"/>
      <c r="AD184" s="59"/>
      <c r="AE184" s="59"/>
      <c r="AF184" s="59"/>
      <c r="AG184" s="59"/>
      <c r="AH184" s="59"/>
      <c r="AI184" s="59"/>
      <c r="AJ184" s="59"/>
      <c r="AK184" s="59"/>
      <c r="AL184" s="59"/>
      <c r="AM184" s="59"/>
      <c r="AN184" s="59"/>
      <c r="AO184" s="59"/>
      <c r="AP184" s="59"/>
      <c r="AZ184" s="59"/>
      <c r="BA184" s="59"/>
      <c r="BB184" s="59"/>
      <c r="BC184" s="59"/>
      <c r="BD184" s="59"/>
      <c r="BE184" s="59"/>
    </row>
    <row r="185" spans="1:67" x14ac:dyDescent="0.15">
      <c r="B185" s="52"/>
      <c r="D185" s="52"/>
      <c r="F185" s="71" t="s">
        <v>648</v>
      </c>
      <c r="H185" s="52">
        <f>(0.0045*H183)/(H183+7.2)</f>
        <v>1.6071428571428571E-3</v>
      </c>
      <c r="I185" s="52"/>
      <c r="K185" s="71" t="s">
        <v>648</v>
      </c>
      <c r="M185" s="52">
        <f>0.0159*((M183/M184)^0.59)</f>
        <v>0.51761950509578902</v>
      </c>
      <c r="O185" s="52"/>
      <c r="Q185" s="52"/>
    </row>
    <row r="186" spans="1:67" x14ac:dyDescent="0.15">
      <c r="B186" s="52"/>
      <c r="D186" s="52"/>
      <c r="F186" s="71" t="s">
        <v>618</v>
      </c>
      <c r="H186" s="53">
        <f>(-1+(1+4*H185*F88*1000*AF11)^0.5)/(2*H185*AF11)</f>
        <v>464.3441761326369</v>
      </c>
      <c r="K186" s="71" t="s">
        <v>618</v>
      </c>
      <c r="M186" s="55">
        <f>$F$88*1000/(1+M185*AF11)</f>
        <v>653.91828976261445</v>
      </c>
      <c r="O186" s="52"/>
      <c r="Q186" s="52"/>
    </row>
    <row r="187" spans="1:67" x14ac:dyDescent="0.15">
      <c r="A187" s="52"/>
      <c r="B187" s="52"/>
      <c r="D187" s="52"/>
      <c r="F187" s="52"/>
      <c r="H187" s="52"/>
      <c r="I187" s="52"/>
      <c r="K187" s="52"/>
      <c r="M187" s="52"/>
      <c r="O187" s="52"/>
      <c r="Q187" s="52"/>
    </row>
    <row r="189" spans="1:67" x14ac:dyDescent="0.15">
      <c r="A189" s="59"/>
      <c r="B189" s="59"/>
      <c r="D189" s="59"/>
      <c r="F189" s="59"/>
      <c r="H189" s="59"/>
      <c r="I189" s="59"/>
      <c r="K189" s="59"/>
      <c r="M189" s="59"/>
      <c r="O189" s="59"/>
      <c r="Q189" s="59"/>
      <c r="AF189" s="55"/>
      <c r="AH189" s="55"/>
      <c r="AI189" s="55"/>
      <c r="AJ189" s="55"/>
      <c r="AK189" s="55"/>
      <c r="AM189" s="55"/>
      <c r="AZ189" s="55"/>
      <c r="BA189" s="55"/>
      <c r="BB189" s="55"/>
      <c r="BD189" s="55"/>
    </row>
    <row r="190" spans="1:67" x14ac:dyDescent="0.15">
      <c r="AF190" s="55"/>
      <c r="AH190" s="55"/>
      <c r="AI190" s="55"/>
      <c r="AJ190" s="55"/>
      <c r="AK190" s="55"/>
      <c r="AM190" s="55"/>
      <c r="AZ190" s="55"/>
      <c r="BA190" s="55"/>
      <c r="BB190" s="55"/>
      <c r="BD190" s="55"/>
    </row>
    <row r="191" spans="1:67" x14ac:dyDescent="0.15">
      <c r="AF191" s="55"/>
      <c r="AH191" s="55"/>
      <c r="AI191" s="55"/>
      <c r="AJ191" s="55"/>
      <c r="AK191" s="55"/>
      <c r="AM191" s="55"/>
      <c r="AZ191" s="55"/>
      <c r="BA191" s="55"/>
      <c r="BB191" s="55"/>
      <c r="BD191" s="55"/>
    </row>
    <row r="192" spans="1:67" x14ac:dyDescent="0.15">
      <c r="AF192" s="55"/>
      <c r="AH192" s="55"/>
      <c r="AI192" s="55"/>
      <c r="AJ192" s="55"/>
      <c r="AK192" s="55"/>
      <c r="AM192" s="55"/>
      <c r="AZ192" s="55"/>
      <c r="BA192" s="55"/>
      <c r="BB192" s="55"/>
      <c r="BD192" s="55"/>
    </row>
    <row r="193" spans="1:57" x14ac:dyDescent="0.15">
      <c r="AF193" s="55"/>
      <c r="AH193" s="55"/>
      <c r="AI193" s="55"/>
      <c r="AJ193" s="55"/>
      <c r="AK193" s="55"/>
      <c r="AM193" s="55"/>
      <c r="AZ193" s="55"/>
      <c r="BA193" s="55"/>
      <c r="BB193" s="55"/>
      <c r="BD193" s="55"/>
    </row>
    <row r="194" spans="1:57" x14ac:dyDescent="0.15">
      <c r="B194" s="69"/>
      <c r="C194" s="69"/>
      <c r="D194" s="69"/>
      <c r="F194" s="69"/>
      <c r="AF194" s="55"/>
      <c r="AH194" s="55"/>
      <c r="AI194" s="55"/>
      <c r="AJ194" s="55"/>
      <c r="AK194" s="55"/>
      <c r="AM194" s="55"/>
      <c r="AZ194" s="55"/>
      <c r="BA194" s="55"/>
      <c r="BB194" s="55"/>
      <c r="BD194" s="55"/>
    </row>
    <row r="195" spans="1:57" x14ac:dyDescent="0.15">
      <c r="B195" s="69"/>
      <c r="C195" s="69"/>
      <c r="D195" s="69"/>
      <c r="F195" s="69"/>
      <c r="AF195" s="55"/>
      <c r="AH195" s="55"/>
      <c r="AI195" s="55"/>
      <c r="AJ195" s="55"/>
      <c r="AK195" s="55"/>
      <c r="AM195" s="55"/>
      <c r="AZ195" s="55"/>
      <c r="BA195" s="55"/>
      <c r="BB195" s="55"/>
      <c r="BD195" s="55"/>
    </row>
    <row r="196" spans="1:57" x14ac:dyDescent="0.15">
      <c r="B196" s="69"/>
      <c r="C196" s="69"/>
      <c r="D196" s="69"/>
      <c r="F196" s="69"/>
    </row>
    <row r="197" spans="1:57" x14ac:dyDescent="0.15">
      <c r="B197" s="69"/>
      <c r="C197" s="69"/>
      <c r="D197" s="69"/>
      <c r="F197" s="69"/>
      <c r="AP197" s="52"/>
      <c r="BE197" s="52"/>
    </row>
    <row r="198" spans="1:57" x14ac:dyDescent="0.15">
      <c r="B198" s="69"/>
      <c r="C198" s="69"/>
      <c r="D198" s="69"/>
      <c r="F198" s="69"/>
    </row>
    <row r="199" spans="1:57" x14ac:dyDescent="0.15">
      <c r="B199" s="69"/>
      <c r="C199" s="69"/>
      <c r="D199" s="69"/>
      <c r="F199" s="69"/>
    </row>
    <row r="200" spans="1:57" x14ac:dyDescent="0.15">
      <c r="B200" s="69"/>
      <c r="C200" s="69"/>
      <c r="D200" s="69"/>
      <c r="F200" s="69"/>
      <c r="AD200" s="52"/>
      <c r="AR200" s="52"/>
    </row>
    <row r="201" spans="1:57" x14ac:dyDescent="0.15">
      <c r="AD201" s="52"/>
      <c r="AR201" s="52"/>
    </row>
    <row r="202" spans="1:57" x14ac:dyDescent="0.15">
      <c r="A202" s="52"/>
      <c r="B202" s="70"/>
      <c r="C202" s="70"/>
      <c r="D202" s="70"/>
      <c r="E202" s="70"/>
      <c r="F202" s="70"/>
      <c r="G202" s="70"/>
      <c r="H202" s="70"/>
      <c r="I202" s="70"/>
      <c r="J202" s="70"/>
      <c r="K202" s="70"/>
      <c r="L202" s="70"/>
      <c r="M202" s="70"/>
      <c r="AD202" s="52"/>
    </row>
    <row r="203" spans="1:57" x14ac:dyDescent="0.15">
      <c r="AD203" s="52"/>
    </row>
    <row r="204" spans="1:57" x14ac:dyDescent="0.15">
      <c r="AD204" s="52"/>
    </row>
    <row r="205" spans="1:57" x14ac:dyDescent="0.15">
      <c r="AD205" s="52"/>
    </row>
    <row r="206" spans="1:57" x14ac:dyDescent="0.15">
      <c r="AD206" s="52"/>
    </row>
    <row r="207" spans="1:57" x14ac:dyDescent="0.15">
      <c r="AD207" s="52"/>
      <c r="AJ207" s="55"/>
      <c r="AK207" s="55"/>
      <c r="AL207" s="55"/>
      <c r="AM207" s="55"/>
      <c r="AN207" s="55"/>
      <c r="AO207" s="55"/>
      <c r="AP207" s="55"/>
    </row>
    <row r="208" spans="1:57" x14ac:dyDescent="0.15">
      <c r="AD208" s="52"/>
      <c r="AJ208" s="55"/>
      <c r="AK208" s="55"/>
      <c r="AL208" s="55"/>
      <c r="AM208" s="55"/>
      <c r="AN208" s="55"/>
      <c r="AO208" s="55"/>
      <c r="AP208" s="55"/>
    </row>
    <row r="209" spans="30:42" x14ac:dyDescent="0.15">
      <c r="AD209" s="52"/>
      <c r="AJ209" s="55"/>
      <c r="AK209" s="55"/>
      <c r="AL209" s="55"/>
      <c r="AM209" s="55"/>
      <c r="AN209" s="55"/>
      <c r="AO209" s="55"/>
      <c r="AP209" s="55"/>
    </row>
    <row r="210" spans="30:42" x14ac:dyDescent="0.15">
      <c r="AD210" s="52"/>
      <c r="AJ210" s="55"/>
      <c r="AK210" s="55"/>
      <c r="AL210" s="55"/>
      <c r="AM210" s="55"/>
      <c r="AN210" s="55"/>
      <c r="AO210" s="55"/>
      <c r="AP210" s="55"/>
    </row>
  </sheetData>
  <phoneticPr fontId="12" type="noConversion"/>
  <printOptions gridLines="1" gridLinesSet="0"/>
  <pageMargins left="0.75" right="0.75" top="1" bottom="1" header="0.5" footer="0.5"/>
  <pageSetup orientation="portrait" verticalDpi="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4:AF50"/>
  <sheetViews>
    <sheetView defaultGridColor="0" colorId="11" workbookViewId="0">
      <pane xSplit="1" ySplit="9" topLeftCell="B10" activePane="bottomRight" state="frozen"/>
      <selection pane="topRight" activeCell="B1" sqref="B1"/>
      <selection pane="bottomLeft" activeCell="A10" sqref="A10"/>
      <selection pane="bottomRight" activeCell="N18" sqref="N18"/>
    </sheetView>
  </sheetViews>
  <sheetFormatPr defaultRowHeight="12.75" x14ac:dyDescent="0.2"/>
  <cols>
    <col min="1" max="1" width="14.85546875" customWidth="1"/>
    <col min="9" max="9" width="12" bestFit="1" customWidth="1"/>
    <col min="18" max="18" width="22.85546875" bestFit="1" customWidth="1"/>
    <col min="19" max="19" width="24" bestFit="1" customWidth="1"/>
    <col min="20" max="20" width="27" bestFit="1" customWidth="1"/>
    <col min="21" max="21" width="25.140625" bestFit="1" customWidth="1"/>
    <col min="22" max="22" width="28.140625" bestFit="1" customWidth="1"/>
    <col min="23" max="23" width="9.7109375" bestFit="1" customWidth="1"/>
    <col min="24" max="24" width="9.7109375" customWidth="1"/>
    <col min="25" max="26" width="22.5703125" bestFit="1" customWidth="1"/>
    <col min="27" max="27" width="25.140625" bestFit="1" customWidth="1"/>
    <col min="28" max="28" width="28.140625" bestFit="1" customWidth="1"/>
    <col min="29" max="29" width="10.7109375" bestFit="1" customWidth="1"/>
    <col min="30" max="30" width="10.7109375" customWidth="1"/>
    <col min="31" max="32" width="22.5703125" bestFit="1" customWidth="1"/>
  </cols>
  <sheetData>
    <row r="4" spans="1:32" x14ac:dyDescent="0.2">
      <c r="A4" s="154"/>
      <c r="B4" s="155" t="s">
        <v>549</v>
      </c>
      <c r="C4" s="154"/>
      <c r="D4" s="154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</row>
    <row r="5" spans="1:32" ht="38.25" x14ac:dyDescent="0.2">
      <c r="A5" s="154"/>
      <c r="B5" s="155" t="s">
        <v>524</v>
      </c>
      <c r="C5" s="155" t="s">
        <v>551</v>
      </c>
      <c r="D5" s="155" t="s">
        <v>550</v>
      </c>
      <c r="E5" s="155" t="s">
        <v>551</v>
      </c>
      <c r="F5" s="155" t="s">
        <v>550</v>
      </c>
      <c r="I5" s="156" t="s">
        <v>565</v>
      </c>
      <c r="J5" s="155" t="s">
        <v>551</v>
      </c>
      <c r="K5" s="155" t="s">
        <v>550</v>
      </c>
      <c r="L5" s="155" t="s">
        <v>551</v>
      </c>
      <c r="M5" s="155" t="s">
        <v>550</v>
      </c>
      <c r="N5" s="155" t="s">
        <v>553</v>
      </c>
      <c r="O5" s="155" t="s">
        <v>552</v>
      </c>
      <c r="P5" s="155" t="s">
        <v>553</v>
      </c>
      <c r="Q5" s="155" t="s">
        <v>552</v>
      </c>
      <c r="R5" s="155" t="s">
        <v>858</v>
      </c>
      <c r="S5" s="154" t="s">
        <v>570</v>
      </c>
      <c r="T5" s="154" t="s">
        <v>605</v>
      </c>
      <c r="U5" s="154" t="s">
        <v>572</v>
      </c>
      <c r="V5" s="154" t="s">
        <v>606</v>
      </c>
      <c r="W5" s="155" t="s">
        <v>553</v>
      </c>
      <c r="X5" s="209" t="s">
        <v>694</v>
      </c>
      <c r="Y5" s="154" t="s">
        <v>573</v>
      </c>
      <c r="Z5" s="154" t="s">
        <v>573</v>
      </c>
      <c r="AA5" s="154" t="s">
        <v>574</v>
      </c>
      <c r="AB5" s="154" t="s">
        <v>610</v>
      </c>
      <c r="AC5" s="155" t="s">
        <v>552</v>
      </c>
      <c r="AD5" s="209" t="s">
        <v>695</v>
      </c>
      <c r="AE5" s="154" t="s">
        <v>575</v>
      </c>
      <c r="AF5" s="154" t="s">
        <v>575</v>
      </c>
    </row>
    <row r="6" spans="1:32" x14ac:dyDescent="0.2">
      <c r="A6" s="154"/>
      <c r="B6" s="155" t="s">
        <v>554</v>
      </c>
      <c r="C6" s="155" t="s">
        <v>554</v>
      </c>
      <c r="D6" s="155" t="s">
        <v>554</v>
      </c>
      <c r="E6" s="155" t="s">
        <v>564</v>
      </c>
      <c r="F6" s="155" t="s">
        <v>564</v>
      </c>
      <c r="G6" s="155" t="s">
        <v>602</v>
      </c>
      <c r="H6" s="155" t="s">
        <v>602</v>
      </c>
      <c r="I6" s="156" t="s">
        <v>566</v>
      </c>
      <c r="J6" s="155" t="s">
        <v>562</v>
      </c>
      <c r="K6" s="155" t="s">
        <v>562</v>
      </c>
      <c r="L6" s="155"/>
      <c r="M6" s="155"/>
      <c r="N6" s="155" t="s">
        <v>555</v>
      </c>
      <c r="O6" s="155" t="s">
        <v>555</v>
      </c>
      <c r="P6" s="155" t="s">
        <v>556</v>
      </c>
      <c r="Q6" s="155" t="s">
        <v>556</v>
      </c>
      <c r="R6" s="155"/>
      <c r="W6" s="155" t="s">
        <v>607</v>
      </c>
      <c r="X6" s="155"/>
      <c r="Y6" t="s">
        <v>609</v>
      </c>
      <c r="Z6" t="s">
        <v>608</v>
      </c>
      <c r="AC6" s="155" t="s">
        <v>607</v>
      </c>
      <c r="AD6" s="155"/>
      <c r="AE6" t="s">
        <v>611</v>
      </c>
      <c r="AF6" t="s">
        <v>612</v>
      </c>
    </row>
    <row r="7" spans="1:32" x14ac:dyDescent="0.2">
      <c r="A7" s="154"/>
      <c r="B7" s="155" t="s">
        <v>557</v>
      </c>
      <c r="C7" s="155" t="s">
        <v>557</v>
      </c>
      <c r="D7" s="155" t="s">
        <v>557</v>
      </c>
      <c r="E7" s="155"/>
      <c r="F7" s="155"/>
      <c r="G7" s="155" t="s">
        <v>603</v>
      </c>
      <c r="H7" s="155" t="s">
        <v>604</v>
      </c>
      <c r="I7" s="156" t="s">
        <v>568</v>
      </c>
      <c r="J7" s="155" t="s">
        <v>563</v>
      </c>
      <c r="K7" s="155" t="s">
        <v>563</v>
      </c>
      <c r="L7" s="155" t="s">
        <v>563</v>
      </c>
      <c r="M7" s="155" t="s">
        <v>563</v>
      </c>
      <c r="N7" s="154"/>
      <c r="O7" s="154"/>
      <c r="P7" s="154"/>
      <c r="Q7" s="154"/>
      <c r="R7" s="154"/>
      <c r="W7" s="154"/>
      <c r="X7" s="154"/>
      <c r="Y7" s="154"/>
      <c r="AC7" s="154"/>
      <c r="AD7" s="154"/>
    </row>
    <row r="8" spans="1:32" x14ac:dyDescent="0.2">
      <c r="A8" s="155" t="s">
        <v>558</v>
      </c>
      <c r="B8" s="155" t="s">
        <v>559</v>
      </c>
      <c r="C8" s="155" t="s">
        <v>560</v>
      </c>
      <c r="D8" s="155" t="s">
        <v>560</v>
      </c>
      <c r="E8" s="155" t="s">
        <v>561</v>
      </c>
      <c r="F8" s="155" t="s">
        <v>561</v>
      </c>
      <c r="G8" s="155" t="s">
        <v>561</v>
      </c>
      <c r="H8" s="155" t="s">
        <v>561</v>
      </c>
      <c r="I8" s="157" t="s">
        <v>567</v>
      </c>
      <c r="J8" s="155" t="s">
        <v>560</v>
      </c>
      <c r="K8" s="155" t="s">
        <v>560</v>
      </c>
      <c r="L8" s="155" t="s">
        <v>560</v>
      </c>
      <c r="M8" s="155" t="s">
        <v>560</v>
      </c>
      <c r="N8" s="155" t="s">
        <v>560</v>
      </c>
      <c r="O8" s="155" t="s">
        <v>560</v>
      </c>
      <c r="P8" s="155" t="s">
        <v>560</v>
      </c>
      <c r="Q8" s="155" t="s">
        <v>560</v>
      </c>
      <c r="R8" s="155"/>
      <c r="W8" s="155" t="s">
        <v>560</v>
      </c>
      <c r="X8" s="155"/>
      <c r="Y8" s="155"/>
      <c r="AC8" s="155" t="s">
        <v>560</v>
      </c>
      <c r="AD8" s="155"/>
    </row>
    <row r="9" spans="1:32" x14ac:dyDescent="0.2">
      <c r="A9" s="154"/>
      <c r="B9" s="154"/>
      <c r="C9" s="154"/>
      <c r="D9" s="154"/>
      <c r="E9" s="154"/>
      <c r="F9" s="154"/>
      <c r="G9" s="154"/>
      <c r="H9" s="154"/>
      <c r="I9" s="154"/>
      <c r="M9" s="154"/>
      <c r="N9" s="154"/>
      <c r="O9" s="154"/>
      <c r="P9" s="154"/>
      <c r="X9" s="154"/>
      <c r="AD9" s="154"/>
    </row>
    <row r="10" spans="1:32" x14ac:dyDescent="0.2">
      <c r="A10">
        <v>1990</v>
      </c>
      <c r="B10" s="154"/>
      <c r="C10" s="154"/>
      <c r="D10" s="154"/>
      <c r="E10" s="154"/>
      <c r="F10" s="154"/>
      <c r="G10">
        <v>2.5000000000000001E-3</v>
      </c>
      <c r="H10">
        <v>1.125</v>
      </c>
      <c r="I10" s="154"/>
      <c r="M10" s="154"/>
      <c r="N10" s="154"/>
      <c r="O10" s="154"/>
      <c r="P10" s="154"/>
      <c r="T10" s="159">
        <v>115442465.75839996</v>
      </c>
      <c r="U10" s="158"/>
      <c r="V10" s="158">
        <f>G10*T10/1000</f>
        <v>288.60616439599994</v>
      </c>
      <c r="X10" s="154"/>
      <c r="AB10" s="159">
        <f>H10*T10/1000</f>
        <v>129872.77397819996</v>
      </c>
      <c r="AD10" s="154"/>
    </row>
    <row r="11" spans="1:32" x14ac:dyDescent="0.2">
      <c r="A11">
        <v>1991</v>
      </c>
      <c r="B11" s="154">
        <v>0</v>
      </c>
      <c r="C11" s="154">
        <v>0</v>
      </c>
      <c r="D11" s="154">
        <v>0</v>
      </c>
      <c r="E11">
        <v>1.4000000000000004E-2</v>
      </c>
      <c r="F11">
        <v>1.0094999999999998</v>
      </c>
      <c r="G11">
        <v>5.0000000000000001E-3</v>
      </c>
      <c r="H11">
        <v>0.86899999999999999</v>
      </c>
      <c r="I11">
        <v>6815040.7525211219</v>
      </c>
      <c r="J11" s="158">
        <f>E11*I11/1000</f>
        <v>95.410570535295733</v>
      </c>
      <c r="K11" s="158">
        <f>F11*I11/1000</f>
        <v>6879.7836396700714</v>
      </c>
      <c r="L11">
        <f>C11+J11</f>
        <v>95.410570535295733</v>
      </c>
      <c r="M11">
        <f>D11+K11</f>
        <v>6879.7836396700714</v>
      </c>
      <c r="N11" s="159">
        <f>Summary!E40</f>
        <v>1570.6301585839094</v>
      </c>
      <c r="O11" s="159">
        <f>Summary!AL40</f>
        <v>22441.496675409395</v>
      </c>
      <c r="P11" s="159">
        <f>N11-L11</f>
        <v>1475.2195880486138</v>
      </c>
      <c r="Q11" s="159">
        <f>O11-M11</f>
        <v>15561.713035739323</v>
      </c>
      <c r="R11" s="315">
        <v>53.948082191780841</v>
      </c>
      <c r="S11" s="159">
        <v>117371130.20425767</v>
      </c>
      <c r="T11" s="159">
        <v>113376647.57000002</v>
      </c>
      <c r="U11" s="158">
        <f>E11*S11/1000</f>
        <v>1643.1958228596079</v>
      </c>
      <c r="V11" s="158">
        <f>G11*T11/1000</f>
        <v>566.88323785000011</v>
      </c>
      <c r="W11" s="163">
        <f>P11-(V11-V10)</f>
        <v>1196.9425145946136</v>
      </c>
      <c r="X11" s="164">
        <f>P11/N11</f>
        <v>0.93925331815777791</v>
      </c>
      <c r="Y11" s="164">
        <f>P11/U11</f>
        <v>0.89777467026500235</v>
      </c>
      <c r="Z11">
        <f>W11/U11</f>
        <v>0.72842353780549896</v>
      </c>
      <c r="AA11" s="163">
        <f>F11*S11/1000</f>
        <v>118486.1559411981</v>
      </c>
      <c r="AB11" s="159">
        <f t="shared" ref="AB11:AB20" si="0">H11*T11/1000</f>
        <v>98524.306738330022</v>
      </c>
      <c r="AC11" s="163">
        <f>Q11-(AB11-AB10)</f>
        <v>46910.180275609258</v>
      </c>
      <c r="AD11" s="164">
        <f>Q11/O11</f>
        <v>0.69343472321929855</v>
      </c>
      <c r="AE11">
        <f t="shared" ref="AE11:AE20" si="1">Q11/AA11</f>
        <v>0.13133781674428055</v>
      </c>
      <c r="AF11">
        <f>AC11/AA11</f>
        <v>0.39591275371351975</v>
      </c>
    </row>
    <row r="12" spans="1:32" x14ac:dyDescent="0.2">
      <c r="A12" s="154">
        <v>1992</v>
      </c>
      <c r="B12" s="154">
        <v>0</v>
      </c>
      <c r="C12" s="154">
        <v>0</v>
      </c>
      <c r="D12" s="154">
        <v>0</v>
      </c>
      <c r="E12">
        <v>1.5400000000000002E-2</v>
      </c>
      <c r="F12">
        <v>1.0623333333333334</v>
      </c>
      <c r="G12">
        <v>5.0000000000000001E-3</v>
      </c>
      <c r="H12">
        <v>1.0335000000000001</v>
      </c>
      <c r="I12">
        <v>6725167.7134329723</v>
      </c>
      <c r="J12" s="158">
        <f t="shared" ref="J12:J26" si="2">E12*I12/1000</f>
        <v>103.56758278686779</v>
      </c>
      <c r="K12" s="158">
        <f t="shared" ref="K12:K26" si="3">F12*I12/1000</f>
        <v>7144.3698342369607</v>
      </c>
      <c r="L12">
        <f t="shared" ref="L12:L26" si="4">C12+J12</f>
        <v>103.56758278686779</v>
      </c>
      <c r="M12">
        <f t="shared" ref="M12:M26" si="5">D12+K12</f>
        <v>7144.3698342369607</v>
      </c>
      <c r="N12" s="159">
        <f>Summary!F40</f>
        <v>1397.9597583184632</v>
      </c>
      <c r="O12" s="159">
        <f>Summary!AM40</f>
        <v>25346.287113806084</v>
      </c>
      <c r="P12" s="159">
        <f t="shared" ref="P12:P20" si="6">N12-L12</f>
        <v>1294.3921755315953</v>
      </c>
      <c r="Q12" s="159">
        <f t="shared" ref="Q12:Q20" si="7">O12-M12</f>
        <v>18201.917279569123</v>
      </c>
      <c r="R12" s="315">
        <v>53.021775956284124</v>
      </c>
      <c r="S12" s="159">
        <v>111200212.42546469</v>
      </c>
      <c r="T12" s="159">
        <v>110263547.99360004</v>
      </c>
      <c r="U12" s="158">
        <f t="shared" ref="U12:U19" si="8">E12*S12/1000</f>
        <v>1712.4832713521566</v>
      </c>
      <c r="V12" s="158">
        <f t="shared" ref="V12:V20" si="9">G12*T12/1000</f>
        <v>551.31773996800018</v>
      </c>
      <c r="W12" s="163">
        <f t="shared" ref="W12:W20" si="10">P12-(V12-V11)</f>
        <v>1309.9576734135953</v>
      </c>
      <c r="X12" s="164">
        <f t="shared" ref="X12:X20" si="11">P12/N12</f>
        <v>0.92591519021159507</v>
      </c>
      <c r="Y12" s="164">
        <f t="shared" ref="Y12:Y20" si="12">P12/U12</f>
        <v>0.75585682919375818</v>
      </c>
      <c r="Z12">
        <f t="shared" ref="Z12:Z20" si="13">W12/U12</f>
        <v>0.76494625981325248</v>
      </c>
      <c r="AA12" s="163">
        <f t="shared" ref="AA12:AA19" si="14">F12*S12/1000</f>
        <v>118131.69233331866</v>
      </c>
      <c r="AB12" s="159">
        <f t="shared" si="0"/>
        <v>113957.37685138565</v>
      </c>
      <c r="AC12" s="163">
        <f t="shared" ref="AC12:AC20" si="15">Q12-(AB12-AB11)</f>
        <v>2768.8471665134966</v>
      </c>
      <c r="AD12" s="164">
        <f t="shared" ref="AD12:AD20" si="16">Q12/O12</f>
        <v>0.71812953107654831</v>
      </c>
      <c r="AE12">
        <f t="shared" si="1"/>
        <v>0.15408157557085408</v>
      </c>
      <c r="AF12">
        <f t="shared" ref="AF12:AF20" si="17">AC12/AA12</f>
        <v>2.3438648103854789E-2</v>
      </c>
    </row>
    <row r="13" spans="1:32" x14ac:dyDescent="0.2">
      <c r="A13">
        <v>1993</v>
      </c>
      <c r="B13" s="154">
        <v>0</v>
      </c>
      <c r="C13" s="154">
        <v>0</v>
      </c>
      <c r="D13" s="154">
        <v>0</v>
      </c>
      <c r="E13">
        <v>1.1500000000000002E-2</v>
      </c>
      <c r="F13">
        <v>0.99749999999999994</v>
      </c>
      <c r="G13">
        <v>4.5000000000000005E-3</v>
      </c>
      <c r="H13">
        <v>0.98350000000000004</v>
      </c>
      <c r="I13">
        <v>6686763.9773516096</v>
      </c>
      <c r="J13" s="158">
        <f t="shared" si="2"/>
        <v>76.897785739543522</v>
      </c>
      <c r="K13" s="158">
        <f t="shared" si="3"/>
        <v>6670.0470674082299</v>
      </c>
      <c r="L13">
        <f t="shared" si="4"/>
        <v>76.897785739543522</v>
      </c>
      <c r="M13">
        <f t="shared" si="5"/>
        <v>6670.0470674082299</v>
      </c>
      <c r="N13" s="159">
        <f>Summary!G40</f>
        <v>1123.9409926975775</v>
      </c>
      <c r="O13" s="159">
        <f>Summary!AN40</f>
        <v>26287.004218832051</v>
      </c>
      <c r="P13" s="159">
        <f t="shared" si="6"/>
        <v>1047.043206958034</v>
      </c>
      <c r="Q13" s="159">
        <f t="shared" si="7"/>
        <v>19616.95715142382</v>
      </c>
      <c r="R13" s="315">
        <v>52.620714285714271</v>
      </c>
      <c r="S13" s="159">
        <v>108555912.05836928</v>
      </c>
      <c r="T13" s="159">
        <v>102807486.43040001</v>
      </c>
      <c r="U13" s="158">
        <f t="shared" si="8"/>
        <v>1248.3929886712469</v>
      </c>
      <c r="V13" s="158">
        <f t="shared" si="9"/>
        <v>462.63368893680013</v>
      </c>
      <c r="W13" s="163">
        <f t="shared" si="10"/>
        <v>1135.7272579892342</v>
      </c>
      <c r="X13" s="164">
        <f t="shared" si="11"/>
        <v>0.93158200809547786</v>
      </c>
      <c r="Y13" s="164">
        <f t="shared" si="12"/>
        <v>0.83871282237212519</v>
      </c>
      <c r="Z13">
        <f t="shared" si="13"/>
        <v>0.90975139102476787</v>
      </c>
      <c r="AA13" s="163">
        <f t="shared" si="14"/>
        <v>108284.52227822335</v>
      </c>
      <c r="AB13" s="159">
        <f t="shared" si="0"/>
        <v>101111.16290429843</v>
      </c>
      <c r="AC13" s="163">
        <f t="shared" si="15"/>
        <v>32463.17109851104</v>
      </c>
      <c r="AD13" s="164">
        <f t="shared" si="16"/>
        <v>0.74626066128030677</v>
      </c>
      <c r="AE13">
        <f t="shared" si="1"/>
        <v>0.18116122912765442</v>
      </c>
      <c r="AF13">
        <f t="shared" si="17"/>
        <v>0.29979511767250577</v>
      </c>
    </row>
    <row r="14" spans="1:32" x14ac:dyDescent="0.2">
      <c r="A14" s="154">
        <v>1994</v>
      </c>
      <c r="B14" s="154">
        <v>0</v>
      </c>
      <c r="C14" s="154">
        <v>0</v>
      </c>
      <c r="D14" s="154">
        <v>0</v>
      </c>
      <c r="E14">
        <v>6.7499999999999999E-3</v>
      </c>
      <c r="F14">
        <v>0.89160000000000006</v>
      </c>
      <c r="G14">
        <v>5.0000000000000001E-4</v>
      </c>
      <c r="H14">
        <v>0.90200000000000002</v>
      </c>
      <c r="I14">
        <v>6688609.1510086907</v>
      </c>
      <c r="J14" s="158">
        <f t="shared" si="2"/>
        <v>45.148111769308663</v>
      </c>
      <c r="K14" s="158">
        <f t="shared" si="3"/>
        <v>5963.5639190393495</v>
      </c>
      <c r="L14">
        <f t="shared" si="4"/>
        <v>45.148111769308663</v>
      </c>
      <c r="M14">
        <f t="shared" si="5"/>
        <v>5963.5639190393495</v>
      </c>
      <c r="N14" s="159">
        <f>Summary!H40</f>
        <v>1037.1490299988716</v>
      </c>
      <c r="O14" s="159">
        <f>Summary!AO40</f>
        <v>25235.685676417153</v>
      </c>
      <c r="P14" s="159">
        <f t="shared" si="6"/>
        <v>992.0009182295629</v>
      </c>
      <c r="Q14" s="159">
        <f t="shared" si="7"/>
        <v>19272.121757377805</v>
      </c>
      <c r="R14" s="315">
        <v>52.640057636887612</v>
      </c>
      <c r="S14" s="159">
        <v>108683066.01322994</v>
      </c>
      <c r="T14" s="159">
        <v>115843448.92159998</v>
      </c>
      <c r="U14" s="158">
        <f t="shared" si="8"/>
        <v>733.61069558930205</v>
      </c>
      <c r="V14" s="158">
        <f t="shared" si="9"/>
        <v>57.921724460799993</v>
      </c>
      <c r="W14" s="163">
        <f t="shared" si="10"/>
        <v>1396.7128827055631</v>
      </c>
      <c r="X14" s="164">
        <f t="shared" si="11"/>
        <v>0.95646902184408555</v>
      </c>
      <c r="Y14" s="164">
        <f t="shared" si="12"/>
        <v>1.3522170876103417</v>
      </c>
      <c r="Z14">
        <f t="shared" si="13"/>
        <v>1.903888385356211</v>
      </c>
      <c r="AA14" s="163">
        <f t="shared" si="14"/>
        <v>96901.82165739582</v>
      </c>
      <c r="AB14" s="159">
        <f t="shared" si="0"/>
        <v>104490.79092728319</v>
      </c>
      <c r="AC14" s="163">
        <f t="shared" si="15"/>
        <v>15892.493734393043</v>
      </c>
      <c r="AD14" s="164">
        <f t="shared" si="16"/>
        <v>0.76368528299540828</v>
      </c>
      <c r="AE14">
        <f t="shared" si="1"/>
        <v>0.19888296657121618</v>
      </c>
      <c r="AF14">
        <f t="shared" si="17"/>
        <v>0.16400614005567649</v>
      </c>
    </row>
    <row r="15" spans="1:32" x14ac:dyDescent="0.2">
      <c r="A15">
        <v>1995</v>
      </c>
      <c r="B15" s="154">
        <v>0</v>
      </c>
      <c r="C15" s="154">
        <v>0</v>
      </c>
      <c r="D15" s="154">
        <v>0</v>
      </c>
      <c r="E15">
        <v>1.4199999999999999E-2</v>
      </c>
      <c r="F15">
        <v>0.7349</v>
      </c>
      <c r="G15">
        <v>2.3E-2</v>
      </c>
      <c r="H15">
        <v>0.84799999999999998</v>
      </c>
      <c r="I15">
        <v>6795248.9151367256</v>
      </c>
      <c r="J15" s="158">
        <f t="shared" si="2"/>
        <v>96.492534594941489</v>
      </c>
      <c r="K15" s="158">
        <f t="shared" si="3"/>
        <v>4993.8284277339799</v>
      </c>
      <c r="L15">
        <f t="shared" si="4"/>
        <v>96.492534594941489</v>
      </c>
      <c r="M15">
        <f t="shared" si="5"/>
        <v>4993.8284277339799</v>
      </c>
      <c r="N15" s="159">
        <f>Summary!I40</f>
        <v>807.0753174376822</v>
      </c>
      <c r="O15" s="159">
        <f>Summary!AP40</f>
        <v>25144.746835951686</v>
      </c>
      <c r="P15" s="159">
        <f t="shared" si="6"/>
        <v>710.5827828427407</v>
      </c>
      <c r="Q15" s="159">
        <f t="shared" si="7"/>
        <v>20150.918408217705</v>
      </c>
      <c r="R15" s="315">
        <v>53.745534246575367</v>
      </c>
      <c r="S15" s="159">
        <v>116014208.51820028</v>
      </c>
      <c r="T15" s="159">
        <v>116981588.72839999</v>
      </c>
      <c r="U15" s="158">
        <f t="shared" si="8"/>
        <v>1647.4017609584439</v>
      </c>
      <c r="V15" s="158">
        <f t="shared" si="9"/>
        <v>2690.5765407531999</v>
      </c>
      <c r="W15" s="163">
        <f t="shared" si="10"/>
        <v>-1922.0720334496593</v>
      </c>
      <c r="X15" s="164">
        <f t="shared" si="11"/>
        <v>0.88044172271147159</v>
      </c>
      <c r="Y15" s="164">
        <f t="shared" si="12"/>
        <v>0.43133545179005384</v>
      </c>
      <c r="Z15">
        <f t="shared" si="13"/>
        <v>-1.1667293789533251</v>
      </c>
      <c r="AA15" s="163">
        <f t="shared" si="14"/>
        <v>85258.841840025387</v>
      </c>
      <c r="AB15" s="159">
        <f t="shared" si="0"/>
        <v>99200.387241683187</v>
      </c>
      <c r="AC15" s="163">
        <f t="shared" si="15"/>
        <v>25441.322093817707</v>
      </c>
      <c r="AD15" s="164">
        <f t="shared" si="16"/>
        <v>0.80139675056923387</v>
      </c>
      <c r="AE15">
        <f t="shared" si="1"/>
        <v>0.236349896073274</v>
      </c>
      <c r="AF15">
        <f t="shared" si="17"/>
        <v>0.29840098158445888</v>
      </c>
    </row>
    <row r="16" spans="1:32" x14ac:dyDescent="0.2">
      <c r="A16" s="154">
        <v>1996</v>
      </c>
      <c r="B16" s="154">
        <v>0</v>
      </c>
      <c r="C16" s="154">
        <v>0</v>
      </c>
      <c r="D16" s="154">
        <v>0</v>
      </c>
      <c r="E16">
        <v>2.12E-2</v>
      </c>
      <c r="F16">
        <v>0.74099999999999999</v>
      </c>
      <c r="G16">
        <v>0.01</v>
      </c>
      <c r="H16">
        <v>0.68</v>
      </c>
      <c r="I16">
        <v>6853092.9677471919</v>
      </c>
      <c r="J16" s="158">
        <f t="shared" si="2"/>
        <v>145.28557091624049</v>
      </c>
      <c r="K16" s="158">
        <f t="shared" si="3"/>
        <v>5078.1418891006688</v>
      </c>
      <c r="L16">
        <f t="shared" si="4"/>
        <v>145.28557091624049</v>
      </c>
      <c r="M16">
        <f t="shared" si="5"/>
        <v>5078.1418891006688</v>
      </c>
      <c r="N16" s="159">
        <f>Summary!J40</f>
        <v>1228.8355224285008</v>
      </c>
      <c r="O16" s="159">
        <f>Summary!AQ40</f>
        <v>17150.858789678623</v>
      </c>
      <c r="P16" s="159">
        <f t="shared" si="6"/>
        <v>1083.5499515122603</v>
      </c>
      <c r="Q16" s="159">
        <f t="shared" si="7"/>
        <v>12072.716900577954</v>
      </c>
      <c r="R16" s="315">
        <v>54.335273224043746</v>
      </c>
      <c r="S16" s="159">
        <v>119976825.85593882</v>
      </c>
      <c r="T16" s="159">
        <v>117585342.73759997</v>
      </c>
      <c r="U16" s="158">
        <f t="shared" si="8"/>
        <v>2543.5087081459028</v>
      </c>
      <c r="V16" s="158">
        <f t="shared" si="9"/>
        <v>1175.8534273759997</v>
      </c>
      <c r="W16" s="163">
        <f t="shared" si="10"/>
        <v>2598.2730648894603</v>
      </c>
      <c r="X16" s="164">
        <f t="shared" si="11"/>
        <v>0.88176971753785394</v>
      </c>
      <c r="Y16" s="164">
        <f t="shared" si="12"/>
        <v>0.42600599244738457</v>
      </c>
      <c r="Z16">
        <f t="shared" si="13"/>
        <v>1.021531027815304</v>
      </c>
      <c r="AA16" s="163">
        <f t="shared" si="14"/>
        <v>88902.827959250659</v>
      </c>
      <c r="AB16" s="159">
        <f t="shared" si="0"/>
        <v>79958.033061567985</v>
      </c>
      <c r="AC16" s="163">
        <f t="shared" si="15"/>
        <v>31315.071080693157</v>
      </c>
      <c r="AD16" s="164">
        <f t="shared" si="16"/>
        <v>0.70391325872517285</v>
      </c>
      <c r="AE16">
        <f t="shared" si="1"/>
        <v>0.13579677022323275</v>
      </c>
      <c r="AF16">
        <f t="shared" si="17"/>
        <v>0.35223931341134251</v>
      </c>
    </row>
    <row r="17" spans="1:32" x14ac:dyDescent="0.2">
      <c r="A17">
        <v>1997</v>
      </c>
      <c r="B17" s="154">
        <v>0</v>
      </c>
      <c r="C17" s="154">
        <v>0</v>
      </c>
      <c r="D17" s="154">
        <v>0</v>
      </c>
      <c r="E17">
        <v>1.6E-2</v>
      </c>
      <c r="F17">
        <v>0.77880000000000016</v>
      </c>
      <c r="G17">
        <v>0.01</v>
      </c>
      <c r="H17">
        <v>0.8204999999999999</v>
      </c>
      <c r="I17">
        <v>6766203.0948492642</v>
      </c>
      <c r="J17" s="158">
        <f t="shared" si="2"/>
        <v>108.25924951758823</v>
      </c>
      <c r="K17" s="158">
        <f t="shared" si="3"/>
        <v>5269.5189702686084</v>
      </c>
      <c r="L17">
        <f t="shared" si="4"/>
        <v>108.25924951758823</v>
      </c>
      <c r="M17">
        <f t="shared" si="5"/>
        <v>5269.5189702686084</v>
      </c>
      <c r="N17" s="159">
        <f>Summary!K40</f>
        <v>1472.9493070259073</v>
      </c>
      <c r="O17" s="159">
        <f>Summary!AR40</f>
        <v>24220.915833239385</v>
      </c>
      <c r="P17" s="159">
        <f t="shared" si="6"/>
        <v>1364.6900575083191</v>
      </c>
      <c r="Q17" s="159">
        <f t="shared" si="7"/>
        <v>18951.396862970778</v>
      </c>
      <c r="R17" s="315">
        <v>53.446818181818209</v>
      </c>
      <c r="S17" s="159">
        <v>114020770.37015638</v>
      </c>
      <c r="T17" s="159">
        <v>115347048.42501214</v>
      </c>
      <c r="U17" s="158">
        <f t="shared" si="8"/>
        <v>1824.3323259225019</v>
      </c>
      <c r="V17" s="158">
        <f t="shared" si="9"/>
        <v>1153.4704842501214</v>
      </c>
      <c r="W17" s="163">
        <f t="shared" si="10"/>
        <v>1387.0730006341973</v>
      </c>
      <c r="X17" s="164">
        <f t="shared" si="11"/>
        <v>0.92650171394141267</v>
      </c>
      <c r="Y17" s="164">
        <f t="shared" si="12"/>
        <v>0.74804904683045748</v>
      </c>
      <c r="Z17">
        <f t="shared" si="13"/>
        <v>0.76031816184192336</v>
      </c>
      <c r="AA17" s="163">
        <f t="shared" si="14"/>
        <v>88799.375964277802</v>
      </c>
      <c r="AB17" s="159">
        <f t="shared" si="0"/>
        <v>94642.253232722447</v>
      </c>
      <c r="AC17" s="163">
        <f t="shared" si="15"/>
        <v>4267.1766918163157</v>
      </c>
      <c r="AD17" s="164">
        <f t="shared" si="16"/>
        <v>0.78243931787925936</v>
      </c>
      <c r="AE17">
        <f t="shared" si="1"/>
        <v>0.21341813112058966</v>
      </c>
      <c r="AF17">
        <f t="shared" si="17"/>
        <v>4.8054129271504285E-2</v>
      </c>
    </row>
    <row r="18" spans="1:32" x14ac:dyDescent="0.2">
      <c r="A18" s="154">
        <v>1998</v>
      </c>
      <c r="B18" s="154">
        <v>0</v>
      </c>
      <c r="C18" s="154">
        <v>0</v>
      </c>
      <c r="D18" s="154">
        <v>0</v>
      </c>
      <c r="E18">
        <v>1.3624999999999998E-2</v>
      </c>
      <c r="F18">
        <v>0.85012500000000002</v>
      </c>
      <c r="G18">
        <v>1.4999999999999999E-2</v>
      </c>
      <c r="H18">
        <v>0.76200000000000001</v>
      </c>
      <c r="I18">
        <v>6853093.9339817427</v>
      </c>
      <c r="J18" s="158">
        <f t="shared" si="2"/>
        <v>93.373404850501231</v>
      </c>
      <c r="K18" s="158">
        <f t="shared" si="3"/>
        <v>5825.9864806262294</v>
      </c>
      <c r="L18">
        <f t="shared" si="4"/>
        <v>93.373404850501231</v>
      </c>
      <c r="M18">
        <f t="shared" si="5"/>
        <v>5825.9864806262294</v>
      </c>
      <c r="N18" s="159">
        <f>Summary!L40</f>
        <v>1164.9700176565657</v>
      </c>
      <c r="O18" s="159">
        <f>Summary!AS40</f>
        <v>20181.099505209233</v>
      </c>
      <c r="P18" s="159">
        <f t="shared" si="6"/>
        <v>1071.5966128060645</v>
      </c>
      <c r="Q18" s="159">
        <f t="shared" si="7"/>
        <v>14355.113024583003</v>
      </c>
      <c r="R18" s="315">
        <v>54.335283018867933</v>
      </c>
      <c r="S18" s="159">
        <v>119976891.96859086</v>
      </c>
      <c r="T18" s="159">
        <v>121326994.04089999</v>
      </c>
      <c r="U18" s="158">
        <f t="shared" si="8"/>
        <v>1634.6851530720503</v>
      </c>
      <c r="V18" s="158">
        <f t="shared" si="9"/>
        <v>1819.9049106134999</v>
      </c>
      <c r="W18" s="163">
        <f t="shared" si="10"/>
        <v>405.16218644268611</v>
      </c>
      <c r="X18" s="164">
        <f t="shared" si="11"/>
        <v>0.91984909187763508</v>
      </c>
      <c r="Y18" s="164">
        <f t="shared" si="12"/>
        <v>0.65553700710636653</v>
      </c>
      <c r="Z18">
        <f t="shared" si="13"/>
        <v>0.24785334697710329</v>
      </c>
      <c r="AA18" s="163">
        <f t="shared" si="14"/>
        <v>101995.35528479831</v>
      </c>
      <c r="AB18" s="159">
        <f t="shared" si="0"/>
        <v>92451.169459165802</v>
      </c>
      <c r="AC18" s="163">
        <f t="shared" si="15"/>
        <v>16546.196798139648</v>
      </c>
      <c r="AD18" s="164">
        <f t="shared" si="16"/>
        <v>0.71131471409065683</v>
      </c>
      <c r="AE18">
        <f t="shared" si="1"/>
        <v>0.14074281112605264</v>
      </c>
      <c r="AF18">
        <f t="shared" si="17"/>
        <v>0.16222500281447369</v>
      </c>
    </row>
    <row r="19" spans="1:32" x14ac:dyDescent="0.2">
      <c r="A19">
        <v>1999</v>
      </c>
      <c r="B19" s="154">
        <v>0</v>
      </c>
      <c r="C19" s="154">
        <v>0</v>
      </c>
      <c r="D19" s="154">
        <v>0</v>
      </c>
      <c r="E19">
        <v>1.1166666666666667E-2</v>
      </c>
      <c r="F19">
        <v>0.82518181818181813</v>
      </c>
      <c r="G19">
        <v>0.01</v>
      </c>
      <c r="H19">
        <v>0.89200000000000002</v>
      </c>
      <c r="I19">
        <v>6842226.4099293519</v>
      </c>
      <c r="J19" s="158">
        <f t="shared" si="2"/>
        <v>76.404861577544438</v>
      </c>
      <c r="K19" s="158">
        <f t="shared" si="3"/>
        <v>5646.0808293571563</v>
      </c>
      <c r="L19">
        <f t="shared" si="4"/>
        <v>76.404861577544438</v>
      </c>
      <c r="M19">
        <f t="shared" si="5"/>
        <v>5646.0808293571563</v>
      </c>
      <c r="N19" s="159">
        <f>Summary!M40</f>
        <v>1191.8649961566091</v>
      </c>
      <c r="O19" s="159">
        <f>Summary!AT40</f>
        <v>21993.661367116911</v>
      </c>
      <c r="P19" s="159">
        <f t="shared" si="6"/>
        <v>1115.4601345790647</v>
      </c>
      <c r="Q19" s="159">
        <f t="shared" si="7"/>
        <v>16347.580537759753</v>
      </c>
      <c r="R19" s="315">
        <v>54.225000000000001</v>
      </c>
      <c r="S19" s="159">
        <v>119233137.28250003</v>
      </c>
      <c r="T19" s="159">
        <v>116378672</v>
      </c>
      <c r="U19" s="158">
        <f t="shared" si="8"/>
        <v>1331.4366996545837</v>
      </c>
      <c r="V19" s="158">
        <f t="shared" si="9"/>
        <v>1163.7867200000001</v>
      </c>
      <c r="W19" s="163">
        <f t="shared" si="10"/>
        <v>1771.5783251925645</v>
      </c>
      <c r="X19" s="164">
        <f t="shared" si="11"/>
        <v>0.93589470130935459</v>
      </c>
      <c r="Y19" s="164">
        <f t="shared" si="12"/>
        <v>0.83778683197515136</v>
      </c>
      <c r="Z19">
        <f t="shared" si="13"/>
        <v>1.3305764559833504</v>
      </c>
      <c r="AA19" s="163">
        <f t="shared" si="14"/>
        <v>98389.017010295705</v>
      </c>
      <c r="AB19" s="159">
        <f t="shared" si="0"/>
        <v>103809.77542399999</v>
      </c>
      <c r="AC19" s="163">
        <f t="shared" si="15"/>
        <v>4988.9745729255628</v>
      </c>
      <c r="AD19" s="164">
        <f t="shared" si="16"/>
        <v>0.74328599794672179</v>
      </c>
      <c r="AE19">
        <f t="shared" si="1"/>
        <v>0.16615249378951613</v>
      </c>
      <c r="AF19">
        <f t="shared" si="17"/>
        <v>5.0706620764424372E-2</v>
      </c>
    </row>
    <row r="20" spans="1:32" x14ac:dyDescent="0.2">
      <c r="A20" s="154">
        <v>2000</v>
      </c>
      <c r="B20" s="154">
        <v>0</v>
      </c>
      <c r="C20" s="154">
        <v>0</v>
      </c>
      <c r="D20" s="154">
        <v>0</v>
      </c>
      <c r="E20">
        <v>1.2500000000000002E-2</v>
      </c>
      <c r="F20">
        <v>0.87378571428571417</v>
      </c>
      <c r="G20">
        <v>1.2E-2</v>
      </c>
      <c r="H20">
        <v>0.74199999999999999</v>
      </c>
      <c r="I20">
        <v>6642426.1474380596</v>
      </c>
      <c r="J20" s="158">
        <f t="shared" si="2"/>
        <v>83.030326842975754</v>
      </c>
      <c r="K20" s="158">
        <f t="shared" si="3"/>
        <v>5804.0570758292697</v>
      </c>
      <c r="L20">
        <f t="shared" si="4"/>
        <v>83.030326842975754</v>
      </c>
      <c r="M20">
        <f t="shared" si="5"/>
        <v>5804.0570758292697</v>
      </c>
      <c r="N20" s="159">
        <f>Summary!N40</f>
        <v>1438.5166814242307</v>
      </c>
      <c r="O20" s="159">
        <f>Summary!AU40</f>
        <v>28163.999452702046</v>
      </c>
      <c r="P20" s="159">
        <f t="shared" si="6"/>
        <v>1355.486354581255</v>
      </c>
      <c r="Q20" s="159">
        <f t="shared" si="7"/>
        <v>22359.942376872776</v>
      </c>
      <c r="R20" s="315">
        <v>52.153636363636359</v>
      </c>
      <c r="S20" s="159">
        <v>105497307.24251565</v>
      </c>
      <c r="T20" s="159">
        <v>99938057.078440994</v>
      </c>
      <c r="U20" s="158">
        <f t="shared" ref="U20:U26" si="18">E20*S20/1000</f>
        <v>1318.7163405314461</v>
      </c>
      <c r="V20" s="158">
        <f t="shared" si="9"/>
        <v>1199.256684941292</v>
      </c>
      <c r="W20" s="163">
        <f t="shared" si="10"/>
        <v>1320.0163896399631</v>
      </c>
      <c r="X20" s="164">
        <f t="shared" si="11"/>
        <v>0.94228059506354145</v>
      </c>
      <c r="Y20" s="164">
        <f t="shared" si="12"/>
        <v>1.0278831867928402</v>
      </c>
      <c r="Z20">
        <f t="shared" si="13"/>
        <v>1.0009858443916704</v>
      </c>
      <c r="AA20" s="163">
        <f t="shared" ref="AA20:AA26" si="19">F20*S20/1000</f>
        <v>92182.039964120981</v>
      </c>
      <c r="AB20" s="159">
        <f t="shared" si="0"/>
        <v>74154.038352203221</v>
      </c>
      <c r="AC20" s="163">
        <f t="shared" si="15"/>
        <v>52015.679448669543</v>
      </c>
      <c r="AD20" s="164">
        <f t="shared" si="16"/>
        <v>0.79391928743726659</v>
      </c>
      <c r="AE20">
        <f t="shared" si="1"/>
        <v>0.24256289387364061</v>
      </c>
      <c r="AF20">
        <f t="shared" si="17"/>
        <v>0.56427129914802321</v>
      </c>
    </row>
    <row r="21" spans="1:32" x14ac:dyDescent="0.2">
      <c r="A21">
        <v>2001</v>
      </c>
      <c r="B21" s="154">
        <v>0</v>
      </c>
      <c r="C21" s="154">
        <v>0</v>
      </c>
      <c r="D21" s="154">
        <v>0</v>
      </c>
      <c r="E21">
        <v>1.5416666666666667E-2</v>
      </c>
      <c r="F21">
        <v>0.82058333333333311</v>
      </c>
      <c r="G21" s="249">
        <v>1.4E-2</v>
      </c>
      <c r="H21" s="154">
        <v>1.702</v>
      </c>
      <c r="I21" s="249">
        <v>4501050.2123717917</v>
      </c>
      <c r="J21" s="158">
        <f t="shared" si="2"/>
        <v>69.391190774065123</v>
      </c>
      <c r="K21" s="158">
        <f t="shared" si="3"/>
        <v>3693.4867867687517</v>
      </c>
      <c r="L21">
        <f t="shared" si="4"/>
        <v>69.391190774065123</v>
      </c>
      <c r="M21">
        <f t="shared" si="5"/>
        <v>3693.4867867687517</v>
      </c>
      <c r="N21" s="159">
        <f>Summary!O40</f>
        <v>1393.1178455160884</v>
      </c>
      <c r="O21" s="159">
        <f>Summary!AV40</f>
        <v>37603.951928644652</v>
      </c>
      <c r="P21" s="159">
        <f t="shared" ref="P21:Q23" si="20">N21-L21</f>
        <v>1323.7266547420234</v>
      </c>
      <c r="Q21" s="159">
        <f t="shared" si="20"/>
        <v>33910.465141875902</v>
      </c>
      <c r="R21" s="315">
        <v>51.261132331460665</v>
      </c>
      <c r="S21" s="159">
        <v>99715564.639698684</v>
      </c>
      <c r="T21" s="159">
        <v>99042879.983936042</v>
      </c>
      <c r="U21" s="158">
        <f t="shared" si="18"/>
        <v>1537.2816215286882</v>
      </c>
      <c r="V21" s="158">
        <f t="shared" ref="V21:V26" si="21">G21*T21/1000</f>
        <v>1386.6003197751045</v>
      </c>
      <c r="W21" s="163">
        <f t="shared" ref="W21:W26" si="22">P21-(V21-V20)</f>
        <v>1136.3830199082108</v>
      </c>
      <c r="X21" s="164">
        <f t="shared" ref="X21:X26" si="23">P21/N21</f>
        <v>0.95019000654007224</v>
      </c>
      <c r="Y21" s="164">
        <f t="shared" ref="Y21:Y26" si="24">P21/U21</f>
        <v>0.86108272954287735</v>
      </c>
      <c r="Z21">
        <f t="shared" ref="Z21:Z26" si="25">W21/U21</f>
        <v>0.73921590162391992</v>
      </c>
      <c r="AA21" s="163">
        <f t="shared" si="19"/>
        <v>81824.930417259398</v>
      </c>
      <c r="AB21" s="159">
        <f t="shared" ref="AB21:AB26" si="26">H21*T21/1000</f>
        <v>168570.98173265913</v>
      </c>
      <c r="AC21" s="163">
        <f t="shared" ref="AC21:AC26" si="27">Q21-(AB21-AB20)</f>
        <v>-60506.478238580006</v>
      </c>
      <c r="AD21" s="164">
        <f t="shared" ref="AD21:AD26" si="28">Q21/O21</f>
        <v>0.90177929187396788</v>
      </c>
      <c r="AE21">
        <f t="shared" ref="AE21:AE26" si="29">Q21/AA21</f>
        <v>0.41442705748666475</v>
      </c>
      <c r="AF21">
        <f t="shared" ref="AF21:AF26" si="30">AC21/AA21</f>
        <v>-0.73946262991037415</v>
      </c>
    </row>
    <row r="22" spans="1:32" x14ac:dyDescent="0.2">
      <c r="A22" s="154">
        <v>2002</v>
      </c>
      <c r="B22" s="154">
        <v>0</v>
      </c>
      <c r="C22" s="154">
        <v>0</v>
      </c>
      <c r="D22" s="154">
        <v>0</v>
      </c>
      <c r="E22">
        <v>1.4833333333333337E-2</v>
      </c>
      <c r="F22">
        <v>0.88109090909090915</v>
      </c>
      <c r="G22" s="2">
        <v>1.2E-2</v>
      </c>
      <c r="H22" s="154">
        <v>0.82199999999999995</v>
      </c>
      <c r="I22" s="2">
        <v>4519002.1813546326</v>
      </c>
      <c r="J22" s="158">
        <f t="shared" si="2"/>
        <v>67.031865690093738</v>
      </c>
      <c r="K22" s="158">
        <f t="shared" si="3"/>
        <v>3981.6517401535548</v>
      </c>
      <c r="L22">
        <f t="shared" si="4"/>
        <v>67.031865690093738</v>
      </c>
      <c r="M22">
        <f t="shared" si="5"/>
        <v>3981.6517401535548</v>
      </c>
      <c r="N22" s="159">
        <f>Summary!P40</f>
        <v>1800.8545132448899</v>
      </c>
      <c r="O22" s="159">
        <f>Summary!AW40</f>
        <v>42041.742894337309</v>
      </c>
      <c r="P22" s="159">
        <f t="shared" si="20"/>
        <v>1733.822647554796</v>
      </c>
      <c r="Q22" s="159">
        <f t="shared" si="20"/>
        <v>38060.091154183756</v>
      </c>
      <c r="R22" s="315">
        <v>51.54228427397257</v>
      </c>
      <c r="S22" s="159">
        <v>101528015.29967916</v>
      </c>
      <c r="T22" s="159">
        <v>106008104.06489909</v>
      </c>
      <c r="U22" s="158">
        <f t="shared" si="18"/>
        <v>1505.998893611908</v>
      </c>
      <c r="V22" s="158">
        <f t="shared" si="21"/>
        <v>1272.097248778789</v>
      </c>
      <c r="W22" s="163">
        <f t="shared" si="22"/>
        <v>1848.3257185511115</v>
      </c>
      <c r="X22" s="164">
        <f t="shared" si="23"/>
        <v>0.96277774512205783</v>
      </c>
      <c r="Y22" s="164">
        <f t="shared" si="24"/>
        <v>1.1512775041929066</v>
      </c>
      <c r="Z22">
        <f t="shared" si="25"/>
        <v>1.2273088156912155</v>
      </c>
      <c r="AA22" s="163">
        <f t="shared" si="19"/>
        <v>89455.411298590043</v>
      </c>
      <c r="AB22" s="159">
        <f t="shared" si="26"/>
        <v>87138.661541347043</v>
      </c>
      <c r="AC22" s="163">
        <f t="shared" si="27"/>
        <v>119492.41134549584</v>
      </c>
      <c r="AD22" s="164">
        <f t="shared" si="28"/>
        <v>0.90529289544059677</v>
      </c>
      <c r="AE22">
        <f t="shared" si="29"/>
        <v>0.42546438054087449</v>
      </c>
      <c r="AF22">
        <f t="shared" si="30"/>
        <v>1.3357762220403455</v>
      </c>
    </row>
    <row r="23" spans="1:32" x14ac:dyDescent="0.2">
      <c r="A23">
        <v>2003</v>
      </c>
      <c r="B23" s="154">
        <v>0</v>
      </c>
      <c r="C23" s="154">
        <v>0</v>
      </c>
      <c r="D23" s="154">
        <v>0</v>
      </c>
      <c r="E23">
        <v>1.2249999999999999E-2</v>
      </c>
      <c r="F23">
        <v>0.80983333333333352</v>
      </c>
      <c r="G23" s="249">
        <v>2E-3</v>
      </c>
      <c r="H23" s="154">
        <v>0.80400000000000005</v>
      </c>
      <c r="I23" s="249">
        <v>4625446.4948612228</v>
      </c>
      <c r="J23" s="158">
        <f t="shared" si="2"/>
        <v>56.661719562049974</v>
      </c>
      <c r="K23" s="158">
        <f t="shared" si="3"/>
        <v>3745.8407530884479</v>
      </c>
      <c r="L23">
        <f t="shared" si="4"/>
        <v>56.661719562049974</v>
      </c>
      <c r="M23">
        <f t="shared" si="5"/>
        <v>3745.8407530884479</v>
      </c>
      <c r="N23" s="159">
        <f>Summary!Q40</f>
        <v>1481.9829644146114</v>
      </c>
      <c r="O23" s="159">
        <f>Summary!AX40</f>
        <v>37638.756651101794</v>
      </c>
      <c r="P23" s="159">
        <f t="shared" si="20"/>
        <v>1425.3212448525614</v>
      </c>
      <c r="Q23" s="159">
        <f t="shared" si="20"/>
        <v>33892.915898013343</v>
      </c>
      <c r="R23" s="315">
        <v>53.177187232876726</v>
      </c>
      <c r="S23" s="159">
        <v>112229347.76608938</v>
      </c>
      <c r="T23" s="159">
        <v>112915664.52600813</v>
      </c>
      <c r="U23" s="158">
        <f t="shared" si="18"/>
        <v>1374.8095101345948</v>
      </c>
      <c r="V23" s="158">
        <f t="shared" si="21"/>
        <v>225.83132905201626</v>
      </c>
      <c r="W23" s="163">
        <f t="shared" si="22"/>
        <v>2471.5871645793341</v>
      </c>
      <c r="X23" s="164">
        <f t="shared" si="23"/>
        <v>0.96176628144681031</v>
      </c>
      <c r="Y23" s="164">
        <f t="shared" si="24"/>
        <v>1.0367408970810956</v>
      </c>
      <c r="Z23">
        <f t="shared" si="25"/>
        <v>1.797766997071008</v>
      </c>
      <c r="AA23" s="163">
        <f t="shared" si="19"/>
        <v>90887.066799238077</v>
      </c>
      <c r="AB23" s="159">
        <f t="shared" si="26"/>
        <v>90784.194278910552</v>
      </c>
      <c r="AC23" s="163">
        <f t="shared" si="27"/>
        <v>30247.383160449834</v>
      </c>
      <c r="AD23" s="164">
        <f t="shared" si="28"/>
        <v>0.90047915801759626</v>
      </c>
      <c r="AE23">
        <f t="shared" si="29"/>
        <v>0.37291241858294272</v>
      </c>
      <c r="AF23">
        <f t="shared" si="30"/>
        <v>0.33280184107232519</v>
      </c>
    </row>
    <row r="24" spans="1:32" x14ac:dyDescent="0.2">
      <c r="A24">
        <v>2004</v>
      </c>
      <c r="B24" s="154">
        <v>0</v>
      </c>
      <c r="C24" s="154">
        <v>0</v>
      </c>
      <c r="D24" s="154">
        <v>0</v>
      </c>
      <c r="E24">
        <v>1.2181818181818183E-2</v>
      </c>
      <c r="F24">
        <v>0.87699999999999989</v>
      </c>
      <c r="G24" s="302">
        <v>0.01</v>
      </c>
      <c r="H24">
        <v>0.81499999999999995</v>
      </c>
      <c r="I24" s="249">
        <v>4637713.9709811397</v>
      </c>
      <c r="J24" s="158">
        <f t="shared" si="2"/>
        <v>56.495788373770253</v>
      </c>
      <c r="K24" s="158">
        <f t="shared" si="3"/>
        <v>4067.2751525504591</v>
      </c>
      <c r="L24">
        <f t="shared" si="4"/>
        <v>56.495788373770253</v>
      </c>
      <c r="M24">
        <f t="shared" si="5"/>
        <v>4067.2751525504591</v>
      </c>
      <c r="N24" s="159">
        <f>Summary!R40</f>
        <v>1979.1537514522909</v>
      </c>
      <c r="O24" s="159">
        <f>Summary!AY40</f>
        <v>44712.494657236501</v>
      </c>
      <c r="P24" s="159">
        <f t="shared" ref="P24:Q26" si="31">N24-L24</f>
        <v>1922.6579630785207</v>
      </c>
      <c r="Q24" s="159">
        <f t="shared" si="31"/>
        <v>40645.219504686043</v>
      </c>
      <c r="R24" s="315">
        <v>53.362216066482027</v>
      </c>
      <c r="S24" s="159">
        <v>113457866.56412917</v>
      </c>
      <c r="T24" s="159">
        <v>115977192.67040002</v>
      </c>
      <c r="U24" s="158">
        <f t="shared" si="18"/>
        <v>1382.1231017812099</v>
      </c>
      <c r="V24" s="158">
        <f t="shared" si="21"/>
        <v>1159.7719267040002</v>
      </c>
      <c r="W24" s="163">
        <f t="shared" si="22"/>
        <v>988.71736542653673</v>
      </c>
      <c r="X24" s="164">
        <f t="shared" si="23"/>
        <v>0.97145457328299334</v>
      </c>
      <c r="Y24" s="164">
        <f t="shared" si="24"/>
        <v>1.391090244132883</v>
      </c>
      <c r="Z24">
        <f t="shared" si="25"/>
        <v>0.71536129028762208</v>
      </c>
      <c r="AA24" s="163">
        <f t="shared" si="19"/>
        <v>99502.548976741266</v>
      </c>
      <c r="AB24" s="159">
        <f t="shared" si="26"/>
        <v>94521.412026376012</v>
      </c>
      <c r="AC24" s="163">
        <f t="shared" si="27"/>
        <v>36908.001757220583</v>
      </c>
      <c r="AD24" s="164">
        <f t="shared" si="28"/>
        <v>0.90903493120368339</v>
      </c>
      <c r="AE24">
        <f t="shared" si="29"/>
        <v>0.40848420389900636</v>
      </c>
      <c r="AF24">
        <f t="shared" si="30"/>
        <v>0.37092518871901298</v>
      </c>
    </row>
    <row r="25" spans="1:32" x14ac:dyDescent="0.2">
      <c r="A25" s="154">
        <v>2005</v>
      </c>
      <c r="B25" s="154">
        <v>0</v>
      </c>
      <c r="C25" s="154">
        <v>0</v>
      </c>
      <c r="D25" s="154">
        <v>0</v>
      </c>
      <c r="E25">
        <v>9.5735318333333343E-3</v>
      </c>
      <c r="F25">
        <v>0.70967587799999998</v>
      </c>
      <c r="G25" s="303">
        <v>1.7587736E-2</v>
      </c>
      <c r="H25">
        <v>0.67331343200000005</v>
      </c>
      <c r="I25" s="249">
        <v>4720236.6202746239</v>
      </c>
      <c r="J25" s="158">
        <f t="shared" si="2"/>
        <v>45.189335545064857</v>
      </c>
      <c r="K25" s="158">
        <f t="shared" si="3"/>
        <v>3349.8380678611461</v>
      </c>
      <c r="L25">
        <f t="shared" si="4"/>
        <v>45.189335545064857</v>
      </c>
      <c r="M25">
        <f t="shared" si="5"/>
        <v>3349.8380678611461</v>
      </c>
      <c r="N25" s="159">
        <f>Summary!S40</f>
        <v>1729.0356544595152</v>
      </c>
      <c r="O25" s="159">
        <f>Summary!AZ40</f>
        <v>41693.897172877529</v>
      </c>
      <c r="P25" s="159">
        <f t="shared" si="31"/>
        <v>1683.8463189144504</v>
      </c>
      <c r="Q25" s="159">
        <f t="shared" si="31"/>
        <v>38344.059105016386</v>
      </c>
      <c r="R25" s="315">
        <v>54.589752066115679</v>
      </c>
      <c r="S25" s="159">
        <v>121697842.2947703</v>
      </c>
      <c r="T25" s="159">
        <v>125510337.40999997</v>
      </c>
      <c r="U25" s="158">
        <f t="shared" si="18"/>
        <v>1165.0781672569633</v>
      </c>
      <c r="V25" s="158">
        <f t="shared" si="21"/>
        <v>2207.442679638003</v>
      </c>
      <c r="W25" s="163">
        <f t="shared" si="22"/>
        <v>636.17556598044757</v>
      </c>
      <c r="X25" s="164">
        <f t="shared" si="23"/>
        <v>0.97386442816924412</v>
      </c>
      <c r="Y25" s="164">
        <f t="shared" si="24"/>
        <v>1.4452646751409517</v>
      </c>
      <c r="Z25">
        <f t="shared" si="25"/>
        <v>0.54603681011227478</v>
      </c>
      <c r="AA25" s="163">
        <f t="shared" si="19"/>
        <v>86366.023081246647</v>
      </c>
      <c r="AB25" s="159">
        <f t="shared" si="26"/>
        <v>84507.79603300507</v>
      </c>
      <c r="AC25" s="163">
        <f t="shared" si="27"/>
        <v>48357.675098387328</v>
      </c>
      <c r="AD25" s="164">
        <f t="shared" si="28"/>
        <v>0.91965639350115103</v>
      </c>
      <c r="AE25">
        <f t="shared" si="29"/>
        <v>0.44397157281336419</v>
      </c>
      <c r="AF25">
        <f t="shared" si="30"/>
        <v>0.55991550117916244</v>
      </c>
    </row>
    <row r="26" spans="1:32" x14ac:dyDescent="0.2">
      <c r="A26">
        <v>2006</v>
      </c>
      <c r="B26" s="154">
        <v>0</v>
      </c>
      <c r="C26" s="154">
        <v>0</v>
      </c>
      <c r="D26" s="154">
        <v>0</v>
      </c>
      <c r="E26">
        <v>1.3555405714285715E-2</v>
      </c>
      <c r="F26">
        <v>0.84831714371428568</v>
      </c>
      <c r="G26" s="249">
        <v>1.1947386500000001E-2</v>
      </c>
      <c r="H26" s="154">
        <v>0.86196841499999999</v>
      </c>
      <c r="I26" s="249">
        <v>4672661.1047402658</v>
      </c>
      <c r="J26" s="158">
        <f t="shared" si="2"/>
        <v>63.339817040116806</v>
      </c>
      <c r="K26" s="158">
        <f t="shared" si="3"/>
        <v>3963.8985219181009</v>
      </c>
      <c r="L26">
        <f t="shared" si="4"/>
        <v>63.339817040116806</v>
      </c>
      <c r="M26">
        <f t="shared" si="5"/>
        <v>3963.8985219181009</v>
      </c>
      <c r="N26" s="159">
        <f>Summary!T40</f>
        <v>1243.9263853057807</v>
      </c>
      <c r="O26" s="159">
        <f>Summary!BA40</f>
        <v>29004.354748700061</v>
      </c>
      <c r="P26" s="159">
        <f t="shared" si="31"/>
        <v>1180.586568265664</v>
      </c>
      <c r="Q26" s="159">
        <f t="shared" si="31"/>
        <v>25040.45622678196</v>
      </c>
      <c r="R26" s="315">
        <v>53.931061946902624</v>
      </c>
      <c r="S26" s="49">
        <v>116952449.25629699</v>
      </c>
      <c r="T26" s="49">
        <v>109011542.10439998</v>
      </c>
      <c r="U26" s="158">
        <f t="shared" si="18"/>
        <v>1585.3378989485184</v>
      </c>
      <c r="V26" s="158">
        <f t="shared" si="21"/>
        <v>1302.40302648229</v>
      </c>
      <c r="W26" s="163">
        <f t="shared" si="22"/>
        <v>2085.6262214213771</v>
      </c>
      <c r="X26" s="164">
        <f t="shared" si="23"/>
        <v>0.94908073517184333</v>
      </c>
      <c r="Y26" s="164">
        <f t="shared" si="24"/>
        <v>0.74469081263287329</v>
      </c>
      <c r="Z26">
        <f t="shared" si="25"/>
        <v>1.3155720448017276</v>
      </c>
      <c r="AA26" s="163">
        <f t="shared" si="19"/>
        <v>99212.767703491787</v>
      </c>
      <c r="AB26" s="159">
        <f t="shared" si="26"/>
        <v>93964.506164435414</v>
      </c>
      <c r="AC26" s="163">
        <f t="shared" si="27"/>
        <v>15583.746095351617</v>
      </c>
      <c r="AD26" s="164">
        <f t="shared" si="28"/>
        <v>0.86333436629560745</v>
      </c>
      <c r="AE26">
        <f t="shared" si="29"/>
        <v>0.2523914694287947</v>
      </c>
      <c r="AF26">
        <f t="shared" si="30"/>
        <v>0.15707399819673762</v>
      </c>
    </row>
    <row r="27" spans="1:32" x14ac:dyDescent="0.2">
      <c r="A27">
        <v>2007</v>
      </c>
      <c r="B27" s="154">
        <v>0</v>
      </c>
      <c r="C27" s="154">
        <v>0</v>
      </c>
      <c r="D27" s="154">
        <v>0</v>
      </c>
      <c r="E27">
        <v>1.2664425636363635E-2</v>
      </c>
      <c r="F27">
        <v>0.84808647090909095</v>
      </c>
      <c r="G27" s="249">
        <v>1.1599999999999999E-2</v>
      </c>
      <c r="H27" s="154">
        <v>0.84862499999999996</v>
      </c>
      <c r="I27" s="249">
        <v>4566937.4960960327</v>
      </c>
      <c r="J27" s="158">
        <f>E27*I27/1000</f>
        <v>57.837640305228945</v>
      </c>
      <c r="K27" s="158">
        <f>F27*I27/1000</f>
        <v>3873.1579039264848</v>
      </c>
      <c r="L27">
        <f t="shared" ref="L27:M30" si="32">C27+J27</f>
        <v>57.837640305228945</v>
      </c>
      <c r="M27">
        <f t="shared" si="32"/>
        <v>3873.1579039264848</v>
      </c>
      <c r="N27" s="159">
        <f>Summary!U40</f>
        <v>1964.1295838792694</v>
      </c>
      <c r="O27" s="159">
        <f>Summary!BB40</f>
        <v>42167.93977602879</v>
      </c>
      <c r="P27" s="159">
        <f t="shared" ref="P27:Q30" si="33">N27-L27</f>
        <v>1906.2919435740405</v>
      </c>
      <c r="Q27" s="159">
        <f t="shared" si="33"/>
        <v>38294.781872102307</v>
      </c>
      <c r="R27" s="315">
        <v>52.283739376770527</v>
      </c>
      <c r="S27" s="49">
        <v>106356590.65089303</v>
      </c>
      <c r="T27" s="49">
        <v>106518725.08039999</v>
      </c>
      <c r="U27" s="158">
        <f>E27*S27/1000</f>
        <v>1346.9451332354026</v>
      </c>
      <c r="V27" s="158">
        <f>G27*T27/1000</f>
        <v>1235.6172109326399</v>
      </c>
      <c r="W27" s="163">
        <f>P27-(V27-V26)</f>
        <v>1973.0777591236906</v>
      </c>
      <c r="X27" s="164">
        <f>P27/N27</f>
        <v>0.97055304253857011</v>
      </c>
      <c r="Y27" s="164">
        <f>P27/U27</f>
        <v>1.4152706717868084</v>
      </c>
      <c r="Z27">
        <f>W27/U27</f>
        <v>1.4648538462619474</v>
      </c>
      <c r="AA27" s="163">
        <f>F27*S27/1000</f>
        <v>90199.5856230387</v>
      </c>
      <c r="AB27" s="159">
        <f>H27*T27/1000</f>
        <v>90394.453071354437</v>
      </c>
      <c r="AC27" s="163">
        <f>Q27-(AB27-AB26)</f>
        <v>41864.834965183283</v>
      </c>
      <c r="AD27" s="164">
        <f>Q27/O27</f>
        <v>0.90814922605898196</v>
      </c>
      <c r="AE27">
        <f>Q27/AA27</f>
        <v>0.42455607315252553</v>
      </c>
      <c r="AF27">
        <f>AC27/AA27</f>
        <v>0.46413555756391639</v>
      </c>
    </row>
    <row r="28" spans="1:32" x14ac:dyDescent="0.2">
      <c r="A28" s="154">
        <v>2008</v>
      </c>
      <c r="B28" s="154">
        <v>0</v>
      </c>
      <c r="C28" s="154">
        <v>0</v>
      </c>
      <c r="D28" s="154">
        <v>0</v>
      </c>
      <c r="E28">
        <v>1.6308333333333338E-2</v>
      </c>
      <c r="F28">
        <v>0.89973333333333327</v>
      </c>
      <c r="G28" s="249">
        <v>1.3149999999999998E-2</v>
      </c>
      <c r="H28" s="154">
        <v>0.98089999999999988</v>
      </c>
      <c r="I28" s="249">
        <v>4549189.730086674</v>
      </c>
      <c r="J28" s="158">
        <f>E28*I28/1000</f>
        <v>74.189702514830188</v>
      </c>
      <c r="K28" s="158">
        <f>F28*I28/1000</f>
        <v>4093.0576398166495</v>
      </c>
      <c r="L28">
        <f t="shared" si="32"/>
        <v>74.189702514830188</v>
      </c>
      <c r="M28">
        <f t="shared" si="32"/>
        <v>4093.0576398166495</v>
      </c>
      <c r="N28" s="159">
        <f>Summary!V40</f>
        <v>2110.4223087914843</v>
      </c>
      <c r="O28" s="159">
        <f>Summary!BC40</f>
        <v>41020.765868507151</v>
      </c>
      <c r="P28" s="159">
        <f t="shared" si="33"/>
        <v>2036.232606276654</v>
      </c>
      <c r="Q28" s="159">
        <f t="shared" si="33"/>
        <v>36927.708228690499</v>
      </c>
      <c r="R28" s="315">
        <v>51.9981318681319</v>
      </c>
      <c r="S28" s="49">
        <v>104570681.45711374</v>
      </c>
      <c r="T28" s="49">
        <v>101319478.9364</v>
      </c>
      <c r="U28" s="158">
        <f>E28*S28/1000</f>
        <v>1705.3735300964304</v>
      </c>
      <c r="V28" s="158">
        <f>G28*T28/1000</f>
        <v>1332.3511480136597</v>
      </c>
      <c r="W28" s="163">
        <f>P28-(V28-V27)</f>
        <v>1939.4986691956342</v>
      </c>
      <c r="X28" s="164">
        <f>P28/N28</f>
        <v>0.96484603948424219</v>
      </c>
      <c r="Y28" s="164">
        <f>P28/U28</f>
        <v>1.1940097405883361</v>
      </c>
      <c r="Z28">
        <f>W28/U28</f>
        <v>1.1372867204558788</v>
      </c>
      <c r="AA28" s="163">
        <f>F28*S28/1000</f>
        <v>94085.727796347128</v>
      </c>
      <c r="AB28" s="159">
        <f>H28*T28/1000</f>
        <v>99384.276888714739</v>
      </c>
      <c r="AC28" s="163">
        <f>Q28-(AB28-AB27)</f>
        <v>27937.884411330197</v>
      </c>
      <c r="AD28" s="164">
        <f>Q28/O28</f>
        <v>0.90021986296070078</v>
      </c>
      <c r="AE28">
        <f>Q28/AA28</f>
        <v>0.39249000984104854</v>
      </c>
      <c r="AF28">
        <f>AC28/AA28</f>
        <v>0.29694072699105895</v>
      </c>
    </row>
    <row r="29" spans="1:32" x14ac:dyDescent="0.2">
      <c r="A29">
        <v>2009</v>
      </c>
      <c r="B29" s="154">
        <v>0</v>
      </c>
      <c r="C29" s="154">
        <v>0</v>
      </c>
      <c r="D29" s="154">
        <v>0</v>
      </c>
      <c r="E29">
        <v>1.2836363636363639E-2</v>
      </c>
      <c r="F29">
        <v>1.0535863636363638</v>
      </c>
      <c r="G29" s="249">
        <v>9.4999999999999998E-3</v>
      </c>
      <c r="H29" s="154">
        <v>0.9204</v>
      </c>
      <c r="I29" s="249">
        <v>4511770.3498714622</v>
      </c>
      <c r="J29" s="158">
        <f>E29*I29/1000</f>
        <v>57.91472485471369</v>
      </c>
      <c r="K29" s="158">
        <f>F29*I29/1000</f>
        <v>4753.5397164834385</v>
      </c>
      <c r="L29">
        <f t="shared" si="32"/>
        <v>57.91472485471369</v>
      </c>
      <c r="M29">
        <f t="shared" si="32"/>
        <v>4753.5397164834385</v>
      </c>
      <c r="N29" s="159">
        <f>Summary!W40</f>
        <v>2398.5143477760994</v>
      </c>
      <c r="O29" s="159">
        <f>Summary!BD40</f>
        <v>44282.173228100903</v>
      </c>
      <c r="P29" s="159">
        <f t="shared" si="33"/>
        <v>2340.5996229213856</v>
      </c>
      <c r="Q29" s="159">
        <f t="shared" si="33"/>
        <v>39528.633511617467</v>
      </c>
      <c r="R29" s="315">
        <v>51.421648044692773</v>
      </c>
      <c r="S29" s="49">
        <v>100798157.04218936</v>
      </c>
      <c r="T29" s="49">
        <v>102030452.46560001</v>
      </c>
      <c r="U29" s="158">
        <f>E29*S29/1000</f>
        <v>1293.881797668831</v>
      </c>
      <c r="V29" s="158">
        <f>G29*T29/1000</f>
        <v>969.28929842320019</v>
      </c>
      <c r="W29" s="163">
        <f>P29-(V29-V28)</f>
        <v>2703.6614725118452</v>
      </c>
      <c r="X29" s="164">
        <f>P29/N29</f>
        <v>0.97585391769350383</v>
      </c>
      <c r="Y29" s="164">
        <f>P29/U29</f>
        <v>1.8089748438678181</v>
      </c>
      <c r="Z29">
        <f>W29/U29</f>
        <v>2.0895737751184034</v>
      </c>
      <c r="AA29" s="163">
        <f>F29*S29/1000</f>
        <v>106199.56373932744</v>
      </c>
      <c r="AB29" s="159">
        <f>H29*T29/1000</f>
        <v>93908.828449338253</v>
      </c>
      <c r="AC29" s="163">
        <f>Q29-(AB29-AB28)</f>
        <v>45004.081950993954</v>
      </c>
      <c r="AD29" s="164">
        <f>Q29/O29</f>
        <v>0.89265342303780837</v>
      </c>
      <c r="AE29">
        <f>Q29/AA29</f>
        <v>0.37221088411099912</v>
      </c>
      <c r="AF29">
        <f>AC29/AA29</f>
        <v>0.42376899081675046</v>
      </c>
    </row>
    <row r="30" spans="1:32" x14ac:dyDescent="0.2">
      <c r="A30">
        <v>2010</v>
      </c>
      <c r="B30" s="154">
        <v>0</v>
      </c>
      <c r="C30" s="154">
        <v>0</v>
      </c>
      <c r="D30" s="154">
        <v>0</v>
      </c>
      <c r="E30">
        <v>1.5316666666666668E-2</v>
      </c>
      <c r="F30">
        <v>0.99155000000000004</v>
      </c>
      <c r="G30" s="249">
        <v>2.24E-2</v>
      </c>
      <c r="H30" s="154">
        <v>1.0914999999999999</v>
      </c>
      <c r="I30" s="249">
        <v>4543744.4910113132</v>
      </c>
      <c r="J30" s="158">
        <f>E30*I30/1000</f>
        <v>69.595019787323281</v>
      </c>
      <c r="K30" s="158">
        <f>F30*I30/1000</f>
        <v>4505.3498500622682</v>
      </c>
      <c r="L30">
        <f t="shared" si="32"/>
        <v>69.595019787323281</v>
      </c>
      <c r="M30">
        <f t="shared" si="32"/>
        <v>4505.3498500622682</v>
      </c>
      <c r="N30" s="159">
        <f>Summary!X40</f>
        <v>2010.8138476069578</v>
      </c>
      <c r="O30" s="159">
        <f>Summary!BE40</f>
        <v>35846.966535446467</v>
      </c>
      <c r="P30" s="159">
        <f t="shared" si="33"/>
        <v>1941.2188278196345</v>
      </c>
      <c r="Q30" s="159">
        <f t="shared" si="33"/>
        <v>31341.616685384201</v>
      </c>
      <c r="R30" s="315">
        <v>51.927150684931547</v>
      </c>
      <c r="S30" s="49">
        <v>104022311.06166285</v>
      </c>
      <c r="T30" s="49">
        <v>96696720.376399994</v>
      </c>
      <c r="U30" s="158">
        <f>E30*S30/1000</f>
        <v>1593.2750644278028</v>
      </c>
      <c r="V30" s="158">
        <f>G30*T30/1000</f>
        <v>2166.00653643136</v>
      </c>
      <c r="W30" s="163">
        <f>P30-(V30-V29)</f>
        <v>744.50158981147479</v>
      </c>
      <c r="X30" s="164">
        <f>P30/N30</f>
        <v>0.96538962576264964</v>
      </c>
      <c r="Y30" s="164">
        <f>P30/U30</f>
        <v>1.2183827332518944</v>
      </c>
      <c r="Z30">
        <f>W30/U30</f>
        <v>0.46727750056067668</v>
      </c>
      <c r="AA30" s="163">
        <f>F30*S30/1000</f>
        <v>103143.32253319179</v>
      </c>
      <c r="AB30" s="159">
        <f>H30*T30/1000</f>
        <v>105544.47029084057</v>
      </c>
      <c r="AC30" s="163">
        <f>Q30-(AB30-AB29)</f>
        <v>19705.974843881879</v>
      </c>
      <c r="AD30" s="164">
        <f>Q30/O30</f>
        <v>0.87431712399967643</v>
      </c>
      <c r="AE30">
        <f>Q30/AA30</f>
        <v>0.30386471868111853</v>
      </c>
      <c r="AF30">
        <f>AC30/AA30</f>
        <v>0.19105429571110089</v>
      </c>
    </row>
    <row r="31" spans="1:32" x14ac:dyDescent="0.2">
      <c r="A31" s="154">
        <v>2011</v>
      </c>
      <c r="B31" s="154">
        <v>0</v>
      </c>
      <c r="C31" s="154">
        <v>0</v>
      </c>
      <c r="D31" s="154">
        <v>0</v>
      </c>
      <c r="E31">
        <v>1.634E-2</v>
      </c>
      <c r="F31">
        <v>0.96550000000000014</v>
      </c>
      <c r="G31" s="249">
        <v>2.12E-2</v>
      </c>
      <c r="H31" s="154">
        <v>1.1069</v>
      </c>
      <c r="I31" s="249">
        <v>4468532.3964615325</v>
      </c>
      <c r="J31" s="158">
        <f>E31*I31/1000</f>
        <v>73.015819358181446</v>
      </c>
      <c r="K31" s="158">
        <f>F31*I31/1000</f>
        <v>4314.3680287836105</v>
      </c>
      <c r="L31">
        <f t="shared" ref="L31" si="34">C31+J31</f>
        <v>73.015819358181446</v>
      </c>
      <c r="M31">
        <f t="shared" ref="M31" si="35">D31+K31</f>
        <v>4314.3680287836105</v>
      </c>
      <c r="N31" s="159">
        <f>Summary!Y40</f>
        <v>1959.7041132342265</v>
      </c>
      <c r="O31" s="159">
        <f>Summary!BF40</f>
        <v>35734.204586161424</v>
      </c>
      <c r="P31" s="159">
        <f t="shared" ref="P31" si="36">N31-L31</f>
        <v>1886.688293876045</v>
      </c>
      <c r="Q31" s="159">
        <f t="shared" ref="Q31" si="37">O31-M31</f>
        <v>31419.836557377814</v>
      </c>
      <c r="R31" s="315">
        <v>50.795015015015018</v>
      </c>
      <c r="S31" s="49">
        <v>96426616.373632938</v>
      </c>
      <c r="T31" s="49">
        <v>91875276.059599996</v>
      </c>
      <c r="U31" s="158">
        <f>E31*S31/1000</f>
        <v>1575.6109115451623</v>
      </c>
      <c r="V31" s="158">
        <f>G31*T31/1000</f>
        <v>1947.7558524635199</v>
      </c>
      <c r="W31" s="163">
        <f>P31-(V31-V30)</f>
        <v>2104.9389778438854</v>
      </c>
      <c r="X31" s="164">
        <f>P31/N31</f>
        <v>0.96274140628419724</v>
      </c>
      <c r="Y31" s="164">
        <f>P31/U31</f>
        <v>1.1974328687694964</v>
      </c>
      <c r="Z31">
        <f>W31/U31</f>
        <v>1.3359510031443134</v>
      </c>
      <c r="AA31" s="163">
        <f>F31*S31/1000</f>
        <v>93099.898108742607</v>
      </c>
      <c r="AB31" s="159">
        <f>H31*T31/1000</f>
        <v>101696.74307037125</v>
      </c>
      <c r="AC31" s="163">
        <f>Q31-(AB31-AB30)</f>
        <v>35267.563777847143</v>
      </c>
      <c r="AD31" s="164">
        <f>Q31/O31</f>
        <v>0.87926503251580945</v>
      </c>
      <c r="AE31">
        <f>Q31/AA31</f>
        <v>0.33748518737022454</v>
      </c>
      <c r="AF31">
        <f>AC31/AA31</f>
        <v>0.37881420382065184</v>
      </c>
    </row>
    <row r="32" spans="1:32" x14ac:dyDescent="0.2">
      <c r="A32">
        <v>2012</v>
      </c>
      <c r="B32" s="154"/>
      <c r="C32" s="154"/>
      <c r="D32" s="154"/>
      <c r="G32" s="249"/>
      <c r="H32" s="154"/>
      <c r="I32" s="249"/>
      <c r="J32" s="158"/>
      <c r="K32" s="158"/>
      <c r="N32" s="159"/>
      <c r="O32" s="159"/>
      <c r="P32" s="159"/>
      <c r="Q32" s="159"/>
      <c r="R32" s="315">
        <v>49.903879781420791</v>
      </c>
      <c r="S32" s="49"/>
      <c r="T32" s="49"/>
      <c r="U32" s="158"/>
      <c r="V32" s="158"/>
      <c r="W32" s="163"/>
      <c r="X32" s="164"/>
      <c r="Y32" s="164"/>
      <c r="AA32" s="163"/>
      <c r="AB32" s="159"/>
      <c r="AC32" s="163"/>
      <c r="AD32" s="164"/>
    </row>
    <row r="33" spans="1:32" x14ac:dyDescent="0.2">
      <c r="A33" s="154"/>
      <c r="B33" s="154"/>
      <c r="C33" s="154"/>
      <c r="D33" s="154"/>
      <c r="J33" s="158"/>
      <c r="K33" s="158"/>
      <c r="N33" s="159"/>
      <c r="O33" s="159"/>
      <c r="P33" s="159"/>
      <c r="Q33" s="159"/>
      <c r="U33" s="158"/>
      <c r="V33" s="158"/>
      <c r="W33" s="158"/>
      <c r="X33" s="158"/>
      <c r="Y33" s="164"/>
      <c r="AA33" s="158"/>
      <c r="AB33" s="158"/>
      <c r="AC33" s="158"/>
      <c r="AD33" s="158"/>
    </row>
    <row r="34" spans="1:32" x14ac:dyDescent="0.2">
      <c r="A34" t="s">
        <v>50</v>
      </c>
      <c r="E34" s="160">
        <f>AVERAGE(E11:E20)</f>
        <v>1.3634166666666666E-2</v>
      </c>
      <c r="F34" s="160">
        <f>AVERAGE(F11:F20)</f>
        <v>0.87647258658008664</v>
      </c>
      <c r="G34" s="160">
        <f>AVERAGE(G11:G20)</f>
        <v>9.4999999999999998E-3</v>
      </c>
      <c r="H34" s="160">
        <f>AVERAGE(H11:H20)</f>
        <v>0.85325000000000006</v>
      </c>
      <c r="L34" s="159">
        <f t="shared" ref="L34:AF34" si="38">AVERAGE(L11:L20)</f>
        <v>92.386999913080743</v>
      </c>
      <c r="M34" s="159">
        <f t="shared" si="38"/>
        <v>5927.5378133270515</v>
      </c>
      <c r="N34" s="159">
        <f t="shared" si="38"/>
        <v>1243.3891781728319</v>
      </c>
      <c r="O34" s="159">
        <f t="shared" si="38"/>
        <v>23616.575546836259</v>
      </c>
      <c r="P34" s="159">
        <f t="shared" si="38"/>
        <v>1151.002178259751</v>
      </c>
      <c r="Q34" s="159">
        <f t="shared" si="38"/>
        <v>17689.037733509205</v>
      </c>
      <c r="R34" s="159"/>
      <c r="S34" s="159">
        <f t="shared" si="38"/>
        <v>114052946.19392236</v>
      </c>
      <c r="T34" s="159"/>
      <c r="U34" s="159">
        <f t="shared" si="38"/>
        <v>1563.7763766757241</v>
      </c>
      <c r="V34" s="159">
        <f t="shared" si="38"/>
        <v>1084.1605159149715</v>
      </c>
      <c r="W34" s="159">
        <f t="shared" si="38"/>
        <v>1059.9371262052218</v>
      </c>
      <c r="X34" s="210">
        <f t="shared" si="38"/>
        <v>0.92399570807502074</v>
      </c>
      <c r="Y34" s="160">
        <f t="shared" si="38"/>
        <v>0.79711589263834814</v>
      </c>
      <c r="Z34" s="160">
        <f t="shared" si="38"/>
        <v>0.75015450320557575</v>
      </c>
      <c r="AA34" s="159">
        <f t="shared" si="38"/>
        <v>99733.165023290465</v>
      </c>
      <c r="AB34" s="159"/>
      <c r="AC34" s="159"/>
      <c r="AD34" s="210">
        <f>AVERAGE(AD11:AD20)</f>
        <v>0.74577795252198731</v>
      </c>
      <c r="AE34" s="160">
        <f t="shared" si="38"/>
        <v>0.18004865842203108</v>
      </c>
      <c r="AF34" s="160">
        <f t="shared" si="38"/>
        <v>0.23590500065397838</v>
      </c>
    </row>
    <row r="35" spans="1:32" s="154" customFormat="1" x14ac:dyDescent="0.2">
      <c r="A35" s="154" t="s">
        <v>692</v>
      </c>
      <c r="B35" s="205">
        <f>SUM(B11:B20)</f>
        <v>0</v>
      </c>
      <c r="C35" s="205">
        <f>SUM(C11:C20)</f>
        <v>0</v>
      </c>
      <c r="D35" s="205">
        <f>SUM(D11:D20)</f>
        <v>0</v>
      </c>
      <c r="E35" s="206">
        <f>AVERAGE(E11:E20)</f>
        <v>1.3634166666666666E-2</v>
      </c>
      <c r="F35" s="206">
        <f>AVERAGE(F11:F20)</f>
        <v>0.87647258658008664</v>
      </c>
      <c r="G35" s="207">
        <f>G20</f>
        <v>1.2E-2</v>
      </c>
      <c r="H35" s="207">
        <f>H20</f>
        <v>0.74199999999999999</v>
      </c>
      <c r="I35" s="205">
        <f t="shared" ref="I35:Q35" si="39">SUM(I11:I20)</f>
        <v>67667873.063396737</v>
      </c>
      <c r="J35" s="205">
        <f t="shared" si="39"/>
        <v>923.8699991308074</v>
      </c>
      <c r="K35" s="205">
        <f t="shared" si="39"/>
        <v>59275.378133270518</v>
      </c>
      <c r="L35" s="205">
        <f t="shared" si="39"/>
        <v>923.8699991308074</v>
      </c>
      <c r="M35" s="205">
        <f t="shared" si="39"/>
        <v>59275.378133270518</v>
      </c>
      <c r="N35" s="205">
        <f t="shared" si="39"/>
        <v>12433.891781728318</v>
      </c>
      <c r="O35" s="205">
        <f t="shared" si="39"/>
        <v>236165.75546836259</v>
      </c>
      <c r="P35" s="205">
        <f t="shared" si="39"/>
        <v>11510.021782597511</v>
      </c>
      <c r="Q35" s="205">
        <f t="shared" si="39"/>
        <v>176890.37733509205</v>
      </c>
      <c r="R35" s="205"/>
      <c r="S35" s="206">
        <f>AVERAGE(S11:S20)</f>
        <v>114052946.19392236</v>
      </c>
      <c r="T35" s="207">
        <f>T20</f>
        <v>99938057.078440994</v>
      </c>
      <c r="U35" s="206">
        <f>AVERAGE(U11:U20)</f>
        <v>1563.7763766757241</v>
      </c>
      <c r="V35" s="207"/>
      <c r="W35" s="208">
        <f>P35-(V20-V10)</f>
        <v>10599.371262052218</v>
      </c>
      <c r="X35" s="164">
        <f>P35/N35</f>
        <v>0.92569743927734349</v>
      </c>
      <c r="Y35" s="207">
        <f>P35/(U35*10)</f>
        <v>0.73604013682989089</v>
      </c>
      <c r="Z35" s="207">
        <f>W35/(U35*10)</f>
        <v>0.67780607381883862</v>
      </c>
      <c r="AA35" s="206">
        <f>AVERAGE(AA11:AA20)</f>
        <v>99733.165023290465</v>
      </c>
      <c r="AC35" s="208">
        <f>Q35-(AB20-AB10)</f>
        <v>232609.11296108877</v>
      </c>
      <c r="AD35" s="164">
        <f>Q35/O35</f>
        <v>0.74900942765509781</v>
      </c>
      <c r="AE35" s="207">
        <f>Q35/(AA35*10)</f>
        <v>0.17736364557745987</v>
      </c>
      <c r="AF35" s="207">
        <f>AC35/(AA35*10)</f>
        <v>0.23323145606255261</v>
      </c>
    </row>
    <row r="37" spans="1:32" x14ac:dyDescent="0.2">
      <c r="A37" s="154" t="s">
        <v>615</v>
      </c>
    </row>
    <row r="38" spans="1:32" x14ac:dyDescent="0.2">
      <c r="A38" t="s">
        <v>569</v>
      </c>
    </row>
    <row r="39" spans="1:32" x14ac:dyDescent="0.2">
      <c r="A39" t="s">
        <v>571</v>
      </c>
      <c r="K39" s="154"/>
    </row>
    <row r="40" spans="1:32" x14ac:dyDescent="0.2">
      <c r="A40" s="2" t="s">
        <v>772</v>
      </c>
    </row>
    <row r="42" spans="1:32" x14ac:dyDescent="0.2">
      <c r="A42" t="s">
        <v>593</v>
      </c>
      <c r="K42" s="154"/>
    </row>
    <row r="43" spans="1:32" x14ac:dyDescent="0.2">
      <c r="A43" s="154" t="s">
        <v>592</v>
      </c>
    </row>
    <row r="44" spans="1:32" x14ac:dyDescent="0.2">
      <c r="A44" s="154" t="s">
        <v>594</v>
      </c>
      <c r="K44" s="154"/>
      <c r="Z44">
        <v>3</v>
      </c>
      <c r="AE44">
        <v>3</v>
      </c>
    </row>
    <row r="45" spans="1:32" x14ac:dyDescent="0.2">
      <c r="A45" s="162" t="s">
        <v>590</v>
      </c>
      <c r="Z45">
        <v>2.1286897984188791</v>
      </c>
      <c r="AE45">
        <v>1.0653838740875046</v>
      </c>
    </row>
    <row r="46" spans="1:32" x14ac:dyDescent="0.2">
      <c r="A46" s="162" t="s">
        <v>591</v>
      </c>
      <c r="K46" s="154"/>
      <c r="Z46">
        <v>0.78190272782147507</v>
      </c>
      <c r="AE46">
        <v>0.3913329964491658</v>
      </c>
    </row>
    <row r="48" spans="1:32" x14ac:dyDescent="0.2">
      <c r="K48" s="154"/>
    </row>
    <row r="50" spans="11:11" x14ac:dyDescent="0.2">
      <c r="K50" s="154"/>
    </row>
  </sheetData>
  <phoneticPr fontId="0" type="noConversion"/>
  <pageMargins left="0.75" right="0.75" top="1" bottom="1" header="0.5" footer="0.5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BL173"/>
  <sheetViews>
    <sheetView tabSelected="1" defaultGridColor="0" colorId="11" zoomScaleNormal="100" workbookViewId="0">
      <pane xSplit="2" topLeftCell="I1" activePane="topRight" state="frozen"/>
      <selection activeCell="A3" sqref="A3"/>
      <selection pane="topRight" activeCell="N2" sqref="N2:S2"/>
    </sheetView>
  </sheetViews>
  <sheetFormatPr defaultRowHeight="12.75" x14ac:dyDescent="0.2"/>
  <cols>
    <col min="2" max="2" width="30.140625" bestFit="1" customWidth="1"/>
    <col min="3" max="3" width="30.140625" customWidth="1"/>
    <col min="5" max="14" width="11.140625" bestFit="1" customWidth="1"/>
    <col min="15" max="27" width="11.140625" customWidth="1"/>
    <col min="29" max="29" width="11.28515625" bestFit="1" customWidth="1"/>
    <col min="30" max="30" width="11.28515625" customWidth="1"/>
    <col min="31" max="32" width="11.28515625" bestFit="1" customWidth="1"/>
    <col min="33" max="33" width="11" bestFit="1" customWidth="1"/>
    <col min="34" max="34" width="16.5703125" style="154" bestFit="1" customWidth="1"/>
    <col min="35" max="35" width="8.28515625" style="154" bestFit="1" customWidth="1"/>
    <col min="36" max="36" width="16.5703125" bestFit="1" customWidth="1"/>
    <col min="38" max="38" width="9.140625" bestFit="1" customWidth="1"/>
    <col min="39" max="42" width="9.85546875" bestFit="1" customWidth="1"/>
    <col min="43" max="43" width="8.7109375" bestFit="1" customWidth="1"/>
    <col min="44" max="44" width="9.85546875" bestFit="1" customWidth="1"/>
    <col min="45" max="46" width="8.7109375" bestFit="1" customWidth="1"/>
    <col min="47" max="50" width="9.85546875" bestFit="1" customWidth="1"/>
    <col min="51" max="53" width="9.85546875" customWidth="1"/>
    <col min="59" max="59" width="9.28515625" customWidth="1"/>
    <col min="60" max="60" width="22" bestFit="1" customWidth="1"/>
    <col min="61" max="61" width="10.28515625" style="186" bestFit="1" customWidth="1"/>
    <col min="62" max="62" width="40.42578125" bestFit="1" customWidth="1"/>
    <col min="63" max="63" width="25.5703125" customWidth="1"/>
  </cols>
  <sheetData>
    <row r="1" spans="1:63" x14ac:dyDescent="0.2">
      <c r="O1" s="315"/>
      <c r="P1" s="315"/>
      <c r="Q1" s="315"/>
      <c r="R1" s="315"/>
      <c r="S1" s="315"/>
      <c r="T1" s="315"/>
      <c r="AV1" s="315"/>
      <c r="AW1" s="315"/>
      <c r="AX1" s="315"/>
      <c r="AY1" s="315"/>
      <c r="AZ1" s="315"/>
      <c r="BA1" s="315"/>
    </row>
    <row r="2" spans="1:63" ht="25.5" x14ac:dyDescent="0.2">
      <c r="N2" s="348" t="s">
        <v>890</v>
      </c>
      <c r="O2" s="348" t="s">
        <v>890</v>
      </c>
      <c r="P2" s="348" t="s">
        <v>890</v>
      </c>
      <c r="Q2" s="348" t="s">
        <v>890</v>
      </c>
      <c r="R2" s="348" t="s">
        <v>890</v>
      </c>
      <c r="S2" s="348" t="s">
        <v>890</v>
      </c>
      <c r="T2" s="413"/>
      <c r="U2" s="413"/>
      <c r="V2" s="413"/>
      <c r="W2" s="413"/>
      <c r="X2" s="413"/>
      <c r="Y2" s="413"/>
      <c r="Z2" s="413"/>
      <c r="AB2" s="2"/>
      <c r="AC2" s="154"/>
      <c r="AD2" s="154"/>
      <c r="AE2" s="154"/>
      <c r="AF2" s="154"/>
      <c r="AG2" s="49"/>
      <c r="AH2" s="205"/>
      <c r="AI2" s="205"/>
      <c r="AJ2" s="49"/>
      <c r="AU2" s="348" t="s">
        <v>890</v>
      </c>
      <c r="AV2" s="348" t="s">
        <v>890</v>
      </c>
      <c r="AW2" s="348" t="s">
        <v>890</v>
      </c>
      <c r="AX2" s="348" t="s">
        <v>890</v>
      </c>
      <c r="AY2" s="348" t="s">
        <v>890</v>
      </c>
      <c r="AZ2" s="348" t="s">
        <v>890</v>
      </c>
      <c r="BA2" s="348"/>
      <c r="BB2" s="413"/>
      <c r="BC2" s="413"/>
      <c r="BD2" s="413"/>
      <c r="BE2" s="413"/>
      <c r="BF2" s="413"/>
      <c r="BG2" s="413"/>
    </row>
    <row r="3" spans="1:63" s="2" customFormat="1" ht="51" x14ac:dyDescent="0.2">
      <c r="A3" s="41"/>
      <c r="B3" s="15"/>
      <c r="C3" s="15" t="s">
        <v>705</v>
      </c>
      <c r="E3" s="26" t="s">
        <v>539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313" t="s">
        <v>790</v>
      </c>
      <c r="U3" s="313" t="s">
        <v>790</v>
      </c>
      <c r="V3" s="313" t="s">
        <v>790</v>
      </c>
      <c r="W3" s="313" t="s">
        <v>790</v>
      </c>
      <c r="X3" s="313" t="s">
        <v>790</v>
      </c>
      <c r="Y3" s="313" t="s">
        <v>790</v>
      </c>
      <c r="Z3" s="313" t="s">
        <v>790</v>
      </c>
      <c r="AA3" s="150"/>
      <c r="AB3" s="142" t="s">
        <v>49</v>
      </c>
      <c r="AC3" s="142"/>
      <c r="AD3" s="142"/>
      <c r="AE3" s="142"/>
      <c r="AF3" s="142"/>
      <c r="AG3" s="142" t="s">
        <v>50</v>
      </c>
      <c r="AH3" s="300" t="s">
        <v>784</v>
      </c>
      <c r="AI3" s="311" t="s">
        <v>785</v>
      </c>
      <c r="AJ3" s="300" t="s">
        <v>784</v>
      </c>
      <c r="AK3" s="196" t="s">
        <v>887</v>
      </c>
      <c r="AL3" s="124" t="s">
        <v>540</v>
      </c>
      <c r="AM3" s="42"/>
      <c r="AN3" s="42"/>
      <c r="AO3" s="42"/>
      <c r="AP3" s="42"/>
      <c r="AQ3" s="42"/>
      <c r="AR3" s="42"/>
      <c r="AS3" s="42"/>
      <c r="AT3" s="42"/>
      <c r="AU3" s="449"/>
      <c r="AV3" s="42"/>
      <c r="AW3" s="42"/>
      <c r="AX3" s="42"/>
      <c r="AY3" s="42"/>
      <c r="AZ3" s="42"/>
      <c r="BA3" s="348" t="s">
        <v>790</v>
      </c>
      <c r="BB3" s="348" t="s">
        <v>790</v>
      </c>
      <c r="BC3" s="348" t="s">
        <v>790</v>
      </c>
      <c r="BD3" s="348" t="s">
        <v>790</v>
      </c>
      <c r="BE3" s="348" t="s">
        <v>790</v>
      </c>
      <c r="BF3" s="348" t="s">
        <v>790</v>
      </c>
      <c r="BG3" s="348" t="s">
        <v>790</v>
      </c>
      <c r="BH3" s="35" t="s">
        <v>784</v>
      </c>
      <c r="BI3" s="440" t="s">
        <v>887</v>
      </c>
      <c r="BJ3" s="25" t="s">
        <v>711</v>
      </c>
      <c r="BK3" s="222" t="s">
        <v>712</v>
      </c>
    </row>
    <row r="4" spans="1:63" s="2" customFormat="1" x14ac:dyDescent="0.2">
      <c r="A4" s="43"/>
      <c r="B4" s="15"/>
      <c r="C4" s="15" t="s">
        <v>706</v>
      </c>
      <c r="E4" s="142">
        <v>1991</v>
      </c>
      <c r="F4" s="142">
        <v>1992</v>
      </c>
      <c r="G4" s="142">
        <v>1993</v>
      </c>
      <c r="H4" s="142">
        <v>1994</v>
      </c>
      <c r="I4" s="142">
        <v>1995</v>
      </c>
      <c r="J4" s="142">
        <v>1996</v>
      </c>
      <c r="K4" s="142">
        <v>1997</v>
      </c>
      <c r="L4" s="142">
        <v>1998</v>
      </c>
      <c r="M4" s="142">
        <v>1999</v>
      </c>
      <c r="N4" s="142">
        <v>2000</v>
      </c>
      <c r="O4" s="142">
        <v>2001</v>
      </c>
      <c r="P4" s="142">
        <v>2002</v>
      </c>
      <c r="Q4" s="142">
        <v>2003</v>
      </c>
      <c r="R4" s="142">
        <v>2004</v>
      </c>
      <c r="S4" s="142">
        <v>2005</v>
      </c>
      <c r="T4" s="312">
        <v>2006</v>
      </c>
      <c r="U4" s="312">
        <v>2007</v>
      </c>
      <c r="V4" s="312">
        <v>2008</v>
      </c>
      <c r="W4" s="312">
        <v>2009</v>
      </c>
      <c r="X4" s="312">
        <v>2010</v>
      </c>
      <c r="Y4" s="312">
        <v>2011</v>
      </c>
      <c r="Z4" s="312">
        <v>2012</v>
      </c>
      <c r="AA4" s="142" t="s">
        <v>50</v>
      </c>
      <c r="AB4" s="142"/>
      <c r="AC4" s="142" t="s">
        <v>889</v>
      </c>
      <c r="AD4" s="142" t="s">
        <v>704</v>
      </c>
      <c r="AE4" s="142" t="s">
        <v>665</v>
      </c>
      <c r="AF4" s="142" t="s">
        <v>51</v>
      </c>
      <c r="AG4" s="142" t="s">
        <v>546</v>
      </c>
      <c r="AH4" s="142" t="s">
        <v>845</v>
      </c>
      <c r="AI4" s="142"/>
      <c r="AJ4" s="142" t="s">
        <v>546</v>
      </c>
      <c r="AK4" s="15"/>
      <c r="AL4" s="35">
        <v>1991</v>
      </c>
      <c r="AM4" s="35">
        <v>1992</v>
      </c>
      <c r="AN4" s="35">
        <v>1993</v>
      </c>
      <c r="AO4" s="35">
        <v>1994</v>
      </c>
      <c r="AP4" s="35">
        <v>1995</v>
      </c>
      <c r="AQ4" s="35">
        <v>1996</v>
      </c>
      <c r="AR4" s="35">
        <v>1997</v>
      </c>
      <c r="AS4" s="35">
        <v>1998</v>
      </c>
      <c r="AT4" s="35">
        <v>1999</v>
      </c>
      <c r="AU4" s="35">
        <v>2000</v>
      </c>
      <c r="AV4" s="35">
        <v>2001</v>
      </c>
      <c r="AW4" s="35">
        <v>2002</v>
      </c>
      <c r="AX4" s="35">
        <v>2003</v>
      </c>
      <c r="AY4" s="35">
        <v>2004</v>
      </c>
      <c r="AZ4" s="35">
        <v>2005</v>
      </c>
      <c r="BA4" s="347">
        <v>2006</v>
      </c>
      <c r="BB4" s="347">
        <v>2007</v>
      </c>
      <c r="BC4" s="347">
        <v>2008</v>
      </c>
      <c r="BD4" s="347">
        <v>2009</v>
      </c>
      <c r="BE4" s="347">
        <v>2010</v>
      </c>
      <c r="BF4" s="347">
        <v>2011</v>
      </c>
      <c r="BG4" s="347">
        <v>2012</v>
      </c>
      <c r="BH4" s="35" t="s">
        <v>845</v>
      </c>
      <c r="BI4" s="43"/>
      <c r="BJ4" s="221" t="s">
        <v>710</v>
      </c>
    </row>
    <row r="5" spans="1:63" s="2" customFormat="1" x14ac:dyDescent="0.2">
      <c r="A5" s="41"/>
      <c r="B5" s="15"/>
      <c r="C5" s="15"/>
      <c r="E5" s="143" t="s">
        <v>866</v>
      </c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2" t="s">
        <v>51</v>
      </c>
      <c r="AB5" s="142"/>
      <c r="AC5" s="142" t="s">
        <v>50</v>
      </c>
      <c r="AD5" s="142" t="s">
        <v>50</v>
      </c>
      <c r="AE5" s="142" t="s">
        <v>50</v>
      </c>
      <c r="AF5" s="142" t="s">
        <v>50</v>
      </c>
      <c r="AG5" s="142" t="s">
        <v>547</v>
      </c>
      <c r="AH5" s="300" t="s">
        <v>846</v>
      </c>
      <c r="AI5" s="142"/>
      <c r="AJ5" s="142" t="s">
        <v>547</v>
      </c>
      <c r="AK5" s="15"/>
      <c r="AL5" s="33" t="s">
        <v>866</v>
      </c>
      <c r="AM5" s="42"/>
      <c r="AN5" s="42"/>
      <c r="AO5" s="42"/>
      <c r="AP5" s="42"/>
      <c r="AQ5" s="42"/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347"/>
      <c r="BC5" s="347"/>
      <c r="BD5" s="347"/>
      <c r="BE5" s="347"/>
      <c r="BF5" s="347"/>
      <c r="BG5" s="347"/>
      <c r="BH5" s="35" t="s">
        <v>846</v>
      </c>
      <c r="BI5" s="43"/>
      <c r="BJ5" s="223" t="s">
        <v>525</v>
      </c>
    </row>
    <row r="6" spans="1:63" s="2" customFormat="1" x14ac:dyDescent="0.2">
      <c r="A6" s="44"/>
      <c r="B6" s="15"/>
      <c r="C6" s="15"/>
      <c r="E6" s="152">
        <v>1.431932665266729</v>
      </c>
      <c r="F6" s="152">
        <v>1.1944243536156354</v>
      </c>
      <c r="G6" s="152">
        <v>1.0357386132002993</v>
      </c>
      <c r="H6" s="152">
        <v>1.4857235280586087</v>
      </c>
      <c r="I6" s="152">
        <v>1.2562462663410667</v>
      </c>
      <c r="J6" s="152">
        <v>1.2022977652274887</v>
      </c>
      <c r="K6" s="152">
        <v>1.2579542164851534</v>
      </c>
      <c r="L6" s="152">
        <v>1.1251770579873217</v>
      </c>
      <c r="M6" s="152">
        <v>1.2900993728788597</v>
      </c>
      <c r="N6" s="152">
        <v>0.73637530704456711</v>
      </c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  <c r="AA6" s="152">
        <f t="shared" ref="AA6:AA24" si="0">AVERAGE(E6:N6)</f>
        <v>1.2015969146105729</v>
      </c>
      <c r="AB6" s="153"/>
      <c r="AC6" s="153"/>
      <c r="AD6" s="153"/>
      <c r="AE6" s="153"/>
      <c r="AF6" s="153"/>
      <c r="AG6" s="153"/>
      <c r="AH6" s="153"/>
      <c r="AI6" s="153"/>
      <c r="AJ6" s="153"/>
      <c r="AK6" s="46"/>
      <c r="AL6" s="45">
        <v>1.431932665266729</v>
      </c>
      <c r="AM6" s="45">
        <v>1.1944243536156354</v>
      </c>
      <c r="AN6" s="45">
        <v>1.0357386132002993</v>
      </c>
      <c r="AO6" s="45">
        <v>1.4857235280586087</v>
      </c>
      <c r="AP6" s="45">
        <v>1.2562462663410667</v>
      </c>
      <c r="AQ6" s="45">
        <v>1.2022977652274887</v>
      </c>
      <c r="AR6" s="45">
        <v>1.2579542164851534</v>
      </c>
      <c r="AS6" s="45">
        <v>1.1251770579873217</v>
      </c>
      <c r="AT6" s="45">
        <v>1.2900993728788597</v>
      </c>
      <c r="AU6" s="45">
        <v>0.73637530704456711</v>
      </c>
      <c r="AV6" s="45"/>
      <c r="AW6" s="45"/>
      <c r="AX6" s="45"/>
      <c r="AY6" s="45"/>
      <c r="AZ6" s="45"/>
      <c r="BA6" s="45"/>
      <c r="BB6" s="347"/>
      <c r="BC6" s="347"/>
      <c r="BD6" s="347"/>
      <c r="BE6" s="347"/>
      <c r="BF6" s="347"/>
      <c r="BG6" s="347"/>
      <c r="BH6" s="45"/>
      <c r="BI6" s="325"/>
      <c r="BJ6" s="224">
        <f>Stormwater!BD6</f>
        <v>1.1922451148832665</v>
      </c>
    </row>
    <row r="7" spans="1:63" s="2" customFormat="1" ht="15" x14ac:dyDescent="0.25">
      <c r="A7" s="16">
        <v>1</v>
      </c>
      <c r="B7" s="15" t="s">
        <v>7</v>
      </c>
      <c r="C7" s="46">
        <f>SUM(Stormwater!D12:D17)</f>
        <v>521.54100000000005</v>
      </c>
      <c r="E7" s="46">
        <f>SUM(Stormwater!AF12:AF17)</f>
        <v>30.358249531509024</v>
      </c>
      <c r="F7" s="46">
        <f>SUM(Stormwater!AG12:AG17)</f>
        <v>41.997665387396367</v>
      </c>
      <c r="G7" s="46">
        <f>SUM(Stormwater!AH12:AH17)</f>
        <v>39.265087618227554</v>
      </c>
      <c r="H7" s="46">
        <f>SUM(Stormwater!AI12:AI17)</f>
        <v>54.832694916726865</v>
      </c>
      <c r="I7" s="46">
        <f>SUM(Stormwater!AJ12:AJ17)</f>
        <v>45.249491941740125</v>
      </c>
      <c r="J7" s="46">
        <f>SUM(Stormwater!AK12:AK17)</f>
        <v>33.640540362464492</v>
      </c>
      <c r="K7" s="46">
        <f>SUM(Stormwater!AL12:AL17)</f>
        <v>39.784014551360478</v>
      </c>
      <c r="L7" s="46">
        <f>SUM(Stormwater!AM12:AM17)</f>
        <v>34.989695478457335</v>
      </c>
      <c r="M7" s="46">
        <f>SUM(Stormwater!AN12:AN17)</f>
        <v>32.596551284612886</v>
      </c>
      <c r="N7" s="408">
        <f>SUM('Stormwater 2000'!AS12:AS17)</f>
        <v>1.5771666316256077</v>
      </c>
      <c r="O7" s="409">
        <f>SUM('Stormwater 2001'!AS12:AS17)</f>
        <v>3.868789997228304</v>
      </c>
      <c r="P7" s="409">
        <f>SUM('Stormwater 2002'!AS12:AS17)</f>
        <v>7.3818280667848635</v>
      </c>
      <c r="Q7" s="409">
        <f>SUM('Stormwater 2003'!AS12:AS17)</f>
        <v>3.2454791157374121</v>
      </c>
      <c r="R7" s="409">
        <f>SUM('Stormwater 2004'!AS12:AS17)</f>
        <v>7.3363738570422896</v>
      </c>
      <c r="S7" s="409">
        <f>SUM('Stormwater 2005'!AS12:AS17)</f>
        <v>4.0743251746013307</v>
      </c>
      <c r="T7" s="409">
        <f>SUM('Stormwater 2006 (2009 LU)'!AS12:AS17)</f>
        <v>2.7723408464453931</v>
      </c>
      <c r="U7" s="409">
        <f>SUM('Stormwater 2007 (2009 LU)'!AS12:AS17)</f>
        <v>3.0840082471604382</v>
      </c>
      <c r="V7" s="409">
        <f>SUM('Stormwater 2008 (2009 LU)'!AS12:AS17)</f>
        <v>5.4615058020411666</v>
      </c>
      <c r="W7" s="409">
        <f>SUM('Stormwater 2009 (2009 LU)'!AS12:AS17)</f>
        <v>7.1337124781463723</v>
      </c>
      <c r="X7" s="409">
        <f>SUM('Stormwater 2010 (2009 LU)'!AS12:AS17)</f>
        <v>3.0143793564466939</v>
      </c>
      <c r="Y7" s="409">
        <f>SUM('Stormwater 2011 (2009 LU)'!AS12:AS17)</f>
        <v>5.6258428600733374</v>
      </c>
      <c r="Z7" s="409">
        <f>SUM('Stormwater 2012 (2009 LU)'!AS12:AS17)</f>
        <v>5.5590040770762599</v>
      </c>
      <c r="AA7" s="409">
        <f t="shared" si="0"/>
        <v>35.429115770412082</v>
      </c>
      <c r="AB7" s="51">
        <f t="shared" ref="AB7:AB31" si="1">AA7/AA$40</f>
        <v>2.8493987556233509E-2</v>
      </c>
      <c r="AC7" s="447">
        <f>AVERAGE(N7:Z7)</f>
        <v>4.625750500800728</v>
      </c>
      <c r="AD7" s="353"/>
      <c r="AE7" s="353"/>
      <c r="AF7" s="353"/>
      <c r="AG7" s="2">
        <f t="shared" ref="AG7:AG45" si="2">AA7*1000*1000/(AA$52*10^6)</f>
        <v>1.6206098879119122</v>
      </c>
      <c r="AH7" s="349">
        <f t="shared" ref="AH7:AH24" si="3">AVERAGE(O7:T7,U7:X7)</f>
        <v>4.7372742941634263</v>
      </c>
      <c r="AI7" s="349"/>
      <c r="AJ7" s="2">
        <f>AH7*1000*1000/(AH$52*10^6)</f>
        <v>0.21948075810266721</v>
      </c>
      <c r="AL7" s="46">
        <f>SUM(Stormwater!AP12:AP17)</f>
        <v>382.88344671683262</v>
      </c>
      <c r="AM7" s="46">
        <f>SUM(Stormwater!AQ12:AQ17)</f>
        <v>529.68175457207394</v>
      </c>
      <c r="AN7" s="46">
        <f>SUM(Stormwater!AR12:AR17)</f>
        <v>495.21801536355252</v>
      </c>
      <c r="AO7" s="46">
        <f>SUM(Stormwater!AS12:AS17)</f>
        <v>691.55934701368631</v>
      </c>
      <c r="AP7" s="46">
        <f>SUM(Stormwater!AT12:AT17)</f>
        <v>570.69434846225158</v>
      </c>
      <c r="AQ7" s="46">
        <f>SUM(Stormwater!AU12:AU17)</f>
        <v>424.28026128543655</v>
      </c>
      <c r="AR7" s="46">
        <f>SUM(Stormwater!AV12:AV17)</f>
        <v>501.7628107920869</v>
      </c>
      <c r="AS7" s="46">
        <f>SUM(Stormwater!AW12:AW17)</f>
        <v>441.29603686336753</v>
      </c>
      <c r="AT7" s="46">
        <f>SUM(Stormwater!AX12:AX17)</f>
        <v>411.11329208822792</v>
      </c>
      <c r="AU7" s="364">
        <f>SUM('Stormwater 2000'!AY12:AY17)</f>
        <v>26.221034290165463</v>
      </c>
      <c r="AV7" s="46">
        <f>SUM('Stormwater 2001'!AY12:AY17)</f>
        <v>63.046212288486061</v>
      </c>
      <c r="AW7" s="46">
        <f>SUM('Stormwater 2002'!AY12:AY17)</f>
        <v>119.00621454135823</v>
      </c>
      <c r="AX7" s="46">
        <f>SUM('Stormwater 2003'!AY12:AY17)</f>
        <v>53.59340241817565</v>
      </c>
      <c r="AY7" s="46">
        <f>SUM('Stormwater 2004'!AY12:AY17)</f>
        <v>118.08176498032635</v>
      </c>
      <c r="AZ7" s="46">
        <f>SUM('Stormwater 2005'!AY12:AY17)</f>
        <v>67.082583388701082</v>
      </c>
      <c r="BA7" s="46">
        <f>SUM('Stormwater 2006 (2009 LU)'!AY12:AY17)</f>
        <v>45.31703266121378</v>
      </c>
      <c r="BB7" s="46">
        <f>SUM('Stormwater 2007 (2009 LU)'!AY12:AY17)</f>
        <v>50.588328753385682</v>
      </c>
      <c r="BC7" s="46">
        <f>SUM('Stormwater 2008 (2009 LU)'!AY12:AY17)</f>
        <v>88.211657274278878</v>
      </c>
      <c r="BD7" s="46">
        <f>SUM('Stormwater 2009 (2009 LU)'!AY12:AY17)</f>
        <v>114.93228156820641</v>
      </c>
      <c r="BE7" s="46">
        <f>SUM('Stormwater 2010 (2009 LU)'!AY12:AY17)</f>
        <v>49.739017674121712</v>
      </c>
      <c r="BF7" s="46">
        <f>SUM('Stormwater 2011 (2009 LU)'!AY12:AY17)</f>
        <v>90.711145158825701</v>
      </c>
      <c r="BG7" s="46">
        <f>SUM('Stormwater 2012 (2009 LU)'!AY12:AY17)</f>
        <v>89.998008978511521</v>
      </c>
      <c r="BH7" s="48">
        <f t="shared" ref="BH7:BH24" si="4">AVERAGE(AV7:BA7,BB7:BE7)</f>
        <v>76.959849554825382</v>
      </c>
      <c r="BI7" s="441">
        <f>AVERAGE(AU7:BG7)</f>
        <v>75.117591075058186</v>
      </c>
    </row>
    <row r="8" spans="1:63" s="2" customFormat="1" ht="15" x14ac:dyDescent="0.25">
      <c r="A8" s="16">
        <v>2</v>
      </c>
      <c r="B8" s="15" t="s">
        <v>16</v>
      </c>
      <c r="C8" s="46">
        <f>SUM(Stormwater!D21:D26)</f>
        <v>381.07299999999998</v>
      </c>
      <c r="E8" s="46">
        <f>SUM(Stormwater!AF21:AF26)</f>
        <v>63.250835046779272</v>
      </c>
      <c r="F8" s="46">
        <f>SUM(Stormwater!AG21:AG26)</f>
        <v>87.501336432818945</v>
      </c>
      <c r="G8" s="46">
        <f>SUM(Stormwater!AH21:AH26)</f>
        <v>81.808062663828963</v>
      </c>
      <c r="H8" s="46">
        <f>SUM(Stormwater!AI21:AI26)</f>
        <v>114.24287614964695</v>
      </c>
      <c r="I8" s="46">
        <f>SUM(Stormwater!AJ21:AJ26)</f>
        <v>94.276455162113791</v>
      </c>
      <c r="J8" s="46">
        <f>SUM(Stormwater!AK21:AK26)</f>
        <v>70.089425516524358</v>
      </c>
      <c r="K8" s="46">
        <f>SUM(Stormwater!AL21:AL26)</f>
        <v>82.889237051530557</v>
      </c>
      <c r="L8" s="46">
        <f>SUM(Stormwater!AM21:AM26)</f>
        <v>72.90036452029041</v>
      </c>
      <c r="M8" s="46">
        <f>SUM(Stormwater!AN21:AN26)</f>
        <v>67.91429414456249</v>
      </c>
      <c r="N8" s="408">
        <f>SUM('Stormwater 2000'!AS21:AS26)</f>
        <v>3.1528772634284685</v>
      </c>
      <c r="O8" s="409">
        <f>SUM('Stormwater 2001'!AS21:AS26)</f>
        <v>5.4967757088045914</v>
      </c>
      <c r="P8" s="409">
        <f>SUM('Stormwater 2002'!AS21:AS26)</f>
        <v>8.2247887859705298</v>
      </c>
      <c r="Q8" s="409">
        <f>SUM('Stormwater 2003'!AS21:AS26)</f>
        <v>5.8487421350059634</v>
      </c>
      <c r="R8" s="409">
        <f>SUM('Stormwater 2004'!AS21:AS26)</f>
        <v>7.8375743970300107</v>
      </c>
      <c r="S8" s="409">
        <f>SUM('Stormwater 2005'!AS21:AS26)</f>
        <v>6.99513906322123</v>
      </c>
      <c r="T8" s="409">
        <f>SUM('Stormwater 2006 (2009 LU)'!AS21:AS26)</f>
        <v>4.2497199957364575</v>
      </c>
      <c r="U8" s="409">
        <f>SUM('Stormwater 2007 (2009 LU)'!AS21:AS26)</f>
        <v>5.060205695883325</v>
      </c>
      <c r="V8" s="409">
        <f>SUM('Stormwater 2008 (2009 LU)'!AS21:AS26)</f>
        <v>6.3711200870221392</v>
      </c>
      <c r="W8" s="409">
        <f>SUM('Stormwater 2009 (2009 LU)'!AS21:AS26)</f>
        <v>7.7795230444224597</v>
      </c>
      <c r="X8" s="409">
        <f>SUM('Stormwater 2010 (2009 LU)'!AS21:AS26)</f>
        <v>5.4972591438312852</v>
      </c>
      <c r="Y8" s="409">
        <f>SUM('Stormwater 2011 (2009 LU)'!AS21:AS26)</f>
        <v>6.2713910984261609</v>
      </c>
      <c r="Z8" s="409">
        <f>SUM('Stormwater 2012 (2009 LU)'!AS21:AS26)</f>
        <v>6.8832224082619948</v>
      </c>
      <c r="AA8" s="409">
        <f t="shared" si="0"/>
        <v>73.802576395152428</v>
      </c>
      <c r="AB8" s="51">
        <f t="shared" si="1"/>
        <v>5.9355974533738323E-2</v>
      </c>
      <c r="AC8" s="447">
        <f t="shared" ref="AC8:AC22" si="5">AVERAGE(N8:Z8)</f>
        <v>6.1283337559265094</v>
      </c>
      <c r="AD8" s="353"/>
      <c r="AE8" s="353"/>
      <c r="AF8" s="353"/>
      <c r="AG8" s="2">
        <f t="shared" si="2"/>
        <v>3.3759009351072824</v>
      </c>
      <c r="AH8" s="349">
        <f t="shared" si="3"/>
        <v>6.3360848056928001</v>
      </c>
      <c r="AI8" s="349"/>
      <c r="AJ8" s="2">
        <f t="shared" ref="AJ8:AJ40" si="6">AH8*1000*1000/(AH$52*10^6)</f>
        <v>0.29355460760834551</v>
      </c>
      <c r="AL8" s="46">
        <f>SUM(Stormwater!AP21:AP26)</f>
        <v>735.00080864914923</v>
      </c>
      <c r="AM8" s="46">
        <f>SUM(Stormwater!AQ21:AQ26)</f>
        <v>1016.8016436215892</v>
      </c>
      <c r="AN8" s="46">
        <f>SUM(Stormwater!AR21:AR26)</f>
        <v>950.64345265108602</v>
      </c>
      <c r="AO8" s="46">
        <f>SUM(Stormwater!AS21:AS26)</f>
        <v>1327.5493721196456</v>
      </c>
      <c r="AP8" s="46">
        <f>SUM(Stormwater!AT21:AT26)</f>
        <v>1095.5313195387973</v>
      </c>
      <c r="AQ8" s="46">
        <f>SUM(Stormwater!AU21:AU26)</f>
        <v>814.46805238696834</v>
      </c>
      <c r="AR8" s="46">
        <f>SUM(Stormwater!AV21:AV26)</f>
        <v>963.20714526737629</v>
      </c>
      <c r="AS8" s="46">
        <f>SUM(Stormwater!AW21:AW26)</f>
        <v>847.13232376462656</v>
      </c>
      <c r="AT8" s="46">
        <f>SUM(Stormwater!AX21:AX26)</f>
        <v>789.19212810663737</v>
      </c>
      <c r="AU8" s="364">
        <f>SUM('Stormwater 2000'!AY21:AY26)</f>
        <v>32.439998331300011</v>
      </c>
      <c r="AV8" s="46">
        <f>SUM('Stormwater 2001'!AY21:AY26)</f>
        <v>56.556402270873555</v>
      </c>
      <c r="AW8" s="46">
        <f>SUM('Stormwater 2002'!AY21:AY26)</f>
        <v>84.624967037900177</v>
      </c>
      <c r="AX8" s="46">
        <f>SUM('Stormwater 2003'!AY21:AY26)</f>
        <v>60.177789760670841</v>
      </c>
      <c r="AY8" s="46">
        <f>SUM('Stormwater 2004'!AY21:AY26)</f>
        <v>80.640912765699767</v>
      </c>
      <c r="AZ8" s="46">
        <f>SUM('Stormwater 2005'!AY21:AY26)</f>
        <v>71.97308381467117</v>
      </c>
      <c r="BA8" s="46">
        <f>SUM('Stormwater 2006 (2009 LU)'!AY21:AY26)</f>
        <v>43.725428569417808</v>
      </c>
      <c r="BB8" s="46">
        <f>SUM('Stormwater 2007 (2009 LU)'!AY21:AY26)</f>
        <v>52.064527292124382</v>
      </c>
      <c r="BC8" s="46">
        <f>SUM('Stormwater 2008 (2009 LU)'!AY21:AY26)</f>
        <v>65.552543826829918</v>
      </c>
      <c r="BD8" s="46">
        <f>SUM('Stormwater 2009 (2009 LU)'!AY21:AY26)</f>
        <v>80.043621585493483</v>
      </c>
      <c r="BE8" s="46">
        <f>SUM('Stormwater 2010 (2009 LU)'!AY21:AY26)</f>
        <v>56.561376340635526</v>
      </c>
      <c r="BF8" s="46">
        <f>SUM('Stormwater 2011 (2009 LU)'!AY21:AY26)</f>
        <v>64.526430866086955</v>
      </c>
      <c r="BG8" s="46">
        <f>SUM('Stormwater 2012 (2009 LU)'!AY21:AY26)</f>
        <v>70.821571783982634</v>
      </c>
      <c r="BH8" s="48">
        <f t="shared" si="4"/>
        <v>65.192065326431674</v>
      </c>
      <c r="BI8" s="441">
        <f t="shared" ref="BI8:BI21" si="7">AVERAGE(AU8:BG8)</f>
        <v>63.054511865052788</v>
      </c>
    </row>
    <row r="9" spans="1:63" s="2" customFormat="1" ht="15" x14ac:dyDescent="0.25">
      <c r="A9" s="16">
        <v>3</v>
      </c>
      <c r="B9" s="15" t="s">
        <v>17</v>
      </c>
      <c r="C9" s="46">
        <f>SUM(Stormwater!D30:D35)</f>
        <v>9.3040000000000003</v>
      </c>
      <c r="E9" s="46">
        <f>SUM(Stormwater!AF30:AF35)</f>
        <v>4.6583373997188025</v>
      </c>
      <c r="F9" s="46">
        <f>SUM(Stormwater!AG30:AG35)</f>
        <v>6.4443536236148606</v>
      </c>
      <c r="G9" s="46">
        <f>SUM(Stormwater!AH30:AH35)</f>
        <v>6.0250518056181592</v>
      </c>
      <c r="H9" s="46">
        <f>SUM(Stormwater!AI30:AI35)</f>
        <v>8.4138314099055069</v>
      </c>
      <c r="I9" s="46">
        <f>SUM(Stormwater!AJ30:AJ35)</f>
        <v>6.9433318417026957</v>
      </c>
      <c r="J9" s="46">
        <f>SUM(Stormwater!AK30:AK35)</f>
        <v>5.1619902245868614</v>
      </c>
      <c r="K9" s="46">
        <f>SUM(Stormwater!AL30:AL35)</f>
        <v>6.1046788189551942</v>
      </c>
      <c r="L9" s="46">
        <f>SUM(Stormwater!AM30:AM35)</f>
        <v>5.3690120335461806</v>
      </c>
      <c r="M9" s="46">
        <f>SUM(Stormwater!AN30:AN35)</f>
        <v>5.0017947771778637</v>
      </c>
      <c r="N9" s="408">
        <f>SUM('Stormwater 2000'!AS30:AS35)</f>
        <v>11.455585088755052</v>
      </c>
      <c r="O9" s="409">
        <f>SUM('Stormwater 2001'!AS30:AS35)</f>
        <v>19.239289879034931</v>
      </c>
      <c r="P9" s="409">
        <f>SUM('Stormwater 2002'!AS30:AS35)</f>
        <v>27.744893083930439</v>
      </c>
      <c r="Q9" s="409">
        <f>SUM('Stormwater 2003'!AS30:AS35)</f>
        <v>21.041367362631025</v>
      </c>
      <c r="R9" s="409">
        <f>SUM('Stormwater 2004'!AS30:AS35)</f>
        <v>26.24096221066177</v>
      </c>
      <c r="S9" s="409">
        <f>SUM('Stormwater 2005'!AS30:AS35)</f>
        <v>25.039489801449463</v>
      </c>
      <c r="T9" s="409">
        <f>SUM('Stormwater 2006 (2009 LU)'!AS30:AS35)</f>
        <v>16.00330258473322</v>
      </c>
      <c r="U9" s="409">
        <f>SUM('Stormwater 2007 (2009 LU)'!AS30:AS35)</f>
        <v>19.188077619797721</v>
      </c>
      <c r="V9" s="409">
        <f>SUM('Stormwater 2008 (2009 LU)'!AS30:AS35)</f>
        <v>23.19393309468985</v>
      </c>
      <c r="W9" s="409">
        <f>SUM('Stormwater 2009 (2009 LU)'!AS30:AS35)</f>
        <v>28.036979583541655</v>
      </c>
      <c r="X9" s="409">
        <f>SUM('Stormwater 2010 (2009 LU)'!AS30:AS35)</f>
        <v>21.050783457930223</v>
      </c>
      <c r="Y9" s="409">
        <f>SUM('Stormwater 2011 (2009 LU)'!AS30:AS35)</f>
        <v>22.678134643174779</v>
      </c>
      <c r="Z9" s="409">
        <f>SUM('Stormwater 2012 (2009 LU)'!AS30:AS35)</f>
        <v>25.267008191574362</v>
      </c>
      <c r="AA9" s="409">
        <f t="shared" si="0"/>
        <v>6.5577967023581181</v>
      </c>
      <c r="AB9" s="51">
        <f t="shared" si="1"/>
        <v>5.2741304311453322E-3</v>
      </c>
      <c r="AC9" s="447">
        <f t="shared" si="5"/>
        <v>22.013831277069578</v>
      </c>
      <c r="AD9" s="353"/>
      <c r="AE9" s="353"/>
      <c r="AF9" s="353"/>
      <c r="AG9" s="2">
        <f t="shared" si="2"/>
        <v>0.29996882359771304</v>
      </c>
      <c r="AH9" s="349">
        <f t="shared" si="3"/>
        <v>22.67790786784003</v>
      </c>
      <c r="AI9" s="349"/>
      <c r="AJ9" s="2">
        <f t="shared" si="6"/>
        <v>1.0506810672011009</v>
      </c>
      <c r="AL9" s="46">
        <f>SUM(Stormwater!AP30:AP35)</f>
        <v>33.088417051590469</v>
      </c>
      <c r="AM9" s="46">
        <f>SUM(Stormwater!AQ30:AQ35)</f>
        <v>45.774584799067689</v>
      </c>
      <c r="AN9" s="46">
        <f>SUM(Stormwater!AR30:AR35)</f>
        <v>42.796261797989573</v>
      </c>
      <c r="AO9" s="46">
        <f>SUM(Stormwater!AS30:AS35)</f>
        <v>59.763889732317445</v>
      </c>
      <c r="AP9" s="46">
        <f>SUM(Stormwater!AT30:AT35)</f>
        <v>49.318853486163306</v>
      </c>
      <c r="AQ9" s="46">
        <f>SUM(Stormwater!AU30:AU35)</f>
        <v>36.665889718008316</v>
      </c>
      <c r="AR9" s="46">
        <f>SUM(Stormwater!AV30:AV35)</f>
        <v>43.361856687279342</v>
      </c>
      <c r="AS9" s="46">
        <f>SUM(Stormwater!AW30:AW35)</f>
        <v>38.136376581848225</v>
      </c>
      <c r="AT9" s="46">
        <f>SUM(Stormwater!AX30:AX35)</f>
        <v>35.528012978132189</v>
      </c>
      <c r="AU9" s="364">
        <f>SUM('Stormwater 2000'!AY30:AY35)</f>
        <v>84.374266036223148</v>
      </c>
      <c r="AV9" s="46">
        <f>SUM('Stormwater 2001'!AY30:AY35)</f>
        <v>142.47455646490317</v>
      </c>
      <c r="AW9" s="46">
        <f>SUM('Stormwater 2002'!AY30:AY35)</f>
        <v>206.60065729638228</v>
      </c>
      <c r="AX9" s="46">
        <f>SUM('Stormwater 2003'!AY30:AY35)</f>
        <v>155.19699497547617</v>
      </c>
      <c r="AY9" s="46">
        <f>SUM('Stormwater 2004'!AY30:AY35)</f>
        <v>195.62578075525795</v>
      </c>
      <c r="AZ9" s="46">
        <f>SUM('Stormwater 2005'!AY30:AY35)</f>
        <v>184.82038553388907</v>
      </c>
      <c r="BA9" s="46">
        <f>SUM('Stormwater 2006 (2009 LU)'!AY30:AY35)</f>
        <v>121.47617513240257</v>
      </c>
      <c r="BB9" s="46">
        <f>SUM('Stormwater 2007 (2009 LU)'!AY30:AY35)</f>
        <v>145.43983739819728</v>
      </c>
      <c r="BC9" s="46">
        <f>SUM('Stormwater 2008 (2009 LU)'!AY30:AY35)</f>
        <v>177.32680943225273</v>
      </c>
      <c r="BD9" s="46">
        <f>SUM('Stormwater 2009 (2009 LU)'!AY30:AY35)</f>
        <v>214.82125176167659</v>
      </c>
      <c r="BE9" s="46">
        <f>SUM('Stormwater 2010 (2009 LU)'!AY30:AY35)</f>
        <v>159.23424175614542</v>
      </c>
      <c r="BF9" s="46">
        <f>SUM('Stormwater 2011 (2009 LU)'!AY30:AY35)</f>
        <v>173.63452345499584</v>
      </c>
      <c r="BG9" s="46">
        <f>SUM('Stormwater 2012 (2009 LU)'!AY30:AY35)</f>
        <v>192.83292695627063</v>
      </c>
      <c r="BH9" s="48">
        <f t="shared" si="4"/>
        <v>170.30166905065832</v>
      </c>
      <c r="BI9" s="441">
        <f t="shared" si="7"/>
        <v>165.68141591954407</v>
      </c>
    </row>
    <row r="10" spans="1:63" s="2" customFormat="1" ht="15" x14ac:dyDescent="0.25">
      <c r="A10" s="16">
        <v>4</v>
      </c>
      <c r="B10" s="15" t="s">
        <v>18</v>
      </c>
      <c r="C10" s="46">
        <f>SUM(Stormwater!D39:D44)</f>
        <v>23.815999999999999</v>
      </c>
      <c r="E10" s="46">
        <f>SUM(Stormwater!AF39:AF44)</f>
        <v>8.6882847831049741</v>
      </c>
      <c r="F10" s="46">
        <f>SUM(Stormwater!AG39:AG44)</f>
        <v>12.019391194888591</v>
      </c>
      <c r="G10" s="46">
        <f>SUM(Stormwater!AH39:AH44)</f>
        <v>11.237349601025317</v>
      </c>
      <c r="H10" s="46">
        <f>SUM(Stormwater!AI39:AI44)</f>
        <v>15.692672542505276</v>
      </c>
      <c r="I10" s="46">
        <f>SUM(Stormwater!AJ39:AJ44)</f>
        <v>12.950037579492477</v>
      </c>
      <c r="J10" s="46">
        <f>SUM(Stormwater!AK39:AK44)</f>
        <v>9.6276497965823431</v>
      </c>
      <c r="K10" s="46">
        <f>SUM(Stormwater!AL39:AL44)</f>
        <v>11.385862280322014</v>
      </c>
      <c r="L10" s="46">
        <f>SUM(Stormwater!AM39:AM44)</f>
        <v>10.013767047913408</v>
      </c>
      <c r="M10" s="46">
        <f>SUM(Stormwater!AN39:AN44)</f>
        <v>9.3288685901952082</v>
      </c>
      <c r="N10" s="408">
        <f>SUM('Stormwater 2000'!AS39:AS44)</f>
        <v>7.236156607229983</v>
      </c>
      <c r="O10" s="409">
        <f>SUM('Stormwater 2001'!AS39:AS44)</f>
        <v>11.773206963489118</v>
      </c>
      <c r="P10" s="409">
        <f>SUM('Stormwater 2002'!AS39:AS44)</f>
        <v>16.417060188075471</v>
      </c>
      <c r="Q10" s="409">
        <f>SUM('Stormwater 2003'!AS39:AS44)</f>
        <v>13.182729807168696</v>
      </c>
      <c r="R10" s="409">
        <f>SUM('Stormwater 2004'!AS39:AS44)</f>
        <v>15.416777155245825</v>
      </c>
      <c r="S10" s="409">
        <f>SUM('Stormwater 2005'!AS39:AS44)</f>
        <v>15.621582765588871</v>
      </c>
      <c r="T10" s="409">
        <f>SUM('Stormwater 2006 (2009 LU)'!AS39:AS44)</f>
        <v>16.349050869796336</v>
      </c>
      <c r="U10" s="409">
        <f>SUM('Stormwater 2007 (2009 LU)'!AS39:AS44)</f>
        <v>19.761189349022459</v>
      </c>
      <c r="V10" s="409">
        <f>SUM('Stormwater 2008 (2009 LU)'!AS39:AS44)</f>
        <v>22.741578546364384</v>
      </c>
      <c r="W10" s="409">
        <f>SUM('Stormwater 2009 (2009 LU)'!AS39:AS44)</f>
        <v>27.138900632190634</v>
      </c>
      <c r="X10" s="409">
        <f>SUM('Stormwater 2010 (2009 LU)'!AS39:AS44)</f>
        <v>21.923270877721848</v>
      </c>
      <c r="Y10" s="409">
        <f>SUM('Stormwater 2011 (2009 LU)'!AS39:AS44)</f>
        <v>22.047068009844807</v>
      </c>
      <c r="Z10" s="409">
        <f>SUM('Stormwater 2012 (2009 LU)'!AS39:AS44)</f>
        <v>25.032255139790433</v>
      </c>
      <c r="AA10" s="409">
        <f t="shared" si="0"/>
        <v>10.81800400232596</v>
      </c>
      <c r="AB10" s="51">
        <f t="shared" si="1"/>
        <v>8.7004167256973276E-3</v>
      </c>
      <c r="AC10" s="447">
        <f t="shared" si="5"/>
        <v>18.049294377809911</v>
      </c>
      <c r="AD10" s="353"/>
      <c r="AE10" s="353"/>
      <c r="AF10" s="353"/>
      <c r="AG10" s="2">
        <f t="shared" si="2"/>
        <v>0.49484058160665118</v>
      </c>
      <c r="AH10" s="349">
        <f t="shared" si="3"/>
        <v>18.032534715466365</v>
      </c>
      <c r="AI10" s="349"/>
      <c r="AJ10" s="2">
        <f t="shared" si="6"/>
        <v>0.83545814409341579</v>
      </c>
      <c r="AL10" s="46">
        <f>SUM(Stormwater!AP39:AP44)</f>
        <v>72.085754885012065</v>
      </c>
      <c r="AM10" s="46">
        <f>SUM(Stormwater!AQ39:AQ44)</f>
        <v>99.723582867201117</v>
      </c>
      <c r="AN10" s="46">
        <f>SUM(Stormwater!AR39:AR44)</f>
        <v>93.235068729780608</v>
      </c>
      <c r="AO10" s="46">
        <f>SUM(Stormwater!AS39:AS44)</f>
        <v>130.20039911554622</v>
      </c>
      <c r="AP10" s="46">
        <f>SUM(Stormwater!AT39:AT44)</f>
        <v>107.44505480785769</v>
      </c>
      <c r="AQ10" s="46">
        <f>SUM(Stormwater!AU39:AU44)</f>
        <v>79.879564342174703</v>
      </c>
      <c r="AR10" s="46">
        <f>SUM(Stormwater!AV39:AV44)</f>
        <v>94.467262294374166</v>
      </c>
      <c r="AS10" s="46">
        <f>SUM(Stormwater!AW39:AW44)</f>
        <v>83.083137225794957</v>
      </c>
      <c r="AT10" s="46">
        <f>SUM(Stormwater!AX39:AX44)</f>
        <v>77.400609134611386</v>
      </c>
      <c r="AU10" s="364">
        <f>SUM('Stormwater 2000'!AY39:AY44)</f>
        <v>95.157960477650178</v>
      </c>
      <c r="AV10" s="46">
        <f>SUM('Stormwater 2001'!AY39:AY44)</f>
        <v>154.87909182555663</v>
      </c>
      <c r="AW10" s="46">
        <f>SUM('Stormwater 2002'!AY39:AY44)</f>
        <v>216.05746361732216</v>
      </c>
      <c r="AX10" s="46">
        <f>SUM('Stormwater 2003'!AY39:AY44)</f>
        <v>173.37383968761009</v>
      </c>
      <c r="AY10" s="46">
        <f>SUM('Stormwater 2004'!AY39:AY44)</f>
        <v>202.91099281572588</v>
      </c>
      <c r="AZ10" s="46">
        <f>SUM('Stormwater 2005'!AY39:AY44)</f>
        <v>205.4586863802129</v>
      </c>
      <c r="BA10" s="46">
        <f>SUM('Stormwater 2006 (2009 LU)'!AY39:AY44)</f>
        <v>218.18408112767906</v>
      </c>
      <c r="BB10" s="46">
        <f>SUM('Stormwater 2007 (2009 LU)'!AY39:AY44)</f>
        <v>263.70951893746019</v>
      </c>
      <c r="BC10" s="46">
        <f>SUM('Stormwater 2008 (2009 LU)'!AY39:AY44)</f>
        <v>303.55966303461213</v>
      </c>
      <c r="BD10" s="46">
        <f>SUM('Stormwater 2009 (2009 LU)'!AY39:AY44)</f>
        <v>362.28103300068329</v>
      </c>
      <c r="BE10" s="46">
        <f>SUM('Stormwater 2010 (2009 LU)'!AY39:AY44)</f>
        <v>292.54563639156959</v>
      </c>
      <c r="BF10" s="46">
        <f>SUM('Stormwater 2011 (2009 LU)'!AY39:AY44)</f>
        <v>294.30258092786698</v>
      </c>
      <c r="BG10" s="46">
        <f>SUM('Stormwater 2012 (2009 LU)'!AY39:AY44)</f>
        <v>334.11780938338086</v>
      </c>
      <c r="BH10" s="48">
        <f t="shared" si="4"/>
        <v>239.29600068184317</v>
      </c>
      <c r="BI10" s="441">
        <f t="shared" si="7"/>
        <v>239.73371981594846</v>
      </c>
    </row>
    <row r="11" spans="1:63" s="2" customFormat="1" ht="15" x14ac:dyDescent="0.25">
      <c r="A11" s="16">
        <v>5</v>
      </c>
      <c r="B11" s="15" t="s">
        <v>19</v>
      </c>
      <c r="C11" s="46">
        <f>SUM(Stormwater!D48:D53)</f>
        <v>9.2249999999999996</v>
      </c>
      <c r="E11" s="46">
        <f>SUM(Stormwater!AF48:AF53)</f>
        <v>8.037316143812836</v>
      </c>
      <c r="F11" s="46">
        <f>SUM(Stormwater!AG48:AG53)</f>
        <v>11.118839828700485</v>
      </c>
      <c r="G11" s="46">
        <f>SUM(Stormwater!AH48:AH53)</f>
        <v>10.39539260241791</v>
      </c>
      <c r="H11" s="46">
        <f>SUM(Stormwater!AI48:AI53)</f>
        <v>14.516901035600204</v>
      </c>
      <c r="I11" s="46">
        <f>SUM(Stormwater!AJ48:AJ53)</f>
        <v>11.979757650559076</v>
      </c>
      <c r="J11" s="46">
        <f>SUM(Stormwater!AK48:AK53)</f>
        <v>8.9062993523784826</v>
      </c>
      <c r="K11" s="46">
        <f>SUM(Stormwater!AL48:AL53)</f>
        <v>10.5327779879883</v>
      </c>
      <c r="L11" s="46">
        <f>SUM(Stormwater!AM48:AM53)</f>
        <v>9.2634868174535789</v>
      </c>
      <c r="M11" s="46">
        <f>SUM(Stormwater!AN48:AN53)</f>
        <v>8.6299042901179899</v>
      </c>
      <c r="N11" s="408">
        <f>SUM('Stormwater 2000'!AS48:AS53)</f>
        <v>49.739974799490149</v>
      </c>
      <c r="O11" s="409">
        <f>SUM('Stormwater 2001'!AS48:AS53)</f>
        <v>81.60034030485248</v>
      </c>
      <c r="P11" s="409">
        <f>SUM('Stormwater 2002'!AS48:AS53)</f>
        <v>114.81430243846089</v>
      </c>
      <c r="Q11" s="409">
        <f>SUM('Stormwater 2003'!AS48:AS53)</f>
        <v>90.808039171007167</v>
      </c>
      <c r="R11" s="409">
        <f>SUM('Stormwater 2004'!AS48:AS53)</f>
        <v>108.0277636878469</v>
      </c>
      <c r="S11" s="409">
        <f>SUM('Stormwater 2005'!AS48:AS53)</f>
        <v>107.72595345030739</v>
      </c>
      <c r="T11" s="409">
        <f>SUM('Stormwater 2006 (2009 LU)'!AS48:AS53)</f>
        <v>59.279044800846627</v>
      </c>
      <c r="U11" s="409">
        <f>SUM('Stormwater 2007 (2009 LU)'!AS48:AS53)</f>
        <v>71.496314463090897</v>
      </c>
      <c r="V11" s="409">
        <f>SUM('Stormwater 2008 (2009 LU)'!AS48:AS53)</f>
        <v>83.386982425711878</v>
      </c>
      <c r="W11" s="409">
        <f>SUM('Stormwater 2009 (2009 LU)'!AS48:AS53)</f>
        <v>99.867588413067779</v>
      </c>
      <c r="X11" s="409">
        <f>SUM('Stormwater 2010 (2009 LU)'!AS48:AS53)</f>
        <v>79.083012796957334</v>
      </c>
      <c r="Y11" s="409">
        <f>SUM('Stormwater 2011 (2009 LU)'!AS48:AS53)</f>
        <v>81.032183648429296</v>
      </c>
      <c r="Z11" s="409">
        <f>SUM('Stormwater 2012 (2009 LU)'!AS48:AS53)</f>
        <v>91.524110328059336</v>
      </c>
      <c r="AA11" s="409">
        <f t="shared" si="0"/>
        <v>14.312065050851903</v>
      </c>
      <c r="AB11" s="51">
        <f t="shared" si="1"/>
        <v>1.1510527276651685E-2</v>
      </c>
      <c r="AC11" s="447">
        <f t="shared" si="5"/>
        <v>86.029662363702158</v>
      </c>
      <c r="AD11" s="353"/>
      <c r="AE11" s="353"/>
      <c r="AF11" s="353"/>
      <c r="AG11" s="2">
        <f t="shared" si="2"/>
        <v>0.65466703397715986</v>
      </c>
      <c r="AH11" s="349">
        <f t="shared" si="3"/>
        <v>89.608934195214928</v>
      </c>
      <c r="AI11" s="349"/>
      <c r="AJ11" s="2">
        <f t="shared" si="6"/>
        <v>4.1516356429200476</v>
      </c>
      <c r="AL11" s="46">
        <f>SUM(Stormwater!AP48:AP53)</f>
        <v>64.192748422078708</v>
      </c>
      <c r="AM11" s="46">
        <f>SUM(Stormwater!AQ48:AQ53)</f>
        <v>88.804381350434525</v>
      </c>
      <c r="AN11" s="46">
        <f>SUM(Stormwater!AR48:AR53)</f>
        <v>83.026324974095786</v>
      </c>
      <c r="AO11" s="46">
        <f>SUM(Stormwater!AS48:AS53)</f>
        <v>115.94414844112649</v>
      </c>
      <c r="AP11" s="46">
        <f>SUM(Stormwater!AT48:AT53)</f>
        <v>95.680393213324294</v>
      </c>
      <c r="AQ11" s="46">
        <f>SUM(Stormwater!AU48:AU53)</f>
        <v>71.133177228454173</v>
      </c>
      <c r="AR11" s="46">
        <f>SUM(Stormwater!AV48:AV53)</f>
        <v>84.123599902067781</v>
      </c>
      <c r="AS11" s="46">
        <f>SUM(Stormwater!AW48:AW53)</f>
        <v>73.985975933247744</v>
      </c>
      <c r="AT11" s="46">
        <f>SUM(Stormwater!AX48:AX53)</f>
        <v>68.925654421173448</v>
      </c>
      <c r="AU11" s="364">
        <f>SUM('Stormwater 2000'!AY48:AY53)</f>
        <v>399.52253659075564</v>
      </c>
      <c r="AV11" s="46">
        <f>SUM('Stormwater 2001'!AY48:AY53)</f>
        <v>655.78045636035904</v>
      </c>
      <c r="AW11" s="46">
        <f>SUM('Stormwater 2002'!AY48:AY53)</f>
        <v>923.2311712419895</v>
      </c>
      <c r="AX11" s="46">
        <f>SUM('Stormwater 2003'!AY48:AY53)</f>
        <v>729.48989942804883</v>
      </c>
      <c r="AY11" s="46">
        <f>SUM('Stormwater 2004'!AY48:AY53)</f>
        <v>868.76633019603014</v>
      </c>
      <c r="AZ11" s="46">
        <f>SUM('Stormwater 2005'!AY48:AY53)</f>
        <v>865.45784776352298</v>
      </c>
      <c r="BA11" s="46">
        <f>SUM('Stormwater 2006 (2009 LU)'!AY48:AY53)</f>
        <v>465.48302595066434</v>
      </c>
      <c r="BB11" s="46">
        <f>SUM('Stormwater 2007 (2009 LU)'!AY48:AY53)</f>
        <v>561.31682391220943</v>
      </c>
      <c r="BC11" s="46">
        <f>SUM('Stormwater 2008 (2009 LU)'!AY48:AY53)</f>
        <v>655.39650359636835</v>
      </c>
      <c r="BD11" s="46">
        <f>SUM('Stormwater 2009 (2009 LU)'!AY48:AY53)</f>
        <v>785.15995541712937</v>
      </c>
      <c r="BE11" s="46">
        <f>SUM('Stormwater 2010 (2009 LU)'!AY48:AY53)</f>
        <v>620.72534715548022</v>
      </c>
      <c r="BF11" s="46">
        <f>SUM('Stormwater 2011 (2009 LU)'!AY48:AY53)</f>
        <v>637.0125626751468</v>
      </c>
      <c r="BG11" s="46">
        <f>SUM('Stormwater 2012 (2009 LU)'!AY48:AY53)</f>
        <v>719.18228496831955</v>
      </c>
      <c r="BH11" s="48">
        <f t="shared" si="4"/>
        <v>713.08073610218025</v>
      </c>
      <c r="BI11" s="441">
        <f t="shared" si="7"/>
        <v>683.57882655815581</v>
      </c>
    </row>
    <row r="12" spans="1:63" s="2" customFormat="1" ht="15" x14ac:dyDescent="0.25">
      <c r="A12" s="16">
        <v>6</v>
      </c>
      <c r="B12" s="15" t="s">
        <v>20</v>
      </c>
      <c r="C12" s="46">
        <f>SUM(Stormwater!D57:D62)</f>
        <v>3.0409999999999999</v>
      </c>
      <c r="E12" s="46">
        <f>SUM(Stormwater!AF57:AF62)</f>
        <v>1.3816891636419482</v>
      </c>
      <c r="F12" s="46">
        <f>SUM(Stormwater!AG57:AG62)</f>
        <v>1.9114316556295097</v>
      </c>
      <c r="G12" s="46">
        <f>SUM(Stormwater!AH57:AH62)</f>
        <v>1.7870643699416198</v>
      </c>
      <c r="H12" s="46">
        <f>SUM(Stormwater!AI57:AI62)</f>
        <v>2.4955898824500018</v>
      </c>
      <c r="I12" s="46">
        <f>SUM(Stormwater!AJ57:AJ62)</f>
        <v>2.0594314112648462</v>
      </c>
      <c r="J12" s="46">
        <f>SUM(Stormwater!AK57:AK62)</f>
        <v>1.531075434031006</v>
      </c>
      <c r="K12" s="46">
        <f>SUM(Stormwater!AL57:AL62)</f>
        <v>1.8106821914990696</v>
      </c>
      <c r="L12" s="46">
        <f>SUM(Stormwater!AM57:AM62)</f>
        <v>1.5924792709651687</v>
      </c>
      <c r="M12" s="46">
        <f>SUM(Stormwater!AN57:AN62)</f>
        <v>1.4835605602129036</v>
      </c>
      <c r="N12" s="408">
        <f>SUM('Stormwater 2000'!AS57:AS62)</f>
        <v>6.8348449021927191</v>
      </c>
      <c r="O12" s="409">
        <f>SUM('Stormwater 2001'!AS57:AS62)</f>
        <v>11.046915054066361</v>
      </c>
      <c r="P12" s="409">
        <f>SUM('Stormwater 2002'!AS57:AS62)</f>
        <v>15.292396580509548</v>
      </c>
      <c r="Q12" s="409">
        <f>SUM('Stormwater 2003'!AS57:AS62)</f>
        <v>12.430665681896309</v>
      </c>
      <c r="R12" s="409">
        <f>SUM('Stormwater 2004'!AS57:AS62)</f>
        <v>14.337871229518633</v>
      </c>
      <c r="S12" s="409">
        <f>SUM('Stormwater 2005'!AS57:AS62)</f>
        <v>14.717521442149248</v>
      </c>
      <c r="T12" s="409">
        <f>SUM('Stormwater 2006 (2009 LU)'!AS57:AS62)</f>
        <v>8.6855380870500625</v>
      </c>
      <c r="U12" s="409">
        <f>SUM('Stormwater 2007 (2009 LU)'!AS57:AS62)</f>
        <v>10.511233053367722</v>
      </c>
      <c r="V12" s="409">
        <f>SUM('Stormwater 2008 (2009 LU)'!AS57:AS62)</f>
        <v>12.003589340161056</v>
      </c>
      <c r="W12" s="409">
        <f>SUM('Stormwater 2009 (2009 LU)'!AS57:AS62)</f>
        <v>14.294659809494307</v>
      </c>
      <c r="X12" s="409">
        <f>SUM('Stormwater 2010 (2009 LU)'!AS57:AS62)</f>
        <v>11.681057204148955</v>
      </c>
      <c r="Y12" s="409">
        <f>SUM('Stormwater 2011 (2009 LU)'!AS57:AS62)</f>
        <v>11.620914251666825</v>
      </c>
      <c r="Z12" s="409">
        <f>SUM('Stormwater 2012 (2009 LU)'!AS57:AS62)</f>
        <v>13.234667050593256</v>
      </c>
      <c r="AA12" s="409">
        <f t="shared" si="0"/>
        <v>2.2887848841828791</v>
      </c>
      <c r="AB12" s="51">
        <f t="shared" si="1"/>
        <v>1.8407630727060554E-3</v>
      </c>
      <c r="AC12" s="447">
        <f t="shared" si="5"/>
        <v>12.053221052831921</v>
      </c>
      <c r="AD12" s="353"/>
      <c r="AE12" s="353"/>
      <c r="AF12" s="353"/>
      <c r="AG12" s="2">
        <f t="shared" si="2"/>
        <v>0.10469432651513651</v>
      </c>
      <c r="AH12" s="349">
        <f t="shared" si="3"/>
        <v>12.50014474823622</v>
      </c>
      <c r="AI12" s="349"/>
      <c r="AJ12" s="2">
        <f t="shared" si="6"/>
        <v>0.57913920017596376</v>
      </c>
      <c r="AL12" s="46">
        <f>SUM(Stormwater!AP57:AP62)</f>
        <v>12.727833405875352</v>
      </c>
      <c r="AM12" s="46">
        <f>SUM(Stormwater!AQ57:AQ62)</f>
        <v>17.607711140646522</v>
      </c>
      <c r="AN12" s="46">
        <f>SUM(Stormwater!AR57:AR62)</f>
        <v>16.462065553324994</v>
      </c>
      <c r="AO12" s="46">
        <f>SUM(Stormwater!AS57:AS62)</f>
        <v>22.98885531495916</v>
      </c>
      <c r="AP12" s="46">
        <f>SUM(Stormwater!AT57:AT62)</f>
        <v>18.971054129363026</v>
      </c>
      <c r="AQ12" s="46">
        <f>SUM(Stormwater!AU57:AU62)</f>
        <v>14.103948680330598</v>
      </c>
      <c r="AR12" s="46">
        <f>SUM(Stormwater!AV57:AV62)</f>
        <v>16.679628016795839</v>
      </c>
      <c r="AS12" s="46">
        <f>SUM(Stormwater!AW57:AW62)</f>
        <v>14.669588064024923</v>
      </c>
      <c r="AT12" s="46">
        <f>SUM(Stormwater!AX57:AX62)</f>
        <v>13.666251538186176</v>
      </c>
      <c r="AU12" s="364">
        <f>SUM('Stormwater 2000'!AY57:AY62)</f>
        <v>56.686248871480274</v>
      </c>
      <c r="AV12" s="46">
        <f>SUM('Stormwater 2001'!AY57:AY62)</f>
        <v>91.510883024420977</v>
      </c>
      <c r="AW12" s="46">
        <f>SUM('Stormwater 2002'!AY57:AY62)</f>
        <v>126.51230871351579</v>
      </c>
      <c r="AX12" s="46">
        <f>SUM('Stormwater 2003'!AY57:AY62)</f>
        <v>103.06522235559024</v>
      </c>
      <c r="AY12" s="46">
        <f>SUM('Stormwater 2004'!AY57:AY62)</f>
        <v>118.58130069414806</v>
      </c>
      <c r="AZ12" s="46">
        <f>SUM('Stormwater 2005'!AY57:AY62)</f>
        <v>122.00686030005004</v>
      </c>
      <c r="BA12" s="46">
        <f>SUM('Stormwater 2006 (2009 LU)'!AY57:AY62)</f>
        <v>71.969221008090784</v>
      </c>
      <c r="BB12" s="46">
        <f>SUM('Stormwater 2007 (2009 LU)'!AY57:AY62)</f>
        <v>87.11963688232558</v>
      </c>
      <c r="BC12" s="46">
        <f>SUM('Stormwater 2008 (2009 LU)'!AY57:AY62)</f>
        <v>99.327449866977446</v>
      </c>
      <c r="BD12" s="46">
        <f>SUM('Stormwater 2009 (2009 LU)'!AY57:AY62)</f>
        <v>118.23328834751345</v>
      </c>
      <c r="BE12" s="46">
        <f>SUM('Stormwater 2010 (2009 LU)'!AY57:AY62)</f>
        <v>96.84973282034683</v>
      </c>
      <c r="BF12" s="46">
        <f>SUM('Stormwater 2011 (2009 LU)'!AY57:AY62)</f>
        <v>96.132757962135955</v>
      </c>
      <c r="BG12" s="46">
        <f>SUM('Stormwater 2012 (2009 LU)'!AY57:AY62)</f>
        <v>109.55283434936723</v>
      </c>
      <c r="BH12" s="48">
        <f t="shared" si="4"/>
        <v>103.51759040129794</v>
      </c>
      <c r="BI12" s="441">
        <f t="shared" si="7"/>
        <v>99.811365015074045</v>
      </c>
    </row>
    <row r="13" spans="1:63" s="2" customFormat="1" ht="15" x14ac:dyDescent="0.25">
      <c r="A13" s="47">
        <v>7</v>
      </c>
      <c r="B13" s="44" t="s">
        <v>21</v>
      </c>
      <c r="C13" s="46">
        <f>SUM(Stormwater!D66:D71)</f>
        <v>9.7569999999999997</v>
      </c>
      <c r="E13" s="46">
        <f>SUM(Stormwater!AF66:AF71)</f>
        <v>0.128861324982596</v>
      </c>
      <c r="F13" s="46">
        <f>SUM(Stormwater!AG66:AG71)</f>
        <v>0.17826702433480518</v>
      </c>
      <c r="G13" s="46">
        <f>SUM(Stormwater!AH66:AH71)</f>
        <v>0.16666808179407641</v>
      </c>
      <c r="H13" s="46">
        <f>SUM(Stormwater!AI66:AI71)</f>
        <v>0.23274773178217095</v>
      </c>
      <c r="I13" s="46">
        <f>SUM(Stormwater!AJ66:AJ71)</f>
        <v>0.19207001643325958</v>
      </c>
      <c r="J13" s="46">
        <f>SUM(Stormwater!AK66:AK71)</f>
        <v>0.14279362845800403</v>
      </c>
      <c r="K13" s="46">
        <f>SUM(Stormwater!AL66:AL71)</f>
        <v>0.16887076519000999</v>
      </c>
      <c r="L13" s="46">
        <f>SUM(Stormwater!AM66:AM71)</f>
        <v>0.14852037221091513</v>
      </c>
      <c r="M13" s="46">
        <f>SUM(Stormwater!AN66:AN71)</f>
        <v>0.13836221960158471</v>
      </c>
      <c r="N13" s="408">
        <f>SUM('Stormwater 2000'!AS66:AS71)</f>
        <v>6.7651669622053906E-2</v>
      </c>
      <c r="O13" s="409">
        <f>SUM('Stormwater 2001'!AS66:AS71)</f>
        <v>0.27095170348319331</v>
      </c>
      <c r="P13" s="409">
        <f>SUM('Stormwater 2002'!AS66:AS71)</f>
        <v>0.62321430448642012</v>
      </c>
      <c r="Q13" s="409">
        <f>SUM('Stormwater 2003'!AS66:AS71)</f>
        <v>0.16921410020854033</v>
      </c>
      <c r="R13" s="409">
        <f>SUM('Stormwater 2004'!AS66:AS71)</f>
        <v>0.63517334807615189</v>
      </c>
      <c r="S13" s="409">
        <f>SUM('Stormwater 2005'!AS66:AS71)</f>
        <v>0.22872816815148533</v>
      </c>
      <c r="T13" s="409">
        <f>SUM('Stormwater 2006 (2009 LU)'!AS66:AS71)</f>
        <v>0.18834065522026813</v>
      </c>
      <c r="U13" s="409">
        <f>SUM('Stormwater 2007 (2009 LU)'!AS66:AS71)</f>
        <v>0.19436583810539745</v>
      </c>
      <c r="V13" s="409">
        <f>SUM('Stormwater 2008 (2009 LU)'!AS66:AS71)</f>
        <v>0.46212136988228891</v>
      </c>
      <c r="W13" s="409">
        <f>SUM('Stormwater 2009 (2009 LU)'!AS66:AS71)</f>
        <v>0.6283034963721279</v>
      </c>
      <c r="X13" s="409">
        <f>SUM('Stormwater 2010 (2009 LU)'!AS66:AS71)</f>
        <v>0.16487871868341694</v>
      </c>
      <c r="Y13" s="409">
        <f>SUM('Stormwater 2011 (2009 LU)'!AS66:AS71)</f>
        <v>0.48929476149756168</v>
      </c>
      <c r="Z13" s="409">
        <f>SUM('Stormwater 2012 (2009 LU)'!AS66:AS71)</f>
        <v>0.4522348504009287</v>
      </c>
      <c r="AA13" s="409">
        <f t="shared" si="0"/>
        <v>0.15648128344094764</v>
      </c>
      <c r="AB13" s="51">
        <f t="shared" si="1"/>
        <v>1.2585060750721497E-4</v>
      </c>
      <c r="AC13" s="447">
        <f t="shared" si="5"/>
        <v>0.35188253724537188</v>
      </c>
      <c r="AD13" s="353"/>
      <c r="AE13" s="353"/>
      <c r="AF13" s="353"/>
      <c r="AG13" s="2">
        <f t="shared" si="2"/>
        <v>7.1578166630207347E-3</v>
      </c>
      <c r="AH13" s="349">
        <f t="shared" si="3"/>
        <v>0.35652917026692904</v>
      </c>
      <c r="AI13" s="349"/>
      <c r="AJ13" s="2">
        <f t="shared" si="6"/>
        <v>1.6518210202079761E-2</v>
      </c>
      <c r="AL13" s="46">
        <f>SUM(Stormwater!AP66:AP71)</f>
        <v>1.2303704451125197</v>
      </c>
      <c r="AM13" s="46">
        <f>SUM(Stormwater!AQ66:AQ71)</f>
        <v>1.7020970264687401</v>
      </c>
      <c r="AN13" s="46">
        <f>SUM(Stormwater!AR66:AR71)</f>
        <v>1.5913500967860099</v>
      </c>
      <c r="AO13" s="46">
        <f>SUM(Stormwater!AS66:AS71)</f>
        <v>2.2222798841346352</v>
      </c>
      <c r="AP13" s="46">
        <f>SUM(Stormwater!AT66:AT71)</f>
        <v>1.8338882643312533</v>
      </c>
      <c r="AQ13" s="46">
        <f>SUM(Stormwater!AU66:AU71)</f>
        <v>1.3633963505251459</v>
      </c>
      <c r="AR13" s="46">
        <f>SUM(Stormwater!AV66:AV71)</f>
        <v>1.6123813608263478</v>
      </c>
      <c r="AS13" s="46">
        <f>SUM(Stormwater!AW66:AW71)</f>
        <v>1.4180754116108998</v>
      </c>
      <c r="AT13" s="46">
        <f>SUM(Stormwater!AX66:AX71)</f>
        <v>1.3210851723040264</v>
      </c>
      <c r="AU13" s="364">
        <f>SUM('Stormwater 2000'!AY66:AY71)</f>
        <v>0.68627051721265864</v>
      </c>
      <c r="AV13" s="46">
        <f>SUM('Stormwater 2001'!AY66:AY71)</f>
        <v>2.7437264301831887</v>
      </c>
      <c r="AW13" s="46">
        <f>SUM('Stormwater 2002'!AY66:AY71)</f>
        <v>6.3078192690928532</v>
      </c>
      <c r="AX13" s="46">
        <f>SUM('Stormwater 2003'!AY66:AY71)</f>
        <v>1.7151504521489065</v>
      </c>
      <c r="AY13" s="46">
        <f>SUM('Stormwater 2004'!AY66:AY71)</f>
        <v>6.4284907390605266</v>
      </c>
      <c r="AZ13" s="46">
        <f>SUM('Stormwater 2005'!AY66:AY71)</f>
        <v>2.317763655379161</v>
      </c>
      <c r="BA13" s="46">
        <f>SUM('Stormwater 2006 (2009 LU)'!AY66:AY71)</f>
        <v>1.9992143708555787</v>
      </c>
      <c r="BB13" s="46">
        <f>SUM('Stormwater 2007 (2009 LU)'!AY66:AY71)</f>
        <v>2.0657440139173846</v>
      </c>
      <c r="BC13" s="46">
        <f>SUM('Stormwater 2008 (2009 LU)'!AY66:AY71)</f>
        <v>4.8898927224377555</v>
      </c>
      <c r="BD13" s="46">
        <f>SUM('Stormwater 2009 (2009 LU)'!AY66:AY71)</f>
        <v>6.6449658077521532</v>
      </c>
      <c r="BE13" s="46">
        <f>SUM('Stormwater 2010 (2009 LU)'!AY66:AY71)</f>
        <v>1.756946765686028</v>
      </c>
      <c r="BF13" s="46">
        <f>SUM('Stormwater 2011 (2009 LU)'!AY66:AY71)</f>
        <v>5.1756158913551067</v>
      </c>
      <c r="BG13" s="46">
        <f>SUM('Stormwater 2012 (2009 LU)'!AY66:AY71)</f>
        <v>4.7877528212944371</v>
      </c>
      <c r="BH13" s="48">
        <f t="shared" si="4"/>
        <v>3.6869714226513537</v>
      </c>
      <c r="BI13" s="441">
        <f t="shared" si="7"/>
        <v>3.6553348812596722</v>
      </c>
    </row>
    <row r="14" spans="1:63" s="2" customFormat="1" ht="15" x14ac:dyDescent="0.25">
      <c r="A14" s="16">
        <v>8</v>
      </c>
      <c r="B14" s="15" t="s">
        <v>22</v>
      </c>
      <c r="C14" s="46">
        <f>SUM(Stormwater!D75:D80)</f>
        <v>310.822</v>
      </c>
      <c r="E14" s="46">
        <f>SUM(Stormwater!AF75:AF80)</f>
        <v>1.8891679769735907</v>
      </c>
      <c r="F14" s="46">
        <f>SUM(Stormwater!AG75:AG80)</f>
        <v>2.6134788988796349</v>
      </c>
      <c r="G14" s="46">
        <f>SUM(Stormwater!AH75:AH80)</f>
        <v>2.4434329148137328</v>
      </c>
      <c r="H14" s="46">
        <f>SUM(Stormwater!AI75:AI80)</f>
        <v>3.4121918399915687</v>
      </c>
      <c r="I14" s="46">
        <f>SUM(Stormwater!AJ75:AJ80)</f>
        <v>2.8158372919998462</v>
      </c>
      <c r="J14" s="46">
        <f>SUM(Stormwater!AK75:AK80)</f>
        <v>2.0934221360455507</v>
      </c>
      <c r="K14" s="46">
        <f>SUM(Stormwater!AL75:AL80)</f>
        <v>2.4757252952899633</v>
      </c>
      <c r="L14" s="46">
        <f>SUM(Stormwater!AM75:AM80)</f>
        <v>2.1773789082717743</v>
      </c>
      <c r="M14" s="46">
        <f>SUM(Stormwater!AN75:AN80)</f>
        <v>2.0284555861085916</v>
      </c>
      <c r="N14" s="408">
        <f>SUM('Stormwater 2000'!AS75:AS80)</f>
        <v>0</v>
      </c>
      <c r="O14" s="409">
        <f>SUM('Stormwater 2001'!AS75:AS80)</f>
        <v>0</v>
      </c>
      <c r="P14" s="409">
        <f>SUM('Stormwater 2002'!AS75:AS80)</f>
        <v>0</v>
      </c>
      <c r="Q14" s="409">
        <f>SUM('Stormwater 2003'!AS75:AS80)</f>
        <v>0</v>
      </c>
      <c r="R14" s="409">
        <f>SUM('Stormwater 2004'!AS75:AS80)</f>
        <v>0</v>
      </c>
      <c r="S14" s="409">
        <f>SUM('Stormwater 2005'!AS75:AS80)</f>
        <v>0</v>
      </c>
      <c r="T14" s="409">
        <f>SUM('Stormwater 2006 (2009 LU)'!AS75:AS80)</f>
        <v>5.8403321343286199E-2</v>
      </c>
      <c r="U14" s="409">
        <f>SUM('Stormwater 2007 (2009 LU)'!AS75:AS80)</f>
        <v>6.1128025532614011E-2</v>
      </c>
      <c r="V14" s="409">
        <f>SUM('Stormwater 2008 (2009 LU)'!AS75:AS80)</f>
        <v>0.13815170257029183</v>
      </c>
      <c r="W14" s="409">
        <f>SUM('Stormwater 2009 (2009 LU)'!AS75:AS80)</f>
        <v>0.18671143827906098</v>
      </c>
      <c r="X14" s="409">
        <f>SUM('Stormwater 2010 (2009 LU)'!AS75:AS80)</f>
        <v>5.3383759756519135E-2</v>
      </c>
      <c r="Y14" s="409">
        <f>SUM('Stormwater 2011 (2009 LU)'!AS75:AS80)</f>
        <v>0.1456730112700321</v>
      </c>
      <c r="Z14" s="409">
        <f>SUM('Stormwater 2012 (2009 LU)'!AS75:AS80)</f>
        <v>0.13601927620759477</v>
      </c>
      <c r="AA14" s="409">
        <f t="shared" si="0"/>
        <v>2.1949090848374255</v>
      </c>
      <c r="AB14" s="51">
        <f t="shared" si="1"/>
        <v>1.7652631399469457E-3</v>
      </c>
      <c r="AC14" s="447">
        <f t="shared" si="5"/>
        <v>5.9959271919953774E-2</v>
      </c>
      <c r="AD14" s="353"/>
      <c r="AE14" s="353"/>
      <c r="AF14" s="353"/>
      <c r="AG14" s="2">
        <f t="shared" si="2"/>
        <v>0.10040022982808539</v>
      </c>
      <c r="AH14" s="349">
        <f t="shared" si="3"/>
        <v>4.977782474817722E-2</v>
      </c>
      <c r="AI14" s="349"/>
      <c r="AJ14" s="2">
        <f t="shared" si="6"/>
        <v>2.3062364629998656E-3</v>
      </c>
      <c r="AL14" s="46">
        <f>SUM(Stormwater!AP75:AP80)</f>
        <v>52.795534505175638</v>
      </c>
      <c r="AM14" s="46">
        <f>SUM(Stormwater!AQ75:AQ80)</f>
        <v>73.037451971523154</v>
      </c>
      <c r="AN14" s="46">
        <f>SUM(Stormwater!AR75:AR80)</f>
        <v>68.285270731610396</v>
      </c>
      <c r="AO14" s="46">
        <f>SUM(Stormwater!AS75:AS80)</f>
        <v>95.358641593717834</v>
      </c>
      <c r="AP14" s="46">
        <f>SUM(Stormwater!AT75:AT80)</f>
        <v>78.692650268661865</v>
      </c>
      <c r="AQ14" s="46">
        <f>SUM(Stormwater!AU75:AU80)</f>
        <v>58.503712726778041</v>
      </c>
      <c r="AR14" s="46">
        <f>SUM(Stormwater!AV75:AV80)</f>
        <v>69.187728061221861</v>
      </c>
      <c r="AS14" s="46">
        <f>SUM(Stormwater!AW75:AW80)</f>
        <v>60.850006290420588</v>
      </c>
      <c r="AT14" s="46">
        <f>SUM(Stormwater!AX75:AX80)</f>
        <v>56.688128421578426</v>
      </c>
      <c r="AU14" s="364">
        <f>SUM('Stormwater 2000'!AY75:AY80)</f>
        <v>0</v>
      </c>
      <c r="AV14" s="46">
        <f>SUM('Stormwater 2001'!AY75:AY80)</f>
        <v>0</v>
      </c>
      <c r="AW14" s="46">
        <f>SUM('Stormwater 2002'!AY75:AY80)</f>
        <v>0</v>
      </c>
      <c r="AX14" s="46">
        <f>SUM('Stormwater 2003'!AY75:AY80)</f>
        <v>0</v>
      </c>
      <c r="AY14" s="46">
        <f>SUM('Stormwater 2004'!AY75:AY80)</f>
        <v>0</v>
      </c>
      <c r="AZ14" s="46">
        <f>SUM('Stormwater 2005'!AY75:AY80)</f>
        <v>0</v>
      </c>
      <c r="BA14" s="46">
        <f>SUM('Stormwater 2006 (2009 LU)'!AY75:AY80)</f>
        <v>1.7416410078222364</v>
      </c>
      <c r="BB14" s="46">
        <f>SUM('Stormwater 2007 (2009 LU)'!AY75:AY80)</f>
        <v>1.8228942044071572</v>
      </c>
      <c r="BC14" s="46">
        <f>SUM('Stormwater 2008 (2009 LU)'!AY75:AY80)</f>
        <v>4.1198114244668806</v>
      </c>
      <c r="BD14" s="46">
        <f>SUM('Stormwater 2009 (2009 LU)'!AY75:AY80)</f>
        <v>5.5679076130772964</v>
      </c>
      <c r="BE14" s="46">
        <f>SUM('Stormwater 2010 (2009 LU)'!AY75:AY80)</f>
        <v>1.5919530431700726</v>
      </c>
      <c r="BF14" s="46">
        <f>SUM('Stormwater 2011 (2009 LU)'!AY75:AY80)</f>
        <v>4.3441037996720731</v>
      </c>
      <c r="BG14" s="46">
        <f>SUM('Stormwater 2012 (2009 LU)'!AY75:AY80)</f>
        <v>4.0562204999438638</v>
      </c>
      <c r="BH14" s="48">
        <f t="shared" si="4"/>
        <v>1.4844207292943643</v>
      </c>
      <c r="BI14" s="441">
        <f t="shared" si="7"/>
        <v>1.7880408917353525</v>
      </c>
    </row>
    <row r="15" spans="1:63" s="2" customFormat="1" ht="15" x14ac:dyDescent="0.25">
      <c r="A15" s="16">
        <v>9</v>
      </c>
      <c r="B15" s="15" t="s">
        <v>23</v>
      </c>
      <c r="C15" s="46">
        <f>SUM(Stormwater!D84:D89)</f>
        <v>378.63499999999999</v>
      </c>
      <c r="E15" s="46">
        <f>SUM(Stormwater!AF84:AF89)</f>
        <v>12.774601782731619</v>
      </c>
      <c r="F15" s="46">
        <f>SUM(Stormwater!AG84:AG89)</f>
        <v>17.67241061022175</v>
      </c>
      <c r="G15" s="46">
        <f>SUM(Stormwater!AH84:AH89)</f>
        <v>16.522555352419555</v>
      </c>
      <c r="H15" s="46">
        <f>SUM(Stormwater!AI84:AI89)</f>
        <v>23.073327778934676</v>
      </c>
      <c r="I15" s="46">
        <f>SUM(Stormwater!AJ84:AJ89)</f>
        <v>19.040763197716569</v>
      </c>
      <c r="J15" s="46">
        <f>SUM(Stormwater!AK84:AK89)</f>
        <v>14.155773587681963</v>
      </c>
      <c r="K15" s="46">
        <f>SUM(Stormwater!AL84:AL89)</f>
        <v>16.740917248359136</v>
      </c>
      <c r="L15" s="46">
        <f>SUM(Stormwater!AM84:AM89)</f>
        <v>14.723491411203225</v>
      </c>
      <c r="M15" s="46">
        <f>SUM(Stormwater!AN84:AN89)</f>
        <v>13.716468129004797</v>
      </c>
      <c r="N15" s="408">
        <f>SUM('Stormwater 2000'!AS84:AS89)</f>
        <v>4.1121905967886194</v>
      </c>
      <c r="O15" s="409">
        <f>SUM('Stormwater 2001'!AS84:AS89)</f>
        <v>17.461505533539373</v>
      </c>
      <c r="P15" s="409">
        <f>SUM('Stormwater 2002'!AS84:AS89)</f>
        <v>40.777608146484454</v>
      </c>
      <c r="Q15" s="409">
        <f>SUM('Stormwater 2003'!AS84:AS89)</f>
        <v>10.569006519145802</v>
      </c>
      <c r="R15" s="409">
        <f>SUM('Stormwater 2004'!AS84:AS89)</f>
        <v>41.635907540342473</v>
      </c>
      <c r="S15" s="409">
        <f>SUM('Stormwater 2005'!AS84:AS89)</f>
        <v>14.412874179933185</v>
      </c>
      <c r="T15" s="409">
        <f>SUM('Stormwater 2006 (2009 LU)'!AS84:AS89)</f>
        <v>26.287042027242393</v>
      </c>
      <c r="U15" s="409">
        <f>SUM('Stormwater 2007 (2009 LU)'!AS84:AS89)</f>
        <v>26.566389439958076</v>
      </c>
      <c r="V15" s="409">
        <f>SUM('Stormwater 2008 (2009 LU)'!AS84:AS89)</f>
        <v>67.87617916111418</v>
      </c>
      <c r="W15" s="409">
        <f>SUM('Stormwater 2009 (2009 LU)'!AS84:AS89)</f>
        <v>93.019844739007468</v>
      </c>
      <c r="X15" s="409">
        <f>SUM('Stormwater 2010 (2009 LU)'!AS84:AS89)</f>
        <v>21.53299041452437</v>
      </c>
      <c r="Y15" s="409">
        <f>SUM('Stormwater 2011 (2009 LU)'!AS84:AS89)</f>
        <v>72.262333812320534</v>
      </c>
      <c r="Z15" s="409">
        <f>SUM('Stormwater 2012 (2009 LU)'!AS84:AS89)</f>
        <v>65.884207621792513</v>
      </c>
      <c r="AA15" s="409">
        <f t="shared" si="0"/>
        <v>15.253249969506191</v>
      </c>
      <c r="AB15" s="51">
        <f t="shared" si="1"/>
        <v>1.2267478467136843E-2</v>
      </c>
      <c r="AC15" s="447">
        <f t="shared" si="5"/>
        <v>38.646006133245649</v>
      </c>
      <c r="AD15" s="353"/>
      <c r="AE15" s="353"/>
      <c r="AF15" s="353"/>
      <c r="AG15" s="2">
        <f t="shared" si="2"/>
        <v>0.69771901403246017</v>
      </c>
      <c r="AH15" s="349">
        <f t="shared" si="3"/>
        <v>36.013934770129175</v>
      </c>
      <c r="AI15" s="349"/>
      <c r="AJ15" s="2">
        <f t="shared" si="6"/>
        <v>1.668547188695946</v>
      </c>
      <c r="AL15" s="46">
        <f>SUM(Stormwater!AP84:AP89)</f>
        <v>108.33889238530406</v>
      </c>
      <c r="AM15" s="46">
        <f>SUM(Stormwater!AQ84:AQ89)</f>
        <v>149.87624850097794</v>
      </c>
      <c r="AN15" s="46">
        <f>SUM(Stormwater!AR84:AR89)</f>
        <v>140.12455156729317</v>
      </c>
      <c r="AO15" s="46">
        <f>SUM(Stormwater!AS84:AS89)</f>
        <v>195.68036778977597</v>
      </c>
      <c r="AP15" s="46">
        <f>SUM(Stormwater!AT84:AT89)</f>
        <v>161.48097843644632</v>
      </c>
      <c r="AQ15" s="46">
        <f>SUM(Stormwater!AU84:AU89)</f>
        <v>120.05233958992879</v>
      </c>
      <c r="AR15" s="46">
        <f>SUM(Stormwater!AV84:AV89)</f>
        <v>141.97643598197831</v>
      </c>
      <c r="AS15" s="46">
        <f>SUM(Stormwater!AW84:AW89)</f>
        <v>124.86704311132003</v>
      </c>
      <c r="AT15" s="46">
        <f>SUM(Stormwater!AX84:AX89)</f>
        <v>116.32667615075695</v>
      </c>
      <c r="AU15" s="364">
        <f>SUM('Stormwater 2000'!AY84:AY89)</f>
        <v>31.540490897044467</v>
      </c>
      <c r="AV15" s="46">
        <f>SUM('Stormwater 2001'!AY84:AY89)</f>
        <v>133.92970081673488</v>
      </c>
      <c r="AW15" s="46">
        <f>SUM('Stormwater 2002'!AY84:AY89)</f>
        <v>312.76414559963348</v>
      </c>
      <c r="AX15" s="46">
        <f>SUM('Stormwater 2003'!AY84:AY89)</f>
        <v>81.064251780608103</v>
      </c>
      <c r="AY15" s="46">
        <f>SUM('Stormwater 2004'!AY84:AY89)</f>
        <v>319.34729965870326</v>
      </c>
      <c r="AZ15" s="46">
        <f>SUM('Stormwater 2005'!AY84:AY89)</f>
        <v>110.54670647499597</v>
      </c>
      <c r="BA15" s="46">
        <f>SUM('Stormwater 2006 (2009 LU)'!AY84:AY89)</f>
        <v>201.6215421575906</v>
      </c>
      <c r="BB15" s="46">
        <f>SUM('Stormwater 2007 (2009 LU)'!AY84:AY89)</f>
        <v>203.76413606720959</v>
      </c>
      <c r="BC15" s="46">
        <f>SUM('Stormwater 2008 (2009 LU)'!AY84:AY89)</f>
        <v>520.61011292354965</v>
      </c>
      <c r="BD15" s="46">
        <f>SUM('Stormwater 2009 (2009 LU)'!AY84:AY89)</f>
        <v>713.46196076766319</v>
      </c>
      <c r="BE15" s="46">
        <f>SUM('Stormwater 2010 (2009 LU)'!AY84:AY89)</f>
        <v>165.1579789822575</v>
      </c>
      <c r="BF15" s="46">
        <f>SUM('Stormwater 2011 (2009 LU)'!AY84:AY89)</f>
        <v>554.25190738644221</v>
      </c>
      <c r="BG15" s="46">
        <f>SUM('Stormwater 2012 (2009 LU)'!AY84:AY89)</f>
        <v>505.33169653589192</v>
      </c>
      <c r="BH15" s="48">
        <f t="shared" si="4"/>
        <v>276.22678352289461</v>
      </c>
      <c r="BI15" s="441">
        <f t="shared" si="7"/>
        <v>296.41476384987112</v>
      </c>
    </row>
    <row r="16" spans="1:63" s="2" customFormat="1" ht="15" x14ac:dyDescent="0.25">
      <c r="A16" s="16">
        <v>10</v>
      </c>
      <c r="B16" s="15" t="s">
        <v>24</v>
      </c>
      <c r="C16" s="46">
        <f>SUM(Stormwater!D93:D98)</f>
        <v>218.911</v>
      </c>
      <c r="E16" s="46">
        <f>SUM(Stormwater!AF93:AF98)</f>
        <v>15.672688485553083</v>
      </c>
      <c r="F16" s="46">
        <f>SUM(Stormwater!AG93:AG98)</f>
        <v>21.681629767684438</v>
      </c>
      <c r="G16" s="46">
        <f>SUM(Stormwater!AH93:AH98)</f>
        <v>20.270914696834254</v>
      </c>
      <c r="H16" s="46">
        <f>SUM(Stormwater!AI93:AI98)</f>
        <v>28.307816146029044</v>
      </c>
      <c r="I16" s="46">
        <f>SUM(Stormwater!AJ93:AJ98)</f>
        <v>23.360411165880087</v>
      </c>
      <c r="J16" s="46">
        <f>SUM(Stormwater!AK93:AK98)</f>
        <v>17.367197309560204</v>
      </c>
      <c r="K16" s="46">
        <f>SUM(Stormwater!AL93:AL98)</f>
        <v>20.538814865495638</v>
      </c>
      <c r="L16" s="46">
        <f>SUM(Stormwater!AM93:AM98)</f>
        <v>18.063709400275435</v>
      </c>
      <c r="M16" s="46">
        <f>SUM(Stormwater!AN93:AN98)</f>
        <v>16.828229620316272</v>
      </c>
      <c r="N16" s="408">
        <f>SUM('Stormwater 2000'!AS93:AS98)</f>
        <v>14.4463162758998</v>
      </c>
      <c r="O16" s="409">
        <f>SUM('Stormwater 2001'!AS93:AS98)</f>
        <v>64.675932904636412</v>
      </c>
      <c r="P16" s="409">
        <f>SUM('Stormwater 2002'!AS93:AS98)</f>
        <v>152.98456919289242</v>
      </c>
      <c r="Q16" s="409">
        <f>SUM('Stormwater 2003'!AS93:AS98)</f>
        <v>38.081669901045188</v>
      </c>
      <c r="R16" s="409">
        <f>SUM('Stormwater 2004'!AS93:AS98)</f>
        <v>156.44129071729702</v>
      </c>
      <c r="S16" s="409">
        <f>SUM('Stormwater 2005'!AS93:AS98)</f>
        <v>52.345902915677058</v>
      </c>
      <c r="T16" s="409">
        <f>SUM('Stormwater 2006 (2009 LU)'!AS93:AS98)</f>
        <v>26.893541955193459</v>
      </c>
      <c r="U16" s="409">
        <f>SUM('Stormwater 2007 (2009 LU)'!AS93:AS98)</f>
        <v>27.436549952033353</v>
      </c>
      <c r="V16" s="409">
        <f>SUM('Stormwater 2008 (2009 LU)'!AS93:AS98)</f>
        <v>67.895511583196949</v>
      </c>
      <c r="W16" s="409">
        <f>SUM('Stormwater 2009 (2009 LU)'!AS93:AS98)</f>
        <v>92.726492110628186</v>
      </c>
      <c r="X16" s="409">
        <f>SUM('Stormwater 2010 (2009 LU)'!AS93:AS98)</f>
        <v>22.707390715206909</v>
      </c>
      <c r="Y16" s="409">
        <f>SUM('Stormwater 2011 (2009 LU)'!AS93:AS98)</f>
        <v>72.111030568780393</v>
      </c>
      <c r="Z16" s="409">
        <f>SUM('Stormwater 2012 (2009 LU)'!AS93:AS98)</f>
        <v>66.13792295622109</v>
      </c>
      <c r="AA16" s="409">
        <f t="shared" si="0"/>
        <v>19.65377277335282</v>
      </c>
      <c r="AB16" s="51">
        <f t="shared" si="1"/>
        <v>1.5806613985682394E-2</v>
      </c>
      <c r="AC16" s="447">
        <f t="shared" si="5"/>
        <v>65.760317057592943</v>
      </c>
      <c r="AD16" s="353"/>
      <c r="AE16" s="353"/>
      <c r="AF16" s="353"/>
      <c r="AG16" s="2">
        <f t="shared" si="2"/>
        <v>0.89900912847137193</v>
      </c>
      <c r="AH16" s="349">
        <f t="shared" si="3"/>
        <v>70.218885194780697</v>
      </c>
      <c r="AI16" s="349"/>
      <c r="AJ16" s="2">
        <f t="shared" si="6"/>
        <v>3.2532830481575972</v>
      </c>
      <c r="AL16" s="46">
        <f>SUM(Stormwater!AP93:AP98)</f>
        <v>137.94388419219075</v>
      </c>
      <c r="AM16" s="46">
        <f>SUM(Stormwater!AQ93:AQ98)</f>
        <v>190.83185558931703</v>
      </c>
      <c r="AN16" s="46">
        <f>SUM(Stormwater!AR93:AR98)</f>
        <v>178.41538240152187</v>
      </c>
      <c r="AO16" s="46">
        <f>SUM(Stormwater!AS93:AS98)</f>
        <v>249.15253791850355</v>
      </c>
      <c r="AP16" s="46">
        <f>SUM(Stormwater!AT93:AT98)</f>
        <v>205.60772681206038</v>
      </c>
      <c r="AQ16" s="46">
        <f>SUM(Stormwater!AU93:AU98)</f>
        <v>152.85818107220277</v>
      </c>
      <c r="AR16" s="46">
        <f>SUM(Stormwater!AV93:AV98)</f>
        <v>180.77331798321609</v>
      </c>
      <c r="AS16" s="46">
        <f>SUM(Stormwater!AW93:AW98)</f>
        <v>158.98856408011153</v>
      </c>
      <c r="AT16" s="46">
        <f>SUM(Stormwater!AX93:AX98)</f>
        <v>148.1144323160828</v>
      </c>
      <c r="AU16" s="364">
        <f>SUM('Stormwater 2000'!AY93:AY98)</f>
        <v>135.69018801004574</v>
      </c>
      <c r="AV16" s="46">
        <f>SUM('Stormwater 2001'!AY93:AY98)</f>
        <v>607.48285777154683</v>
      </c>
      <c r="AW16" s="46">
        <f>SUM('Stormwater 2002'!AY93:AY98)</f>
        <v>1436.9410554197812</v>
      </c>
      <c r="AX16" s="46">
        <f>SUM('Stormwater 2003'!AY93:AY98)</f>
        <v>357.69042086041901</v>
      </c>
      <c r="AY16" s="46">
        <f>SUM('Stormwater 2004'!AY93:AY98)</f>
        <v>1469.4090690356343</v>
      </c>
      <c r="AZ16" s="46">
        <f>SUM('Stormwater 2005'!AY93:AY98)</f>
        <v>491.67035197984518</v>
      </c>
      <c r="BA16" s="46">
        <f>SUM('Stormwater 2006 (2009 LU)'!AY93:AY98)</f>
        <v>252.60347997807904</v>
      </c>
      <c r="BB16" s="46">
        <f>SUM('Stormwater 2007 (2009 LU)'!AY93:AY98)</f>
        <v>257.70380145623216</v>
      </c>
      <c r="BC16" s="46">
        <f>SUM('Stormwater 2008 (2009 LU)'!AY93:AY98)</f>
        <v>637.72345529576251</v>
      </c>
      <c r="BD16" s="46">
        <f>SUM('Stormwater 2009 (2009 LU)'!AY93:AY98)</f>
        <v>870.9538755560352</v>
      </c>
      <c r="BE16" s="46">
        <f>SUM('Stormwater 2010 (2009 LU)'!AY93:AY98)</f>
        <v>213.28413808191246</v>
      </c>
      <c r="BF16" s="46">
        <f>SUM('Stormwater 2011 (2009 LU)'!AY93:AY98)</f>
        <v>677.3186401712303</v>
      </c>
      <c r="BG16" s="46">
        <f>SUM('Stormwater 2012 (2009 LU)'!AY93:AY98)</f>
        <v>621.2149193697885</v>
      </c>
      <c r="BH16" s="48">
        <f t="shared" si="4"/>
        <v>659.54625054352482</v>
      </c>
      <c r="BI16" s="441">
        <f t="shared" si="7"/>
        <v>617.66817330663946</v>
      </c>
    </row>
    <row r="17" spans="1:64" s="2" customFormat="1" ht="15" x14ac:dyDescent="0.25">
      <c r="A17" s="16">
        <v>11</v>
      </c>
      <c r="B17" s="15" t="s">
        <v>25</v>
      </c>
      <c r="C17" s="46">
        <f>SUM(Stormwater!D102:D107)</f>
        <v>199.30300000000003</v>
      </c>
      <c r="E17" s="46">
        <f>SUM(Stormwater!AF102:AF107)</f>
        <v>3.0632769322825828</v>
      </c>
      <c r="F17" s="46">
        <f>SUM(Stormwater!AG102:AG107)</f>
        <v>4.2377436636261523</v>
      </c>
      <c r="G17" s="46">
        <f>SUM(Stormwater!AH102:AH107)</f>
        <v>3.9620149053762708</v>
      </c>
      <c r="H17" s="46">
        <f>SUM(Stormwater!AI102:AI107)</f>
        <v>5.5328529169299774</v>
      </c>
      <c r="I17" s="46">
        <f>SUM(Stormwater!AJ102:AJ107)</f>
        <v>4.5658668402067484</v>
      </c>
      <c r="J17" s="46">
        <f>SUM(Stormwater!AK102:AK107)</f>
        <v>3.3944740843803287</v>
      </c>
      <c r="K17" s="46">
        <f>SUM(Stormwater!AL102:AL107)</f>
        <v>4.0143768474624357</v>
      </c>
      <c r="L17" s="46">
        <f>SUM(Stormwater!AM102:AM107)</f>
        <v>3.530609593135615</v>
      </c>
      <c r="M17" s="46">
        <f>SUM(Stormwater!AN102:AN107)</f>
        <v>3.2891311311768328</v>
      </c>
      <c r="N17" s="408">
        <f>SUM('Stormwater 2000'!AS102:AS107)</f>
        <v>7.9123068719469947E-2</v>
      </c>
      <c r="O17" s="409">
        <f>SUM('Stormwater 2001'!AS102:AS107)</f>
        <v>0.26890113401402649</v>
      </c>
      <c r="P17" s="409">
        <f>SUM('Stormwater 2002'!AS102:AS107)</f>
        <v>0.58875991069724221</v>
      </c>
      <c r="Q17" s="409">
        <f>SUM('Stormwater 2003'!AS102:AS107)</f>
        <v>0.18419400806968739</v>
      </c>
      <c r="R17" s="409">
        <f>SUM('Stormwater 2004'!AS102:AS107)</f>
        <v>0.59638933557268403</v>
      </c>
      <c r="S17" s="409">
        <f>SUM('Stormwater 2005'!AS102:AS107)</f>
        <v>0.24284737281560126</v>
      </c>
      <c r="T17" s="409">
        <f>SUM('Stormwater 2006 (2009 LU)'!AS102:AS107)</f>
        <v>0.18607136662012</v>
      </c>
      <c r="U17" s="409">
        <f>SUM('Stormwater 2007 (2009 LU)'!AS102:AS107)</f>
        <v>0.19605649529196439</v>
      </c>
      <c r="V17" s="409">
        <f>SUM('Stormwater 2008 (2009 LU)'!AS102:AS107)</f>
        <v>0.43230434250245059</v>
      </c>
      <c r="W17" s="409">
        <f>SUM('Stormwater 2009 (2009 LU)'!AS102:AS107)</f>
        <v>0.58248705359208985</v>
      </c>
      <c r="X17" s="409">
        <f>SUM('Stormwater 2010 (2009 LU)'!AS102:AS107)</f>
        <v>0.17351511181761881</v>
      </c>
      <c r="Y17" s="409">
        <f>SUM('Stormwater 2011 (2009 LU)'!AS102:AS107)</f>
        <v>0.45488859963954992</v>
      </c>
      <c r="Z17" s="409">
        <f>SUM('Stormwater 2012 (2009 LU)'!AS102:AS107)</f>
        <v>0.42693205897704017</v>
      </c>
      <c r="AA17" s="409">
        <f t="shared" si="0"/>
        <v>3.5669469983296409</v>
      </c>
      <c r="AB17" s="51">
        <f t="shared" si="1"/>
        <v>2.868729325416272E-3</v>
      </c>
      <c r="AC17" s="447">
        <f t="shared" si="5"/>
        <v>0.33942075833304192</v>
      </c>
      <c r="AD17" s="353"/>
      <c r="AE17" s="353"/>
      <c r="AF17" s="353"/>
      <c r="AG17" s="2">
        <f t="shared" si="2"/>
        <v>0.1631604246803785</v>
      </c>
      <c r="AH17" s="349">
        <f t="shared" si="3"/>
        <v>0.34515261309934853</v>
      </c>
      <c r="AI17" s="349"/>
      <c r="AJ17" s="2">
        <f t="shared" si="6"/>
        <v>1.5991127488120118E-2</v>
      </c>
      <c r="AL17" s="46">
        <f>SUM(Stormwater!AP102:AP107)</f>
        <v>56.232580249234353</v>
      </c>
      <c r="AM17" s="46">
        <f>SUM(Stormwater!AQ102:AQ107)</f>
        <v>77.792268184833887</v>
      </c>
      <c r="AN17" s="46">
        <f>SUM(Stormwater!AR102:AR107)</f>
        <v>72.730714865279865</v>
      </c>
      <c r="AO17" s="46">
        <f>SUM(Stormwater!AS102:AS107)</f>
        <v>101.56659111673623</v>
      </c>
      <c r="AP17" s="46">
        <f>SUM(Stormwater!AT102:AT107)</f>
        <v>83.815625937524331</v>
      </c>
      <c r="AQ17" s="46">
        <f>SUM(Stormwater!AU102:AU107)</f>
        <v>62.312366976115982</v>
      </c>
      <c r="AR17" s="46">
        <f>SUM(Stormwater!AV102:AV107)</f>
        <v>73.691923131935681</v>
      </c>
      <c r="AS17" s="46">
        <f>SUM(Stormwater!AW102:AW107)</f>
        <v>64.811406759354824</v>
      </c>
      <c r="AT17" s="46">
        <f>SUM(Stormwater!AX102:AX107)</f>
        <v>60.37858619146688</v>
      </c>
      <c r="AU17" s="364">
        <f>SUM('Stormwater 2000'!AY102:AY107)</f>
        <v>1.5385056839735893</v>
      </c>
      <c r="AV17" s="46">
        <f>SUM('Stormwater 2001'!AY102:AY107)</f>
        <v>5.2286384970015991</v>
      </c>
      <c r="AW17" s="46">
        <f>SUM('Stormwater 2002'!AY102:AY107)</f>
        <v>11.44812105702108</v>
      </c>
      <c r="AX17" s="46">
        <f>SUM('Stormwater 2003'!AY102:AY107)</f>
        <v>3.5815538117438863</v>
      </c>
      <c r="AY17" s="46">
        <f>SUM('Stormwater 2004'!AY102:AY107)</f>
        <v>11.596471136540032</v>
      </c>
      <c r="AZ17" s="46">
        <f>SUM('Stormwater 2005'!AY102:AY107)</f>
        <v>4.7220370678433747</v>
      </c>
      <c r="BA17" s="46">
        <f>SUM('Stormwater 2006 (2009 LU)'!AY102:AY107)</f>
        <v>3.6180580430311942</v>
      </c>
      <c r="BB17" s="46">
        <f>SUM('Stormwater 2007 (2009 LU)'!AY102:AY107)</f>
        <v>3.8122135208894492</v>
      </c>
      <c r="BC17" s="46">
        <f>SUM('Stormwater 2008 (2009 LU)'!AY102:AY107)</f>
        <v>8.4059263487946883</v>
      </c>
      <c r="BD17" s="46">
        <f>SUM('Stormwater 2009 (2009 LU)'!AY102:AY107)</f>
        <v>11.326148711064073</v>
      </c>
      <c r="BE17" s="46">
        <f>SUM('Stormwater 2010 (2009 LU)'!AY102:AY107)</f>
        <v>3.3739083949486601</v>
      </c>
      <c r="BF17" s="46">
        <f>SUM('Stormwater 2011 (2009 LU)'!AY102:AY107)</f>
        <v>8.8450651301397336</v>
      </c>
      <c r="BG17" s="46">
        <f>SUM('Stormwater 2012 (2009 LU)'!AY102:AY107)</f>
        <v>8.3014651736465677</v>
      </c>
      <c r="BH17" s="48">
        <f t="shared" si="4"/>
        <v>6.7113076588878045</v>
      </c>
      <c r="BI17" s="441">
        <f t="shared" si="7"/>
        <v>6.5998548135875321</v>
      </c>
    </row>
    <row r="18" spans="1:64" s="2" customFormat="1" ht="15" x14ac:dyDescent="0.25">
      <c r="A18" s="16">
        <v>12</v>
      </c>
      <c r="B18" s="15" t="s">
        <v>26</v>
      </c>
      <c r="C18" s="46">
        <f>SUM(Stormwater!D111:D116)</f>
        <v>0</v>
      </c>
      <c r="E18" s="46">
        <f>SUM(Stormwater!AF111:AF116)</f>
        <v>0</v>
      </c>
      <c r="F18" s="46">
        <f>SUM(Stormwater!AG111:AG116)</f>
        <v>0</v>
      </c>
      <c r="G18" s="46">
        <f>SUM(Stormwater!AH111:AH116)</f>
        <v>0</v>
      </c>
      <c r="H18" s="46">
        <f>SUM(Stormwater!AI111:AI116)</f>
        <v>0</v>
      </c>
      <c r="I18" s="46">
        <f>SUM(Stormwater!AJ111:AJ116)</f>
        <v>0</v>
      </c>
      <c r="J18" s="46">
        <f>SUM(Stormwater!AK111:AK116)</f>
        <v>0</v>
      </c>
      <c r="K18" s="46">
        <f>SUM(Stormwater!AL111:AL116)</f>
        <v>0</v>
      </c>
      <c r="L18" s="46">
        <f>SUM(Stormwater!AM111:AM116)</f>
        <v>0</v>
      </c>
      <c r="M18" s="46">
        <f>SUM(Stormwater!AN111:AN116)</f>
        <v>0</v>
      </c>
      <c r="N18" s="408">
        <f>SUM('Stormwater 2000'!AS111:AS116)</f>
        <v>0</v>
      </c>
      <c r="O18" s="409">
        <f>SUM('Stormwater 2001'!AS111:AS116)</f>
        <v>0</v>
      </c>
      <c r="P18" s="409">
        <f>SUM('Stormwater 2002'!AS111:AS116)</f>
        <v>0</v>
      </c>
      <c r="Q18" s="409">
        <f>SUM('Stormwater 2003'!AS111:AS116)</f>
        <v>0</v>
      </c>
      <c r="R18" s="409">
        <f>SUM('Stormwater 2004'!AS111:AS116)</f>
        <v>0</v>
      </c>
      <c r="S18" s="409">
        <f>SUM('Stormwater 2005'!AS111:AS116)</f>
        <v>0</v>
      </c>
      <c r="T18" s="409">
        <f>SUM('Stormwater 2006 (2009 LU)'!AS111:AS116)</f>
        <v>0</v>
      </c>
      <c r="U18" s="409">
        <f>SUM('Stormwater 2007 (2009 LU)'!AS111:AS116)</f>
        <v>0</v>
      </c>
      <c r="V18" s="409">
        <f>SUM('Stormwater 2008 (2009 LU)'!AS111:AS116)</f>
        <v>0</v>
      </c>
      <c r="W18" s="409">
        <f>SUM('Stormwater 2009 (2009 LU)'!AS111:AS116)</f>
        <v>0</v>
      </c>
      <c r="X18" s="409">
        <f>SUM('Stormwater 2010 (2009 LU)'!AS111:AS116)</f>
        <v>0</v>
      </c>
      <c r="Y18" s="409">
        <f>SUM('Stormwater 2011 (2009 LU)'!AS111:AS116)</f>
        <v>0</v>
      </c>
      <c r="Z18" s="409">
        <f>SUM('Stormwater 2012 (2009 LU)'!AS111:AS116)</f>
        <v>0</v>
      </c>
      <c r="AA18" s="409">
        <f t="shared" si="0"/>
        <v>0</v>
      </c>
      <c r="AB18" s="51">
        <f t="shared" si="1"/>
        <v>0</v>
      </c>
      <c r="AC18" s="447">
        <f t="shared" si="5"/>
        <v>0</v>
      </c>
      <c r="AD18" s="353"/>
      <c r="AE18" s="353"/>
      <c r="AF18" s="353"/>
      <c r="AG18" s="2">
        <f t="shared" si="2"/>
        <v>0</v>
      </c>
      <c r="AH18" s="349">
        <f t="shared" si="3"/>
        <v>0</v>
      </c>
      <c r="AI18" s="349"/>
      <c r="AJ18" s="2">
        <f t="shared" si="6"/>
        <v>0</v>
      </c>
      <c r="AL18" s="46">
        <f>SUM(Stormwater!AP111:AP116)</f>
        <v>0</v>
      </c>
      <c r="AM18" s="46">
        <f>SUM(Stormwater!AQ111:AQ116)</f>
        <v>0</v>
      </c>
      <c r="AN18" s="46">
        <f>SUM(Stormwater!AR111:AR116)</f>
        <v>0</v>
      </c>
      <c r="AO18" s="46">
        <f>SUM(Stormwater!AS111:AS116)</f>
        <v>0</v>
      </c>
      <c r="AP18" s="46">
        <f>SUM(Stormwater!AT111:AT116)</f>
        <v>0</v>
      </c>
      <c r="AQ18" s="46">
        <f>SUM(Stormwater!AU111:AU116)</f>
        <v>0</v>
      </c>
      <c r="AR18" s="46">
        <f>SUM(Stormwater!AV111:AV116)</f>
        <v>0</v>
      </c>
      <c r="AS18" s="46">
        <f>SUM(Stormwater!AW111:AW116)</f>
        <v>0</v>
      </c>
      <c r="AT18" s="46">
        <f>SUM(Stormwater!AX111:AX116)</f>
        <v>0</v>
      </c>
      <c r="AU18" s="364">
        <f>SUM('Stormwater 2000'!AY111:AY116)</f>
        <v>0</v>
      </c>
      <c r="AV18" s="46">
        <f>SUM('Stormwater 2001'!AY111:AY116)</f>
        <v>0</v>
      </c>
      <c r="AW18" s="46">
        <f>SUM('Stormwater 2002'!AY111:AY116)</f>
        <v>0</v>
      </c>
      <c r="AX18" s="46">
        <f>SUM('Stormwater 2003'!AY111:AY116)</f>
        <v>0</v>
      </c>
      <c r="AY18" s="46">
        <f>SUM('Stormwater 2004'!AY111:AY116)</f>
        <v>0</v>
      </c>
      <c r="AZ18" s="46">
        <f>SUM('Stormwater 2005'!AY111:AY116)</f>
        <v>0</v>
      </c>
      <c r="BA18" s="46">
        <f>SUM('Stormwater 2006 (2009 LU)'!AY111:AY116)</f>
        <v>0</v>
      </c>
      <c r="BB18" s="46">
        <f>SUM('Stormwater 2007 (2009 LU)'!AY111:AY116)</f>
        <v>0</v>
      </c>
      <c r="BC18" s="46">
        <f>SUM('Stormwater 2008 (2009 LU)'!AY111:AY116)</f>
        <v>0</v>
      </c>
      <c r="BD18" s="46">
        <f>SUM('Stormwater 2009 (2009 LU)'!AY111:AY116)</f>
        <v>0</v>
      </c>
      <c r="BE18" s="46">
        <f>SUM('Stormwater 2010 (2009 LU)'!AY111:AY116)</f>
        <v>0</v>
      </c>
      <c r="BF18" s="46">
        <f>SUM('Stormwater 2011 (2009 LU)'!AY111:AY116)</f>
        <v>0</v>
      </c>
      <c r="BG18" s="46">
        <f>SUM('Stormwater 2012 (2009 LU)'!AY111:AY116)</f>
        <v>0</v>
      </c>
      <c r="BH18" s="48">
        <f t="shared" si="4"/>
        <v>0</v>
      </c>
      <c r="BI18" s="441">
        <f t="shared" si="7"/>
        <v>0</v>
      </c>
    </row>
    <row r="19" spans="1:64" s="2" customFormat="1" ht="15" x14ac:dyDescent="0.25">
      <c r="A19" s="16">
        <v>13</v>
      </c>
      <c r="B19" s="15" t="s">
        <v>27</v>
      </c>
      <c r="C19" s="46">
        <f>SUM(Stormwater!D120:D125)</f>
        <v>6.2839999999999998</v>
      </c>
      <c r="E19" s="46">
        <f>SUM(Stormwater!AF120:AF125)</f>
        <v>0.17583535998066011</v>
      </c>
      <c r="F19" s="46">
        <f>SUM(Stormwater!AG120:AG125)</f>
        <v>0.24325100181008616</v>
      </c>
      <c r="G19" s="46">
        <f>SUM(Stormwater!AH120:AH125)</f>
        <v>0.2274238772844033</v>
      </c>
      <c r="H19" s="46">
        <f>SUM(Stormwater!AI120:AI125)</f>
        <v>0.31759165295039077</v>
      </c>
      <c r="I19" s="46">
        <f>SUM(Stormwater!AJ120:AJ125)</f>
        <v>0.26208562177670325</v>
      </c>
      <c r="J19" s="46">
        <f>SUM(Stormwater!AK120:AK125)</f>
        <v>0.194846429417429</v>
      </c>
      <c r="K19" s="46">
        <f>SUM(Stormwater!AL120:AL125)</f>
        <v>0.23042950855429531</v>
      </c>
      <c r="L19" s="46">
        <f>SUM(Stormwater!AM120:AM125)</f>
        <v>0.20266075267885844</v>
      </c>
      <c r="M19" s="46">
        <f>SUM(Stormwater!AN120:AN125)</f>
        <v>0.18879963165560856</v>
      </c>
      <c r="N19" s="408">
        <f>SUM('Stormwater 2000'!AS120:AS125)</f>
        <v>0.31628096274029177</v>
      </c>
      <c r="O19" s="409">
        <f>SUM('Stormwater 2001'!AS120:AS125)</f>
        <v>1.2806413206955507</v>
      </c>
      <c r="P19" s="409">
        <f>SUM('Stormwater 2002'!AS120:AS125)</f>
        <v>2.9542103246312603</v>
      </c>
      <c r="Q19" s="409">
        <f>SUM('Stormwater 2003'!AS120:AS125)</f>
        <v>0.79507220859838357</v>
      </c>
      <c r="R19" s="409">
        <f>SUM('Stormwater 2004'!AS120:AS125)</f>
        <v>3.0119623225486407</v>
      </c>
      <c r="S19" s="409">
        <f>SUM('Stormwater 2005'!AS120:AS125)</f>
        <v>1.0764817025131266</v>
      </c>
      <c r="T19" s="409">
        <f>SUM('Stormwater 2006 (2009 LU)'!AS120:AS125)</f>
        <v>0.86856502149952364</v>
      </c>
      <c r="U19" s="409">
        <f>SUM('Stormwater 2007 (2009 LU)'!AS120:AS125)</f>
        <v>0.89221040389143969</v>
      </c>
      <c r="V19" s="409">
        <f>SUM('Stormwater 2008 (2009 LU)'!AS120:AS125)</f>
        <v>2.1560512690925693</v>
      </c>
      <c r="W19" s="409">
        <f>SUM('Stormwater 2009 (2009 LU)'!AS120:AS125)</f>
        <v>2.9368012516368234</v>
      </c>
      <c r="X19" s="409">
        <f>SUM('Stormwater 2010 (2009 LU)'!AS120:AS125)</f>
        <v>0.749458192011909</v>
      </c>
      <c r="Y19" s="409">
        <f>SUM('Stormwater 2011 (2009 LU)'!AS120:AS125)</f>
        <v>2.2857421047194277</v>
      </c>
      <c r="Z19" s="409">
        <f>SUM('Stormwater 2012 (2009 LU)'!AS120:AS125)</f>
        <v>2.1059448211345915</v>
      </c>
      <c r="AA19" s="409">
        <f t="shared" si="0"/>
        <v>0.23592047988487269</v>
      </c>
      <c r="AB19" s="51">
        <f t="shared" si="1"/>
        <v>1.8973985299724041E-4</v>
      </c>
      <c r="AC19" s="447">
        <f t="shared" si="5"/>
        <v>1.6484170696702722</v>
      </c>
      <c r="AD19" s="353"/>
      <c r="AE19" s="353"/>
      <c r="AF19" s="353"/>
      <c r="AG19" s="2">
        <f t="shared" si="2"/>
        <v>1.0791549666098285E-2</v>
      </c>
      <c r="AH19" s="349">
        <f t="shared" si="3"/>
        <v>1.6721454017119224</v>
      </c>
      <c r="AI19" s="349"/>
      <c r="AJ19" s="2">
        <f t="shared" si="6"/>
        <v>7.7471498933002425E-2</v>
      </c>
      <c r="AL19" s="46">
        <f>SUM(Stormwater!AP120:AP125)</f>
        <v>1.5944571705178519</v>
      </c>
      <c r="AM19" s="46">
        <f>SUM(Stormwater!AQ120:AQ125)</f>
        <v>2.2057753577801549</v>
      </c>
      <c r="AN19" s="46">
        <f>SUM(Stormwater!AR120:AR125)</f>
        <v>2.0622566014194907</v>
      </c>
      <c r="AO19" s="46">
        <f>SUM(Stormwater!AS120:AS125)</f>
        <v>2.8798888255414861</v>
      </c>
      <c r="AP19" s="46">
        <f>SUM(Stormwater!AT120:AT125)</f>
        <v>2.3765657770852044</v>
      </c>
      <c r="AQ19" s="46">
        <f>SUM(Stormwater!AU120:AU125)</f>
        <v>1.7668476156820268</v>
      </c>
      <c r="AR19" s="46">
        <f>SUM(Stormwater!AV120:AV125)</f>
        <v>2.0895113602503601</v>
      </c>
      <c r="AS19" s="46">
        <f>SUM(Stormwater!AW120:AW125)</f>
        <v>1.8377071046852684</v>
      </c>
      <c r="AT19" s="46">
        <f>SUM(Stormwater!AX120:AX125)</f>
        <v>1.7120158682390418</v>
      </c>
      <c r="AU19" s="364">
        <f>SUM('Stormwater 2000'!AY120:AY125)</f>
        <v>2.2620591140049111</v>
      </c>
      <c r="AV19" s="46">
        <f>SUM('Stormwater 2001'!AY120:AY125)</f>
        <v>9.1592182664164383</v>
      </c>
      <c r="AW19" s="46">
        <f>SUM('Stormwater 2002'!AY120:AY125)</f>
        <v>21.128677273588679</v>
      </c>
      <c r="AX19" s="46">
        <f>SUM('Stormwater 2003'!AY120:AY125)</f>
        <v>5.6864008512228823</v>
      </c>
      <c r="AY19" s="46">
        <f>SUM('Stormwater 2004'!AY120:AY125)</f>
        <v>21.541722788908785</v>
      </c>
      <c r="AZ19" s="46">
        <f>SUM('Stormwater 2005'!AY120:AY125)</f>
        <v>7.699057272153464</v>
      </c>
      <c r="BA19" s="46">
        <f>SUM('Stormwater 2006 (2009 LU)'!AY120:AY125)</f>
        <v>6.2120255546401122</v>
      </c>
      <c r="BB19" s="46">
        <f>SUM('Stormwater 2007 (2009 LU)'!AY120:AY125)</f>
        <v>6.3811386504152905</v>
      </c>
      <c r="BC19" s="46">
        <f>SUM('Stormwater 2008 (2009 LU)'!AY120:AY125)</f>
        <v>15.420199120607379</v>
      </c>
      <c r="BD19" s="46">
        <f>SUM('Stormwater 2009 (2009 LU)'!AY120:AY125)</f>
        <v>21.004166611004859</v>
      </c>
      <c r="BE19" s="46">
        <f>SUM('Stormwater 2010 (2009 LU)'!AY120:AY125)</f>
        <v>5.3601668564486484</v>
      </c>
      <c r="BF19" s="46">
        <f>SUM('Stormwater 2011 (2009 LU)'!AY120:AY125)</f>
        <v>16.347755221963826</v>
      </c>
      <c r="BG19" s="46">
        <f>SUM('Stormwater 2012 (2009 LU)'!AY120:AY125)</f>
        <v>15.061835005702282</v>
      </c>
      <c r="BH19" s="48">
        <f t="shared" si="4"/>
        <v>11.959277324540654</v>
      </c>
      <c r="BI19" s="441">
        <f t="shared" si="7"/>
        <v>11.789570968236735</v>
      </c>
    </row>
    <row r="20" spans="1:64" s="2" customFormat="1" ht="15" x14ac:dyDescent="0.25">
      <c r="A20" s="16">
        <v>14</v>
      </c>
      <c r="B20" s="15" t="s">
        <v>28</v>
      </c>
      <c r="C20" s="46">
        <f>SUM(Stormwater!D129:D134)</f>
        <v>404.62099999999998</v>
      </c>
      <c r="E20" s="46">
        <f>SUM(Stormwater!AF129:AF134)</f>
        <v>2.3634781841733679</v>
      </c>
      <c r="F20" s="46">
        <f>SUM(Stormwater!AG129:AG134)</f>
        <v>3.2696406235906679</v>
      </c>
      <c r="G20" s="46">
        <f>SUM(Stormwater!AH129:AH134)</f>
        <v>3.0569014820507583</v>
      </c>
      <c r="H20" s="46">
        <f>SUM(Stormwater!AI129:AI134)</f>
        <v>4.2688850712755828</v>
      </c>
      <c r="I20" s="46">
        <f>SUM(Stormwater!AJ129:AJ134)</f>
        <v>3.5228047960483111</v>
      </c>
      <c r="J20" s="46">
        <f>SUM(Stormwater!AK129:AK134)</f>
        <v>2.6190140893323215</v>
      </c>
      <c r="K20" s="46">
        <f>SUM(Stormwater!AL129:AL134)</f>
        <v>3.097301455849204</v>
      </c>
      <c r="L20" s="46">
        <f>SUM(Stormwater!AM129:AM134)</f>
        <v>2.7240497462928905</v>
      </c>
      <c r="M20" s="46">
        <f>SUM(Stormwater!AN129:AN134)</f>
        <v>2.5377364976366414</v>
      </c>
      <c r="N20" s="408">
        <f>SUM('Stormwater 2000'!AS129:AS134)</f>
        <v>1.4661036473386002</v>
      </c>
      <c r="O20" s="409">
        <f>SUM('Stormwater 2001'!AS129:AS134)</f>
        <v>6.1801403665988346</v>
      </c>
      <c r="P20" s="409">
        <f>SUM('Stormwater 2002'!AS129:AS134)</f>
        <v>14.405895258169812</v>
      </c>
      <c r="Q20" s="409">
        <f>SUM('Stormwater 2003'!AS129:AS134)</f>
        <v>3.7551720780644628</v>
      </c>
      <c r="R20" s="409">
        <f>SUM('Stormwater 2004'!AS129:AS134)</f>
        <v>14.705895164749776</v>
      </c>
      <c r="S20" s="409">
        <f>SUM('Stormwater 2005'!AS129:AS134)</f>
        <v>5.1152642752794559</v>
      </c>
      <c r="T20" s="409">
        <f>SUM('Stormwater 2006 (2009 LU)'!AS129:AS134)</f>
        <v>3.4324464051433039</v>
      </c>
      <c r="U20" s="409">
        <f>SUM('Stormwater 2007 (2009 LU)'!AS129:AS134)</f>
        <v>3.5004719786289566</v>
      </c>
      <c r="V20" s="409">
        <f>SUM('Stormwater 2008 (2009 LU)'!AS129:AS134)</f>
        <v>8.6732549714831393</v>
      </c>
      <c r="W20" s="409">
        <f>SUM('Stormwater 2009 (2009 LU)'!AS129:AS134)</f>
        <v>11.846894357612021</v>
      </c>
      <c r="X20" s="409">
        <f>SUM('Stormwater 2010 (2009 LU)'!AS129:AS134)</f>
        <v>2.8947949127619133</v>
      </c>
      <c r="Y20" s="409">
        <f>SUM('Stormwater 2011 (2009 LU)'!AS129:AS134)</f>
        <v>9.2126370716009855</v>
      </c>
      <c r="Z20" s="409">
        <f>SUM('Stormwater 2012 (2009 LU)'!AS129:AS134)</f>
        <v>8.4475383768576275</v>
      </c>
      <c r="AA20" s="409">
        <f t="shared" si="0"/>
        <v>2.8925915593588347</v>
      </c>
      <c r="AB20" s="51">
        <f t="shared" si="1"/>
        <v>2.3263766567516021E-3</v>
      </c>
      <c r="AC20" s="447">
        <f t="shared" si="5"/>
        <v>7.2028083741760671</v>
      </c>
      <c r="AD20" s="353"/>
      <c r="AE20" s="353"/>
      <c r="AF20" s="353"/>
      <c r="AG20" s="2">
        <f t="shared" si="2"/>
        <v>0.13231384359590354</v>
      </c>
      <c r="AH20" s="349">
        <f t="shared" si="3"/>
        <v>7.4510229768491669</v>
      </c>
      <c r="AI20" s="349"/>
      <c r="AJ20" s="2">
        <f t="shared" si="6"/>
        <v>0.3452103614971363</v>
      </c>
      <c r="AL20" s="46">
        <f>SUM(Stormwater!AP129:AP134)</f>
        <v>65.820217569350206</v>
      </c>
      <c r="AM20" s="46">
        <f>SUM(Stormwater!AQ129:AQ134)</f>
        <v>91.055825545346977</v>
      </c>
      <c r="AN20" s="46">
        <f>SUM(Stormwater!AR129:AR134)</f>
        <v>85.131278970117592</v>
      </c>
      <c r="AO20" s="46">
        <f>SUM(Stormwater!AS129:AS134)</f>
        <v>118.88366309087934</v>
      </c>
      <c r="AP20" s="46">
        <f>SUM(Stormwater!AT129:AT134)</f>
        <v>98.106163908319687</v>
      </c>
      <c r="AQ20" s="46">
        <f>SUM(Stormwater!AU129:AU134)</f>
        <v>72.936606028939806</v>
      </c>
      <c r="AR20" s="46">
        <f>SUM(Stormwater!AV129:AV134)</f>
        <v>86.256372945182065</v>
      </c>
      <c r="AS20" s="46">
        <f>SUM(Stormwater!AW129:AW134)</f>
        <v>75.86173131250672</v>
      </c>
      <c r="AT20" s="46">
        <f>SUM(Stormwater!AX129:AX134)</f>
        <v>70.673116226179687</v>
      </c>
      <c r="AU20" s="364">
        <f>SUM('Stormwater 2000'!AY129:AY134)</f>
        <v>43.720565460892011</v>
      </c>
      <c r="AV20" s="46">
        <f>SUM('Stormwater 2001'!AY129:AY134)</f>
        <v>184.29749625538057</v>
      </c>
      <c r="AW20" s="46">
        <f>SUM('Stormwater 2002'!AY129:AY134)</f>
        <v>429.59710781764767</v>
      </c>
      <c r="AX20" s="46">
        <f>SUM('Stormwater 2003'!AY129:AY134)</f>
        <v>111.98270119166675</v>
      </c>
      <c r="AY20" s="46">
        <f>SUM('Stormwater 2004'!AY129:AY134)</f>
        <v>438.54338223535359</v>
      </c>
      <c r="AZ20" s="46">
        <f>SUM('Stormwater 2005'!AY129:AY134)</f>
        <v>152.54190725402856</v>
      </c>
      <c r="BA20" s="46">
        <f>SUM('Stormwater 2006 (2009 LU)'!AY129:AY134)</f>
        <v>102.35872342278721</v>
      </c>
      <c r="BB20" s="46">
        <f>SUM('Stormwater 2007 (2009 LU)'!AY129:AY134)</f>
        <v>104.38730888057052</v>
      </c>
      <c r="BC20" s="46">
        <f>SUM('Stormwater 2008 (2009 LU)'!AY129:AY134)</f>
        <v>258.64447744065848</v>
      </c>
      <c r="BD20" s="46">
        <f>SUM('Stormwater 2009 (2009 LU)'!AY129:AY134)</f>
        <v>353.28533641566349</v>
      </c>
      <c r="BE20" s="46">
        <f>SUM('Stormwater 2010 (2009 LU)'!AY129:AY134)</f>
        <v>86.325459123583116</v>
      </c>
      <c r="BF20" s="46">
        <f>SUM('Stormwater 2011 (2009 LU)'!AY129:AY134)</f>
        <v>274.72935006166585</v>
      </c>
      <c r="BG20" s="46">
        <f>SUM('Stormwater 2012 (2009 LU)'!AY129:AY134)</f>
        <v>251.91340002410044</v>
      </c>
      <c r="BH20" s="48">
        <f t="shared" si="4"/>
        <v>222.196390003734</v>
      </c>
      <c r="BI20" s="441">
        <f t="shared" si="7"/>
        <v>214.79440119876909</v>
      </c>
      <c r="BJ20" s="2">
        <f>SUM(Stormwater!BD12:BD134,Stormwater!BD156:BD161)</f>
        <v>17.971706098446688</v>
      </c>
    </row>
    <row r="21" spans="1:64" s="11" customFormat="1" ht="15" x14ac:dyDescent="0.25">
      <c r="A21" s="47">
        <v>15</v>
      </c>
      <c r="B21" s="44" t="s">
        <v>29</v>
      </c>
      <c r="C21" s="325">
        <f>SUM(Stormwater!D138:D143)</f>
        <v>143.09800000000001</v>
      </c>
      <c r="E21" s="325">
        <f>SUM(Stormwater!AF138:AF143)</f>
        <v>5.4473085568534154</v>
      </c>
      <c r="F21" s="325">
        <f>SUM(Stormwater!AG138:AG143)</f>
        <v>7.5358179593057395</v>
      </c>
      <c r="G21" s="325">
        <f>SUM(Stormwater!AH138:AH143)</f>
        <v>7.0455000228644034</v>
      </c>
      <c r="H21" s="325">
        <f>SUM(Stormwater!AI138:AI143)</f>
        <v>9.8388613581032072</v>
      </c>
      <c r="I21" s="325">
        <f>SUM(Stormwater!AJ138:AJ143)</f>
        <v>8.1193068919101936</v>
      </c>
      <c r="J21" s="325">
        <f>SUM(Stormwater!AK138:AK143)</f>
        <v>6.0362638229002217</v>
      </c>
      <c r="K21" s="325">
        <f>SUM(Stormwater!AL138:AL143)</f>
        <v>7.1386132677602516</v>
      </c>
      <c r="L21" s="325">
        <f>SUM(Stormwater!AM138:AM143)</f>
        <v>6.2783484068694824</v>
      </c>
      <c r="M21" s="325">
        <f>SUM(Stormwater!AN138:AN143)</f>
        <v>5.8489364662573404</v>
      </c>
      <c r="N21" s="414">
        <f>SUM('Stormwater 2000'!AS138:AS143)</f>
        <v>0.92006345710812076</v>
      </c>
      <c r="O21" s="414">
        <f>SUM('Stormwater 2001'!AS138:AS143)</f>
        <v>1.4606932746247048</v>
      </c>
      <c r="P21" s="414">
        <f>SUM('Stormwater 2002'!AS138:AS143)</f>
        <v>1.9815660253653062</v>
      </c>
      <c r="Q21" s="414">
        <f>SUM('Stormwater 2003'!AS138:AS143)</f>
        <v>1.6658022677030102</v>
      </c>
      <c r="R21" s="414">
        <f>SUM('Stormwater 2004'!AS138:AS143)</f>
        <v>1.8495805498931885</v>
      </c>
      <c r="S21" s="414">
        <f>SUM('Stormwater 2005'!AS138:AS143)</f>
        <v>1.9676261890212488</v>
      </c>
      <c r="T21" s="414">
        <f>SUM('Stormwater 2006 (2009 LU)'!AS138:AS143)</f>
        <v>1.0565228514641014</v>
      </c>
      <c r="U21" s="414">
        <f>SUM('Stormwater 2007 (2009 LU)'!AS138:AS143)</f>
        <v>1.2837546735571903</v>
      </c>
      <c r="V21" s="414">
        <f>SUM('Stormwater 2008 (2009 LU)'!AS138:AS143)</f>
        <v>1.4291592382924811</v>
      </c>
      <c r="W21" s="414">
        <f>SUM('Stormwater 2009 (2009 LU)'!AS138:AS143)</f>
        <v>1.6899682271861081</v>
      </c>
      <c r="X21" s="414">
        <f>SUM('Stormwater 2010 (2009 LU)'!AS138:AS143)</f>
        <v>1.4344728944611458</v>
      </c>
      <c r="Y21" s="414">
        <f>SUM('Stormwater 2011 (2009 LU)'!AS138:AS143)</f>
        <v>1.3771659103217595</v>
      </c>
      <c r="Z21" s="414">
        <f>SUM('Stormwater 2012 (2009 LU)'!AS138:AS143)</f>
        <v>1.58452402472627</v>
      </c>
      <c r="AA21" s="414">
        <f t="shared" si="0"/>
        <v>6.4209020209932373</v>
      </c>
      <c r="AB21" s="415">
        <f t="shared" si="1"/>
        <v>5.1640324153607265E-3</v>
      </c>
      <c r="AC21" s="447">
        <f t="shared" si="5"/>
        <v>1.5154538141326646</v>
      </c>
      <c r="AD21" s="416"/>
      <c r="AE21" s="416"/>
      <c r="AF21" s="416"/>
      <c r="AG21" s="11">
        <f t="shared" si="2"/>
        <v>0.29370694351975318</v>
      </c>
      <c r="AH21" s="417">
        <f t="shared" si="3"/>
        <v>1.5819146191568487</v>
      </c>
      <c r="AI21" s="417"/>
      <c r="AJ21" s="11">
        <f t="shared" si="6"/>
        <v>7.3291052682764396E-2</v>
      </c>
      <c r="AL21" s="325">
        <f>SUM(Stormwater!AP138:AP143)</f>
        <v>312.80505092027266</v>
      </c>
      <c r="AM21" s="325">
        <f>SUM(Stormwater!AQ138:AQ143)</f>
        <v>432.73515643258787</v>
      </c>
      <c r="AN21" s="325">
        <f>SUM(Stormwater!AR138:AR143)</f>
        <v>404.57924687194964</v>
      </c>
      <c r="AO21" s="325">
        <f>SUM(Stormwater!AS138:AS143)</f>
        <v>564.98461506222247</v>
      </c>
      <c r="AP21" s="325">
        <f>SUM(Stormwater!AT138:AT143)</f>
        <v>466.2412968264747</v>
      </c>
      <c r="AQ21" s="325">
        <f>SUM(Stormwater!AU138:AU143)</f>
        <v>346.62508884592887</v>
      </c>
      <c r="AR21" s="325">
        <f>SUM(Stormwater!AV138:AV143)</f>
        <v>409.92616140910269</v>
      </c>
      <c r="AS21" s="325">
        <f>SUM(Stormwater!AW138:AW143)</f>
        <v>360.5265008598023</v>
      </c>
      <c r="AT21" s="325">
        <f>SUM(Stormwater!AX138:AX143)</f>
        <v>335.86804383519342</v>
      </c>
      <c r="AU21" s="325">
        <f>SUM('Stormwater 2000'!AY138:AY143)</f>
        <v>49.089158318841413</v>
      </c>
      <c r="AV21" s="325">
        <f>SUM('Stormwater 2001'!AY138:AY143)</f>
        <v>77.933976031060581</v>
      </c>
      <c r="AW21" s="325">
        <f>SUM('Stormwater 2002'!AY138:AY143)</f>
        <v>105.72467321345184</v>
      </c>
      <c r="AX21" s="325">
        <f>SUM('Stormwater 2003'!AY138:AY143)</f>
        <v>88.8773818973104</v>
      </c>
      <c r="AY21" s="325">
        <f>SUM('Stormwater 2004'!AY138:AY143)</f>
        <v>98.682706867344734</v>
      </c>
      <c r="AZ21" s="325">
        <f>SUM('Stormwater 2005'!AY138:AY143)</f>
        <v>104.98092578174426</v>
      </c>
      <c r="BA21" s="325">
        <f>SUM('Stormwater 2006 (2009 LU)'!AY138:AY143)</f>
        <v>56.36982658349433</v>
      </c>
      <c r="BB21" s="325">
        <f>SUM('Stormwater 2007 (2009 LU)'!AY138:AY143)</f>
        <v>68.493576096236495</v>
      </c>
      <c r="BC21" s="325">
        <f>SUM('Stormwater 2008 (2009 LU)'!AY138:AY143)</f>
        <v>76.251505881870969</v>
      </c>
      <c r="BD21" s="325">
        <f>SUM('Stormwater 2009 (2009 LU)'!AY138:AY143)</f>
        <v>90.166734932503374</v>
      </c>
      <c r="BE21" s="325">
        <f>SUM('Stormwater 2010 (2009 LU)'!AY138:AY143)</f>
        <v>76.535011228051474</v>
      </c>
      <c r="BF21" s="325">
        <f>SUM('Stormwater 2011 (2009 LU)'!AY138:AY143)</f>
        <v>73.477448626841593</v>
      </c>
      <c r="BG21" s="325">
        <f>SUM('Stormwater 2012 (2009 LU)'!AY138:AY143)</f>
        <v>84.540854338762244</v>
      </c>
      <c r="BH21" s="365">
        <f t="shared" si="4"/>
        <v>84.401631851306846</v>
      </c>
      <c r="BI21" s="441">
        <f t="shared" si="7"/>
        <v>80.855675369039531</v>
      </c>
      <c r="BJ21" s="11">
        <f>SUM(Stormwater!BD138:BD143)</f>
        <v>6.7637833386272073</v>
      </c>
    </row>
    <row r="22" spans="1:64" s="2" customFormat="1" ht="15" x14ac:dyDescent="0.25">
      <c r="A22" s="16">
        <v>16</v>
      </c>
      <c r="B22" s="15" t="s">
        <v>30</v>
      </c>
      <c r="C22" s="46">
        <f>SUM(Stormwater!D147:D152)</f>
        <v>338.35399999999998</v>
      </c>
      <c r="E22" s="46">
        <f>SUM(Stormwater!AF147:AF152)</f>
        <v>82.84506618831881</v>
      </c>
      <c r="F22" s="46">
        <f>SUM(Stormwater!AG147:AG152)</f>
        <v>114.60803644698062</v>
      </c>
      <c r="G22" s="46">
        <f>SUM(Stormwater!AH147:AH152)</f>
        <v>107.15106545408599</v>
      </c>
      <c r="H22" s="46">
        <f>SUM(Stormwater!AI147:AI152)</f>
        <v>149.63373415009701</v>
      </c>
      <c r="I22" s="46">
        <f>SUM(Stormwater!AJ147:AJ152)</f>
        <v>123.48199295912833</v>
      </c>
      <c r="J22" s="46">
        <f>SUM(Stormwater!AK147:AK152)</f>
        <v>91.80215710548741</v>
      </c>
      <c r="K22" s="46">
        <f>SUM(Stormwater!AL147:AL152)</f>
        <v>108.56717266664708</v>
      </c>
      <c r="L22" s="46">
        <f>SUM(Stormwater!AM147:AM152)</f>
        <v>95.483886013036184</v>
      </c>
      <c r="M22" s="46">
        <f>SUM(Stormwater!AN147:AN152)</f>
        <v>88.953200212741322</v>
      </c>
      <c r="N22" s="408">
        <f>SUM('Stormwater 2000'!AS147:AS152)</f>
        <v>214.07233110384578</v>
      </c>
      <c r="O22" s="409">
        <f>SUM('Stormwater 2001'!AS147:AS152)</f>
        <v>343.22061933872618</v>
      </c>
      <c r="P22" s="409">
        <f>SUM('Stormwater 2002'!AS147:AS152)</f>
        <v>470.86152650859333</v>
      </c>
      <c r="Q22" s="409">
        <f>SUM('Stormwater 2003'!AS147:AS152)</f>
        <v>388.54413107036197</v>
      </c>
      <c r="R22" s="409">
        <f>SUM('Stormwater 2004'!AS147:AS152)</f>
        <v>440.59727271729923</v>
      </c>
      <c r="S22" s="409">
        <f>SUM('Stormwater 2005'!AS147:AS152)</f>
        <v>459.53645963095857</v>
      </c>
      <c r="T22" s="409">
        <f>SUM('Stormwater 2006 (2009 LU)'!AS147:AS152)</f>
        <v>269.20371738070935</v>
      </c>
      <c r="U22" s="409">
        <f>SUM('Stormwater 2007 (2009 LU)'!AS147:AS152)</f>
        <v>319.32745781821728</v>
      </c>
      <c r="V22" s="409">
        <f>SUM('Stormwater 2008 (2009 LU)'!AS147:AS152)</f>
        <v>360.64584993324911</v>
      </c>
      <c r="W22" s="409">
        <f>SUM('Stormwater 2009 (2009 LU)'!AS147:AS152)</f>
        <v>437.62425276005774</v>
      </c>
      <c r="X22" s="409">
        <f>SUM('Stormwater 2010 (2009 LU)'!AS147:AS152)</f>
        <v>363.55682084532663</v>
      </c>
      <c r="Y22" s="409">
        <f>SUM('Stormwater 2011 (2009 LU)'!AS147:AS152)</f>
        <v>356.13541060664562</v>
      </c>
      <c r="Z22" s="409">
        <f>SUM('Stormwater 2012 (2009 LU)'!AS147:AS152)</f>
        <v>407.38217887399389</v>
      </c>
      <c r="AA22" s="409">
        <f t="shared" si="0"/>
        <v>117.65986423003685</v>
      </c>
      <c r="AB22" s="51">
        <f t="shared" si="1"/>
        <v>9.4628348304381049E-2</v>
      </c>
      <c r="AC22" s="447">
        <f t="shared" si="5"/>
        <v>371.59292527599888</v>
      </c>
      <c r="AD22" s="353"/>
      <c r="AE22" s="353"/>
      <c r="AF22" s="353"/>
      <c r="AG22" s="2">
        <f t="shared" si="2"/>
        <v>5.382034951626256</v>
      </c>
      <c r="AH22" s="349">
        <f t="shared" si="3"/>
        <v>385.31181080034997</v>
      </c>
      <c r="AI22" s="349"/>
      <c r="AJ22" s="2">
        <f t="shared" si="6"/>
        <v>17.851727193539375</v>
      </c>
      <c r="AL22" s="46">
        <f>SUM(Stormwater!AP147:AP152)</f>
        <v>2335.8153813518475</v>
      </c>
      <c r="AM22" s="46">
        <f>SUM(Stormwater!AQ147:AQ152)</f>
        <v>3231.3718447742235</v>
      </c>
      <c r="AN22" s="46">
        <f>SUM(Stormwater!AR147:AR152)</f>
        <v>3021.1226610279778</v>
      </c>
      <c r="AO22" s="46">
        <f>SUM(Stormwater!AS147:AS152)</f>
        <v>4218.9208588765887</v>
      </c>
      <c r="AP22" s="46">
        <f>SUM(Stormwater!AT147:AT152)</f>
        <v>3481.5729136876639</v>
      </c>
      <c r="AQ22" s="46">
        <f>SUM(Stormwater!AU147:AU152)</f>
        <v>2588.3604235506232</v>
      </c>
      <c r="AR22" s="46">
        <f>SUM(Stormwater!AV147:AV152)</f>
        <v>3061.0497823513451</v>
      </c>
      <c r="AS22" s="46">
        <f>SUM(Stormwater!AW147:AW152)</f>
        <v>2692.1667141107814</v>
      </c>
      <c r="AT22" s="46">
        <f>SUM(Stormwater!AX147:AX152)</f>
        <v>2508.0341272838332</v>
      </c>
      <c r="AU22" s="364">
        <f>SUM('Stormwater 2000'!AY147:AY152)</f>
        <v>6479.9421300532531</v>
      </c>
      <c r="AV22" s="46">
        <f>SUM('Stormwater 2001'!AY147:AY152)</f>
        <v>10389.24432544766</v>
      </c>
      <c r="AW22" s="46">
        <f>SUM('Stormwater 2002'!AY147:AY152)</f>
        <v>14252.918288464449</v>
      </c>
      <c r="AX22" s="46">
        <f>SUM('Stormwater 2003'!AY147:AY152)</f>
        <v>11761.181238720765</v>
      </c>
      <c r="AY22" s="46">
        <f>SUM('Stormwater 2004'!AY147:AY152)</f>
        <v>13336.823190300183</v>
      </c>
      <c r="AZ22" s="46">
        <f>SUM('Stormwater 2005'!AY147:AY152)</f>
        <v>13910.109960047372</v>
      </c>
      <c r="BA22" s="46">
        <f>SUM('Stormwater 2006 (2009 LU)'!AY147:AY152)</f>
        <v>8148.7621535545049</v>
      </c>
      <c r="BB22" s="46">
        <f>SUM('Stormwater 2007 (2009 LU)'!AY147:AY152)</f>
        <v>9878.9613099035814</v>
      </c>
      <c r="BC22" s="46">
        <f>SUM('Stormwater 2008 (2009 LU)'!AY147:AY152)</f>
        <v>11157.518087262353</v>
      </c>
      <c r="BD22" s="46">
        <f>SUM('Stormwater 2009 (2009 LU)'!AY147:AY152)</f>
        <v>13246.830255785571</v>
      </c>
      <c r="BE22" s="46">
        <f>SUM('Stormwater 2010 (2009 LU)'!AY147:AY152)</f>
        <v>11004.818548554276</v>
      </c>
      <c r="BF22" s="46">
        <f>SUM('Stormwater 2011 (2009 LU)'!AY147:AY152)</f>
        <v>10780.17340818483</v>
      </c>
      <c r="BG22" s="46">
        <f>SUM('Stormwater 2012 (2009 LU)'!AY147:AY152)</f>
        <v>12331.406540520729</v>
      </c>
      <c r="BH22" s="48">
        <f t="shared" si="4"/>
        <v>11708.716735804072</v>
      </c>
      <c r="BI22" s="441">
        <f>AVERAGE(AU22:BG22)</f>
        <v>11282.976110523041</v>
      </c>
      <c r="BJ22" s="2">
        <f>SUM(Stormwater!BD147:BD152,Stormwater!BD165:BD170)</f>
        <v>102.86659412142744</v>
      </c>
      <c r="BL22" s="2">
        <v>11283</v>
      </c>
    </row>
    <row r="23" spans="1:64" s="2" customFormat="1" ht="15" x14ac:dyDescent="0.25">
      <c r="A23" s="16">
        <v>17</v>
      </c>
      <c r="B23" s="15" t="s">
        <v>52</v>
      </c>
      <c r="C23" s="46">
        <f>SUM(Stormwater!D156:D161)</f>
        <v>0</v>
      </c>
      <c r="E23" s="46">
        <f>SUM(Stormwater!AF156:AF161)</f>
        <v>0</v>
      </c>
      <c r="F23" s="46">
        <f>SUM(Stormwater!AG156:AG161)</f>
        <v>0</v>
      </c>
      <c r="G23" s="46">
        <f>SUM(Stormwater!AH156:AH161)</f>
        <v>0</v>
      </c>
      <c r="H23" s="46">
        <f>SUM(Stormwater!AI156:AI161)</f>
        <v>0</v>
      </c>
      <c r="I23" s="46">
        <f>SUM(Stormwater!AJ156:AJ161)</f>
        <v>0</v>
      </c>
      <c r="J23" s="46">
        <f>SUM(Stormwater!AK156:AK161)</f>
        <v>0</v>
      </c>
      <c r="K23" s="46">
        <f>SUM(Stormwater!AL156:AL161)</f>
        <v>0</v>
      </c>
      <c r="L23" s="46">
        <f>SUM(Stormwater!AM156:AM161)</f>
        <v>0</v>
      </c>
      <c r="M23" s="46">
        <f>SUM(Stormwater!AN156:AN161)</f>
        <v>0</v>
      </c>
      <c r="N23" s="408">
        <f>SUM('Stormwater 2000'!AS156:AS161)</f>
        <v>0</v>
      </c>
      <c r="O23" s="409">
        <f>SUM('Stormwater 2001'!AS156:AS161)</f>
        <v>0</v>
      </c>
      <c r="P23" s="409">
        <f>SUM('Stormwater 2002'!AS156:AS161)</f>
        <v>0</v>
      </c>
      <c r="Q23" s="409">
        <f>SUM('Stormwater 2003'!AS156:AS161)</f>
        <v>0</v>
      </c>
      <c r="R23" s="409">
        <f>SUM('Stormwater 2004'!AS156:AS161)</f>
        <v>0</v>
      </c>
      <c r="S23" s="409">
        <f>SUM('Stormwater 2005'!AS156:AS161)</f>
        <v>0</v>
      </c>
      <c r="T23" s="409">
        <f>SUM('Stormwater 2006 (2009 LU)'!AS156:AS161)</f>
        <v>0</v>
      </c>
      <c r="U23" s="409">
        <f>SUM('Stormwater 2007 (2009 LU)'!AS156:AS161)</f>
        <v>0</v>
      </c>
      <c r="V23" s="409">
        <f>SUM('Stormwater 2008 (2009 LU)'!AS156:AS161)</f>
        <v>0</v>
      </c>
      <c r="W23" s="409">
        <f>SUM('Stormwater 2009 (2009 LU)'!AS156:AS161)</f>
        <v>0</v>
      </c>
      <c r="X23" s="409">
        <f>SUM('Stormwater 2010 (2009 LU)'!AS156:AS161)</f>
        <v>0</v>
      </c>
      <c r="Y23" s="409">
        <f>SUM('Stormwater 2011 (2009 LU)'!AS156:AS161)</f>
        <v>0</v>
      </c>
      <c r="Z23" s="409">
        <f>SUM('Stormwater 2012 (2009 LU)'!AS156:AS161)</f>
        <v>0</v>
      </c>
      <c r="AA23" s="409">
        <f t="shared" si="0"/>
        <v>0</v>
      </c>
      <c r="AB23" s="51">
        <f t="shared" si="1"/>
        <v>0</v>
      </c>
      <c r="AC23" s="447"/>
      <c r="AD23" s="353"/>
      <c r="AE23" s="353"/>
      <c r="AF23" s="353"/>
      <c r="AG23" s="2">
        <f t="shared" si="2"/>
        <v>0</v>
      </c>
      <c r="AH23" s="349">
        <f t="shared" si="3"/>
        <v>0</v>
      </c>
      <c r="AI23" s="349"/>
      <c r="AJ23" s="2">
        <f t="shared" si="6"/>
        <v>0</v>
      </c>
      <c r="AL23" s="46">
        <f>SUM(Stormwater!AP156:AP161)</f>
        <v>0</v>
      </c>
      <c r="AM23" s="46">
        <f>SUM(Stormwater!AQ156:AQ161)</f>
        <v>0</v>
      </c>
      <c r="AN23" s="46">
        <f>SUM(Stormwater!AR156:AR161)</f>
        <v>0</v>
      </c>
      <c r="AO23" s="46">
        <f>SUM(Stormwater!AS156:AS161)</f>
        <v>0</v>
      </c>
      <c r="AP23" s="46">
        <f>SUM(Stormwater!AT156:AT161)</f>
        <v>0</v>
      </c>
      <c r="AQ23" s="46">
        <f>SUM(Stormwater!AU156:AU161)</f>
        <v>0</v>
      </c>
      <c r="AR23" s="46">
        <f>SUM(Stormwater!AV156:AV161)</f>
        <v>0</v>
      </c>
      <c r="AS23" s="46">
        <f>SUM(Stormwater!AW156:AW161)</f>
        <v>0</v>
      </c>
      <c r="AT23" s="46">
        <f>SUM(Stormwater!AX156:AX161)</f>
        <v>0</v>
      </c>
      <c r="AU23" s="364">
        <f>SUM('Stormwater 2000'!AY156:AY161)</f>
        <v>0</v>
      </c>
      <c r="AV23" s="46">
        <f>SUM('Stormwater 2001'!AY156:AY161)</f>
        <v>0</v>
      </c>
      <c r="AW23" s="46">
        <f>SUM('Stormwater 2002'!AY156:AY161)</f>
        <v>0</v>
      </c>
      <c r="AX23" s="46">
        <f>SUM('Stormwater 2003'!AY156:AY161)</f>
        <v>0</v>
      </c>
      <c r="AY23" s="46">
        <f>SUM('Stormwater 2004'!AY156:AY161)</f>
        <v>0</v>
      </c>
      <c r="AZ23" s="46">
        <f>SUM('Stormwater 2005'!AY156:AY161)</f>
        <v>0</v>
      </c>
      <c r="BA23" s="46">
        <f>SUM('Stormwater 2006 (2009 LU)'!AY156:AY161)</f>
        <v>0</v>
      </c>
      <c r="BB23" s="46">
        <f>SUM('Stormwater 2007 (2009 LU)'!AY156:AY161)</f>
        <v>0</v>
      </c>
      <c r="BC23" s="46">
        <f>SUM('Stormwater 2008 (2009 LU)'!AY156:AY161)</f>
        <v>0</v>
      </c>
      <c r="BD23" s="46">
        <f>SUM('Stormwater 2009 (2009 LU)'!AY156:AY161)</f>
        <v>0</v>
      </c>
      <c r="BE23" s="46">
        <f>SUM('Stormwater 2010 (2009 LU)'!AY156:AY161)</f>
        <v>0</v>
      </c>
      <c r="BF23" s="46">
        <f>SUM('Stormwater 2011 (2009 LU)'!AY156:AY161)</f>
        <v>0</v>
      </c>
      <c r="BG23" s="46">
        <f>SUM('Stormwater 2012 (2009 LU)'!AY156:AY161)</f>
        <v>0</v>
      </c>
      <c r="BH23" s="48">
        <f t="shared" si="4"/>
        <v>0</v>
      </c>
      <c r="BI23" s="11"/>
      <c r="BL23" s="2">
        <v>11350</v>
      </c>
    </row>
    <row r="24" spans="1:64" s="376" customFormat="1" ht="15" x14ac:dyDescent="0.25">
      <c r="A24" s="374">
        <v>18</v>
      </c>
      <c r="B24" s="375" t="s">
        <v>62</v>
      </c>
      <c r="C24" s="364">
        <f>SUM(Stormwater!D165:D170)</f>
        <v>0</v>
      </c>
      <c r="E24" s="364">
        <f>SUM(Stormwater!AF165:AF170)</f>
        <v>0</v>
      </c>
      <c r="F24" s="364">
        <f>SUM(Stormwater!AG165:AG170)</f>
        <v>0</v>
      </c>
      <c r="G24" s="364">
        <f>SUM(Stormwater!AH165:AH170)</f>
        <v>0</v>
      </c>
      <c r="H24" s="364">
        <f>SUM(Stormwater!AI165:AI170)</f>
        <v>0</v>
      </c>
      <c r="I24" s="364">
        <f>SUM(Stormwater!AJ165:AJ170)</f>
        <v>0</v>
      </c>
      <c r="J24" s="364">
        <f>SUM(Stormwater!AK165:AK170)</f>
        <v>0</v>
      </c>
      <c r="K24" s="364">
        <f>SUM(Stormwater!AL165:AL170)</f>
        <v>0</v>
      </c>
      <c r="L24" s="364">
        <f>SUM(Stormwater!AM165:AM170)</f>
        <v>0</v>
      </c>
      <c r="M24" s="364">
        <f>SUM(Stormwater!AN165:AN170)</f>
        <v>0</v>
      </c>
      <c r="N24" s="408">
        <f>SUM('Stormwater 2000'!AS165:AS170)</f>
        <v>13.916525186724506</v>
      </c>
      <c r="O24" s="408">
        <f>SUM('Stormwater 2001'!AS165:AS170)</f>
        <v>59.85061905326392</v>
      </c>
      <c r="P24" s="408">
        <f>SUM('Stormwater 2002'!AS165:AS170)</f>
        <v>140.21081692745966</v>
      </c>
      <c r="Q24" s="408">
        <f>SUM('Stormwater 2003'!AS165:AS170)</f>
        <v>35.984100707080053</v>
      </c>
      <c r="R24" s="408">
        <f>SUM('Stormwater 2004'!AS165:AS170)</f>
        <v>143.21578166145198</v>
      </c>
      <c r="S24" s="408">
        <f>SUM('Stormwater 2005'!AS165:AS170)</f>
        <v>49.165350605339604</v>
      </c>
      <c r="T24" s="408">
        <f>SUM('Stormwater 2006 (2009 LU)'!AS165:AS170)</f>
        <v>40.341186835464363</v>
      </c>
      <c r="U24" s="408">
        <f>SUM('Stormwater 2007 (2009 LU)'!AS165:AS170)</f>
        <v>41.10472576148311</v>
      </c>
      <c r="V24" s="408">
        <f>SUM('Stormwater 2008 (2009 LU)'!AS165:AS170)</f>
        <v>102.15209747013259</v>
      </c>
      <c r="W24" s="408">
        <f>SUM('Stormwater 2009 (2009 LU)'!AS165:AS170)</f>
        <v>139.57636589843887</v>
      </c>
      <c r="X24" s="408">
        <f>SUM('Stormwater 2010 (2009 LU)'!AS165:AS170)</f>
        <v>33.927498272565103</v>
      </c>
      <c r="Y24" s="408">
        <f>SUM('Stormwater 2011 (2009 LU)'!AS165:AS170)</f>
        <v>108.52940163264711</v>
      </c>
      <c r="Z24" s="408">
        <f>SUM('Stormwater 2012 (2009 LU)'!AS165:AS170)</f>
        <v>99.46008204486715</v>
      </c>
      <c r="AA24" s="408">
        <f t="shared" si="0"/>
        <v>1.3916525186724507</v>
      </c>
      <c r="AB24" s="377">
        <f t="shared" si="1"/>
        <v>1.1192412987842573E-3</v>
      </c>
      <c r="AC24" s="448"/>
      <c r="AD24" s="378"/>
      <c r="AE24" s="378"/>
      <c r="AF24" s="378"/>
      <c r="AG24" s="376">
        <f t="shared" si="2"/>
        <v>6.365741236425608E-2</v>
      </c>
      <c r="AH24" s="379">
        <f t="shared" si="3"/>
        <v>78.552854319267936</v>
      </c>
      <c r="AI24" s="379"/>
      <c r="AJ24" s="376">
        <f t="shared" si="6"/>
        <v>3.6394008340118562</v>
      </c>
      <c r="AL24" s="364">
        <f>SUM(Stormwater!AP165:AP170)</f>
        <v>0</v>
      </c>
      <c r="AM24" s="364">
        <f>SUM(Stormwater!AQ165:AQ170)</f>
        <v>0</v>
      </c>
      <c r="AN24" s="364">
        <f>SUM(Stormwater!AR165:AR170)</f>
        <v>0</v>
      </c>
      <c r="AO24" s="364">
        <f>SUM(Stormwater!AS165:AS170)</f>
        <v>0</v>
      </c>
      <c r="AP24" s="364">
        <f>SUM(Stormwater!AT165:AT170)</f>
        <v>0</v>
      </c>
      <c r="AQ24" s="364">
        <f>SUM(Stormwater!AU165:AU170)</f>
        <v>0</v>
      </c>
      <c r="AR24" s="364">
        <f>SUM(Stormwater!AV165:AV170)</f>
        <v>0</v>
      </c>
      <c r="AS24" s="364">
        <f>SUM(Stormwater!AW165:AW170)</f>
        <v>0</v>
      </c>
      <c r="AT24" s="364">
        <f>SUM(Stormwater!AX165:AX170)</f>
        <v>0</v>
      </c>
      <c r="AU24" s="364">
        <f>SUM('Stormwater 2000'!AY165:AY170)</f>
        <v>130.71400923039587</v>
      </c>
      <c r="AV24" s="364">
        <f>SUM('Stormwater 2001'!AY165:AY170)</f>
        <v>562.16004113125894</v>
      </c>
      <c r="AW24" s="364">
        <f>SUM('Stormwater 2002'!AY165:AY170)</f>
        <v>1316.960791012732</v>
      </c>
      <c r="AX24" s="364">
        <f>SUM('Stormwater 2003'!AY165:AY170)</f>
        <v>337.98854303513372</v>
      </c>
      <c r="AY24" s="364">
        <f>SUM('Stormwater 2004'!AY165:AY170)</f>
        <v>1345.1855800822609</v>
      </c>
      <c r="AZ24" s="364">
        <f>SUM('Stormwater 2005'!AY165:AY170)</f>
        <v>461.79631816227987</v>
      </c>
      <c r="BA24" s="364">
        <f>SUM('Stormwater 2006 (2009 LU)'!AY165:AY170)</f>
        <v>378.91346653368964</v>
      </c>
      <c r="BB24" s="364">
        <f>SUM('Stormwater 2007 (2009 LU)'!AY165:AY170)</f>
        <v>386.08517376360271</v>
      </c>
      <c r="BC24" s="364">
        <f>SUM('Stormwater 2008 (2009 LU)'!AY165:AY170)</f>
        <v>959.48603406153927</v>
      </c>
      <c r="BD24" s="364">
        <f>SUM('Stormwater 2009 (2009 LU)'!AY165:AY170)</f>
        <v>1311.0017031590721</v>
      </c>
      <c r="BE24" s="364">
        <f>SUM('Stormwater 2010 (2009 LU)'!AY165:AY170)</f>
        <v>318.67148662993549</v>
      </c>
      <c r="BF24" s="364">
        <f>SUM('Stormwater 2011 (2009 LU)'!AY165:AY170)</f>
        <v>1019.3862654854149</v>
      </c>
      <c r="BG24" s="364">
        <f>SUM('Stormwater 2012 (2009 LU)'!AY165:AY170)</f>
        <v>934.20068732868697</v>
      </c>
      <c r="BH24" s="380">
        <f t="shared" si="4"/>
        <v>737.82491375715051</v>
      </c>
      <c r="BI24" s="442">
        <v>5611.1369999999997</v>
      </c>
      <c r="BJ24" s="443" t="s">
        <v>888</v>
      </c>
      <c r="BL24" s="376">
        <f>BL23-BL22</f>
        <v>67</v>
      </c>
    </row>
    <row r="25" spans="1:64" s="2" customFormat="1" ht="15" x14ac:dyDescent="0.25">
      <c r="A25" s="16"/>
      <c r="B25" s="404" t="s">
        <v>875</v>
      </c>
      <c r="C25" s="15"/>
      <c r="N25" s="410">
        <f>SUM(N7:N23)</f>
        <v>315.4766660747847</v>
      </c>
      <c r="O25" s="410">
        <f t="shared" ref="O25:Z25" si="8">SUM(O7:O23)</f>
        <v>567.84470348379398</v>
      </c>
      <c r="P25" s="410">
        <f>SUM(P7:P23)</f>
        <v>875.05261881505203</v>
      </c>
      <c r="Q25" s="410">
        <f t="shared" si="8"/>
        <v>590.32128542664361</v>
      </c>
      <c r="R25" s="410">
        <f t="shared" si="8"/>
        <v>838.67079423312452</v>
      </c>
      <c r="S25" s="410">
        <f t="shared" si="8"/>
        <v>709.10019613166719</v>
      </c>
      <c r="T25" s="410">
        <f t="shared" si="8"/>
        <v>435.5136481690439</v>
      </c>
      <c r="U25" s="410">
        <f t="shared" si="8"/>
        <v>508.55941305353883</v>
      </c>
      <c r="V25" s="410">
        <f t="shared" si="8"/>
        <v>662.86729286737386</v>
      </c>
      <c r="W25" s="410">
        <f t="shared" si="8"/>
        <v>825.49311939523488</v>
      </c>
      <c r="X25" s="410">
        <f t="shared" si="8"/>
        <v>555.51746840158671</v>
      </c>
      <c r="Y25" s="410">
        <f t="shared" si="8"/>
        <v>663.74971095841101</v>
      </c>
      <c r="Z25" s="410">
        <f t="shared" si="8"/>
        <v>720.05777005566722</v>
      </c>
      <c r="AA25" s="411"/>
      <c r="AB25" s="51"/>
      <c r="AC25" s="447"/>
      <c r="AD25" s="353"/>
      <c r="AE25" s="353"/>
      <c r="AF25" s="353"/>
      <c r="AH25" s="154"/>
      <c r="AI25" s="154"/>
      <c r="AU25" s="405">
        <f>SUM(AU7:AU23)</f>
        <v>7438.871412652843</v>
      </c>
      <c r="AV25" s="405">
        <f t="shared" ref="AV25:BF25" si="9">SUM(AV7:AV23)</f>
        <v>12574.267541750583</v>
      </c>
      <c r="AW25" s="405">
        <f t="shared" si="9"/>
        <v>18252.862670563132</v>
      </c>
      <c r="AX25" s="405">
        <f t="shared" si="9"/>
        <v>13686.676248191456</v>
      </c>
      <c r="AY25" s="405">
        <f t="shared" si="9"/>
        <v>17286.979414968915</v>
      </c>
      <c r="AZ25" s="405">
        <f t="shared" si="9"/>
        <v>16301.388156714409</v>
      </c>
      <c r="BA25" s="405">
        <f t="shared" si="9"/>
        <v>9741.4416291222733</v>
      </c>
      <c r="BB25" s="405">
        <f t="shared" si="9"/>
        <v>11687.630795969162</v>
      </c>
      <c r="BC25" s="405">
        <f t="shared" si="9"/>
        <v>14072.958095451821</v>
      </c>
      <c r="BD25" s="405">
        <f t="shared" si="9"/>
        <v>16994.712783881037</v>
      </c>
      <c r="BE25" s="405">
        <f t="shared" si="9"/>
        <v>12833.859463168634</v>
      </c>
      <c r="BF25" s="405">
        <f t="shared" si="9"/>
        <v>13750.983295519198</v>
      </c>
      <c r="BG25" s="405">
        <f>SUM(BG7:BG23)</f>
        <v>15343.120120709693</v>
      </c>
      <c r="BI25" s="444">
        <f>SUM(BI7:BI22)</f>
        <v>13843.519356051012</v>
      </c>
    </row>
    <row r="26" spans="1:64" s="2" customFormat="1" x14ac:dyDescent="0.2">
      <c r="B26" s="15" t="s">
        <v>53</v>
      </c>
      <c r="C26" s="15"/>
      <c r="E26" s="48">
        <v>234.23663999999994</v>
      </c>
      <c r="F26" s="48">
        <v>234.23663999999994</v>
      </c>
      <c r="G26" s="48">
        <v>234.23663999999994</v>
      </c>
      <c r="H26" s="48">
        <v>234.23663999999994</v>
      </c>
      <c r="I26" s="48">
        <v>234.23663999999994</v>
      </c>
      <c r="J26" s="48">
        <v>234.23663999999994</v>
      </c>
      <c r="K26" s="48">
        <v>234.23663999999994</v>
      </c>
      <c r="L26" s="48">
        <v>234.23663999999994</v>
      </c>
      <c r="M26" s="48">
        <v>234.23663999999994</v>
      </c>
      <c r="N26" s="412">
        <v>234.23663999999994</v>
      </c>
      <c r="O26" s="411">
        <f>Eutromod!$H67</f>
        <v>284.56847999999991</v>
      </c>
      <c r="P26" s="411">
        <f>Eutromod!$H67</f>
        <v>284.56847999999991</v>
      </c>
      <c r="Q26" s="411">
        <f>Eutromod!$H67</f>
        <v>284.56847999999991</v>
      </c>
      <c r="R26" s="411">
        <f>Eutromod!$H67</f>
        <v>284.56847999999991</v>
      </c>
      <c r="S26" s="411">
        <f>Eutromod!$H67</f>
        <v>284.56847999999991</v>
      </c>
      <c r="T26" s="411">
        <f>Eutromod!$H67</f>
        <v>284.56847999999991</v>
      </c>
      <c r="U26" s="411">
        <v>396.84719999999993</v>
      </c>
      <c r="V26" s="411">
        <v>396.84719999999993</v>
      </c>
      <c r="W26" s="411">
        <v>396.84719999999993</v>
      </c>
      <c r="X26" s="411">
        <v>396.84719999999993</v>
      </c>
      <c r="Y26" s="411">
        <v>396.84719999999999</v>
      </c>
      <c r="Z26" s="411">
        <v>396.84719999999999</v>
      </c>
      <c r="AA26" s="409">
        <f>AVERAGE(E26:N26)</f>
        <v>234.23663999999994</v>
      </c>
      <c r="AB26" s="51">
        <f t="shared" si="1"/>
        <v>0.18838561900965886</v>
      </c>
      <c r="AC26" s="447"/>
      <c r="AD26" s="353"/>
      <c r="AE26" s="353"/>
      <c r="AF26" s="353"/>
      <c r="AG26" s="2">
        <f t="shared" si="2"/>
        <v>10.714526926248702</v>
      </c>
      <c r="AH26" s="349">
        <f t="shared" ref="AH26:AH31" si="10">AVERAGE(O26:T26,U26:X26)</f>
        <v>329.47996799999999</v>
      </c>
      <c r="AI26" s="350">
        <f>AH26/AH$31</f>
        <v>0.1844323187982459</v>
      </c>
      <c r="AJ26" s="2">
        <f t="shared" si="6"/>
        <v>15.265004444724228</v>
      </c>
      <c r="AK26" s="48"/>
      <c r="AL26" s="48">
        <v>4134.7515000000003</v>
      </c>
      <c r="AM26" s="48">
        <v>4134.7515000000003</v>
      </c>
      <c r="AN26" s="48">
        <v>4134.7515000000003</v>
      </c>
      <c r="AO26" s="48">
        <v>4134.7515000000003</v>
      </c>
      <c r="AP26" s="48">
        <v>4134.7515000000003</v>
      </c>
      <c r="AQ26" s="48">
        <v>4134.7515000000003</v>
      </c>
      <c r="AR26" s="48">
        <v>4134.7515000000003</v>
      </c>
      <c r="AS26" s="48">
        <v>4134.7515000000003</v>
      </c>
      <c r="AT26" s="48">
        <v>4134.7515000000003</v>
      </c>
      <c r="AU26" s="48">
        <v>4134.7515000000003</v>
      </c>
      <c r="AV26" s="48">
        <f>Eutromod!$Q67</f>
        <v>5023.210500000001</v>
      </c>
      <c r="AW26" s="48">
        <f>Eutromod!$Q67</f>
        <v>5023.210500000001</v>
      </c>
      <c r="AX26" s="48">
        <f>Eutromod!$Q67</f>
        <v>5023.210500000001</v>
      </c>
      <c r="AY26" s="48">
        <f>Eutromod!$Q67</f>
        <v>5023.210500000001</v>
      </c>
      <c r="AZ26" s="48">
        <f>Eutromod!$Q67</f>
        <v>5023.210500000001</v>
      </c>
      <c r="BA26" s="48">
        <f>Eutromod!$Q67</f>
        <v>5023.210500000001</v>
      </c>
      <c r="BB26" s="48">
        <v>7005.1575000000003</v>
      </c>
      <c r="BC26" s="48">
        <v>7005.1575000000003</v>
      </c>
      <c r="BD26" s="48">
        <v>7005.1575000000003</v>
      </c>
      <c r="BE26" s="48">
        <v>7005.1575000000003</v>
      </c>
      <c r="BF26" s="48">
        <v>7005.1575000000003</v>
      </c>
      <c r="BG26" s="48">
        <v>7005.1575000000003</v>
      </c>
      <c r="BH26" s="48">
        <f t="shared" ref="BH26:BH31" si="11">AVERAGE(AV26:BA26,BB26:BE26)</f>
        <v>5815.9893000000011</v>
      </c>
      <c r="BI26" s="445">
        <v>13911</v>
      </c>
      <c r="BJ26" s="2">
        <v>0</v>
      </c>
    </row>
    <row r="27" spans="1:64" s="2" customFormat="1" x14ac:dyDescent="0.2">
      <c r="B27" s="15" t="s">
        <v>54</v>
      </c>
      <c r="C27" s="15"/>
      <c r="E27" s="48">
        <v>346.18393419635231</v>
      </c>
      <c r="F27" s="48">
        <v>307.84876020672885</v>
      </c>
      <c r="G27" s="48">
        <v>183.3308653453135</v>
      </c>
      <c r="H27" s="48">
        <v>229.02136922368871</v>
      </c>
      <c r="I27" s="48">
        <v>17.018904637087182</v>
      </c>
      <c r="J27" s="48">
        <v>496.67154420239444</v>
      </c>
      <c r="K27" s="48">
        <v>397.98349739470751</v>
      </c>
      <c r="L27" s="48">
        <v>245.02323210862914</v>
      </c>
      <c r="M27" s="48">
        <v>288.13415549586915</v>
      </c>
      <c r="N27" s="412">
        <v>273.07822905917078</v>
      </c>
      <c r="O27" s="411">
        <v>248.63483589667669</v>
      </c>
      <c r="P27" s="411">
        <v>256.07981144045107</v>
      </c>
      <c r="Q27" s="411">
        <v>290.80955311542829</v>
      </c>
      <c r="R27" s="411">
        <v>328.34645828813132</v>
      </c>
      <c r="S27" s="411">
        <v>349.30562970668893</v>
      </c>
      <c r="T27" s="411">
        <v>137.41774176967246</v>
      </c>
      <c r="U27" s="411">
        <v>439.51002922922657</v>
      </c>
      <c r="V27" s="411">
        <v>460.84315969788815</v>
      </c>
      <c r="W27" s="411">
        <v>539.09560713688552</v>
      </c>
      <c r="X27" s="411">
        <v>380.5122550741844</v>
      </c>
      <c r="Y27" s="411">
        <v>384.69272507646184</v>
      </c>
      <c r="Z27" s="411">
        <v>675.66023895195178</v>
      </c>
      <c r="AA27" s="409">
        <f>AVERAGE(E27:N27)</f>
        <v>278.42944918699413</v>
      </c>
      <c r="AB27" s="51">
        <f t="shared" si="1"/>
        <v>0.22392783697550589</v>
      </c>
      <c r="AC27" s="447"/>
      <c r="AD27" s="353"/>
      <c r="AE27" s="353"/>
      <c r="AF27" s="353"/>
      <c r="AG27" s="2">
        <f t="shared" si="2"/>
        <v>12.736008467226325</v>
      </c>
      <c r="AH27" s="349">
        <f t="shared" si="10"/>
        <v>343.05550813552333</v>
      </c>
      <c r="AI27" s="350">
        <f t="shared" ref="AI27:AI47" si="12">AH27/AH$31</f>
        <v>0.19203147076287527</v>
      </c>
      <c r="AJ27" s="2">
        <f t="shared" si="6"/>
        <v>15.893967357905936</v>
      </c>
      <c r="AK27" s="48"/>
      <c r="AL27" s="48">
        <v>10623.354316559818</v>
      </c>
      <c r="AM27" s="48">
        <v>11804.07589917676</v>
      </c>
      <c r="AN27" s="48">
        <v>12971.776594311084</v>
      </c>
      <c r="AO27" s="48">
        <v>11781.587937223168</v>
      </c>
      <c r="AP27" s="48">
        <v>12591.371138423427</v>
      </c>
      <c r="AQ27" s="48">
        <v>6198.7749722271956</v>
      </c>
      <c r="AR27" s="48">
        <v>11160.72943881832</v>
      </c>
      <c r="AS27" s="48">
        <v>7677.3946060703774</v>
      </c>
      <c r="AT27" s="48">
        <v>9423.7775489581163</v>
      </c>
      <c r="AU27" s="48">
        <v>11034.170008520408</v>
      </c>
      <c r="AV27">
        <v>16366.658328155154</v>
      </c>
      <c r="AW27">
        <v>14340.469440665258</v>
      </c>
      <c r="AX27">
        <v>16199.413970134425</v>
      </c>
      <c r="AY27">
        <v>17111.328226730315</v>
      </c>
      <c r="AZ27">
        <v>16874.78798337706</v>
      </c>
      <c r="BA27">
        <v>9773.8361334837409</v>
      </c>
      <c r="BB27">
        <v>18330.948706774776</v>
      </c>
      <c r="BC27">
        <v>15384.029188001392</v>
      </c>
      <c r="BD27">
        <v>15443.950924803466</v>
      </c>
      <c r="BE27">
        <v>12125.657281656813</v>
      </c>
      <c r="BF27">
        <v>11107.03425019422</v>
      </c>
      <c r="BG27">
        <v>19619.972785847534</v>
      </c>
      <c r="BH27" s="48">
        <f t="shared" si="11"/>
        <v>15195.108018378238</v>
      </c>
      <c r="BI27" s="446">
        <f>BI26-BI25</f>
        <v>67.480643948987563</v>
      </c>
      <c r="BJ27" s="48">
        <f>AA27</f>
        <v>278.42944918699413</v>
      </c>
    </row>
    <row r="28" spans="1:64" s="2" customFormat="1" x14ac:dyDescent="0.2">
      <c r="B28" s="15" t="s">
        <v>55</v>
      </c>
      <c r="C28" s="15"/>
      <c r="E28" s="48">
        <v>749.47458752714056</v>
      </c>
      <c r="F28" s="48">
        <v>522.84106399225175</v>
      </c>
      <c r="G28" s="48">
        <v>395.009001903681</v>
      </c>
      <c r="H28" s="48">
        <v>139.07844619225457</v>
      </c>
      <c r="I28" s="48">
        <v>197.00012843262195</v>
      </c>
      <c r="J28" s="48">
        <v>231.16441534627552</v>
      </c>
      <c r="K28" s="48">
        <v>525.24969482893596</v>
      </c>
      <c r="L28" s="48">
        <v>408.24868577533613</v>
      </c>
      <c r="M28" s="48">
        <v>411.00990751936172</v>
      </c>
      <c r="N28" s="365">
        <v>601.80862110355088</v>
      </c>
      <c r="O28" s="48">
        <v>232.21920708235385</v>
      </c>
      <c r="P28" s="48">
        <v>244.94278606192734</v>
      </c>
      <c r="Q28" s="48">
        <v>280.29954516545956</v>
      </c>
      <c r="R28" s="48">
        <v>384.35223726958287</v>
      </c>
      <c r="S28" s="48">
        <v>336.89599801581937</v>
      </c>
      <c r="T28" s="48">
        <v>346.08532853160011</v>
      </c>
      <c r="U28" s="48">
        <v>578.10821583502093</v>
      </c>
      <c r="V28" s="48">
        <v>487.71255875608938</v>
      </c>
      <c r="W28" s="48">
        <v>497.50205534554021</v>
      </c>
      <c r="X28" s="48">
        <v>644.00942585862163</v>
      </c>
      <c r="Y28" s="48">
        <v>405.88507556670652</v>
      </c>
      <c r="Z28" s="48">
        <v>1031.5611350614483</v>
      </c>
      <c r="AA28" s="46">
        <f>AVERAGE(E28:N28)</f>
        <v>418.088455262141</v>
      </c>
      <c r="AB28" s="51">
        <f t="shared" si="1"/>
        <v>0.33624907036469837</v>
      </c>
      <c r="AC28" s="447"/>
      <c r="AD28" s="353"/>
      <c r="AE28" s="353"/>
      <c r="AF28" s="353"/>
      <c r="AG28" s="2">
        <f t="shared" si="2"/>
        <v>19.124335165753475</v>
      </c>
      <c r="AH28" s="349">
        <f t="shared" si="10"/>
        <v>403.2127357922015</v>
      </c>
      <c r="AI28" s="350">
        <f t="shared" si="12"/>
        <v>0.22570555740475307</v>
      </c>
      <c r="AJ28" s="2">
        <f t="shared" si="6"/>
        <v>18.681087780236069</v>
      </c>
      <c r="AK28" s="48"/>
      <c r="AL28" s="48">
        <v>3310.8354809300308</v>
      </c>
      <c r="AM28" s="48">
        <v>3358.4575328952515</v>
      </c>
      <c r="AN28" s="48">
        <v>3525.0522223171802</v>
      </c>
      <c r="AO28" s="48">
        <v>1421.6907832986024</v>
      </c>
      <c r="AP28" s="48">
        <v>1901.255363971932</v>
      </c>
      <c r="AQ28" s="48">
        <v>1972.0224610533298</v>
      </c>
      <c r="AR28" s="48">
        <v>3195.268976876027</v>
      </c>
      <c r="AS28" s="48">
        <v>3329.322211665351</v>
      </c>
      <c r="AT28" s="48">
        <v>3740.1901584261918</v>
      </c>
      <c r="AU28" s="48">
        <v>5425.4925222983993</v>
      </c>
      <c r="AV28">
        <v>3077.655517607654</v>
      </c>
      <c r="AW28">
        <v>3108.2394920961815</v>
      </c>
      <c r="AX28">
        <v>2391.4673897407724</v>
      </c>
      <c r="AY28">
        <v>3945.7909354550052</v>
      </c>
      <c r="AZ28">
        <v>3032.7142146237766</v>
      </c>
      <c r="BA28">
        <v>4086.953019560357</v>
      </c>
      <c r="BB28">
        <v>4758.1175995212507</v>
      </c>
      <c r="BC28">
        <v>3599.1350509923973</v>
      </c>
      <c r="BD28">
        <v>3527.3503162573238</v>
      </c>
      <c r="BE28">
        <v>3563.6208039910812</v>
      </c>
      <c r="BF28">
        <v>2851.6432749625915</v>
      </c>
      <c r="BG28">
        <v>6376.0273203260622</v>
      </c>
      <c r="BH28" s="48">
        <f t="shared" si="11"/>
        <v>3509.1044339845803</v>
      </c>
      <c r="BI28" s="11"/>
      <c r="BJ28" s="48">
        <f>AA28</f>
        <v>418.088455262141</v>
      </c>
    </row>
    <row r="29" spans="1:64" s="2" customFormat="1" x14ac:dyDescent="0.2">
      <c r="B29" s="15" t="s">
        <v>61</v>
      </c>
      <c r="C29" s="15"/>
      <c r="E29" s="48">
        <v>0</v>
      </c>
      <c r="F29" s="48">
        <v>0</v>
      </c>
      <c r="G29" s="48">
        <v>0</v>
      </c>
      <c r="H29" s="48">
        <v>0</v>
      </c>
      <c r="I29" s="48">
        <v>0</v>
      </c>
      <c r="J29" s="48">
        <v>0</v>
      </c>
      <c r="K29" s="48">
        <v>0</v>
      </c>
      <c r="L29" s="48">
        <v>0</v>
      </c>
      <c r="M29" s="48">
        <v>0</v>
      </c>
      <c r="N29" s="365">
        <v>0</v>
      </c>
      <c r="O29" s="48">
        <v>0</v>
      </c>
      <c r="P29" s="48">
        <v>0</v>
      </c>
      <c r="Q29" s="48">
        <v>0</v>
      </c>
      <c r="R29" s="48">
        <v>0</v>
      </c>
      <c r="S29" s="48">
        <v>0</v>
      </c>
      <c r="T29" s="48">
        <v>0</v>
      </c>
      <c r="U29" s="48">
        <v>0</v>
      </c>
      <c r="V29" s="48">
        <v>0</v>
      </c>
      <c r="W29" s="48">
        <v>0</v>
      </c>
      <c r="X29" s="48">
        <v>0</v>
      </c>
      <c r="Y29" s="48">
        <v>0</v>
      </c>
      <c r="Z29" s="48">
        <v>0</v>
      </c>
      <c r="AA29" s="46">
        <f>AVERAGE(E29:N29)</f>
        <v>0</v>
      </c>
      <c r="AB29" s="51">
        <f t="shared" si="1"/>
        <v>0</v>
      </c>
      <c r="AC29" s="447"/>
      <c r="AD29" s="353"/>
      <c r="AE29" s="353"/>
      <c r="AF29" s="353"/>
      <c r="AG29" s="2">
        <f t="shared" si="2"/>
        <v>0</v>
      </c>
      <c r="AH29" s="349">
        <f t="shared" si="10"/>
        <v>0</v>
      </c>
      <c r="AI29" s="350">
        <f t="shared" si="12"/>
        <v>0</v>
      </c>
      <c r="AJ29" s="2">
        <f t="shared" si="6"/>
        <v>0</v>
      </c>
      <c r="AK29" s="48"/>
      <c r="AL29" s="48">
        <v>0</v>
      </c>
      <c r="AM29" s="48">
        <v>0</v>
      </c>
      <c r="AN29" s="48">
        <v>0</v>
      </c>
      <c r="AO29" s="48">
        <v>0</v>
      </c>
      <c r="AP29" s="48">
        <v>0</v>
      </c>
      <c r="AQ29" s="48">
        <v>0</v>
      </c>
      <c r="AR29" s="48">
        <v>0</v>
      </c>
      <c r="AS29" s="48">
        <v>0</v>
      </c>
      <c r="AT29" s="48">
        <v>0</v>
      </c>
      <c r="AU29" s="48">
        <v>0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0</v>
      </c>
      <c r="BB29" s="48">
        <v>0</v>
      </c>
      <c r="BC29" s="48">
        <v>0</v>
      </c>
      <c r="BD29" s="48">
        <v>0</v>
      </c>
      <c r="BE29" s="48">
        <v>0</v>
      </c>
      <c r="BF29" s="48">
        <v>0</v>
      </c>
      <c r="BG29" s="48">
        <v>0</v>
      </c>
      <c r="BH29" s="48">
        <f t="shared" si="11"/>
        <v>0</v>
      </c>
      <c r="BI29" s="11"/>
      <c r="BJ29" s="2">
        <v>0</v>
      </c>
    </row>
    <row r="30" spans="1:64" s="2" customFormat="1" x14ac:dyDescent="0.2">
      <c r="B30" s="15" t="s">
        <v>522</v>
      </c>
      <c r="C30" s="15"/>
      <c r="E30" s="48">
        <v>0</v>
      </c>
      <c r="F30" s="48">
        <v>0</v>
      </c>
      <c r="G30" s="48">
        <v>0</v>
      </c>
      <c r="H30" s="48">
        <v>0</v>
      </c>
      <c r="I30" s="48">
        <v>0</v>
      </c>
      <c r="J30" s="48">
        <v>0</v>
      </c>
      <c r="K30" s="48">
        <v>0</v>
      </c>
      <c r="L30" s="48">
        <v>0</v>
      </c>
      <c r="M30" s="48">
        <v>0</v>
      </c>
      <c r="N30" s="365">
        <f>N24</f>
        <v>13.916525186724506</v>
      </c>
      <c r="O30" s="365">
        <f t="shared" ref="O30:Z30" si="13">O24</f>
        <v>59.85061905326392</v>
      </c>
      <c r="P30" s="365">
        <f t="shared" si="13"/>
        <v>140.21081692745966</v>
      </c>
      <c r="Q30" s="365">
        <f t="shared" si="13"/>
        <v>35.984100707080053</v>
      </c>
      <c r="R30" s="365">
        <f t="shared" si="13"/>
        <v>143.21578166145198</v>
      </c>
      <c r="S30" s="365">
        <f t="shared" si="13"/>
        <v>49.165350605339604</v>
      </c>
      <c r="T30" s="365">
        <f t="shared" si="13"/>
        <v>40.341186835464363</v>
      </c>
      <c r="U30" s="365">
        <f t="shared" si="13"/>
        <v>41.10472576148311</v>
      </c>
      <c r="V30" s="365">
        <f t="shared" si="13"/>
        <v>102.15209747013259</v>
      </c>
      <c r="W30" s="365">
        <f t="shared" si="13"/>
        <v>139.57636589843887</v>
      </c>
      <c r="X30" s="365">
        <f t="shared" si="13"/>
        <v>33.927498272565103</v>
      </c>
      <c r="Y30" s="365">
        <f t="shared" si="13"/>
        <v>108.52940163264711</v>
      </c>
      <c r="Z30" s="365">
        <f t="shared" si="13"/>
        <v>99.46008204486715</v>
      </c>
      <c r="AA30" s="46">
        <f>AVERAGE(E30:N30)</f>
        <v>1.3916525186724507</v>
      </c>
      <c r="AB30" s="51">
        <f t="shared" si="1"/>
        <v>1.1192412987842573E-3</v>
      </c>
      <c r="AC30" s="447"/>
      <c r="AD30" s="353"/>
      <c r="AE30" s="353"/>
      <c r="AF30" s="353"/>
      <c r="AG30" s="2">
        <f t="shared" si="2"/>
        <v>6.365741236425608E-2</v>
      </c>
      <c r="AH30" s="349">
        <f t="shared" si="10"/>
        <v>78.552854319267936</v>
      </c>
      <c r="AI30" s="350">
        <f t="shared" si="12"/>
        <v>4.397136845152113E-2</v>
      </c>
      <c r="AJ30" s="2">
        <f t="shared" si="6"/>
        <v>3.6394008340118562</v>
      </c>
      <c r="AK30" s="48"/>
      <c r="AL30" s="48">
        <v>0</v>
      </c>
      <c r="AM30" s="48">
        <v>0</v>
      </c>
      <c r="AN30" s="48">
        <v>0</v>
      </c>
      <c r="AO30" s="48">
        <v>0</v>
      </c>
      <c r="AP30" s="48">
        <v>0</v>
      </c>
      <c r="AQ30" s="48">
        <v>0</v>
      </c>
      <c r="AR30" s="48">
        <v>0</v>
      </c>
      <c r="AS30" s="48">
        <v>0</v>
      </c>
      <c r="AT30" s="48">
        <v>0</v>
      </c>
      <c r="AU30" s="48">
        <f>AU24</f>
        <v>130.71400923039587</v>
      </c>
      <c r="AV30" s="48">
        <f t="shared" ref="AV30:BG30" si="14">AV24</f>
        <v>562.16004113125894</v>
      </c>
      <c r="AW30" s="48">
        <f t="shared" si="14"/>
        <v>1316.960791012732</v>
      </c>
      <c r="AX30" s="48">
        <f t="shared" si="14"/>
        <v>337.98854303513372</v>
      </c>
      <c r="AY30" s="48">
        <f t="shared" si="14"/>
        <v>1345.1855800822609</v>
      </c>
      <c r="AZ30" s="48">
        <f t="shared" si="14"/>
        <v>461.79631816227987</v>
      </c>
      <c r="BA30" s="48">
        <f t="shared" si="14"/>
        <v>378.91346653368964</v>
      </c>
      <c r="BB30" s="48">
        <f t="shared" si="14"/>
        <v>386.08517376360271</v>
      </c>
      <c r="BC30" s="48">
        <f t="shared" si="14"/>
        <v>959.48603406153927</v>
      </c>
      <c r="BD30" s="48">
        <f t="shared" si="14"/>
        <v>1311.0017031590721</v>
      </c>
      <c r="BE30" s="48">
        <f t="shared" si="14"/>
        <v>318.67148662993549</v>
      </c>
      <c r="BF30" s="48">
        <f t="shared" si="14"/>
        <v>1019.3862654854149</v>
      </c>
      <c r="BG30" s="48">
        <f t="shared" si="14"/>
        <v>934.20068732868697</v>
      </c>
      <c r="BH30" s="48">
        <f t="shared" si="11"/>
        <v>737.82491375715051</v>
      </c>
      <c r="BI30" s="11"/>
      <c r="BJ30" s="2">
        <v>0</v>
      </c>
    </row>
    <row r="31" spans="1:64" s="2" customFormat="1" x14ac:dyDescent="0.2">
      <c r="B31" s="2" t="s">
        <v>42</v>
      </c>
      <c r="E31" s="49">
        <f t="shared" ref="E31:M31" si="15">SUM(E7:E23,E26:E30)</f>
        <v>1570.6301585839094</v>
      </c>
      <c r="F31" s="49">
        <f t="shared" si="15"/>
        <v>1397.9597583184632</v>
      </c>
      <c r="G31" s="49">
        <f t="shared" si="15"/>
        <v>1123.9409926975773</v>
      </c>
      <c r="H31" s="49">
        <f t="shared" si="15"/>
        <v>1037.1490299988716</v>
      </c>
      <c r="I31" s="49">
        <f t="shared" si="15"/>
        <v>807.0753174376822</v>
      </c>
      <c r="J31" s="49">
        <f t="shared" si="15"/>
        <v>1228.835522428501</v>
      </c>
      <c r="K31" s="49">
        <f t="shared" si="15"/>
        <v>1472.9493070259073</v>
      </c>
      <c r="L31" s="49">
        <f t="shared" si="15"/>
        <v>1164.9700176565657</v>
      </c>
      <c r="M31" s="49">
        <f t="shared" si="15"/>
        <v>1191.8649961566093</v>
      </c>
      <c r="N31" s="366">
        <f>SUM(N7:N23,N26:N30)</f>
        <v>1438.5166814242309</v>
      </c>
      <c r="O31" s="49">
        <f t="shared" ref="O31:T31" si="16">SUM(O7:O23,O26:O30)</f>
        <v>1393.1178455160884</v>
      </c>
      <c r="P31" s="49">
        <f t="shared" si="16"/>
        <v>1800.8545132448901</v>
      </c>
      <c r="Q31" s="49">
        <f t="shared" si="16"/>
        <v>1481.9829644146112</v>
      </c>
      <c r="R31" s="49">
        <f t="shared" si="16"/>
        <v>1979.1537514522906</v>
      </c>
      <c r="S31" s="49">
        <f t="shared" si="16"/>
        <v>1729.0356544595149</v>
      </c>
      <c r="T31" s="49">
        <f t="shared" si="16"/>
        <v>1243.9263853057807</v>
      </c>
      <c r="U31" s="49">
        <v>1716.724581733791</v>
      </c>
      <c r="V31" s="49">
        <f t="shared" ref="V31:AA31" si="17">SUM(V7:V23,V26:V30)</f>
        <v>2110.4223087914838</v>
      </c>
      <c r="W31" s="49">
        <f t="shared" si="17"/>
        <v>2398.5143477760994</v>
      </c>
      <c r="X31" s="49">
        <f t="shared" si="17"/>
        <v>2010.8138476069578</v>
      </c>
      <c r="Y31" s="49">
        <f t="shared" si="17"/>
        <v>1959.7041132342263</v>
      </c>
      <c r="Z31" s="49">
        <f t="shared" si="17"/>
        <v>2923.5864261139345</v>
      </c>
      <c r="AA31" s="49">
        <f t="shared" si="17"/>
        <v>1243.3891781728316</v>
      </c>
      <c r="AB31" s="51">
        <f t="shared" si="1"/>
        <v>0.99999999999999978</v>
      </c>
      <c r="AC31" s="447"/>
      <c r="AD31" s="353"/>
      <c r="AE31" s="353"/>
      <c r="AF31" s="353"/>
      <c r="AG31" s="2">
        <f t="shared" si="2"/>
        <v>56.87550346239194</v>
      </c>
      <c r="AH31" s="349">
        <f t="shared" si="10"/>
        <v>1786.4546200301506</v>
      </c>
      <c r="AI31" s="350">
        <f t="shared" si="12"/>
        <v>1</v>
      </c>
      <c r="AJ31" s="2">
        <f t="shared" si="6"/>
        <v>82.767513547465143</v>
      </c>
      <c r="AL31" s="49">
        <f t="shared" ref="AL31:AU31" si="18">SUM(AL7:AL23,AL26:AL30)</f>
        <v>22441.496675409391</v>
      </c>
      <c r="AM31" s="49">
        <f t="shared" si="18"/>
        <v>25346.287113806084</v>
      </c>
      <c r="AN31" s="49">
        <f t="shared" si="18"/>
        <v>26287.004218832051</v>
      </c>
      <c r="AO31" s="49">
        <f t="shared" si="18"/>
        <v>25235.685676417153</v>
      </c>
      <c r="AP31" s="49">
        <f t="shared" si="18"/>
        <v>25144.746835951686</v>
      </c>
      <c r="AQ31" s="49">
        <f t="shared" si="18"/>
        <v>17150.858789678623</v>
      </c>
      <c r="AR31" s="49">
        <f t="shared" si="18"/>
        <v>24220.915833239389</v>
      </c>
      <c r="AS31" s="49">
        <f t="shared" si="18"/>
        <v>20181.099505209233</v>
      </c>
      <c r="AT31" s="49">
        <f t="shared" si="18"/>
        <v>21993.661367116907</v>
      </c>
      <c r="AU31" s="49">
        <f t="shared" si="18"/>
        <v>28163.999452702046</v>
      </c>
      <c r="AV31" s="49">
        <f t="shared" ref="AV31:BA31" si="19">SUM(AV7:AV23,AV26:AV30)</f>
        <v>37603.951928644652</v>
      </c>
      <c r="AW31" s="49">
        <f t="shared" si="19"/>
        <v>42041.742894337302</v>
      </c>
      <c r="AX31" s="49">
        <f t="shared" si="19"/>
        <v>37638.756651101787</v>
      </c>
      <c r="AY31" s="49">
        <f t="shared" si="19"/>
        <v>44712.494657236493</v>
      </c>
      <c r="AZ31" s="49">
        <f t="shared" si="19"/>
        <v>41693.897172877521</v>
      </c>
      <c r="BA31" s="49">
        <f t="shared" si="19"/>
        <v>29004.354748700061</v>
      </c>
      <c r="BB31" s="49">
        <f t="shared" ref="BB31:BG31" si="20">SUM(BB7:BB23,BB26:BB30)</f>
        <v>42167.93977602879</v>
      </c>
      <c r="BC31" s="49">
        <f t="shared" si="20"/>
        <v>41020.765868507151</v>
      </c>
      <c r="BD31" s="49">
        <f t="shared" si="20"/>
        <v>44282.173228100895</v>
      </c>
      <c r="BE31" s="49">
        <f t="shared" si="20"/>
        <v>35846.96653544646</v>
      </c>
      <c r="BF31" s="49">
        <f t="shared" si="20"/>
        <v>35734.204586161424</v>
      </c>
      <c r="BG31" s="49">
        <f t="shared" si="20"/>
        <v>49278.478414211975</v>
      </c>
      <c r="BH31" s="48">
        <f t="shared" si="11"/>
        <v>39601.304346098113</v>
      </c>
      <c r="BI31" s="11"/>
      <c r="BJ31" s="2">
        <f>SUM(BJ20:BJ30)</f>
        <v>824.11998800763649</v>
      </c>
    </row>
    <row r="32" spans="1:64" s="2" customFormat="1" x14ac:dyDescent="0.2">
      <c r="E32" s="49"/>
      <c r="N32" s="11"/>
      <c r="AC32" s="447"/>
      <c r="AD32" s="154"/>
      <c r="AE32" s="154"/>
      <c r="AF32" s="154"/>
      <c r="AH32" s="349"/>
      <c r="AI32" s="350"/>
      <c r="BI32" s="11"/>
    </row>
    <row r="33" spans="2:61" s="2" customFormat="1" x14ac:dyDescent="0.2">
      <c r="B33" s="2" t="s">
        <v>57</v>
      </c>
      <c r="E33" s="49">
        <f t="shared" ref="E33:N33" si="21">SUM(E7:E14)</f>
        <v>118.39274137052305</v>
      </c>
      <c r="F33" s="49">
        <f t="shared" si="21"/>
        <v>163.78476404626321</v>
      </c>
      <c r="G33" s="49">
        <f t="shared" si="21"/>
        <v>153.12810965766735</v>
      </c>
      <c r="H33" s="49">
        <f t="shared" si="21"/>
        <v>213.83950550860854</v>
      </c>
      <c r="I33" s="49">
        <f t="shared" si="21"/>
        <v>176.46641289530615</v>
      </c>
      <c r="J33" s="49">
        <f t="shared" si="21"/>
        <v>131.19319645107109</v>
      </c>
      <c r="K33" s="49">
        <f t="shared" si="21"/>
        <v>155.15184894213562</v>
      </c>
      <c r="L33" s="49">
        <f t="shared" si="21"/>
        <v>136.45470444910876</v>
      </c>
      <c r="M33" s="49">
        <f t="shared" si="21"/>
        <v>127.12179145258953</v>
      </c>
      <c r="N33" s="366">
        <f t="shared" si="21"/>
        <v>80.064256962344018</v>
      </c>
      <c r="O33" s="49">
        <f t="shared" ref="O33:T33" si="22">SUM(O7:O14)</f>
        <v>133.29626961095897</v>
      </c>
      <c r="P33" s="49">
        <f t="shared" si="22"/>
        <v>190.49848344821814</v>
      </c>
      <c r="Q33" s="49">
        <f t="shared" si="22"/>
        <v>146.7262373736551</v>
      </c>
      <c r="R33" s="49">
        <f t="shared" si="22"/>
        <v>179.83249588542159</v>
      </c>
      <c r="S33" s="49">
        <f t="shared" si="22"/>
        <v>174.40273986546899</v>
      </c>
      <c r="T33" s="49">
        <f t="shared" si="22"/>
        <v>107.58574116117165</v>
      </c>
      <c r="U33" s="49">
        <f t="shared" ref="U33:Z33" si="23">SUM(U7:U14)</f>
        <v>129.35652229196057</v>
      </c>
      <c r="V33" s="49">
        <f t="shared" si="23"/>
        <v>153.75898236844307</v>
      </c>
      <c r="W33" s="49">
        <f t="shared" si="23"/>
        <v>185.06637889551439</v>
      </c>
      <c r="X33" s="49">
        <f t="shared" si="23"/>
        <v>142.46802531547624</v>
      </c>
      <c r="Y33" s="49">
        <f t="shared" si="23"/>
        <v>149.9105022843828</v>
      </c>
      <c r="Z33" s="49">
        <f t="shared" si="23"/>
        <v>168.08852132196421</v>
      </c>
      <c r="AA33" s="50">
        <f t="shared" ref="AA33:AA40" si="24">AVERAGE(E33:N33)</f>
        <v>145.55973317356171</v>
      </c>
      <c r="AB33" s="51">
        <f>AA33/AA$40</f>
        <v>0.11706691334362637</v>
      </c>
      <c r="AC33" s="447"/>
      <c r="AD33" s="353"/>
      <c r="AE33" s="353"/>
      <c r="AF33" s="353"/>
      <c r="AG33" s="2">
        <f t="shared" si="2"/>
        <v>6.6582396352069599</v>
      </c>
      <c r="AH33" s="349">
        <f t="shared" ref="AH33:AH40" si="25">AVERAGE(O33:T33,U33:X33)</f>
        <v>154.29918762162885</v>
      </c>
      <c r="AI33" s="350">
        <f t="shared" si="12"/>
        <v>8.6371736450279762E-2</v>
      </c>
      <c r="AJ33" s="2">
        <f t="shared" si="6"/>
        <v>7.1487738667666196</v>
      </c>
      <c r="AK33" s="51"/>
      <c r="AL33" s="49">
        <f t="shared" ref="AL33:AU33" si="26">SUM(AL7:AL14)</f>
        <v>1354.0049140808269</v>
      </c>
      <c r="AM33" s="49">
        <f t="shared" si="26"/>
        <v>1873.1332073490046</v>
      </c>
      <c r="AN33" s="49">
        <f t="shared" si="26"/>
        <v>1751.2578098982258</v>
      </c>
      <c r="AO33" s="49">
        <f t="shared" si="26"/>
        <v>2445.5869332151328</v>
      </c>
      <c r="AP33" s="49">
        <f t="shared" si="26"/>
        <v>2018.1675621707507</v>
      </c>
      <c r="AQ33" s="49">
        <f t="shared" si="26"/>
        <v>1500.3980027186758</v>
      </c>
      <c r="AR33" s="49">
        <f t="shared" si="26"/>
        <v>1774.4024123820284</v>
      </c>
      <c r="AS33" s="49">
        <f t="shared" si="26"/>
        <v>1560.5715201349417</v>
      </c>
      <c r="AT33" s="49">
        <f t="shared" si="26"/>
        <v>1453.8351618608508</v>
      </c>
      <c r="AU33" s="49">
        <f t="shared" si="26"/>
        <v>695.08831511478741</v>
      </c>
      <c r="AV33" s="49">
        <f>SUM(AV7:AV14)</f>
        <v>1166.9913286647825</v>
      </c>
      <c r="AW33" s="49">
        <f t="shared" ref="AW33:BA33" si="27">SUM(AW7:AW14)</f>
        <v>1682.3406017175607</v>
      </c>
      <c r="AX33" s="49">
        <f t="shared" si="27"/>
        <v>1276.6122990777208</v>
      </c>
      <c r="AY33" s="49">
        <f t="shared" si="27"/>
        <v>1591.0355729462487</v>
      </c>
      <c r="AZ33" s="49">
        <f t="shared" si="27"/>
        <v>1519.1172108364262</v>
      </c>
      <c r="BA33" s="49">
        <f t="shared" si="27"/>
        <v>969.89581982814616</v>
      </c>
      <c r="BB33" s="49">
        <f t="shared" ref="BB33:BG33" si="28">SUM(BB7:BB14)</f>
        <v>1164.1273113940269</v>
      </c>
      <c r="BC33" s="49">
        <f t="shared" si="28"/>
        <v>1398.3843311782241</v>
      </c>
      <c r="BD33" s="49">
        <f t="shared" si="28"/>
        <v>1687.6843051015321</v>
      </c>
      <c r="BE33" s="49">
        <f t="shared" si="28"/>
        <v>1279.0042519471556</v>
      </c>
      <c r="BF33" s="49">
        <f t="shared" si="28"/>
        <v>1365.8397207360852</v>
      </c>
      <c r="BG33" s="49">
        <f t="shared" si="28"/>
        <v>1525.3494097410708</v>
      </c>
      <c r="BH33" s="48">
        <f t="shared" ref="BH33:BH40" si="29">AVERAGE(AV33:BA33,BB33:BE33)</f>
        <v>1373.5193032691825</v>
      </c>
      <c r="BI33" s="11"/>
    </row>
    <row r="34" spans="2:61" s="2" customFormat="1" x14ac:dyDescent="0.2">
      <c r="B34" s="2" t="s">
        <v>53</v>
      </c>
      <c r="E34" s="49">
        <f t="shared" ref="E34:N34" si="30">E26</f>
        <v>234.23663999999994</v>
      </c>
      <c r="F34" s="49">
        <f t="shared" si="30"/>
        <v>234.23663999999994</v>
      </c>
      <c r="G34" s="49">
        <f t="shared" si="30"/>
        <v>234.23663999999994</v>
      </c>
      <c r="H34" s="49">
        <f t="shared" si="30"/>
        <v>234.23663999999994</v>
      </c>
      <c r="I34" s="49">
        <f t="shared" si="30"/>
        <v>234.23663999999994</v>
      </c>
      <c r="J34" s="49">
        <f t="shared" si="30"/>
        <v>234.23663999999994</v>
      </c>
      <c r="K34" s="49">
        <f t="shared" si="30"/>
        <v>234.23663999999994</v>
      </c>
      <c r="L34" s="49">
        <f t="shared" si="30"/>
        <v>234.23663999999994</v>
      </c>
      <c r="M34" s="49">
        <f t="shared" si="30"/>
        <v>234.23663999999994</v>
      </c>
      <c r="N34" s="366">
        <f t="shared" si="30"/>
        <v>234.23663999999994</v>
      </c>
      <c r="O34" s="49">
        <f t="shared" ref="O34:T34" si="31">O26</f>
        <v>284.56847999999991</v>
      </c>
      <c r="P34" s="49">
        <f t="shared" si="31"/>
        <v>284.56847999999991</v>
      </c>
      <c r="Q34" s="49">
        <f t="shared" si="31"/>
        <v>284.56847999999991</v>
      </c>
      <c r="R34" s="49">
        <f t="shared" si="31"/>
        <v>284.56847999999991</v>
      </c>
      <c r="S34" s="49">
        <f t="shared" si="31"/>
        <v>284.56847999999991</v>
      </c>
      <c r="T34" s="49">
        <f t="shared" si="31"/>
        <v>284.56847999999991</v>
      </c>
      <c r="U34" s="49">
        <f t="shared" ref="U34:Z34" si="32">U26</f>
        <v>396.84719999999993</v>
      </c>
      <c r="V34" s="49">
        <f t="shared" si="32"/>
        <v>396.84719999999993</v>
      </c>
      <c r="W34" s="49">
        <f t="shared" si="32"/>
        <v>396.84719999999993</v>
      </c>
      <c r="X34" s="49">
        <f t="shared" si="32"/>
        <v>396.84719999999993</v>
      </c>
      <c r="Y34" s="49">
        <f t="shared" si="32"/>
        <v>396.84719999999999</v>
      </c>
      <c r="Z34" s="49">
        <f t="shared" si="32"/>
        <v>396.84719999999999</v>
      </c>
      <c r="AA34" s="50">
        <f t="shared" si="24"/>
        <v>234.23663999999994</v>
      </c>
      <c r="AB34" s="51">
        <f t="shared" ref="AB34:AB40" si="33">AA34/AA$40</f>
        <v>0.18838561900965886</v>
      </c>
      <c r="AC34" s="447"/>
      <c r="AD34" s="353"/>
      <c r="AE34" s="353"/>
      <c r="AF34" s="353"/>
      <c r="AG34" s="2">
        <f t="shared" si="2"/>
        <v>10.714526926248702</v>
      </c>
      <c r="AH34" s="349">
        <f t="shared" si="25"/>
        <v>329.47996799999999</v>
      </c>
      <c r="AI34" s="350">
        <f t="shared" si="12"/>
        <v>0.1844323187982459</v>
      </c>
      <c r="AJ34" s="2">
        <f t="shared" si="6"/>
        <v>15.265004444724228</v>
      </c>
      <c r="AK34" s="51"/>
      <c r="AL34" s="49">
        <f t="shared" ref="AL34:AU34" si="34">AL26</f>
        <v>4134.7515000000003</v>
      </c>
      <c r="AM34" s="49">
        <f t="shared" si="34"/>
        <v>4134.7515000000003</v>
      </c>
      <c r="AN34" s="49">
        <f t="shared" si="34"/>
        <v>4134.7515000000003</v>
      </c>
      <c r="AO34" s="49">
        <f t="shared" si="34"/>
        <v>4134.7515000000003</v>
      </c>
      <c r="AP34" s="49">
        <f t="shared" si="34"/>
        <v>4134.7515000000003</v>
      </c>
      <c r="AQ34" s="49">
        <f t="shared" si="34"/>
        <v>4134.7515000000003</v>
      </c>
      <c r="AR34" s="49">
        <f t="shared" si="34"/>
        <v>4134.7515000000003</v>
      </c>
      <c r="AS34" s="49">
        <f t="shared" si="34"/>
        <v>4134.7515000000003</v>
      </c>
      <c r="AT34" s="49">
        <f t="shared" si="34"/>
        <v>4134.7515000000003</v>
      </c>
      <c r="AU34" s="49">
        <f t="shared" si="34"/>
        <v>4134.7515000000003</v>
      </c>
      <c r="AV34" s="49">
        <f t="shared" ref="AV34:BA34" si="35">AV26</f>
        <v>5023.210500000001</v>
      </c>
      <c r="AW34" s="49">
        <f t="shared" si="35"/>
        <v>5023.210500000001</v>
      </c>
      <c r="AX34" s="49">
        <f t="shared" si="35"/>
        <v>5023.210500000001</v>
      </c>
      <c r="AY34" s="49">
        <f t="shared" si="35"/>
        <v>5023.210500000001</v>
      </c>
      <c r="AZ34" s="49">
        <f t="shared" si="35"/>
        <v>5023.210500000001</v>
      </c>
      <c r="BA34" s="49">
        <f t="shared" si="35"/>
        <v>5023.210500000001</v>
      </c>
      <c r="BB34" s="49">
        <f t="shared" ref="BB34:BG34" si="36">BB26</f>
        <v>7005.1575000000003</v>
      </c>
      <c r="BC34" s="49">
        <f t="shared" si="36"/>
        <v>7005.1575000000003</v>
      </c>
      <c r="BD34" s="49">
        <f t="shared" si="36"/>
        <v>7005.1575000000003</v>
      </c>
      <c r="BE34" s="49">
        <f t="shared" si="36"/>
        <v>7005.1575000000003</v>
      </c>
      <c r="BF34" s="49">
        <f t="shared" si="36"/>
        <v>7005.1575000000003</v>
      </c>
      <c r="BG34" s="49">
        <f t="shared" si="36"/>
        <v>7005.1575000000003</v>
      </c>
      <c r="BH34" s="48">
        <f t="shared" si="29"/>
        <v>5815.9893000000011</v>
      </c>
      <c r="BI34" s="11"/>
    </row>
    <row r="35" spans="2:61" s="2" customFormat="1" x14ac:dyDescent="0.2">
      <c r="B35" s="2" t="s">
        <v>521</v>
      </c>
      <c r="E35" s="49">
        <f t="shared" ref="E35:M35" si="37">SUM(E30:E30)</f>
        <v>0</v>
      </c>
      <c r="F35" s="49">
        <f t="shared" si="37"/>
        <v>0</v>
      </c>
      <c r="G35" s="49">
        <f t="shared" si="37"/>
        <v>0</v>
      </c>
      <c r="H35" s="49">
        <f t="shared" si="37"/>
        <v>0</v>
      </c>
      <c r="I35" s="49">
        <f t="shared" si="37"/>
        <v>0</v>
      </c>
      <c r="J35" s="49">
        <f t="shared" si="37"/>
        <v>0</v>
      </c>
      <c r="K35" s="49">
        <f t="shared" si="37"/>
        <v>0</v>
      </c>
      <c r="L35" s="49">
        <f t="shared" si="37"/>
        <v>0</v>
      </c>
      <c r="M35" s="49">
        <f t="shared" si="37"/>
        <v>0</v>
      </c>
      <c r="N35" s="366">
        <f>SUM(N30:N30)</f>
        <v>13.916525186724506</v>
      </c>
      <c r="O35" s="49">
        <f t="shared" ref="O35:T35" si="38">SUM(O30:O30)</f>
        <v>59.85061905326392</v>
      </c>
      <c r="P35" s="49">
        <f t="shared" si="38"/>
        <v>140.21081692745966</v>
      </c>
      <c r="Q35" s="49">
        <f t="shared" si="38"/>
        <v>35.984100707080053</v>
      </c>
      <c r="R35" s="49">
        <f t="shared" si="38"/>
        <v>143.21578166145198</v>
      </c>
      <c r="S35" s="49">
        <f t="shared" si="38"/>
        <v>49.165350605339604</v>
      </c>
      <c r="T35" s="49">
        <f t="shared" si="38"/>
        <v>40.341186835464363</v>
      </c>
      <c r="U35" s="49">
        <f t="shared" ref="U35:Z35" si="39">SUM(U30:U30)</f>
        <v>41.10472576148311</v>
      </c>
      <c r="V35" s="49">
        <f t="shared" si="39"/>
        <v>102.15209747013259</v>
      </c>
      <c r="W35" s="49">
        <f t="shared" si="39"/>
        <v>139.57636589843887</v>
      </c>
      <c r="X35" s="49">
        <f t="shared" si="39"/>
        <v>33.927498272565103</v>
      </c>
      <c r="Y35" s="49">
        <f t="shared" si="39"/>
        <v>108.52940163264711</v>
      </c>
      <c r="Z35" s="49">
        <f t="shared" si="39"/>
        <v>99.46008204486715</v>
      </c>
      <c r="AA35" s="50">
        <f t="shared" si="24"/>
        <v>1.3916525186724507</v>
      </c>
      <c r="AB35" s="51">
        <f t="shared" si="33"/>
        <v>1.1192412987842573E-3</v>
      </c>
      <c r="AC35" s="447"/>
      <c r="AD35" s="353"/>
      <c r="AE35" s="353"/>
      <c r="AF35" s="353"/>
      <c r="AG35" s="2">
        <f t="shared" si="2"/>
        <v>6.365741236425608E-2</v>
      </c>
      <c r="AH35" s="349">
        <f t="shared" si="25"/>
        <v>78.552854319267936</v>
      </c>
      <c r="AI35" s="350">
        <f t="shared" si="12"/>
        <v>4.397136845152113E-2</v>
      </c>
      <c r="AJ35" s="2">
        <f t="shared" si="6"/>
        <v>3.6394008340118562</v>
      </c>
      <c r="AK35" s="51"/>
      <c r="AL35" s="49">
        <f t="shared" ref="AL35:AU35" si="40">SUM(AL30:AL30)</f>
        <v>0</v>
      </c>
      <c r="AM35" s="49">
        <f t="shared" si="40"/>
        <v>0</v>
      </c>
      <c r="AN35" s="49">
        <f t="shared" si="40"/>
        <v>0</v>
      </c>
      <c r="AO35" s="49">
        <f t="shared" si="40"/>
        <v>0</v>
      </c>
      <c r="AP35" s="49">
        <f t="shared" si="40"/>
        <v>0</v>
      </c>
      <c r="AQ35" s="49">
        <f t="shared" si="40"/>
        <v>0</v>
      </c>
      <c r="AR35" s="49">
        <f t="shared" si="40"/>
        <v>0</v>
      </c>
      <c r="AS35" s="49">
        <f t="shared" si="40"/>
        <v>0</v>
      </c>
      <c r="AT35" s="49">
        <f t="shared" si="40"/>
        <v>0</v>
      </c>
      <c r="AU35" s="49">
        <f t="shared" si="40"/>
        <v>130.71400923039587</v>
      </c>
      <c r="AV35" s="49">
        <f t="shared" ref="AV35:BA35" si="41">SUM(AV30:AV30)</f>
        <v>562.16004113125894</v>
      </c>
      <c r="AW35" s="49">
        <f t="shared" si="41"/>
        <v>1316.960791012732</v>
      </c>
      <c r="AX35" s="49">
        <f t="shared" si="41"/>
        <v>337.98854303513372</v>
      </c>
      <c r="AY35" s="49">
        <f t="shared" si="41"/>
        <v>1345.1855800822609</v>
      </c>
      <c r="AZ35" s="49">
        <f t="shared" si="41"/>
        <v>461.79631816227987</v>
      </c>
      <c r="BA35" s="49">
        <f t="shared" si="41"/>
        <v>378.91346653368964</v>
      </c>
      <c r="BB35" s="49">
        <f t="shared" ref="BB35:BG35" si="42">SUM(BB30:BB30)</f>
        <v>386.08517376360271</v>
      </c>
      <c r="BC35" s="49">
        <f t="shared" si="42"/>
        <v>959.48603406153927</v>
      </c>
      <c r="BD35" s="49">
        <f t="shared" si="42"/>
        <v>1311.0017031590721</v>
      </c>
      <c r="BE35" s="49">
        <f t="shared" si="42"/>
        <v>318.67148662993549</v>
      </c>
      <c r="BF35" s="49">
        <f t="shared" si="42"/>
        <v>1019.3862654854149</v>
      </c>
      <c r="BG35" s="49">
        <f t="shared" si="42"/>
        <v>934.20068732868697</v>
      </c>
      <c r="BH35" s="48">
        <f t="shared" si="29"/>
        <v>737.82491375715051</v>
      </c>
      <c r="BI35" s="11"/>
    </row>
    <row r="36" spans="2:61" s="2" customFormat="1" x14ac:dyDescent="0.2">
      <c r="B36" s="2" t="s">
        <v>58</v>
      </c>
      <c r="E36" s="49">
        <f t="shared" ref="E36:N36" si="43">SUM(E15:E19)</f>
        <v>31.686402560547947</v>
      </c>
      <c r="F36" s="49">
        <f t="shared" si="43"/>
        <v>43.83503504334243</v>
      </c>
      <c r="G36" s="49">
        <f t="shared" si="43"/>
        <v>40.982908831914486</v>
      </c>
      <c r="H36" s="49">
        <f t="shared" si="43"/>
        <v>57.23158849484409</v>
      </c>
      <c r="I36" s="49">
        <f t="shared" si="43"/>
        <v>47.22912682558011</v>
      </c>
      <c r="J36" s="49">
        <f t="shared" si="43"/>
        <v>35.112291411039926</v>
      </c>
      <c r="K36" s="49">
        <f t="shared" si="43"/>
        <v>41.524538469871509</v>
      </c>
      <c r="L36" s="49">
        <f t="shared" si="43"/>
        <v>36.520471157293137</v>
      </c>
      <c r="M36" s="49">
        <f t="shared" si="43"/>
        <v>34.022628512153503</v>
      </c>
      <c r="N36" s="366">
        <f t="shared" si="43"/>
        <v>18.953910904148177</v>
      </c>
      <c r="O36" s="49">
        <f t="shared" ref="O36:T36" si="44">SUM(O15:O19)</f>
        <v>83.686980892885373</v>
      </c>
      <c r="P36" s="49">
        <f t="shared" si="44"/>
        <v>197.30514757470536</v>
      </c>
      <c r="Q36" s="49">
        <f t="shared" si="44"/>
        <v>49.629942636859063</v>
      </c>
      <c r="R36" s="49">
        <f t="shared" si="44"/>
        <v>201.68554991576084</v>
      </c>
      <c r="S36" s="49">
        <f t="shared" si="44"/>
        <v>68.078106170938966</v>
      </c>
      <c r="T36" s="49">
        <f t="shared" si="44"/>
        <v>54.235220370555489</v>
      </c>
      <c r="U36" s="49">
        <f t="shared" ref="U36:Z36" si="45">SUM(U15:U19)</f>
        <v>55.091206291174835</v>
      </c>
      <c r="V36" s="49">
        <f t="shared" si="45"/>
        <v>138.36004635590612</v>
      </c>
      <c r="W36" s="49">
        <f t="shared" si="45"/>
        <v>189.26562515486461</v>
      </c>
      <c r="X36" s="49">
        <f t="shared" si="45"/>
        <v>45.163354433560805</v>
      </c>
      <c r="Y36" s="49">
        <f t="shared" si="45"/>
        <v>147.11399508545992</v>
      </c>
      <c r="Z36" s="49">
        <f t="shared" si="45"/>
        <v>134.55500745812523</v>
      </c>
      <c r="AA36" s="50">
        <f t="shared" si="24"/>
        <v>38.709890221073536</v>
      </c>
      <c r="AB36" s="51">
        <f t="shared" si="33"/>
        <v>3.1132561631232757E-2</v>
      </c>
      <c r="AC36" s="447"/>
      <c r="AD36" s="353"/>
      <c r="AE36" s="353"/>
      <c r="AF36" s="353"/>
      <c r="AG36" s="2">
        <f t="shared" si="2"/>
        <v>1.7706801168503095</v>
      </c>
      <c r="AH36" s="349">
        <f t="shared" si="25"/>
        <v>108.25011797972113</v>
      </c>
      <c r="AI36" s="350">
        <f t="shared" si="12"/>
        <v>6.0594944179379238E-2</v>
      </c>
      <c r="AJ36" s="2">
        <f t="shared" si="6"/>
        <v>5.0152928632746656</v>
      </c>
      <c r="AK36" s="51"/>
      <c r="AL36" s="49">
        <f t="shared" ref="AL36:AU36" si="46">SUM(AL15:AL19)</f>
        <v>304.10981399724699</v>
      </c>
      <c r="AM36" s="49">
        <f t="shared" si="46"/>
        <v>420.70614763290899</v>
      </c>
      <c r="AN36" s="49">
        <f t="shared" si="46"/>
        <v>393.33290543551442</v>
      </c>
      <c r="AO36" s="49">
        <f t="shared" si="46"/>
        <v>549.27938565055729</v>
      </c>
      <c r="AP36" s="49">
        <f t="shared" si="46"/>
        <v>453.28089696311622</v>
      </c>
      <c r="AQ36" s="49">
        <f t="shared" si="46"/>
        <v>336.98973525392955</v>
      </c>
      <c r="AR36" s="49">
        <f t="shared" si="46"/>
        <v>398.53118845738044</v>
      </c>
      <c r="AS36" s="49">
        <f t="shared" si="46"/>
        <v>350.50472105547163</v>
      </c>
      <c r="AT36" s="49">
        <f t="shared" si="46"/>
        <v>326.53171052654568</v>
      </c>
      <c r="AU36" s="49">
        <f t="shared" si="46"/>
        <v>171.0312437050687</v>
      </c>
      <c r="AV36" s="49">
        <f t="shared" ref="AV36:BA36" si="47">SUM(AV15:AV19)</f>
        <v>755.80041535169983</v>
      </c>
      <c r="AW36" s="49">
        <f t="shared" si="47"/>
        <v>1782.2819993500245</v>
      </c>
      <c r="AX36" s="49">
        <f t="shared" si="47"/>
        <v>448.02262730399389</v>
      </c>
      <c r="AY36" s="49">
        <f t="shared" si="47"/>
        <v>1821.8945626197865</v>
      </c>
      <c r="AZ36" s="49">
        <f t="shared" si="47"/>
        <v>614.63815279483811</v>
      </c>
      <c r="BA36" s="49">
        <f t="shared" si="47"/>
        <v>464.05510573334089</v>
      </c>
      <c r="BB36" s="49">
        <f t="shared" ref="BB36:BG36" si="48">SUM(BB15:BB19)</f>
        <v>471.66128969474642</v>
      </c>
      <c r="BC36" s="49">
        <f t="shared" si="48"/>
        <v>1182.1596936887142</v>
      </c>
      <c r="BD36" s="49">
        <f t="shared" si="48"/>
        <v>1616.7461516457672</v>
      </c>
      <c r="BE36" s="49">
        <f t="shared" si="48"/>
        <v>387.17619231556728</v>
      </c>
      <c r="BF36" s="49">
        <f t="shared" si="48"/>
        <v>1256.763367909776</v>
      </c>
      <c r="BG36" s="49">
        <f t="shared" si="48"/>
        <v>1149.9099160850294</v>
      </c>
      <c r="BH36" s="48">
        <f t="shared" si="29"/>
        <v>954.44361904984794</v>
      </c>
      <c r="BI36" s="11"/>
    </row>
    <row r="37" spans="2:61" s="2" customFormat="1" x14ac:dyDescent="0.2">
      <c r="B37" s="2" t="s">
        <v>59</v>
      </c>
      <c r="E37" s="49">
        <f t="shared" ref="E37:N37" si="49">SUM(E20:E22)</f>
        <v>90.655852929345599</v>
      </c>
      <c r="F37" s="49">
        <f t="shared" si="49"/>
        <v>125.41349502987703</v>
      </c>
      <c r="G37" s="49">
        <f t="shared" si="49"/>
        <v>117.25346695900116</v>
      </c>
      <c r="H37" s="49">
        <f t="shared" si="49"/>
        <v>163.74148057947579</v>
      </c>
      <c r="I37" s="49">
        <f t="shared" si="49"/>
        <v>135.12410464708682</v>
      </c>
      <c r="J37" s="49">
        <f t="shared" si="49"/>
        <v>100.45743501771996</v>
      </c>
      <c r="K37" s="49">
        <f t="shared" si="49"/>
        <v>118.80308739025654</v>
      </c>
      <c r="L37" s="49">
        <f t="shared" si="49"/>
        <v>104.48628416619856</v>
      </c>
      <c r="M37" s="49">
        <f t="shared" si="49"/>
        <v>97.339873176635308</v>
      </c>
      <c r="N37" s="366">
        <f t="shared" si="49"/>
        <v>216.4584982082925</v>
      </c>
      <c r="O37" s="49">
        <f t="shared" ref="O37:T37" si="50">SUM(O20:O22)</f>
        <v>350.86145297994972</v>
      </c>
      <c r="P37" s="49">
        <f t="shared" si="50"/>
        <v>487.24898779212845</v>
      </c>
      <c r="Q37" s="49">
        <f t="shared" si="50"/>
        <v>393.96510541612946</v>
      </c>
      <c r="R37" s="49">
        <f t="shared" si="50"/>
        <v>457.1527484319422</v>
      </c>
      <c r="S37" s="49">
        <f t="shared" si="50"/>
        <v>466.61935009525928</v>
      </c>
      <c r="T37" s="49">
        <f t="shared" si="50"/>
        <v>273.69268663731674</v>
      </c>
      <c r="U37" s="49">
        <f t="shared" ref="U37:Z37" si="51">SUM(U20:U22)</f>
        <v>324.11168447040342</v>
      </c>
      <c r="V37" s="49">
        <f t="shared" si="51"/>
        <v>370.74826414302476</v>
      </c>
      <c r="W37" s="49">
        <f t="shared" si="51"/>
        <v>451.16111534485589</v>
      </c>
      <c r="X37" s="49">
        <f t="shared" si="51"/>
        <v>367.88608865254969</v>
      </c>
      <c r="Y37" s="49">
        <f t="shared" si="51"/>
        <v>366.72521358856835</v>
      </c>
      <c r="Z37" s="49">
        <f t="shared" si="51"/>
        <v>417.41424127557781</v>
      </c>
      <c r="AA37" s="50">
        <f t="shared" si="24"/>
        <v>126.97335781038892</v>
      </c>
      <c r="AB37" s="51">
        <f t="shared" si="33"/>
        <v>0.10211875737649338</v>
      </c>
      <c r="AC37" s="447"/>
      <c r="AD37" s="353"/>
      <c r="AE37" s="353"/>
      <c r="AF37" s="353"/>
      <c r="AG37" s="2">
        <f t="shared" si="2"/>
        <v>5.8080557387419125</v>
      </c>
      <c r="AH37" s="349">
        <f t="shared" si="25"/>
        <v>394.34474839635595</v>
      </c>
      <c r="AI37" s="350">
        <f t="shared" si="12"/>
        <v>0.22074154248021172</v>
      </c>
      <c r="AJ37" s="2">
        <f t="shared" si="6"/>
        <v>18.270228607719272</v>
      </c>
      <c r="AK37" s="51"/>
      <c r="AL37" s="49">
        <f t="shared" ref="AL37:AU37" si="52">SUM(AL20:AL22)</f>
        <v>2714.4406498414701</v>
      </c>
      <c r="AM37" s="49">
        <f t="shared" si="52"/>
        <v>3755.1628267521583</v>
      </c>
      <c r="AN37" s="49">
        <f t="shared" si="52"/>
        <v>3510.8331868700452</v>
      </c>
      <c r="AO37" s="49">
        <f t="shared" si="52"/>
        <v>4902.7891370296902</v>
      </c>
      <c r="AP37" s="49">
        <f t="shared" si="52"/>
        <v>4045.9203744224583</v>
      </c>
      <c r="AQ37" s="49">
        <f t="shared" si="52"/>
        <v>3007.922118425492</v>
      </c>
      <c r="AR37" s="49">
        <f t="shared" si="52"/>
        <v>3557.2323167056297</v>
      </c>
      <c r="AS37" s="49">
        <f t="shared" si="52"/>
        <v>3128.5549462830904</v>
      </c>
      <c r="AT37" s="49">
        <f t="shared" si="52"/>
        <v>2914.5752873452061</v>
      </c>
      <c r="AU37" s="49">
        <f t="shared" si="52"/>
        <v>6572.7518538329869</v>
      </c>
      <c r="AV37" s="49">
        <f t="shared" ref="AV37:BA37" si="53">SUM(AV20:AV22)</f>
        <v>10651.475797734101</v>
      </c>
      <c r="AW37" s="49">
        <f t="shared" si="53"/>
        <v>14788.240069495549</v>
      </c>
      <c r="AX37" s="49">
        <f t="shared" si="53"/>
        <v>11962.041321809742</v>
      </c>
      <c r="AY37" s="49">
        <f t="shared" si="53"/>
        <v>13874.049279402881</v>
      </c>
      <c r="AZ37" s="49">
        <f t="shared" si="53"/>
        <v>14167.632793083145</v>
      </c>
      <c r="BA37" s="49">
        <f t="shared" si="53"/>
        <v>8307.4907035607866</v>
      </c>
      <c r="BB37" s="49">
        <f t="shared" ref="BB37:BG37" si="54">SUM(BB20:BB22)</f>
        <v>10051.842194880388</v>
      </c>
      <c r="BC37" s="49">
        <f t="shared" si="54"/>
        <v>11492.414070584882</v>
      </c>
      <c r="BD37" s="49">
        <f t="shared" si="54"/>
        <v>13690.282327133738</v>
      </c>
      <c r="BE37" s="49">
        <f t="shared" si="54"/>
        <v>11167.67901890591</v>
      </c>
      <c r="BF37" s="49">
        <f t="shared" si="54"/>
        <v>11128.380206873337</v>
      </c>
      <c r="BG37" s="49">
        <f t="shared" si="54"/>
        <v>12667.860794883592</v>
      </c>
      <c r="BH37" s="48">
        <f t="shared" si="29"/>
        <v>12015.314757659113</v>
      </c>
      <c r="BI37" s="11"/>
    </row>
    <row r="38" spans="2:61" s="2" customFormat="1" x14ac:dyDescent="0.2">
      <c r="B38" s="2" t="s">
        <v>60</v>
      </c>
      <c r="E38" s="49">
        <f t="shared" ref="E38:N38" si="55">SUM(E27:E28)</f>
        <v>1095.6585217234929</v>
      </c>
      <c r="F38" s="49">
        <f t="shared" si="55"/>
        <v>830.68982419898066</v>
      </c>
      <c r="G38" s="49">
        <f t="shared" si="55"/>
        <v>578.33986724899455</v>
      </c>
      <c r="H38" s="49">
        <f t="shared" si="55"/>
        <v>368.09981541594328</v>
      </c>
      <c r="I38" s="49">
        <f t="shared" si="55"/>
        <v>214.01903306970914</v>
      </c>
      <c r="J38" s="49">
        <f t="shared" si="55"/>
        <v>727.83595954866996</v>
      </c>
      <c r="K38" s="49">
        <f t="shared" si="55"/>
        <v>923.23319222364353</v>
      </c>
      <c r="L38" s="49">
        <f t="shared" si="55"/>
        <v>653.27191788396522</v>
      </c>
      <c r="M38" s="49">
        <f t="shared" si="55"/>
        <v>699.14406301523081</v>
      </c>
      <c r="N38" s="366">
        <f t="shared" si="55"/>
        <v>874.88685016272166</v>
      </c>
      <c r="O38" s="49">
        <f>SUM(O27:O28)</f>
        <v>480.85404297903051</v>
      </c>
      <c r="P38" s="49">
        <f t="shared" ref="P38:T38" si="56">SUM(P27:P28)</f>
        <v>501.0225975023784</v>
      </c>
      <c r="Q38" s="49">
        <f t="shared" si="56"/>
        <v>571.10909828088779</v>
      </c>
      <c r="R38" s="49">
        <f t="shared" si="56"/>
        <v>712.69869555771425</v>
      </c>
      <c r="S38" s="49">
        <f t="shared" si="56"/>
        <v>686.20162772250831</v>
      </c>
      <c r="T38" s="49">
        <f t="shared" si="56"/>
        <v>483.5030703012726</v>
      </c>
      <c r="U38" s="49">
        <f t="shared" ref="U38:Z38" si="57">SUM(U27:U28)</f>
        <v>1017.6182450642475</v>
      </c>
      <c r="V38" s="49">
        <f t="shared" si="57"/>
        <v>948.55571845397753</v>
      </c>
      <c r="W38" s="49">
        <f t="shared" si="57"/>
        <v>1036.5976624824257</v>
      </c>
      <c r="X38" s="49">
        <f t="shared" si="57"/>
        <v>1024.521680932806</v>
      </c>
      <c r="Y38" s="49">
        <f t="shared" si="57"/>
        <v>790.5778006431683</v>
      </c>
      <c r="Z38" s="49">
        <f t="shared" si="57"/>
        <v>1707.2213740134002</v>
      </c>
      <c r="AA38" s="50">
        <f t="shared" si="24"/>
        <v>696.51790444913513</v>
      </c>
      <c r="AB38" s="51">
        <f t="shared" si="33"/>
        <v>0.5601769073402042</v>
      </c>
      <c r="AC38" s="447"/>
      <c r="AD38" s="353"/>
      <c r="AE38" s="353"/>
      <c r="AF38" s="353"/>
      <c r="AG38" s="2">
        <f t="shared" si="2"/>
        <v>31.860343632979802</v>
      </c>
      <c r="AH38" s="349">
        <f t="shared" si="25"/>
        <v>746.26824392772482</v>
      </c>
      <c r="AI38" s="350">
        <f t="shared" si="12"/>
        <v>0.41773702816762837</v>
      </c>
      <c r="AJ38" s="2">
        <f t="shared" si="6"/>
        <v>34.575055138141998</v>
      </c>
      <c r="AK38" s="51"/>
      <c r="AL38" s="49">
        <f t="shared" ref="AL38:AU38" si="58">SUM(AL27:AL28)</f>
        <v>13934.189797489849</v>
      </c>
      <c r="AM38" s="49">
        <f t="shared" si="58"/>
        <v>15162.53343207201</v>
      </c>
      <c r="AN38" s="49">
        <f t="shared" si="58"/>
        <v>16496.828816628265</v>
      </c>
      <c r="AO38" s="49">
        <f t="shared" si="58"/>
        <v>13203.27872052177</v>
      </c>
      <c r="AP38" s="49">
        <f t="shared" si="58"/>
        <v>14492.626502395358</v>
      </c>
      <c r="AQ38" s="49">
        <f t="shared" si="58"/>
        <v>8170.7974332805252</v>
      </c>
      <c r="AR38" s="49">
        <f t="shared" si="58"/>
        <v>14355.998415694346</v>
      </c>
      <c r="AS38" s="49">
        <f t="shared" si="58"/>
        <v>11006.716817735729</v>
      </c>
      <c r="AT38" s="49">
        <f t="shared" si="58"/>
        <v>13163.967707384309</v>
      </c>
      <c r="AU38" s="49">
        <f t="shared" si="58"/>
        <v>16459.662530818809</v>
      </c>
      <c r="AV38" s="49">
        <f t="shared" ref="AV38:BA38" si="59">SUM(AV27:AV28)</f>
        <v>19444.313845762808</v>
      </c>
      <c r="AW38" s="49">
        <f t="shared" si="59"/>
        <v>17448.708932761438</v>
      </c>
      <c r="AX38" s="49">
        <f t="shared" si="59"/>
        <v>18590.881359875199</v>
      </c>
      <c r="AY38" s="49">
        <f t="shared" si="59"/>
        <v>21057.119162185321</v>
      </c>
      <c r="AZ38" s="49">
        <f t="shared" si="59"/>
        <v>19907.502198000839</v>
      </c>
      <c r="BA38" s="49">
        <f t="shared" si="59"/>
        <v>13860.789153044097</v>
      </c>
      <c r="BB38" s="49">
        <f t="shared" ref="BB38:BG38" si="60">SUM(BB27:BB28)</f>
        <v>23089.066306296027</v>
      </c>
      <c r="BC38" s="49">
        <f t="shared" si="60"/>
        <v>18983.164238993788</v>
      </c>
      <c r="BD38" s="49">
        <f t="shared" si="60"/>
        <v>18971.301241060792</v>
      </c>
      <c r="BE38" s="49">
        <f t="shared" si="60"/>
        <v>15689.278085647895</v>
      </c>
      <c r="BF38" s="49">
        <f t="shared" si="60"/>
        <v>13958.677525156811</v>
      </c>
      <c r="BG38" s="49">
        <f t="shared" si="60"/>
        <v>25996.000106173597</v>
      </c>
      <c r="BH38" s="48">
        <f t="shared" si="29"/>
        <v>18704.212452362823</v>
      </c>
      <c r="BI38" s="11"/>
    </row>
    <row r="39" spans="2:61" s="2" customFormat="1" x14ac:dyDescent="0.2">
      <c r="B39" s="2" t="s">
        <v>61</v>
      </c>
      <c r="E39" s="49">
        <f t="shared" ref="E39:N39" si="61">SUM(E29:E29)</f>
        <v>0</v>
      </c>
      <c r="F39" s="49">
        <f t="shared" si="61"/>
        <v>0</v>
      </c>
      <c r="G39" s="49">
        <f t="shared" si="61"/>
        <v>0</v>
      </c>
      <c r="H39" s="49">
        <f t="shared" si="61"/>
        <v>0</v>
      </c>
      <c r="I39" s="49">
        <f t="shared" si="61"/>
        <v>0</v>
      </c>
      <c r="J39" s="49">
        <f t="shared" si="61"/>
        <v>0</v>
      </c>
      <c r="K39" s="49">
        <f t="shared" si="61"/>
        <v>0</v>
      </c>
      <c r="L39" s="49">
        <f t="shared" si="61"/>
        <v>0</v>
      </c>
      <c r="M39" s="49">
        <f t="shared" si="61"/>
        <v>0</v>
      </c>
      <c r="N39" s="366">
        <f t="shared" si="61"/>
        <v>0</v>
      </c>
      <c r="O39" s="49">
        <f t="shared" ref="O39:T39" si="62">SUM(O29:O29)</f>
        <v>0</v>
      </c>
      <c r="P39" s="49">
        <f t="shared" si="62"/>
        <v>0</v>
      </c>
      <c r="Q39" s="49">
        <f t="shared" si="62"/>
        <v>0</v>
      </c>
      <c r="R39" s="49">
        <f t="shared" si="62"/>
        <v>0</v>
      </c>
      <c r="S39" s="49">
        <f t="shared" si="62"/>
        <v>0</v>
      </c>
      <c r="T39" s="49">
        <f t="shared" si="62"/>
        <v>0</v>
      </c>
      <c r="U39" s="49">
        <f t="shared" ref="U39:Z39" si="63">SUM(U29:U29)</f>
        <v>0</v>
      </c>
      <c r="V39" s="49">
        <f t="shared" si="63"/>
        <v>0</v>
      </c>
      <c r="W39" s="49">
        <f t="shared" si="63"/>
        <v>0</v>
      </c>
      <c r="X39" s="49">
        <f t="shared" si="63"/>
        <v>0</v>
      </c>
      <c r="Y39" s="49">
        <f t="shared" si="63"/>
        <v>0</v>
      </c>
      <c r="Z39" s="49">
        <f t="shared" si="63"/>
        <v>0</v>
      </c>
      <c r="AA39" s="50">
        <f t="shared" si="24"/>
        <v>0</v>
      </c>
      <c r="AB39" s="51">
        <f t="shared" si="33"/>
        <v>0</v>
      </c>
      <c r="AC39" s="447"/>
      <c r="AD39" s="353"/>
      <c r="AE39" s="353"/>
      <c r="AF39" s="353"/>
      <c r="AG39" s="2">
        <f t="shared" si="2"/>
        <v>0</v>
      </c>
      <c r="AH39" s="349">
        <f t="shared" si="25"/>
        <v>0</v>
      </c>
      <c r="AI39" s="350">
        <f t="shared" si="12"/>
        <v>0</v>
      </c>
      <c r="AJ39" s="2">
        <f t="shared" si="6"/>
        <v>0</v>
      </c>
      <c r="AK39" s="51"/>
      <c r="AL39" s="49">
        <f t="shared" ref="AL39:AU39" si="64">SUM(AL29:AL29)</f>
        <v>0</v>
      </c>
      <c r="AM39" s="49">
        <f t="shared" si="64"/>
        <v>0</v>
      </c>
      <c r="AN39" s="49">
        <f t="shared" si="64"/>
        <v>0</v>
      </c>
      <c r="AO39" s="49">
        <f t="shared" si="64"/>
        <v>0</v>
      </c>
      <c r="AP39" s="49">
        <f t="shared" si="64"/>
        <v>0</v>
      </c>
      <c r="AQ39" s="49">
        <f t="shared" si="64"/>
        <v>0</v>
      </c>
      <c r="AR39" s="49">
        <f t="shared" si="64"/>
        <v>0</v>
      </c>
      <c r="AS39" s="49">
        <f t="shared" si="64"/>
        <v>0</v>
      </c>
      <c r="AT39" s="49">
        <f t="shared" si="64"/>
        <v>0</v>
      </c>
      <c r="AU39" s="49">
        <f t="shared" si="64"/>
        <v>0</v>
      </c>
      <c r="AV39" s="49">
        <f t="shared" ref="AV39:BA39" si="65">SUM(AV29:AV29)</f>
        <v>0</v>
      </c>
      <c r="AW39" s="49">
        <f t="shared" si="65"/>
        <v>0</v>
      </c>
      <c r="AX39" s="49">
        <f t="shared" si="65"/>
        <v>0</v>
      </c>
      <c r="AY39" s="49">
        <f t="shared" si="65"/>
        <v>0</v>
      </c>
      <c r="AZ39" s="49">
        <f t="shared" si="65"/>
        <v>0</v>
      </c>
      <c r="BA39" s="49">
        <f t="shared" si="65"/>
        <v>0</v>
      </c>
      <c r="BB39" s="49">
        <f t="shared" ref="BB39:BG39" si="66">SUM(BB29:BB29)</f>
        <v>0</v>
      </c>
      <c r="BC39" s="49">
        <f t="shared" si="66"/>
        <v>0</v>
      </c>
      <c r="BD39" s="49">
        <f t="shared" si="66"/>
        <v>0</v>
      </c>
      <c r="BE39" s="49">
        <f t="shared" si="66"/>
        <v>0</v>
      </c>
      <c r="BF39" s="49">
        <f t="shared" si="66"/>
        <v>0</v>
      </c>
      <c r="BG39" s="49">
        <f t="shared" si="66"/>
        <v>0</v>
      </c>
      <c r="BH39" s="48">
        <f t="shared" si="29"/>
        <v>0</v>
      </c>
      <c r="BI39" s="11"/>
    </row>
    <row r="40" spans="2:61" s="2" customFormat="1" x14ac:dyDescent="0.2">
      <c r="B40" s="2" t="s">
        <v>42</v>
      </c>
      <c r="E40" s="49">
        <f t="shared" ref="E40:M40" si="67">SUM(E33:E39)</f>
        <v>1570.6301585839094</v>
      </c>
      <c r="F40" s="49">
        <f t="shared" si="67"/>
        <v>1397.9597583184632</v>
      </c>
      <c r="G40" s="49">
        <f t="shared" si="67"/>
        <v>1123.9409926975775</v>
      </c>
      <c r="H40" s="49">
        <f t="shared" si="67"/>
        <v>1037.1490299988716</v>
      </c>
      <c r="I40" s="49">
        <f t="shared" si="67"/>
        <v>807.0753174376822</v>
      </c>
      <c r="J40" s="49">
        <f t="shared" si="67"/>
        <v>1228.8355224285008</v>
      </c>
      <c r="K40" s="49">
        <f t="shared" si="67"/>
        <v>1472.9493070259073</v>
      </c>
      <c r="L40" s="49">
        <f t="shared" si="67"/>
        <v>1164.9700176565657</v>
      </c>
      <c r="M40" s="49">
        <f t="shared" si="67"/>
        <v>1191.8649961566091</v>
      </c>
      <c r="N40" s="366">
        <f>SUM(N33:N39)</f>
        <v>1438.5166814242307</v>
      </c>
      <c r="O40" s="49">
        <f t="shared" ref="O40:T40" si="68">SUM(O33:O39)</f>
        <v>1393.1178455160884</v>
      </c>
      <c r="P40" s="49">
        <f t="shared" si="68"/>
        <v>1800.8545132448899</v>
      </c>
      <c r="Q40" s="49">
        <f t="shared" si="68"/>
        <v>1481.9829644146114</v>
      </c>
      <c r="R40" s="49">
        <f t="shared" si="68"/>
        <v>1979.1537514522909</v>
      </c>
      <c r="S40" s="49">
        <f t="shared" si="68"/>
        <v>1729.0356544595152</v>
      </c>
      <c r="T40" s="49">
        <f t="shared" si="68"/>
        <v>1243.9263853057807</v>
      </c>
      <c r="U40" s="49">
        <f t="shared" ref="U40:Z40" si="69">SUM(U33:U39)</f>
        <v>1964.1295838792694</v>
      </c>
      <c r="V40" s="49">
        <f t="shared" si="69"/>
        <v>2110.4223087914843</v>
      </c>
      <c r="W40" s="49">
        <f t="shared" si="69"/>
        <v>2398.5143477760994</v>
      </c>
      <c r="X40" s="49">
        <f t="shared" si="69"/>
        <v>2010.8138476069578</v>
      </c>
      <c r="Y40" s="49">
        <f t="shared" si="69"/>
        <v>1959.7041132342265</v>
      </c>
      <c r="Z40" s="49">
        <f t="shared" si="69"/>
        <v>2923.5864261139345</v>
      </c>
      <c r="AA40" s="50">
        <f t="shared" si="24"/>
        <v>1243.3891781728319</v>
      </c>
      <c r="AB40" s="51">
        <f t="shared" si="33"/>
        <v>1</v>
      </c>
      <c r="AC40" s="205">
        <f>AVERAGE(E40:I40)</f>
        <v>1187.3510514073009</v>
      </c>
      <c r="AD40" s="205">
        <f>AVERAGE(E40:L40)</f>
        <v>1225.4387630184347</v>
      </c>
      <c r="AE40" s="205">
        <f>AVERAGE(J40:N40)</f>
        <v>1299.4273049383628</v>
      </c>
      <c r="AF40" s="205">
        <f>AVERAGE(E40:N40)</f>
        <v>1243.3891781728319</v>
      </c>
      <c r="AG40" s="2">
        <f t="shared" si="2"/>
        <v>56.87550346239194</v>
      </c>
      <c r="AH40" s="349">
        <f t="shared" si="25"/>
        <v>1811.1951202446985</v>
      </c>
      <c r="AI40" s="350">
        <f t="shared" si="12"/>
        <v>1.013848938527266</v>
      </c>
      <c r="AJ40" s="2">
        <f t="shared" si="6"/>
        <v>83.913755754638643</v>
      </c>
      <c r="AK40" s="51"/>
      <c r="AL40" s="49">
        <f t="shared" ref="AL40:AU40" si="70">SUM(AL33:AL39)</f>
        <v>22441.496675409395</v>
      </c>
      <c r="AM40" s="49">
        <f t="shared" si="70"/>
        <v>25346.287113806084</v>
      </c>
      <c r="AN40" s="49">
        <f t="shared" si="70"/>
        <v>26287.004218832051</v>
      </c>
      <c r="AO40" s="49">
        <f t="shared" si="70"/>
        <v>25235.685676417153</v>
      </c>
      <c r="AP40" s="49">
        <f t="shared" si="70"/>
        <v>25144.746835951686</v>
      </c>
      <c r="AQ40" s="49">
        <f t="shared" si="70"/>
        <v>17150.858789678623</v>
      </c>
      <c r="AR40" s="49">
        <f t="shared" si="70"/>
        <v>24220.915833239385</v>
      </c>
      <c r="AS40" s="49">
        <f t="shared" si="70"/>
        <v>20181.099505209233</v>
      </c>
      <c r="AT40" s="49">
        <f t="shared" si="70"/>
        <v>21993.661367116911</v>
      </c>
      <c r="AU40" s="49">
        <f t="shared" si="70"/>
        <v>28163.999452702046</v>
      </c>
      <c r="AV40" s="49">
        <f t="shared" ref="AV40:BA40" si="71">SUM(AV33:AV39)</f>
        <v>37603.951928644652</v>
      </c>
      <c r="AW40" s="49">
        <f t="shared" si="71"/>
        <v>42041.742894337309</v>
      </c>
      <c r="AX40" s="49">
        <f t="shared" si="71"/>
        <v>37638.756651101794</v>
      </c>
      <c r="AY40" s="49">
        <f t="shared" si="71"/>
        <v>44712.494657236501</v>
      </c>
      <c r="AZ40" s="49">
        <f t="shared" si="71"/>
        <v>41693.897172877529</v>
      </c>
      <c r="BA40" s="49">
        <f t="shared" si="71"/>
        <v>29004.354748700061</v>
      </c>
      <c r="BB40" s="49">
        <f t="shared" ref="BB40:BG40" si="72">SUM(BB33:BB39)</f>
        <v>42167.93977602879</v>
      </c>
      <c r="BC40" s="49">
        <f t="shared" si="72"/>
        <v>41020.765868507151</v>
      </c>
      <c r="BD40" s="49">
        <f t="shared" si="72"/>
        <v>44282.173228100903</v>
      </c>
      <c r="BE40" s="49">
        <f t="shared" si="72"/>
        <v>35846.966535446467</v>
      </c>
      <c r="BF40" s="49">
        <f t="shared" si="72"/>
        <v>35734.204586161424</v>
      </c>
      <c r="BG40" s="49">
        <f t="shared" si="72"/>
        <v>49278.478414211975</v>
      </c>
      <c r="BH40" s="48">
        <f t="shared" si="29"/>
        <v>39601.304346098121</v>
      </c>
      <c r="BI40" s="11"/>
    </row>
    <row r="41" spans="2:61" s="2" customFormat="1" x14ac:dyDescent="0.2">
      <c r="E41" s="49"/>
      <c r="F41" s="49"/>
      <c r="G41" s="49"/>
      <c r="H41" s="49"/>
      <c r="I41" s="49"/>
      <c r="J41" s="49"/>
      <c r="K41" s="49"/>
      <c r="L41" s="49"/>
      <c r="M41" s="49"/>
      <c r="N41" s="366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50" t="s">
        <v>542</v>
      </c>
      <c r="AB41" s="51"/>
      <c r="AC41" s="353"/>
      <c r="AD41" s="353"/>
      <c r="AE41" s="353"/>
      <c r="AF41" s="353"/>
      <c r="AH41" s="154"/>
      <c r="AI41" s="350"/>
      <c r="AK41" s="51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I41" s="11"/>
    </row>
    <row r="42" spans="2:61" s="2" customFormat="1" x14ac:dyDescent="0.2">
      <c r="B42" s="2" t="s">
        <v>53</v>
      </c>
      <c r="E42" s="49">
        <f>E34</f>
        <v>234.23663999999994</v>
      </c>
      <c r="F42" s="49">
        <f t="shared" ref="F42:N42" si="73">F34</f>
        <v>234.23663999999994</v>
      </c>
      <c r="G42" s="49">
        <f t="shared" si="73"/>
        <v>234.23663999999994</v>
      </c>
      <c r="H42" s="49">
        <f t="shared" si="73"/>
        <v>234.23663999999994</v>
      </c>
      <c r="I42" s="49">
        <f t="shared" si="73"/>
        <v>234.23663999999994</v>
      </c>
      <c r="J42" s="49">
        <f t="shared" si="73"/>
        <v>234.23663999999994</v>
      </c>
      <c r="K42" s="49">
        <f t="shared" si="73"/>
        <v>234.23663999999994</v>
      </c>
      <c r="L42" s="49">
        <f t="shared" si="73"/>
        <v>234.23663999999994</v>
      </c>
      <c r="M42" s="49">
        <f t="shared" si="73"/>
        <v>234.23663999999994</v>
      </c>
      <c r="N42" s="366">
        <f t="shared" si="73"/>
        <v>234.23663999999994</v>
      </c>
      <c r="O42" s="49">
        <f t="shared" ref="O42:T42" si="74">O34</f>
        <v>284.56847999999991</v>
      </c>
      <c r="P42" s="49">
        <f t="shared" si="74"/>
        <v>284.56847999999991</v>
      </c>
      <c r="Q42" s="49">
        <f t="shared" si="74"/>
        <v>284.56847999999991</v>
      </c>
      <c r="R42" s="49">
        <f t="shared" si="74"/>
        <v>284.56847999999991</v>
      </c>
      <c r="S42" s="49">
        <f t="shared" si="74"/>
        <v>284.56847999999991</v>
      </c>
      <c r="T42" s="49">
        <f t="shared" si="74"/>
        <v>284.56847999999991</v>
      </c>
      <c r="U42" s="49">
        <f t="shared" ref="U42:Z42" si="75">U34</f>
        <v>396.84719999999993</v>
      </c>
      <c r="V42" s="49">
        <f t="shared" si="75"/>
        <v>396.84719999999993</v>
      </c>
      <c r="W42" s="49">
        <f t="shared" si="75"/>
        <v>396.84719999999993</v>
      </c>
      <c r="X42" s="49">
        <f t="shared" si="75"/>
        <v>396.84719999999993</v>
      </c>
      <c r="Y42" s="49">
        <f t="shared" si="75"/>
        <v>396.84719999999999</v>
      </c>
      <c r="Z42" s="49">
        <f t="shared" si="75"/>
        <v>396.84719999999999</v>
      </c>
      <c r="AA42" s="50">
        <f t="shared" ref="AA42:AA55" si="76">AVERAGE(E42:N42)</f>
        <v>234.23663999999994</v>
      </c>
      <c r="AB42" s="51">
        <f t="shared" ref="AB42:AB47" si="77">AA42/AA$47</f>
        <v>0.18838561900965889</v>
      </c>
      <c r="AC42" s="353"/>
      <c r="AD42" s="353"/>
      <c r="AE42" s="353"/>
      <c r="AF42" s="353"/>
      <c r="AG42" s="2">
        <f t="shared" si="2"/>
        <v>10.714526926248702</v>
      </c>
      <c r="AH42" s="349">
        <f t="shared" ref="AH42:AH47" si="78">AVERAGE(O42:T42,U42:X42)</f>
        <v>329.47996799999999</v>
      </c>
      <c r="AI42" s="350">
        <f t="shared" si="12"/>
        <v>0.1844323187982459</v>
      </c>
      <c r="AK42" s="51"/>
      <c r="AL42" s="49">
        <f>AL34</f>
        <v>4134.7515000000003</v>
      </c>
      <c r="AM42" s="49">
        <f t="shared" ref="AM42:BA42" si="79">AM34</f>
        <v>4134.7515000000003</v>
      </c>
      <c r="AN42" s="49">
        <f t="shared" si="79"/>
        <v>4134.7515000000003</v>
      </c>
      <c r="AO42" s="49">
        <f t="shared" si="79"/>
        <v>4134.7515000000003</v>
      </c>
      <c r="AP42" s="49">
        <f t="shared" si="79"/>
        <v>4134.7515000000003</v>
      </c>
      <c r="AQ42" s="49">
        <f t="shared" si="79"/>
        <v>4134.7515000000003</v>
      </c>
      <c r="AR42" s="49">
        <f t="shared" si="79"/>
        <v>4134.7515000000003</v>
      </c>
      <c r="AS42" s="49">
        <f t="shared" si="79"/>
        <v>4134.7515000000003</v>
      </c>
      <c r="AT42" s="49">
        <f t="shared" si="79"/>
        <v>4134.7515000000003</v>
      </c>
      <c r="AU42" s="49">
        <f t="shared" si="79"/>
        <v>4134.7515000000003</v>
      </c>
      <c r="AV42" s="49">
        <f t="shared" si="79"/>
        <v>5023.210500000001</v>
      </c>
      <c r="AW42" s="49">
        <f t="shared" si="79"/>
        <v>5023.210500000001</v>
      </c>
      <c r="AX42" s="49">
        <f t="shared" si="79"/>
        <v>5023.210500000001</v>
      </c>
      <c r="AY42" s="49">
        <f t="shared" si="79"/>
        <v>5023.210500000001</v>
      </c>
      <c r="AZ42" s="49">
        <f t="shared" si="79"/>
        <v>5023.210500000001</v>
      </c>
      <c r="BA42" s="49">
        <f t="shared" si="79"/>
        <v>5023.210500000001</v>
      </c>
      <c r="BB42" s="49">
        <f t="shared" ref="BB42:BF42" si="80">BB34</f>
        <v>7005.1575000000003</v>
      </c>
      <c r="BC42" s="49">
        <f t="shared" si="80"/>
        <v>7005.1575000000003</v>
      </c>
      <c r="BD42" s="49">
        <f t="shared" si="80"/>
        <v>7005.1575000000003</v>
      </c>
      <c r="BE42" s="49">
        <f t="shared" si="80"/>
        <v>7005.1575000000003</v>
      </c>
      <c r="BF42" s="49">
        <f t="shared" si="80"/>
        <v>7005.1575000000003</v>
      </c>
      <c r="BG42" s="49">
        <f t="shared" ref="BG42" si="81">BG34</f>
        <v>7005.1575000000003</v>
      </c>
      <c r="BH42" s="48">
        <f t="shared" ref="BH42:BH47" si="82">AVERAGE(AV42:BA42,BB42:BE42)</f>
        <v>5815.9893000000011</v>
      </c>
      <c r="BI42" s="11"/>
    </row>
    <row r="43" spans="2:61" s="2" customFormat="1" x14ac:dyDescent="0.2">
      <c r="B43" s="2" t="s">
        <v>57</v>
      </c>
      <c r="E43" s="49">
        <f>E33</f>
        <v>118.39274137052305</v>
      </c>
      <c r="F43" s="49">
        <f t="shared" ref="F43:N43" si="83">F33</f>
        <v>163.78476404626321</v>
      </c>
      <c r="G43" s="49">
        <f t="shared" si="83"/>
        <v>153.12810965766735</v>
      </c>
      <c r="H43" s="49">
        <f t="shared" si="83"/>
        <v>213.83950550860854</v>
      </c>
      <c r="I43" s="49">
        <f t="shared" si="83"/>
        <v>176.46641289530615</v>
      </c>
      <c r="J43" s="49">
        <f t="shared" si="83"/>
        <v>131.19319645107109</v>
      </c>
      <c r="K43" s="49">
        <f t="shared" si="83"/>
        <v>155.15184894213562</v>
      </c>
      <c r="L43" s="49">
        <f t="shared" si="83"/>
        <v>136.45470444910876</v>
      </c>
      <c r="M43" s="49">
        <f t="shared" si="83"/>
        <v>127.12179145258953</v>
      </c>
      <c r="N43" s="366">
        <f t="shared" si="83"/>
        <v>80.064256962344018</v>
      </c>
      <c r="O43" s="49">
        <f t="shared" ref="O43:T43" si="84">O33</f>
        <v>133.29626961095897</v>
      </c>
      <c r="P43" s="49">
        <f t="shared" si="84"/>
        <v>190.49848344821814</v>
      </c>
      <c r="Q43" s="49">
        <f t="shared" si="84"/>
        <v>146.7262373736551</v>
      </c>
      <c r="R43" s="49">
        <f t="shared" si="84"/>
        <v>179.83249588542159</v>
      </c>
      <c r="S43" s="49">
        <f t="shared" si="84"/>
        <v>174.40273986546899</v>
      </c>
      <c r="T43" s="49">
        <f t="shared" si="84"/>
        <v>107.58574116117165</v>
      </c>
      <c r="U43" s="49">
        <f t="shared" ref="U43:Z43" si="85">U33</f>
        <v>129.35652229196057</v>
      </c>
      <c r="V43" s="49">
        <f t="shared" si="85"/>
        <v>153.75898236844307</v>
      </c>
      <c r="W43" s="49">
        <f t="shared" si="85"/>
        <v>185.06637889551439</v>
      </c>
      <c r="X43" s="49">
        <f t="shared" si="85"/>
        <v>142.46802531547624</v>
      </c>
      <c r="Y43" s="49">
        <f t="shared" si="85"/>
        <v>149.9105022843828</v>
      </c>
      <c r="Z43" s="49">
        <f t="shared" si="85"/>
        <v>168.08852132196421</v>
      </c>
      <c r="AA43" s="50">
        <f t="shared" si="76"/>
        <v>145.55973317356171</v>
      </c>
      <c r="AB43" s="51">
        <f t="shared" si="77"/>
        <v>0.11706691334362639</v>
      </c>
      <c r="AC43" s="353"/>
      <c r="AD43" s="353"/>
      <c r="AE43" s="353"/>
      <c r="AF43" s="353"/>
      <c r="AG43" s="2">
        <f t="shared" si="2"/>
        <v>6.6582396352069599</v>
      </c>
      <c r="AH43" s="349">
        <f t="shared" si="78"/>
        <v>154.29918762162885</v>
      </c>
      <c r="AI43" s="350">
        <f t="shared" si="12"/>
        <v>8.6371736450279762E-2</v>
      </c>
      <c r="AK43" s="49"/>
      <c r="AL43" s="49">
        <f>AL33</f>
        <v>1354.0049140808269</v>
      </c>
      <c r="AM43" s="49">
        <f t="shared" ref="AM43:BA43" si="86">AM33</f>
        <v>1873.1332073490046</v>
      </c>
      <c r="AN43" s="49">
        <f t="shared" si="86"/>
        <v>1751.2578098982258</v>
      </c>
      <c r="AO43" s="49">
        <f t="shared" si="86"/>
        <v>2445.5869332151328</v>
      </c>
      <c r="AP43" s="49">
        <f t="shared" si="86"/>
        <v>2018.1675621707507</v>
      </c>
      <c r="AQ43" s="49">
        <f t="shared" si="86"/>
        <v>1500.3980027186758</v>
      </c>
      <c r="AR43" s="49">
        <f t="shared" si="86"/>
        <v>1774.4024123820284</v>
      </c>
      <c r="AS43" s="49">
        <f t="shared" si="86"/>
        <v>1560.5715201349417</v>
      </c>
      <c r="AT43" s="49">
        <f t="shared" si="86"/>
        <v>1453.8351618608508</v>
      </c>
      <c r="AU43" s="49">
        <f t="shared" si="86"/>
        <v>695.08831511478741</v>
      </c>
      <c r="AV43" s="49">
        <f t="shared" si="86"/>
        <v>1166.9913286647825</v>
      </c>
      <c r="AW43" s="49">
        <f t="shared" si="86"/>
        <v>1682.3406017175607</v>
      </c>
      <c r="AX43" s="49">
        <f t="shared" si="86"/>
        <v>1276.6122990777208</v>
      </c>
      <c r="AY43" s="49">
        <f t="shared" si="86"/>
        <v>1591.0355729462487</v>
      </c>
      <c r="AZ43" s="49">
        <f t="shared" si="86"/>
        <v>1519.1172108364262</v>
      </c>
      <c r="BA43" s="49">
        <f t="shared" si="86"/>
        <v>969.89581982814616</v>
      </c>
      <c r="BB43" s="49">
        <f t="shared" ref="BB43:BF43" si="87">BB33</f>
        <v>1164.1273113940269</v>
      </c>
      <c r="BC43" s="49">
        <f t="shared" si="87"/>
        <v>1398.3843311782241</v>
      </c>
      <c r="BD43" s="49">
        <f t="shared" si="87"/>
        <v>1687.6843051015321</v>
      </c>
      <c r="BE43" s="49">
        <f t="shared" si="87"/>
        <v>1279.0042519471556</v>
      </c>
      <c r="BF43" s="49">
        <f t="shared" si="87"/>
        <v>1365.8397207360852</v>
      </c>
      <c r="BG43" s="49">
        <f t="shared" ref="BG43" si="88">BG33</f>
        <v>1525.3494097410708</v>
      </c>
      <c r="BH43" s="48">
        <f t="shared" si="82"/>
        <v>1373.5193032691825</v>
      </c>
      <c r="BI43" s="11"/>
    </row>
    <row r="44" spans="2:61" s="2" customFormat="1" x14ac:dyDescent="0.2">
      <c r="B44" s="2" t="s">
        <v>531</v>
      </c>
      <c r="E44" s="49">
        <f t="shared" ref="E44:N44" si="89">SUM(E35:E36)</f>
        <v>31.686402560547947</v>
      </c>
      <c r="F44" s="49">
        <f t="shared" si="89"/>
        <v>43.83503504334243</v>
      </c>
      <c r="G44" s="49">
        <f t="shared" si="89"/>
        <v>40.982908831914486</v>
      </c>
      <c r="H44" s="49">
        <f t="shared" si="89"/>
        <v>57.23158849484409</v>
      </c>
      <c r="I44" s="49">
        <f t="shared" si="89"/>
        <v>47.22912682558011</v>
      </c>
      <c r="J44" s="49">
        <f t="shared" si="89"/>
        <v>35.112291411039926</v>
      </c>
      <c r="K44" s="49">
        <f t="shared" si="89"/>
        <v>41.524538469871509</v>
      </c>
      <c r="L44" s="49">
        <f t="shared" si="89"/>
        <v>36.520471157293137</v>
      </c>
      <c r="M44" s="49">
        <f t="shared" si="89"/>
        <v>34.022628512153503</v>
      </c>
      <c r="N44" s="366">
        <f t="shared" si="89"/>
        <v>32.870436090872687</v>
      </c>
      <c r="O44" s="49">
        <f>SUM(O35:O36)</f>
        <v>143.5375999461493</v>
      </c>
      <c r="P44" s="49">
        <f t="shared" ref="P44:T44" si="90">SUM(P35:P36)</f>
        <v>337.51596450216505</v>
      </c>
      <c r="Q44" s="49">
        <f t="shared" si="90"/>
        <v>85.614043343939116</v>
      </c>
      <c r="R44" s="49">
        <f t="shared" si="90"/>
        <v>344.90133157721283</v>
      </c>
      <c r="S44" s="49">
        <f t="shared" si="90"/>
        <v>117.24345677627858</v>
      </c>
      <c r="T44" s="49">
        <f t="shared" si="90"/>
        <v>94.576407206019852</v>
      </c>
      <c r="U44" s="49">
        <f t="shared" ref="U44:Z44" si="91">SUM(U35:U36)</f>
        <v>96.195932052657952</v>
      </c>
      <c r="V44" s="49">
        <f t="shared" si="91"/>
        <v>240.51214382603871</v>
      </c>
      <c r="W44" s="49">
        <f t="shared" si="91"/>
        <v>328.84199105330345</v>
      </c>
      <c r="X44" s="49">
        <f t="shared" si="91"/>
        <v>79.090852706125901</v>
      </c>
      <c r="Y44" s="49">
        <f t="shared" si="91"/>
        <v>255.64339671810703</v>
      </c>
      <c r="Z44" s="49">
        <f t="shared" si="91"/>
        <v>234.0150895029924</v>
      </c>
      <c r="AA44" s="50">
        <f t="shared" si="76"/>
        <v>40.10154273974598</v>
      </c>
      <c r="AB44" s="51">
        <f t="shared" si="77"/>
        <v>3.2251802930017018E-2</v>
      </c>
      <c r="AC44" s="353"/>
      <c r="AD44" s="353"/>
      <c r="AE44" s="353"/>
      <c r="AF44" s="353"/>
      <c r="AG44" s="2">
        <f t="shared" si="2"/>
        <v>1.8343375292145652</v>
      </c>
      <c r="AH44" s="349">
        <f t="shared" si="78"/>
        <v>186.80297229898909</v>
      </c>
      <c r="AI44" s="350">
        <f t="shared" si="12"/>
        <v>0.10456631263090038</v>
      </c>
      <c r="AK44" s="49"/>
      <c r="AL44" s="49">
        <f>SUM(AL35:AL36)</f>
        <v>304.10981399724699</v>
      </c>
      <c r="AM44" s="49">
        <f t="shared" ref="AM44:BA44" si="92">SUM(AM35:AM36)</f>
        <v>420.70614763290899</v>
      </c>
      <c r="AN44" s="49">
        <f t="shared" si="92"/>
        <v>393.33290543551442</v>
      </c>
      <c r="AO44" s="49">
        <f t="shared" si="92"/>
        <v>549.27938565055729</v>
      </c>
      <c r="AP44" s="49">
        <f t="shared" si="92"/>
        <v>453.28089696311622</v>
      </c>
      <c r="AQ44" s="49">
        <f t="shared" si="92"/>
        <v>336.98973525392955</v>
      </c>
      <c r="AR44" s="49">
        <f t="shared" si="92"/>
        <v>398.53118845738044</v>
      </c>
      <c r="AS44" s="49">
        <f t="shared" si="92"/>
        <v>350.50472105547163</v>
      </c>
      <c r="AT44" s="49">
        <f t="shared" si="92"/>
        <v>326.53171052654568</v>
      </c>
      <c r="AU44" s="49">
        <f t="shared" si="92"/>
        <v>301.74525293546458</v>
      </c>
      <c r="AV44" s="49">
        <f t="shared" si="92"/>
        <v>1317.9604564829588</v>
      </c>
      <c r="AW44" s="49">
        <f t="shared" si="92"/>
        <v>3099.2427903627568</v>
      </c>
      <c r="AX44" s="49">
        <f t="shared" si="92"/>
        <v>786.0111703391276</v>
      </c>
      <c r="AY44" s="49">
        <f t="shared" si="92"/>
        <v>3167.0801427020474</v>
      </c>
      <c r="AZ44" s="49">
        <f t="shared" si="92"/>
        <v>1076.434470957118</v>
      </c>
      <c r="BA44" s="49">
        <f t="shared" si="92"/>
        <v>842.96857226703059</v>
      </c>
      <c r="BB44" s="49">
        <f t="shared" ref="BB44:BF44" si="93">SUM(BB35:BB36)</f>
        <v>857.74646345834913</v>
      </c>
      <c r="BC44" s="49">
        <f t="shared" si="93"/>
        <v>2141.6457277502536</v>
      </c>
      <c r="BD44" s="49">
        <f t="shared" si="93"/>
        <v>2927.7478548048393</v>
      </c>
      <c r="BE44" s="49">
        <f t="shared" si="93"/>
        <v>705.84767894550282</v>
      </c>
      <c r="BF44" s="49">
        <f t="shared" si="93"/>
        <v>2276.1496333951909</v>
      </c>
      <c r="BG44" s="49">
        <f t="shared" ref="BG44" si="94">SUM(BG35:BG36)</f>
        <v>2084.1106034137165</v>
      </c>
      <c r="BH44" s="48">
        <f t="shared" si="82"/>
        <v>1692.2685328069983</v>
      </c>
      <c r="BI44" s="11"/>
    </row>
    <row r="45" spans="2:61" s="2" customFormat="1" x14ac:dyDescent="0.2">
      <c r="B45" s="2" t="s">
        <v>59</v>
      </c>
      <c r="E45" s="49">
        <f t="shared" ref="E45:N45" si="95">E37</f>
        <v>90.655852929345599</v>
      </c>
      <c r="F45" s="49">
        <f t="shared" si="95"/>
        <v>125.41349502987703</v>
      </c>
      <c r="G45" s="49">
        <f t="shared" si="95"/>
        <v>117.25346695900116</v>
      </c>
      <c r="H45" s="49">
        <f t="shared" si="95"/>
        <v>163.74148057947579</v>
      </c>
      <c r="I45" s="49">
        <f t="shared" si="95"/>
        <v>135.12410464708682</v>
      </c>
      <c r="J45" s="49">
        <f t="shared" si="95"/>
        <v>100.45743501771996</v>
      </c>
      <c r="K45" s="49">
        <f t="shared" si="95"/>
        <v>118.80308739025654</v>
      </c>
      <c r="L45" s="49">
        <f t="shared" si="95"/>
        <v>104.48628416619856</v>
      </c>
      <c r="M45" s="49">
        <f t="shared" si="95"/>
        <v>97.339873176635308</v>
      </c>
      <c r="N45" s="366">
        <f t="shared" si="95"/>
        <v>216.4584982082925</v>
      </c>
      <c r="O45" s="49">
        <f t="shared" ref="O45:Q46" si="96">O37</f>
        <v>350.86145297994972</v>
      </c>
      <c r="P45" s="49">
        <f t="shared" si="96"/>
        <v>487.24898779212845</v>
      </c>
      <c r="Q45" s="49">
        <f t="shared" si="96"/>
        <v>393.96510541612946</v>
      </c>
      <c r="R45" s="49">
        <f t="shared" ref="R45:T46" si="97">R37</f>
        <v>457.1527484319422</v>
      </c>
      <c r="S45" s="49">
        <f t="shared" si="97"/>
        <v>466.61935009525928</v>
      </c>
      <c r="T45" s="49">
        <f t="shared" si="97"/>
        <v>273.69268663731674</v>
      </c>
      <c r="U45" s="49">
        <f t="shared" ref="U45:X46" si="98">U37</f>
        <v>324.11168447040342</v>
      </c>
      <c r="V45" s="49">
        <f t="shared" si="98"/>
        <v>370.74826414302476</v>
      </c>
      <c r="W45" s="49">
        <f t="shared" si="98"/>
        <v>451.16111534485589</v>
      </c>
      <c r="X45" s="49">
        <f t="shared" si="98"/>
        <v>367.88608865254969</v>
      </c>
      <c r="Y45" s="49">
        <f t="shared" ref="Y45:Z45" si="99">Y37</f>
        <v>366.72521358856835</v>
      </c>
      <c r="Z45" s="49">
        <f t="shared" si="99"/>
        <v>417.41424127557781</v>
      </c>
      <c r="AA45" s="50">
        <f t="shared" si="76"/>
        <v>126.97335781038892</v>
      </c>
      <c r="AB45" s="51">
        <f t="shared" si="77"/>
        <v>0.1021187573764934</v>
      </c>
      <c r="AC45" s="353"/>
      <c r="AD45" s="353"/>
      <c r="AE45" s="353"/>
      <c r="AF45" s="353"/>
      <c r="AG45" s="2">
        <f t="shared" si="2"/>
        <v>5.8080557387419125</v>
      </c>
      <c r="AH45" s="349">
        <f t="shared" si="78"/>
        <v>394.34474839635595</v>
      </c>
      <c r="AI45" s="350">
        <f t="shared" si="12"/>
        <v>0.22074154248021172</v>
      </c>
      <c r="AK45" s="49"/>
      <c r="AL45" s="49">
        <f t="shared" ref="AL45:BA45" si="100">AL37</f>
        <v>2714.4406498414701</v>
      </c>
      <c r="AM45" s="49">
        <f t="shared" si="100"/>
        <v>3755.1628267521583</v>
      </c>
      <c r="AN45" s="49">
        <f t="shared" si="100"/>
        <v>3510.8331868700452</v>
      </c>
      <c r="AO45" s="49">
        <f t="shared" si="100"/>
        <v>4902.7891370296902</v>
      </c>
      <c r="AP45" s="49">
        <f t="shared" si="100"/>
        <v>4045.9203744224583</v>
      </c>
      <c r="AQ45" s="49">
        <f t="shared" si="100"/>
        <v>3007.922118425492</v>
      </c>
      <c r="AR45" s="49">
        <f t="shared" si="100"/>
        <v>3557.2323167056297</v>
      </c>
      <c r="AS45" s="49">
        <f t="shared" si="100"/>
        <v>3128.5549462830904</v>
      </c>
      <c r="AT45" s="49">
        <f t="shared" si="100"/>
        <v>2914.5752873452061</v>
      </c>
      <c r="AU45" s="49">
        <f t="shared" si="100"/>
        <v>6572.7518538329869</v>
      </c>
      <c r="AV45" s="49">
        <f t="shared" si="100"/>
        <v>10651.475797734101</v>
      </c>
      <c r="AW45" s="49">
        <f t="shared" si="100"/>
        <v>14788.240069495549</v>
      </c>
      <c r="AX45" s="49">
        <f t="shared" si="100"/>
        <v>11962.041321809742</v>
      </c>
      <c r="AY45" s="49">
        <f t="shared" si="100"/>
        <v>13874.049279402881</v>
      </c>
      <c r="AZ45" s="49">
        <f t="shared" si="100"/>
        <v>14167.632793083145</v>
      </c>
      <c r="BA45" s="49">
        <f t="shared" si="100"/>
        <v>8307.4907035607866</v>
      </c>
      <c r="BB45" s="49">
        <f t="shared" ref="BB45:BF45" si="101">BB37</f>
        <v>10051.842194880388</v>
      </c>
      <c r="BC45" s="49">
        <f t="shared" si="101"/>
        <v>11492.414070584882</v>
      </c>
      <c r="BD45" s="49">
        <f t="shared" si="101"/>
        <v>13690.282327133738</v>
      </c>
      <c r="BE45" s="49">
        <f t="shared" si="101"/>
        <v>11167.67901890591</v>
      </c>
      <c r="BF45" s="49">
        <f t="shared" si="101"/>
        <v>11128.380206873337</v>
      </c>
      <c r="BG45" s="49">
        <f t="shared" ref="BG45" si="102">BG37</f>
        <v>12667.860794883592</v>
      </c>
      <c r="BH45" s="48">
        <f t="shared" si="82"/>
        <v>12015.314757659113</v>
      </c>
      <c r="BI45" s="11"/>
    </row>
    <row r="46" spans="2:61" s="2" customFormat="1" x14ac:dyDescent="0.2">
      <c r="B46" s="2" t="s">
        <v>60</v>
      </c>
      <c r="E46" s="49">
        <f t="shared" ref="E46:M46" si="103">E38</f>
        <v>1095.6585217234929</v>
      </c>
      <c r="F46" s="49">
        <f t="shared" si="103"/>
        <v>830.68982419898066</v>
      </c>
      <c r="G46" s="49">
        <f t="shared" si="103"/>
        <v>578.33986724899455</v>
      </c>
      <c r="H46" s="49">
        <f t="shared" si="103"/>
        <v>368.09981541594328</v>
      </c>
      <c r="I46" s="49">
        <f t="shared" si="103"/>
        <v>214.01903306970914</v>
      </c>
      <c r="J46" s="49">
        <f t="shared" si="103"/>
        <v>727.83595954866996</v>
      </c>
      <c r="K46" s="49">
        <f t="shared" si="103"/>
        <v>923.23319222364353</v>
      </c>
      <c r="L46" s="49">
        <f t="shared" si="103"/>
        <v>653.27191788396522</v>
      </c>
      <c r="M46" s="49">
        <f t="shared" si="103"/>
        <v>699.14406301523081</v>
      </c>
      <c r="N46" s="366">
        <f>N38</f>
        <v>874.88685016272166</v>
      </c>
      <c r="O46" s="49">
        <f t="shared" si="96"/>
        <v>480.85404297903051</v>
      </c>
      <c r="P46" s="49">
        <f t="shared" si="96"/>
        <v>501.0225975023784</v>
      </c>
      <c r="Q46" s="49">
        <f t="shared" si="96"/>
        <v>571.10909828088779</v>
      </c>
      <c r="R46" s="49">
        <f t="shared" si="97"/>
        <v>712.69869555771425</v>
      </c>
      <c r="S46" s="49">
        <f t="shared" si="97"/>
        <v>686.20162772250831</v>
      </c>
      <c r="T46" s="49">
        <f t="shared" si="97"/>
        <v>483.5030703012726</v>
      </c>
      <c r="U46" s="49">
        <f t="shared" si="98"/>
        <v>1017.6182450642475</v>
      </c>
      <c r="V46" s="49">
        <f t="shared" si="98"/>
        <v>948.55571845397753</v>
      </c>
      <c r="W46" s="49">
        <f t="shared" si="98"/>
        <v>1036.5976624824257</v>
      </c>
      <c r="X46" s="49">
        <f t="shared" si="98"/>
        <v>1024.521680932806</v>
      </c>
      <c r="Y46" s="49">
        <f t="shared" ref="Y46:Z46" si="104">Y38</f>
        <v>790.5778006431683</v>
      </c>
      <c r="Z46" s="49">
        <f t="shared" si="104"/>
        <v>1707.2213740134002</v>
      </c>
      <c r="AA46" s="50">
        <f t="shared" si="76"/>
        <v>696.51790444913513</v>
      </c>
      <c r="AB46" s="51">
        <f t="shared" si="77"/>
        <v>0.56017690734020431</v>
      </c>
      <c r="AC46" s="353"/>
      <c r="AD46" s="353"/>
      <c r="AE46" s="353"/>
      <c r="AF46" s="353"/>
      <c r="AG46" s="2">
        <f>AA46*1000*1000/(AA$52*10^6)</f>
        <v>31.860343632979802</v>
      </c>
      <c r="AH46" s="349">
        <f t="shared" si="78"/>
        <v>746.26824392772482</v>
      </c>
      <c r="AI46" s="350">
        <f t="shared" si="12"/>
        <v>0.41773702816762837</v>
      </c>
      <c r="AK46" s="49"/>
      <c r="AL46" s="49">
        <f t="shared" ref="AL46:BA46" si="105">AL38</f>
        <v>13934.189797489849</v>
      </c>
      <c r="AM46" s="49">
        <f t="shared" si="105"/>
        <v>15162.53343207201</v>
      </c>
      <c r="AN46" s="49">
        <f t="shared" si="105"/>
        <v>16496.828816628265</v>
      </c>
      <c r="AO46" s="49">
        <f t="shared" si="105"/>
        <v>13203.27872052177</v>
      </c>
      <c r="AP46" s="49">
        <f t="shared" si="105"/>
        <v>14492.626502395358</v>
      </c>
      <c r="AQ46" s="49">
        <f t="shared" si="105"/>
        <v>8170.7974332805252</v>
      </c>
      <c r="AR46" s="49">
        <f t="shared" si="105"/>
        <v>14355.998415694346</v>
      </c>
      <c r="AS46" s="49">
        <f t="shared" si="105"/>
        <v>11006.716817735729</v>
      </c>
      <c r="AT46" s="49">
        <f t="shared" si="105"/>
        <v>13163.967707384309</v>
      </c>
      <c r="AU46" s="49">
        <f t="shared" si="105"/>
        <v>16459.662530818809</v>
      </c>
      <c r="AV46" s="49">
        <f t="shared" si="105"/>
        <v>19444.313845762808</v>
      </c>
      <c r="AW46" s="49">
        <f t="shared" si="105"/>
        <v>17448.708932761438</v>
      </c>
      <c r="AX46" s="49">
        <f t="shared" si="105"/>
        <v>18590.881359875199</v>
      </c>
      <c r="AY46" s="49">
        <f t="shared" si="105"/>
        <v>21057.119162185321</v>
      </c>
      <c r="AZ46" s="49">
        <f t="shared" si="105"/>
        <v>19907.502198000839</v>
      </c>
      <c r="BA46" s="49">
        <f t="shared" si="105"/>
        <v>13860.789153044097</v>
      </c>
      <c r="BB46" s="49">
        <f t="shared" ref="BB46:BF46" si="106">BB38</f>
        <v>23089.066306296027</v>
      </c>
      <c r="BC46" s="49">
        <f t="shared" si="106"/>
        <v>18983.164238993788</v>
      </c>
      <c r="BD46" s="49">
        <f t="shared" si="106"/>
        <v>18971.301241060792</v>
      </c>
      <c r="BE46" s="49">
        <f t="shared" si="106"/>
        <v>15689.278085647895</v>
      </c>
      <c r="BF46" s="49">
        <f t="shared" si="106"/>
        <v>13958.677525156811</v>
      </c>
      <c r="BG46" s="49">
        <f t="shared" ref="BG46" si="107">BG38</f>
        <v>25996.000106173597</v>
      </c>
      <c r="BH46" s="48">
        <f t="shared" si="82"/>
        <v>18704.212452362823</v>
      </c>
      <c r="BI46" s="11"/>
    </row>
    <row r="47" spans="2:61" s="2" customFormat="1" x14ac:dyDescent="0.2">
      <c r="B47" s="2" t="s">
        <v>42</v>
      </c>
      <c r="E47" s="49">
        <f t="shared" ref="E47:N47" si="108">SUM(E42:E46)</f>
        <v>1570.6301585839094</v>
      </c>
      <c r="F47" s="49">
        <f t="shared" si="108"/>
        <v>1397.9597583184632</v>
      </c>
      <c r="G47" s="49">
        <f t="shared" si="108"/>
        <v>1123.9409926975775</v>
      </c>
      <c r="H47" s="49">
        <f t="shared" si="108"/>
        <v>1037.1490299988716</v>
      </c>
      <c r="I47" s="49">
        <f t="shared" si="108"/>
        <v>807.0753174376822</v>
      </c>
      <c r="J47" s="49">
        <f t="shared" si="108"/>
        <v>1228.8355224285008</v>
      </c>
      <c r="K47" s="49">
        <f t="shared" si="108"/>
        <v>1472.9493070259073</v>
      </c>
      <c r="L47" s="49">
        <f t="shared" si="108"/>
        <v>1164.9700176565657</v>
      </c>
      <c r="M47" s="49">
        <f t="shared" si="108"/>
        <v>1191.8649961566091</v>
      </c>
      <c r="N47" s="366">
        <f t="shared" si="108"/>
        <v>1438.5166814242307</v>
      </c>
      <c r="O47" s="49">
        <f t="shared" ref="O47:T47" si="109">SUM(O42:O46)</f>
        <v>1393.1178455160884</v>
      </c>
      <c r="P47" s="49">
        <f t="shared" si="109"/>
        <v>1800.8545132448901</v>
      </c>
      <c r="Q47" s="49">
        <f t="shared" si="109"/>
        <v>1481.9829644146114</v>
      </c>
      <c r="R47" s="49">
        <f t="shared" si="109"/>
        <v>1979.1537514522909</v>
      </c>
      <c r="S47" s="49">
        <f t="shared" si="109"/>
        <v>1729.0356544595152</v>
      </c>
      <c r="T47" s="49">
        <f t="shared" si="109"/>
        <v>1243.9263853057807</v>
      </c>
      <c r="U47" s="49">
        <f t="shared" ref="U47:AA47" si="110">SUM(U42:U46)</f>
        <v>1964.1295838792694</v>
      </c>
      <c r="V47" s="49">
        <f t="shared" si="110"/>
        <v>2110.4223087914843</v>
      </c>
      <c r="W47" s="49">
        <f t="shared" si="110"/>
        <v>2398.5143477760994</v>
      </c>
      <c r="X47" s="49">
        <f t="shared" si="110"/>
        <v>2010.8138476069578</v>
      </c>
      <c r="Y47" s="49">
        <f t="shared" si="110"/>
        <v>1959.7041132342265</v>
      </c>
      <c r="Z47" s="49">
        <f t="shared" ref="Z47" si="111">SUM(Z42:Z46)</f>
        <v>2923.5864261139345</v>
      </c>
      <c r="AA47" s="49">
        <f t="shared" si="110"/>
        <v>1243.3891781728316</v>
      </c>
      <c r="AB47" s="51">
        <f t="shared" si="77"/>
        <v>1</v>
      </c>
      <c r="AC47" s="353"/>
      <c r="AD47" s="353"/>
      <c r="AE47" s="353"/>
      <c r="AF47" s="353"/>
      <c r="AG47" s="2">
        <f>AA47*1000*1000/(AA$52*10^6)</f>
        <v>56.87550346239194</v>
      </c>
      <c r="AH47" s="349">
        <f t="shared" si="78"/>
        <v>1811.1951202446985</v>
      </c>
      <c r="AI47" s="350">
        <f t="shared" si="12"/>
        <v>1.013848938527266</v>
      </c>
      <c r="AL47" s="49">
        <f t="shared" ref="AL47:BA47" si="112">SUM(AL42:AL46)</f>
        <v>22441.496675409395</v>
      </c>
      <c r="AM47" s="49">
        <f t="shared" si="112"/>
        <v>25346.287113806084</v>
      </c>
      <c r="AN47" s="49">
        <f t="shared" si="112"/>
        <v>26287.004218832051</v>
      </c>
      <c r="AO47" s="49">
        <f t="shared" si="112"/>
        <v>25235.685676417153</v>
      </c>
      <c r="AP47" s="49">
        <f t="shared" si="112"/>
        <v>25144.746835951686</v>
      </c>
      <c r="AQ47" s="49">
        <f t="shared" si="112"/>
        <v>17150.858789678623</v>
      </c>
      <c r="AR47" s="49">
        <f t="shared" si="112"/>
        <v>24220.915833239385</v>
      </c>
      <c r="AS47" s="49">
        <f t="shared" si="112"/>
        <v>20181.099505209233</v>
      </c>
      <c r="AT47" s="49">
        <f t="shared" si="112"/>
        <v>21993.661367116911</v>
      </c>
      <c r="AU47" s="49">
        <f t="shared" si="112"/>
        <v>28163.999452702046</v>
      </c>
      <c r="AV47" s="49">
        <f t="shared" si="112"/>
        <v>37603.951928644652</v>
      </c>
      <c r="AW47" s="49">
        <f t="shared" si="112"/>
        <v>42041.742894337302</v>
      </c>
      <c r="AX47" s="49">
        <f t="shared" si="112"/>
        <v>37638.756651101794</v>
      </c>
      <c r="AY47" s="49">
        <f t="shared" si="112"/>
        <v>44712.494657236501</v>
      </c>
      <c r="AZ47" s="49">
        <f t="shared" si="112"/>
        <v>41693.897172877529</v>
      </c>
      <c r="BA47" s="49">
        <f t="shared" si="112"/>
        <v>29004.354748700061</v>
      </c>
      <c r="BB47" s="49">
        <f t="shared" ref="BB47:BF47" si="113">SUM(BB42:BB46)</f>
        <v>42167.93977602879</v>
      </c>
      <c r="BC47" s="49">
        <f t="shared" si="113"/>
        <v>41020.765868507151</v>
      </c>
      <c r="BD47" s="49">
        <f t="shared" si="113"/>
        <v>44282.173228100903</v>
      </c>
      <c r="BE47" s="49">
        <f t="shared" si="113"/>
        <v>35846.966535446467</v>
      </c>
      <c r="BF47" s="49">
        <f t="shared" si="113"/>
        <v>35734.204586161424</v>
      </c>
      <c r="BG47" s="49">
        <f t="shared" ref="BG47" si="114">SUM(BG42:BG46)</f>
        <v>49278.478414211975</v>
      </c>
      <c r="BH47" s="48">
        <f t="shared" si="82"/>
        <v>39601.304346098121</v>
      </c>
      <c r="BI47" s="11"/>
    </row>
    <row r="48" spans="2:61" x14ac:dyDescent="0.2">
      <c r="B48" s="381" t="s">
        <v>867</v>
      </c>
      <c r="N48" s="382">
        <f>N33+N36+N37</f>
        <v>315.4766660747847</v>
      </c>
      <c r="O48" s="382">
        <f>O33+O36+O37</f>
        <v>567.84470348379409</v>
      </c>
      <c r="P48" s="382">
        <f>P33+P36+P37</f>
        <v>875.05261881505191</v>
      </c>
      <c r="AV48" s="382">
        <f>AV33+AV36+AV37</f>
        <v>12574.267541750583</v>
      </c>
    </row>
    <row r="49" spans="2:63" x14ac:dyDescent="0.2">
      <c r="B49" t="s">
        <v>775</v>
      </c>
      <c r="E49">
        <v>1230</v>
      </c>
      <c r="F49">
        <v>1230</v>
      </c>
      <c r="G49">
        <v>1230</v>
      </c>
      <c r="H49">
        <v>1230</v>
      </c>
      <c r="I49">
        <v>1230</v>
      </c>
      <c r="J49">
        <v>1230</v>
      </c>
      <c r="K49">
        <v>1230</v>
      </c>
      <c r="L49">
        <v>1230</v>
      </c>
      <c r="M49">
        <v>1230</v>
      </c>
      <c r="N49" s="186">
        <v>1230</v>
      </c>
      <c r="O49">
        <v>1230</v>
      </c>
      <c r="P49">
        <v>1230</v>
      </c>
      <c r="Q49">
        <v>1230</v>
      </c>
      <c r="R49">
        <v>1230</v>
      </c>
      <c r="S49">
        <v>1230</v>
      </c>
      <c r="T49">
        <v>1230</v>
      </c>
      <c r="U49">
        <v>1230</v>
      </c>
      <c r="V49">
        <v>1230</v>
      </c>
      <c r="W49">
        <v>1230</v>
      </c>
      <c r="X49">
        <v>1230</v>
      </c>
      <c r="Y49">
        <v>1230</v>
      </c>
      <c r="Z49">
        <v>1230</v>
      </c>
      <c r="AA49">
        <v>1230</v>
      </c>
      <c r="AH49" s="154">
        <v>1230</v>
      </c>
    </row>
    <row r="50" spans="2:63" x14ac:dyDescent="0.2">
      <c r="B50" t="s">
        <v>777</v>
      </c>
      <c r="E50">
        <v>1220</v>
      </c>
      <c r="F50">
        <v>1220</v>
      </c>
      <c r="G50">
        <v>1220</v>
      </c>
      <c r="H50">
        <v>1220</v>
      </c>
      <c r="I50">
        <v>1220</v>
      </c>
      <c r="J50">
        <v>1220</v>
      </c>
      <c r="K50">
        <v>1220</v>
      </c>
      <c r="L50">
        <v>1220</v>
      </c>
      <c r="M50">
        <v>1220</v>
      </c>
      <c r="N50" s="186">
        <v>1220</v>
      </c>
      <c r="O50">
        <v>1220</v>
      </c>
      <c r="P50">
        <v>1220</v>
      </c>
      <c r="Q50">
        <v>1220</v>
      </c>
      <c r="R50">
        <v>1220</v>
      </c>
      <c r="S50">
        <v>1220</v>
      </c>
      <c r="T50">
        <v>1220</v>
      </c>
      <c r="U50">
        <v>1220</v>
      </c>
      <c r="V50">
        <v>1220</v>
      </c>
      <c r="W50">
        <v>1220</v>
      </c>
      <c r="X50">
        <v>1220</v>
      </c>
      <c r="Y50">
        <v>1220</v>
      </c>
      <c r="Z50">
        <v>1220</v>
      </c>
      <c r="AA50">
        <v>1220</v>
      </c>
      <c r="AH50" s="154">
        <v>1220</v>
      </c>
    </row>
    <row r="52" spans="2:63" x14ac:dyDescent="0.2">
      <c r="B52" t="s">
        <v>579</v>
      </c>
      <c r="E52" s="160">
        <v>22.017487594903454</v>
      </c>
      <c r="F52" s="160">
        <v>21.727132981468813</v>
      </c>
      <c r="G52" s="160">
        <v>21.603061268110888</v>
      </c>
      <c r="H52" s="160">
        <v>21.609022507314076</v>
      </c>
      <c r="I52" s="160">
        <v>21.953545712541256</v>
      </c>
      <c r="J52" s="160">
        <v>22.140423642848383</v>
      </c>
      <c r="K52" s="160">
        <v>21.859706803709141</v>
      </c>
      <c r="L52" s="160">
        <v>22.14042676448155</v>
      </c>
      <c r="M52" s="160">
        <v>22.105316838554501</v>
      </c>
      <c r="N52" s="160">
        <v>21.459818159880701</v>
      </c>
      <c r="O52" s="160">
        <v>21.18985014719717</v>
      </c>
      <c r="P52" s="160">
        <v>21.274363652855904</v>
      </c>
      <c r="Q52">
        <v>21.775477603112719</v>
      </c>
      <c r="R52">
        <v>21.833229898332817</v>
      </c>
      <c r="S52">
        <v>22.221726469082512</v>
      </c>
      <c r="T52" s="308">
        <v>21.997752508054983</v>
      </c>
      <c r="U52" s="308">
        <v>21.50003146107921</v>
      </c>
      <c r="V52" s="308">
        <v>21.416479293375737</v>
      </c>
      <c r="W52" s="308">
        <v>21.240317948367437</v>
      </c>
      <c r="X52">
        <v>21.390844431603835</v>
      </c>
      <c r="Y52" s="308">
        <v>21.036764175314744</v>
      </c>
      <c r="Z52" s="308"/>
      <c r="AA52" s="19">
        <f t="shared" si="76"/>
        <v>21.861594227381282</v>
      </c>
      <c r="AC52" s="210">
        <f t="shared" ref="AC52:AC55" si="115">AVERAGE(E52:I52)</f>
        <v>21.7820500128677</v>
      </c>
      <c r="AD52" s="210">
        <f t="shared" ref="AD52:AD55" si="116">AVERAGE(E52:L52)</f>
        <v>21.881350909422199</v>
      </c>
      <c r="AE52" s="210">
        <f t="shared" ref="AE52:AE55" si="117">AVERAGE(J52:N52)</f>
        <v>21.941138441894854</v>
      </c>
      <c r="AF52" s="210">
        <f t="shared" ref="AF52:AF55" si="118">AVERAGE(E52:N52)</f>
        <v>21.861594227381282</v>
      </c>
      <c r="AH52" s="349">
        <f>AVERAGE(O52:T52,U52:X52)</f>
        <v>21.584007341306233</v>
      </c>
      <c r="AI52" s="349"/>
      <c r="BJ52">
        <f t="shared" ref="BJ52:BJ55" si="119">AF52</f>
        <v>21.861594227381282</v>
      </c>
    </row>
    <row r="53" spans="2:63" x14ac:dyDescent="0.2">
      <c r="B53" t="s">
        <v>577</v>
      </c>
      <c r="E53" s="160">
        <f t="shared" ref="E53:J53" si="120">E55/E52</f>
        <v>5.3308139586019978</v>
      </c>
      <c r="F53" s="160">
        <f t="shared" si="120"/>
        <v>5.1180343269545938</v>
      </c>
      <c r="G53" s="160">
        <f t="shared" si="120"/>
        <v>5.0250244958853516</v>
      </c>
      <c r="H53" s="160">
        <f t="shared" si="120"/>
        <v>5.0295225513529651</v>
      </c>
      <c r="I53" s="160">
        <f t="shared" si="120"/>
        <v>5.2845317124297422</v>
      </c>
      <c r="J53" s="160">
        <f t="shared" si="120"/>
        <v>5.4189038019917364</v>
      </c>
      <c r="K53" s="160">
        <f t="shared" ref="K53:P53" si="121">K55/K52</f>
        <v>5.2160246884376971</v>
      </c>
      <c r="L53" s="160">
        <f t="shared" si="121"/>
        <v>5.4189060240275939</v>
      </c>
      <c r="M53" s="160">
        <f t="shared" si="121"/>
        <v>5.3938669213979411</v>
      </c>
      <c r="N53" s="160">
        <f t="shared" si="121"/>
        <v>4.916039197375107</v>
      </c>
      <c r="O53" s="160">
        <f t="shared" si="121"/>
        <v>4.7058173581698641</v>
      </c>
      <c r="P53" s="160">
        <f t="shared" si="121"/>
        <v>4.7723173748630492</v>
      </c>
      <c r="Q53" s="160">
        <f t="shared" ref="Q53:T53" si="122">Q55/Q52</f>
        <v>5.1539327775775918</v>
      </c>
      <c r="R53" s="160">
        <f t="shared" si="122"/>
        <v>5.1965681253964542</v>
      </c>
      <c r="S53" s="160">
        <f t="shared" si="122"/>
        <v>5.4765250784672697</v>
      </c>
      <c r="T53" s="160">
        <f t="shared" si="122"/>
        <v>5.3165635540936353</v>
      </c>
      <c r="U53" s="160">
        <f t="shared" ref="U53:Y53" si="123">U55/U52</f>
        <v>4.9468109311108135</v>
      </c>
      <c r="V53" s="160">
        <f t="shared" si="123"/>
        <v>4.8827204520706706</v>
      </c>
      <c r="W53" s="160">
        <f t="shared" si="123"/>
        <v>4.7456049051251075</v>
      </c>
      <c r="X53" s="160">
        <f t="shared" si="123"/>
        <v>4.8629361685214922</v>
      </c>
      <c r="Y53" s="160">
        <f t="shared" si="123"/>
        <v>4.5837190344503274</v>
      </c>
      <c r="Z53" s="160"/>
      <c r="AA53" s="19">
        <f t="shared" si="76"/>
        <v>5.2151667678454725</v>
      </c>
      <c r="AC53" s="210">
        <f t="shared" si="115"/>
        <v>5.1575854090449305</v>
      </c>
      <c r="AD53" s="210">
        <f t="shared" si="116"/>
        <v>5.2302201949602098</v>
      </c>
      <c r="AE53" s="210">
        <f t="shared" si="117"/>
        <v>5.2727481266460154</v>
      </c>
      <c r="AF53" s="210">
        <f t="shared" si="118"/>
        <v>5.2151667678454725</v>
      </c>
      <c r="AH53" s="349">
        <f>AVERAGE(O53:T53,U53:X53)</f>
        <v>5.0059796725395938</v>
      </c>
      <c r="AI53" s="349"/>
      <c r="BJ53">
        <f t="shared" si="119"/>
        <v>5.2151667678454725</v>
      </c>
    </row>
    <row r="54" spans="2:63" x14ac:dyDescent="0.2">
      <c r="B54" t="s">
        <v>578</v>
      </c>
      <c r="E54" s="160">
        <v>17.222366595656524</v>
      </c>
      <c r="F54" s="160">
        <v>16.534935211110255</v>
      </c>
      <c r="G54" s="160">
        <v>16.23444650148463</v>
      </c>
      <c r="H54" s="160">
        <v>16.248978458673989</v>
      </c>
      <c r="I54" s="160">
        <v>17.07284162317783</v>
      </c>
      <c r="J54" s="160">
        <v>17.506960203310747</v>
      </c>
      <c r="K54" s="160">
        <v>16.85151461932233</v>
      </c>
      <c r="L54" s="160">
        <v>17.506967382086156</v>
      </c>
      <c r="M54" s="160">
        <v>17.426073055616872</v>
      </c>
      <c r="N54" s="160">
        <v>15.88234553171589</v>
      </c>
      <c r="O54" s="160">
        <v>22.153844088567585</v>
      </c>
      <c r="P54" s="160">
        <v>22.466910000305589</v>
      </c>
      <c r="Q54" s="160">
        <v>24.263462541567371</v>
      </c>
      <c r="R54" s="160">
        <v>24.464179393997082</v>
      </c>
      <c r="S54" s="160">
        <v>25.782148668574564</v>
      </c>
      <c r="T54" s="304">
        <v>25.029088700152567</v>
      </c>
      <c r="U54" s="304">
        <v>23.28838324190119</v>
      </c>
      <c r="V54" s="304">
        <v>22.986660847649762</v>
      </c>
      <c r="W54" s="304">
        <v>22.341154186861715</v>
      </c>
      <c r="X54" s="210">
        <v>22.893521250467657</v>
      </c>
      <c r="Y54" s="304">
        <v>21.57903486388275</v>
      </c>
      <c r="Z54" s="304"/>
      <c r="AA54" s="19">
        <f t="shared" si="76"/>
        <v>16.848742918215521</v>
      </c>
      <c r="AC54" s="202">
        <f t="shared" ref="AC54:AE54" si="124">AC55/AC57</f>
        <v>16.665994896269595</v>
      </c>
      <c r="AD54" s="202">
        <f t="shared" si="124"/>
        <v>16.901893406507664</v>
      </c>
      <c r="AE54" s="202">
        <f t="shared" si="124"/>
        <v>17.042265438762701</v>
      </c>
      <c r="AF54" s="202">
        <f t="shared" ref="AF54" si="125">AF55/AF57</f>
        <v>16.854814704618885</v>
      </c>
      <c r="AH54" s="349">
        <f>AVERAGE(O54:T54,U54:X54)</f>
        <v>23.566935292004509</v>
      </c>
      <c r="AI54" s="349"/>
      <c r="BJ54">
        <f>AF54</f>
        <v>16.854814704618885</v>
      </c>
    </row>
    <row r="55" spans="2:63" x14ac:dyDescent="0.2">
      <c r="B55" t="s">
        <v>580</v>
      </c>
      <c r="E55" s="160">
        <v>117.37113020425767</v>
      </c>
      <c r="F55" s="160">
        <v>111.20021242546468</v>
      </c>
      <c r="G55" s="160">
        <v>108.55591205836927</v>
      </c>
      <c r="H55" s="160">
        <v>108.68306601322993</v>
      </c>
      <c r="I55" s="160">
        <v>116.01420851820028</v>
      </c>
      <c r="J55" s="160">
        <v>119.97682585593883</v>
      </c>
      <c r="K55" s="160">
        <v>114.02077037015638</v>
      </c>
      <c r="L55" s="160">
        <v>119.97689196859085</v>
      </c>
      <c r="M55" s="160">
        <v>119.23313728250002</v>
      </c>
      <c r="N55" s="160">
        <v>105.49730724251566</v>
      </c>
      <c r="O55" s="160">
        <v>99.715564639698684</v>
      </c>
      <c r="P55" s="160">
        <v>101.52801529967915</v>
      </c>
      <c r="Q55">
        <v>112.22934776608938</v>
      </c>
      <c r="R55">
        <v>113.45786656412918</v>
      </c>
      <c r="S55">
        <v>121.6978422947703</v>
      </c>
      <c r="T55" s="308">
        <v>116.95244925629699</v>
      </c>
      <c r="U55" s="308">
        <v>106.35659065089304</v>
      </c>
      <c r="V55" s="308">
        <v>104.57068145711374</v>
      </c>
      <c r="W55" s="308">
        <v>100.79815704218936</v>
      </c>
      <c r="X55">
        <v>104.02231106166285</v>
      </c>
      <c r="Y55" s="308">
        <v>96.426616373632939</v>
      </c>
      <c r="Z55" s="308"/>
      <c r="AA55" s="19">
        <f t="shared" si="76"/>
        <v>114.05294619392237</v>
      </c>
      <c r="AC55" s="210">
        <f t="shared" si="115"/>
        <v>112.36490584390435</v>
      </c>
      <c r="AD55" s="210">
        <f t="shared" si="116"/>
        <v>114.47487717677598</v>
      </c>
      <c r="AE55" s="210">
        <f t="shared" si="117"/>
        <v>115.74098654394034</v>
      </c>
      <c r="AF55" s="210">
        <f t="shared" si="118"/>
        <v>114.05294619392237</v>
      </c>
      <c r="AH55" s="349">
        <f>AVERAGE(O55:T55,U55:X55)</f>
        <v>108.13288260325228</v>
      </c>
      <c r="AI55" s="349"/>
      <c r="BJ55">
        <f t="shared" si="119"/>
        <v>114.05294619392237</v>
      </c>
    </row>
    <row r="56" spans="2:63" x14ac:dyDescent="0.2">
      <c r="B56" s="154" t="s">
        <v>754</v>
      </c>
      <c r="E56" s="2">
        <f>E47*1000*1000/(E52*10^6)</f>
        <v>71.33557595133945</v>
      </c>
      <c r="F56" s="2">
        <f t="shared" ref="F56:Q56" si="126">F47*1000*1000/(F52*10^6)</f>
        <v>64.341657940363802</v>
      </c>
      <c r="G56" s="2">
        <f t="shared" si="126"/>
        <v>52.026931681051614</v>
      </c>
      <c r="H56" s="2">
        <f t="shared" si="126"/>
        <v>47.99611040470824</v>
      </c>
      <c r="I56" s="2">
        <f t="shared" si="126"/>
        <v>36.762868650262249</v>
      </c>
      <c r="J56" s="2">
        <f t="shared" si="126"/>
        <v>55.501897445644808</v>
      </c>
      <c r="K56" s="2">
        <f t="shared" si="126"/>
        <v>67.381933355848034</v>
      </c>
      <c r="L56" s="2">
        <f t="shared" si="126"/>
        <v>52.61732441063203</v>
      </c>
      <c r="M56" s="2">
        <f t="shared" si="126"/>
        <v>53.917571273072369</v>
      </c>
      <c r="N56" s="2">
        <f t="shared" si="126"/>
        <v>67.03303218633738</v>
      </c>
      <c r="O56" s="2">
        <f t="shared" si="126"/>
        <v>65.744582233412331</v>
      </c>
      <c r="P56" s="2">
        <f t="shared" si="126"/>
        <v>84.649042510991421</v>
      </c>
      <c r="Q56" s="2">
        <f t="shared" si="126"/>
        <v>68.057426405323369</v>
      </c>
      <c r="R56" s="2">
        <f t="shared" ref="R56:T56" si="127">R47*1000*1000/(R52*10^6)</f>
        <v>90.64869287175047</v>
      </c>
      <c r="S56" s="2">
        <f t="shared" si="127"/>
        <v>77.808340268482453</v>
      </c>
      <c r="T56" s="2">
        <f t="shared" si="127"/>
        <v>56.547885282839161</v>
      </c>
      <c r="U56" s="2">
        <f t="shared" ref="U56:X56" si="128">U47*1000*1000/(U52*10^6)</f>
        <v>91.354730686551207</v>
      </c>
      <c r="V56" s="2">
        <f t="shared" si="128"/>
        <v>98.5419816152626</v>
      </c>
      <c r="W56" s="2">
        <f t="shared" si="128"/>
        <v>112.9227139446118</v>
      </c>
      <c r="X56" s="2">
        <f t="shared" si="128"/>
        <v>94.003481444429909</v>
      </c>
      <c r="Y56" s="2">
        <f t="shared" ref="Y56:AA56" si="129">Y47*1000*1000/(Y52*10^6)</f>
        <v>93.156157330213858</v>
      </c>
      <c r="Z56" s="2"/>
      <c r="AA56" s="2">
        <f t="shared" si="129"/>
        <v>56.87550346239194</v>
      </c>
      <c r="AC56" s="210"/>
      <c r="AD56" s="210"/>
      <c r="AE56" s="210"/>
      <c r="AF56" s="210"/>
      <c r="AH56" s="154">
        <f t="shared" ref="AH56" si="130">AH47*1000*1000/(AH52*10^6)</f>
        <v>83.913755754638643</v>
      </c>
    </row>
    <row r="57" spans="2:63" x14ac:dyDescent="0.2">
      <c r="B57" s="2" t="s">
        <v>696</v>
      </c>
      <c r="C57" s="2"/>
      <c r="E57" s="2">
        <f t="shared" ref="E57:N57" si="131">E55/E54</f>
        <v>6.8150407525211216</v>
      </c>
      <c r="F57" s="2">
        <f t="shared" si="131"/>
        <v>6.7251677134329713</v>
      </c>
      <c r="G57" s="2">
        <f t="shared" si="131"/>
        <v>6.6867639773516085</v>
      </c>
      <c r="H57" s="2">
        <f t="shared" si="131"/>
        <v>6.6886091510086905</v>
      </c>
      <c r="I57" s="2">
        <f t="shared" si="131"/>
        <v>6.7952489151367255</v>
      </c>
      <c r="J57" s="2">
        <f t="shared" si="131"/>
        <v>6.8530929677471919</v>
      </c>
      <c r="K57" s="2">
        <f t="shared" si="131"/>
        <v>6.7662030948492653</v>
      </c>
      <c r="L57" s="2">
        <f t="shared" si="131"/>
        <v>6.853093933981742</v>
      </c>
      <c r="M57" s="2">
        <f t="shared" si="131"/>
        <v>6.842226409929351</v>
      </c>
      <c r="N57" s="2">
        <f t="shared" si="131"/>
        <v>6.6424261474380595</v>
      </c>
      <c r="O57" s="2">
        <f t="shared" ref="O57:T57" si="132">O55/O54</f>
        <v>4.5010502123717915</v>
      </c>
      <c r="P57" s="2">
        <f t="shared" si="132"/>
        <v>4.5190021813546322</v>
      </c>
      <c r="Q57" s="2">
        <f t="shared" si="132"/>
        <v>4.6254464948612233</v>
      </c>
      <c r="R57" s="2">
        <f t="shared" si="132"/>
        <v>4.6377139709811397</v>
      </c>
      <c r="S57" s="2">
        <f t="shared" si="132"/>
        <v>4.7202366202746244</v>
      </c>
      <c r="T57" s="2">
        <f t="shared" si="132"/>
        <v>4.6726611047402651</v>
      </c>
      <c r="U57" s="2">
        <f t="shared" ref="U57:AA57" si="133">U55/U54</f>
        <v>4.5669374960960329</v>
      </c>
      <c r="V57" s="2">
        <f t="shared" si="133"/>
        <v>4.5491897300866739</v>
      </c>
      <c r="W57" s="2">
        <f t="shared" si="133"/>
        <v>4.5117703498714619</v>
      </c>
      <c r="X57" s="2">
        <f t="shared" si="133"/>
        <v>4.5437444910113136</v>
      </c>
      <c r="Y57" s="2">
        <f t="shared" si="133"/>
        <v>4.4685323964615318</v>
      </c>
      <c r="Z57" s="2"/>
      <c r="AA57" s="2">
        <f t="shared" si="133"/>
        <v>6.7692258554563969</v>
      </c>
      <c r="AC57" s="210">
        <f>AVERAGE(E57:I57)</f>
        <v>6.7421661018902244</v>
      </c>
      <c r="AD57" s="210">
        <f>AVERAGE(E57:L57)</f>
        <v>6.7729025632536652</v>
      </c>
      <c r="AE57" s="210">
        <f>AVERAGE(J57:N57)</f>
        <v>6.7914085107891227</v>
      </c>
      <c r="AF57" s="210">
        <f>AVERAGE(E57:N57)</f>
        <v>6.7667873063396744</v>
      </c>
      <c r="AH57" s="154">
        <f>AH55/AH54</f>
        <v>4.5883302713500571</v>
      </c>
      <c r="BJ57">
        <f>AF57</f>
        <v>6.7667873063396744</v>
      </c>
    </row>
    <row r="58" spans="2:63" x14ac:dyDescent="0.2">
      <c r="B58" s="2" t="s">
        <v>697</v>
      </c>
      <c r="C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19"/>
      <c r="AC58" s="210"/>
      <c r="AD58" s="210"/>
      <c r="AE58" s="210"/>
      <c r="AF58" s="210"/>
      <c r="AH58" s="351"/>
    </row>
    <row r="59" spans="2:63" x14ac:dyDescent="0.2">
      <c r="B59" s="2" t="s">
        <v>698</v>
      </c>
      <c r="C59" s="2"/>
      <c r="E59" s="193">
        <f>(E47)/E57</f>
        <v>230.46526288237945</v>
      </c>
      <c r="F59" s="193">
        <f t="shared" ref="F59:N59" si="134">(F47)/F57</f>
        <v>207.86987297374802</v>
      </c>
      <c r="G59" s="193">
        <f t="shared" si="134"/>
        <v>168.08444211645869</v>
      </c>
      <c r="H59" s="193">
        <f t="shared" si="134"/>
        <v>155.0619877142114</v>
      </c>
      <c r="I59" s="193">
        <f t="shared" si="134"/>
        <v>118.77053033920292</v>
      </c>
      <c r="J59" s="193">
        <f t="shared" si="134"/>
        <v>179.3110830703431</v>
      </c>
      <c r="K59" s="193">
        <f t="shared" si="134"/>
        <v>217.69215117813738</v>
      </c>
      <c r="L59" s="193">
        <f t="shared" si="134"/>
        <v>169.99183564082597</v>
      </c>
      <c r="M59" s="193">
        <f t="shared" si="134"/>
        <v>174.19256901919965</v>
      </c>
      <c r="N59" s="193">
        <f t="shared" si="134"/>
        <v>216.56494923606448</v>
      </c>
      <c r="O59" s="193">
        <f t="shared" ref="O59:T59" si="135">(O47)/O57</f>
        <v>309.50950995545469</v>
      </c>
      <c r="P59" s="193">
        <f t="shared" si="135"/>
        <v>398.50711306916418</v>
      </c>
      <c r="Q59" s="193">
        <f t="shared" si="135"/>
        <v>320.39781804006691</v>
      </c>
      <c r="R59" s="193">
        <f t="shared" si="135"/>
        <v>426.75200838950997</v>
      </c>
      <c r="S59" s="193">
        <f t="shared" si="135"/>
        <v>366.30274995809839</v>
      </c>
      <c r="T59" s="193">
        <f t="shared" si="135"/>
        <v>266.21369652591693</v>
      </c>
      <c r="U59" s="193">
        <f t="shared" ref="U59:AA59" si="136">(U47)/U57</f>
        <v>430.07586277637284</v>
      </c>
      <c r="V59" s="193">
        <f t="shared" si="136"/>
        <v>463.91169285244894</v>
      </c>
      <c r="W59" s="193">
        <f t="shared" si="136"/>
        <v>531.6126845517374</v>
      </c>
      <c r="X59" s="193">
        <f t="shared" si="136"/>
        <v>442.54553740529661</v>
      </c>
      <c r="Y59" s="193">
        <f t="shared" si="136"/>
        <v>438.556541468972</v>
      </c>
      <c r="Z59" s="193"/>
      <c r="AA59" s="193">
        <f t="shared" si="136"/>
        <v>183.68262556501736</v>
      </c>
      <c r="AC59" s="210">
        <f t="shared" ref="AC59:AC60" si="137">AVERAGE(E59:I59)</f>
        <v>176.05041920520006</v>
      </c>
      <c r="AD59" s="210">
        <f t="shared" ref="AD59:AD60" si="138">AVERAGE(E59:L59)</f>
        <v>180.90589573941335</v>
      </c>
      <c r="AE59" s="210">
        <f t="shared" ref="AE59:AE60" si="139">AVERAGE(J59:N59)</f>
        <v>191.55051762891412</v>
      </c>
      <c r="AF59" s="210">
        <f t="shared" ref="AF59:AF60" si="140">AVERAGE(E59:N59)</f>
        <v>183.80046841705709</v>
      </c>
      <c r="AH59" s="352">
        <f>(AH47)/AH57</f>
        <v>394.73948323946126</v>
      </c>
      <c r="BJ59" s="203">
        <f>(BJ31)/BJ57</f>
        <v>121.7889599153699</v>
      </c>
    </row>
    <row r="60" spans="2:63" x14ac:dyDescent="0.2">
      <c r="B60" s="2" t="s">
        <v>699</v>
      </c>
      <c r="C60" s="2"/>
      <c r="E60" s="193">
        <f t="shared" ref="E60:Y60" si="141">(AL40)/E57</f>
        <v>3292.936534107665</v>
      </c>
      <c r="F60" s="193">
        <f t="shared" si="141"/>
        <v>3768.8706354755959</v>
      </c>
      <c r="G60" s="193">
        <f t="shared" si="141"/>
        <v>3931.1996517100647</v>
      </c>
      <c r="H60" s="193">
        <f t="shared" si="141"/>
        <v>3772.9347173188362</v>
      </c>
      <c r="I60" s="193">
        <f t="shared" si="141"/>
        <v>3700.3422759011255</v>
      </c>
      <c r="J60" s="193">
        <f t="shared" si="141"/>
        <v>2502.6449911588757</v>
      </c>
      <c r="K60" s="193">
        <f t="shared" si="141"/>
        <v>3579.6909276455835</v>
      </c>
      <c r="L60" s="193">
        <f t="shared" si="141"/>
        <v>2944.815830575335</v>
      </c>
      <c r="M60" s="193">
        <f t="shared" si="141"/>
        <v>3214.4012854061643</v>
      </c>
      <c r="N60" s="193">
        <f t="shared" si="141"/>
        <v>4240.0169497653678</v>
      </c>
      <c r="O60" s="193">
        <f t="shared" si="141"/>
        <v>8354.4839880445506</v>
      </c>
      <c r="P60" s="193">
        <f t="shared" si="141"/>
        <v>9303.3243196476451</v>
      </c>
      <c r="Q60" s="193">
        <f t="shared" si="141"/>
        <v>8137.3239735704838</v>
      </c>
      <c r="R60" s="193">
        <f t="shared" si="141"/>
        <v>9641.0634500120486</v>
      </c>
      <c r="S60" s="193">
        <f t="shared" si="141"/>
        <v>8833.0099795827118</v>
      </c>
      <c r="T60" s="193">
        <f t="shared" si="141"/>
        <v>6207.2455285225096</v>
      </c>
      <c r="U60" s="193">
        <f t="shared" si="141"/>
        <v>9233.3078374896359</v>
      </c>
      <c r="V60" s="193">
        <f t="shared" si="141"/>
        <v>9017.1587254782626</v>
      </c>
      <c r="W60" s="193">
        <f t="shared" si="141"/>
        <v>9814.8109930645023</v>
      </c>
      <c r="X60" s="193">
        <f t="shared" si="141"/>
        <v>7889.3006872109372</v>
      </c>
      <c r="Y60" s="193">
        <f t="shared" si="141"/>
        <v>7996.8547647675196</v>
      </c>
      <c r="Z60" s="193"/>
      <c r="AA60" s="193">
        <f>(BH40)/AA57</f>
        <v>5850.1969341408703</v>
      </c>
      <c r="AC60" s="210">
        <f t="shared" si="137"/>
        <v>3693.2567629026576</v>
      </c>
      <c r="AD60" s="210">
        <f t="shared" si="138"/>
        <v>3436.6794454866354</v>
      </c>
      <c r="AE60" s="210">
        <f t="shared" si="139"/>
        <v>3296.3139969102654</v>
      </c>
      <c r="AF60" s="210">
        <f t="shared" si="140"/>
        <v>3494.7853799064615</v>
      </c>
      <c r="AH60" s="352">
        <f>(BH40)/AH57</f>
        <v>8630.874850786613</v>
      </c>
      <c r="BJ60" s="203"/>
    </row>
    <row r="61" spans="2:63" x14ac:dyDescent="0.2">
      <c r="B61" s="2" t="s">
        <v>700</v>
      </c>
      <c r="C61" s="2"/>
      <c r="E61" s="193"/>
      <c r="F61" s="193"/>
      <c r="G61" s="193"/>
      <c r="H61" s="193"/>
      <c r="I61" s="193"/>
      <c r="J61" s="193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"/>
      <c r="AC61" s="203"/>
      <c r="AD61" s="203"/>
      <c r="AE61" s="203"/>
      <c r="AF61" s="203"/>
      <c r="AH61" s="351"/>
      <c r="BJ61" s="203"/>
    </row>
    <row r="62" spans="2:63" x14ac:dyDescent="0.2">
      <c r="B62" s="2" t="s">
        <v>701</v>
      </c>
      <c r="C62" s="2"/>
      <c r="E62" s="193"/>
      <c r="F62" s="193"/>
      <c r="G62" s="193"/>
      <c r="H62" s="193"/>
      <c r="I62" s="193"/>
      <c r="J62" s="193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"/>
      <c r="AC62" s="203"/>
      <c r="AD62" s="203"/>
      <c r="AE62" s="203"/>
      <c r="AF62" s="203"/>
      <c r="AH62" s="351"/>
      <c r="BJ62" s="203"/>
    </row>
    <row r="63" spans="2:63" x14ac:dyDescent="0.2">
      <c r="B63" s="2" t="s">
        <v>736</v>
      </c>
      <c r="C63" s="2"/>
      <c r="E63" s="2">
        <f>E59/(1+SQRT(E54))</f>
        <v>44.750676146213159</v>
      </c>
      <c r="F63" s="2">
        <f t="shared" ref="F63:Q63" si="142">F59/(1+SQRT(F54))</f>
        <v>41.02977894662812</v>
      </c>
      <c r="G63" s="2">
        <f t="shared" si="142"/>
        <v>33.421710724483063</v>
      </c>
      <c r="H63" s="2">
        <f t="shared" si="142"/>
        <v>30.821292182298198</v>
      </c>
      <c r="I63" s="2">
        <f t="shared" si="142"/>
        <v>23.143445305414357</v>
      </c>
      <c r="J63" s="2">
        <f t="shared" si="142"/>
        <v>34.588448882627546</v>
      </c>
      <c r="K63" s="2">
        <f t="shared" si="142"/>
        <v>42.642430584192397</v>
      </c>
      <c r="L63" s="2">
        <f t="shared" si="142"/>
        <v>32.79079487938516</v>
      </c>
      <c r="M63" s="2">
        <f t="shared" si="142"/>
        <v>33.663946257675683</v>
      </c>
      <c r="N63" s="2">
        <f t="shared" si="142"/>
        <v>43.441001309206861</v>
      </c>
      <c r="O63" s="2">
        <f t="shared" si="142"/>
        <v>54.235335690292331</v>
      </c>
      <c r="P63" s="2">
        <f t="shared" si="142"/>
        <v>69.427206681494795</v>
      </c>
      <c r="Q63" s="2">
        <f t="shared" si="142"/>
        <v>54.068320661574212</v>
      </c>
      <c r="R63" s="2">
        <f t="shared" ref="R63:T63" si="143">R59/(1+SQRT(R54))</f>
        <v>71.769734639450846</v>
      </c>
      <c r="S63" s="2">
        <f t="shared" si="143"/>
        <v>60.270830057943705</v>
      </c>
      <c r="T63" s="2">
        <f t="shared" si="143"/>
        <v>44.347455507538733</v>
      </c>
      <c r="U63" s="2">
        <f t="shared" ref="U63:X63" si="144">U59/(1+SQRT(U54))</f>
        <v>73.822578044101562</v>
      </c>
      <c r="V63" s="2">
        <f t="shared" si="144"/>
        <v>80.061514711796619</v>
      </c>
      <c r="W63" s="2">
        <f t="shared" si="144"/>
        <v>92.831469187505078</v>
      </c>
      <c r="X63" s="2">
        <f t="shared" si="144"/>
        <v>76.502532723217939</v>
      </c>
      <c r="Y63" s="2">
        <f t="shared" ref="Y63:AA63" si="145">Y59/(1+SQRT(Y54))</f>
        <v>77.684919971012917</v>
      </c>
      <c r="Z63" s="2"/>
      <c r="AA63" s="2">
        <f t="shared" si="145"/>
        <v>35.982884983090266</v>
      </c>
      <c r="AC63" s="203"/>
      <c r="AD63" s="203"/>
      <c r="AE63" s="203"/>
      <c r="AF63" s="204">
        <f>AF59/(1+SQRT(AF54))</f>
        <v>36.000754464370445</v>
      </c>
      <c r="AH63" s="154">
        <f t="shared" ref="AH63" si="146">AH59/(1+SQRT(AH54))</f>
        <v>67.424061910557555</v>
      </c>
      <c r="BJ63" s="203"/>
    </row>
    <row r="64" spans="2:63" x14ac:dyDescent="0.2">
      <c r="B64" s="2" t="s">
        <v>666</v>
      </c>
      <c r="C64" s="2"/>
      <c r="E64" s="2">
        <f t="shared" ref="E64:N64" si="147">1.55*(E59/(1+SQRT(E54)))^0.82</f>
        <v>34.993499134621857</v>
      </c>
      <c r="F64" s="2">
        <f t="shared" si="147"/>
        <v>32.589149266337621</v>
      </c>
      <c r="G64" s="2">
        <f t="shared" si="147"/>
        <v>27.544520242375334</v>
      </c>
      <c r="H64" s="2">
        <f t="shared" si="147"/>
        <v>25.774448955727088</v>
      </c>
      <c r="I64" s="2">
        <f t="shared" si="147"/>
        <v>20.378052078353665</v>
      </c>
      <c r="J64" s="2">
        <f t="shared" si="147"/>
        <v>28.330561955765937</v>
      </c>
      <c r="K64" s="2">
        <f t="shared" si="147"/>
        <v>33.635826072571007</v>
      </c>
      <c r="L64" s="2">
        <f t="shared" si="147"/>
        <v>27.117415320460633</v>
      </c>
      <c r="M64" s="2">
        <f t="shared" si="147"/>
        <v>27.708117363830446</v>
      </c>
      <c r="N64" s="2">
        <f t="shared" si="147"/>
        <v>34.15148214333648</v>
      </c>
      <c r="O64" s="2">
        <f t="shared" ref="O64:T64" si="148">1.55*(O59/(1+SQRT(O54)))^0.82</f>
        <v>40.967853601544313</v>
      </c>
      <c r="P64" s="2">
        <f t="shared" si="148"/>
        <v>50.163293874746749</v>
      </c>
      <c r="Q64" s="2">
        <f t="shared" si="148"/>
        <v>40.864374945988295</v>
      </c>
      <c r="R64" s="2">
        <f t="shared" si="148"/>
        <v>51.547024052756576</v>
      </c>
      <c r="S64" s="2">
        <f t="shared" si="148"/>
        <v>44.670373091677689</v>
      </c>
      <c r="T64" s="2">
        <f t="shared" si="148"/>
        <v>34.734738820107644</v>
      </c>
      <c r="U64" s="2">
        <f t="shared" ref="U64:AA64" si="149">1.55*(U59/(1+SQRT(U54)))^0.82</f>
        <v>52.752961852283484</v>
      </c>
      <c r="V64" s="2">
        <f t="shared" si="149"/>
        <v>56.381836280358968</v>
      </c>
      <c r="W64" s="2">
        <f t="shared" si="149"/>
        <v>63.65635714937293</v>
      </c>
      <c r="X64" s="2">
        <f t="shared" si="149"/>
        <v>54.318261943067242</v>
      </c>
      <c r="Y64" s="2">
        <f t="shared" si="149"/>
        <v>55.005714552788774</v>
      </c>
      <c r="Z64" s="2"/>
      <c r="AA64" s="2">
        <f t="shared" si="149"/>
        <v>29.263778591363891</v>
      </c>
      <c r="AC64" s="204">
        <f t="shared" ref="AC64:AF64" si="150">1.55*(AC59/(1+SQRT(AC54)))^0.82</f>
        <v>28.364660870440478</v>
      </c>
      <c r="AD64" s="204">
        <f>1.55*(AD59/(1+SQRT(AD54)))^0.82</f>
        <v>28.870531685595846</v>
      </c>
      <c r="AE64" s="204">
        <f t="shared" si="150"/>
        <v>30.173857151156067</v>
      </c>
      <c r="AF64" s="204">
        <f t="shared" si="150"/>
        <v>29.275694874467398</v>
      </c>
      <c r="AH64" s="154">
        <f>1.55*(AH59/(1+SQRT(AH54)))^0.82</f>
        <v>48.973362837018257</v>
      </c>
      <c r="BJ64" s="204">
        <f>1.55*(BJ59/(1+SQRT(BJ54)))^0.82</f>
        <v>20.890146441243395</v>
      </c>
      <c r="BK64" s="228">
        <f>BJ64/AF143</f>
        <v>9.7288805438189474</v>
      </c>
    </row>
    <row r="65" spans="2:63" x14ac:dyDescent="0.2">
      <c r="B65" s="2" t="s">
        <v>667</v>
      </c>
      <c r="C65" s="2"/>
      <c r="E65" s="2">
        <f>E63/1000</f>
        <v>4.4750676146213156E-2</v>
      </c>
      <c r="F65" s="2">
        <f t="shared" ref="F65:N65" si="151">F64/1000</f>
        <v>3.2589149266337623E-2</v>
      </c>
      <c r="G65" s="2">
        <f t="shared" si="151"/>
        <v>2.7544520242375335E-2</v>
      </c>
      <c r="H65" s="2">
        <f t="shared" si="151"/>
        <v>2.577444895572709E-2</v>
      </c>
      <c r="I65" s="2">
        <f t="shared" si="151"/>
        <v>2.0378052078353665E-2</v>
      </c>
      <c r="J65" s="2">
        <f t="shared" si="151"/>
        <v>2.8330561955765936E-2</v>
      </c>
      <c r="K65" s="2">
        <f t="shared" si="151"/>
        <v>3.3635826072571005E-2</v>
      </c>
      <c r="L65" s="2">
        <f t="shared" si="151"/>
        <v>2.7117415320460633E-2</v>
      </c>
      <c r="M65" s="2">
        <f t="shared" si="151"/>
        <v>2.7708117363830446E-2</v>
      </c>
      <c r="N65" s="2">
        <f t="shared" si="151"/>
        <v>3.4151482143336478E-2</v>
      </c>
      <c r="O65" s="2">
        <f t="shared" ref="O65:T65" si="152">O64/1000</f>
        <v>4.0967853601544313E-2</v>
      </c>
      <c r="P65" s="2">
        <f t="shared" si="152"/>
        <v>5.0163293874746752E-2</v>
      </c>
      <c r="Q65" s="2">
        <f t="shared" si="152"/>
        <v>4.0864374945988297E-2</v>
      </c>
      <c r="R65" s="2">
        <f t="shared" si="152"/>
        <v>5.1547024052756574E-2</v>
      </c>
      <c r="S65" s="2">
        <f t="shared" si="152"/>
        <v>4.4670373091677693E-2</v>
      </c>
      <c r="T65" s="2">
        <f t="shared" si="152"/>
        <v>3.4734738820107643E-2</v>
      </c>
      <c r="U65" s="2">
        <f t="shared" ref="U65:AA65" si="153">U64/1000</f>
        <v>5.2752961852283481E-2</v>
      </c>
      <c r="V65" s="2">
        <f t="shared" si="153"/>
        <v>5.638183628035897E-2</v>
      </c>
      <c r="W65" s="2">
        <f t="shared" si="153"/>
        <v>6.3656357149372927E-2</v>
      </c>
      <c r="X65" s="2">
        <f t="shared" si="153"/>
        <v>5.4318261943067242E-2</v>
      </c>
      <c r="Y65" s="2">
        <f t="shared" si="153"/>
        <v>5.5005714552788777E-2</v>
      </c>
      <c r="Z65" s="2"/>
      <c r="AA65" s="2">
        <f t="shared" si="153"/>
        <v>2.9263778591363893E-2</v>
      </c>
      <c r="AC65" s="204">
        <f t="shared" ref="AC65:AF65" si="154">AC64/1000</f>
        <v>2.8364660870440477E-2</v>
      </c>
      <c r="AD65" s="204">
        <f t="shared" si="154"/>
        <v>2.8870531685595845E-2</v>
      </c>
      <c r="AE65" s="204">
        <f t="shared" si="154"/>
        <v>3.0173857151156069E-2</v>
      </c>
      <c r="AF65" s="204">
        <f t="shared" si="154"/>
        <v>2.9275694874467399E-2</v>
      </c>
      <c r="AH65" s="154">
        <f>AH64/1000</f>
        <v>4.897336283701826E-2</v>
      </c>
      <c r="BJ65" s="204">
        <f>BJ64/1000</f>
        <v>2.0890146441243394E-2</v>
      </c>
      <c r="BK65" s="2">
        <f>BK64/1000</f>
        <v>9.728880543818947E-3</v>
      </c>
    </row>
    <row r="66" spans="2:63" x14ac:dyDescent="0.2">
      <c r="B66" s="11" t="s">
        <v>756</v>
      </c>
      <c r="C66" s="11"/>
      <c r="E66" s="2">
        <f t="shared" ref="E66:M66" si="155">(E59/(1+SQRT(E54)))</f>
        <v>44.750676146213159</v>
      </c>
      <c r="F66" s="2">
        <f t="shared" si="155"/>
        <v>41.02977894662812</v>
      </c>
      <c r="G66" s="2">
        <f t="shared" si="155"/>
        <v>33.421710724483063</v>
      </c>
      <c r="H66" s="2">
        <f t="shared" si="155"/>
        <v>30.821292182298198</v>
      </c>
      <c r="I66" s="2">
        <f t="shared" si="155"/>
        <v>23.143445305414357</v>
      </c>
      <c r="J66" s="2">
        <f t="shared" si="155"/>
        <v>34.588448882627546</v>
      </c>
      <c r="K66" s="2">
        <f t="shared" si="155"/>
        <v>42.642430584192397</v>
      </c>
      <c r="L66" s="2">
        <f t="shared" si="155"/>
        <v>32.79079487938516</v>
      </c>
      <c r="M66" s="2">
        <f t="shared" si="155"/>
        <v>33.663946257675683</v>
      </c>
      <c r="N66" s="2">
        <f t="shared" ref="N66:S66" si="156">(N59/(1+SQRT(N54)))</f>
        <v>43.441001309206861</v>
      </c>
      <c r="O66" s="2">
        <f t="shared" si="156"/>
        <v>54.235335690292331</v>
      </c>
      <c r="P66" s="2">
        <f t="shared" si="156"/>
        <v>69.427206681494795</v>
      </c>
      <c r="Q66" s="2">
        <f t="shared" si="156"/>
        <v>54.068320661574212</v>
      </c>
      <c r="R66" s="2">
        <f t="shared" si="156"/>
        <v>71.769734639450846</v>
      </c>
      <c r="S66" s="2">
        <f t="shared" si="156"/>
        <v>60.270830057943705</v>
      </c>
      <c r="T66" s="2">
        <f>(T59/(1+SQRT(T54)))</f>
        <v>44.347455507538733</v>
      </c>
      <c r="U66" s="2">
        <f t="shared" ref="U66:AA66" si="157">(U59/(1+SQRT(U54)))</f>
        <v>73.822578044101562</v>
      </c>
      <c r="V66" s="2">
        <f t="shared" si="157"/>
        <v>80.061514711796619</v>
      </c>
      <c r="W66" s="2">
        <f t="shared" si="157"/>
        <v>92.831469187505078</v>
      </c>
      <c r="X66" s="2">
        <f t="shared" si="157"/>
        <v>76.502532723217939</v>
      </c>
      <c r="Y66" s="2">
        <f t="shared" si="157"/>
        <v>77.684919971012917</v>
      </c>
      <c r="Z66" s="2"/>
      <c r="AA66" s="2">
        <f t="shared" si="157"/>
        <v>35.982884983090266</v>
      </c>
      <c r="AC66" s="204">
        <f t="shared" ref="AC66:AF66" si="158">(AC59/(1+SQRT(AC54)))</f>
        <v>34.6392250540177</v>
      </c>
      <c r="AD66" s="204">
        <f>(AD59/(1+SQRT(AD54)))</f>
        <v>35.394076892810951</v>
      </c>
      <c r="AE66" s="204">
        <f t="shared" si="158"/>
        <v>37.352185212505518</v>
      </c>
      <c r="AF66" s="204">
        <f t="shared" si="158"/>
        <v>36.000754464370445</v>
      </c>
      <c r="AH66" s="154">
        <f>(AH59/(1+SQRT(AH54)))</f>
        <v>67.424061910557555</v>
      </c>
      <c r="BJ66" s="204">
        <f>(BJ59/(1+SQRT(BJ54)))</f>
        <v>23.85464237466217</v>
      </c>
      <c r="BK66" s="228">
        <f>BJ66/AF144</f>
        <v>9.0342042756842158</v>
      </c>
    </row>
    <row r="67" spans="2:63" x14ac:dyDescent="0.2">
      <c r="B67" s="11" t="s">
        <v>757</v>
      </c>
      <c r="C67" s="11"/>
      <c r="E67" s="2">
        <f t="shared" ref="E67:N67" si="159">E66/1000</f>
        <v>4.4750676146213156E-2</v>
      </c>
      <c r="F67" s="2">
        <f t="shared" si="159"/>
        <v>4.1029778946628119E-2</v>
      </c>
      <c r="G67" s="2">
        <f t="shared" si="159"/>
        <v>3.3421710724483064E-2</v>
      </c>
      <c r="H67" s="2">
        <f t="shared" si="159"/>
        <v>3.0821292182298198E-2</v>
      </c>
      <c r="I67" s="2">
        <f t="shared" si="159"/>
        <v>2.3143445305414356E-2</v>
      </c>
      <c r="J67" s="2">
        <f t="shared" si="159"/>
        <v>3.4588448882627548E-2</v>
      </c>
      <c r="K67" s="2">
        <f t="shared" si="159"/>
        <v>4.2642430584192398E-2</v>
      </c>
      <c r="L67" s="2">
        <f t="shared" si="159"/>
        <v>3.279079487938516E-2</v>
      </c>
      <c r="M67" s="2">
        <f t="shared" si="159"/>
        <v>3.366394625767568E-2</v>
      </c>
      <c r="N67" s="2">
        <f t="shared" si="159"/>
        <v>4.3441001309206861E-2</v>
      </c>
      <c r="O67" s="2">
        <f t="shared" ref="O67:T67" si="160">O66/1000</f>
        <v>5.4235335690292333E-2</v>
      </c>
      <c r="P67" s="2">
        <f t="shared" si="160"/>
        <v>6.9427206681494796E-2</v>
      </c>
      <c r="Q67" s="2">
        <f t="shared" si="160"/>
        <v>5.4068320661574215E-2</v>
      </c>
      <c r="R67" s="2">
        <f t="shared" si="160"/>
        <v>7.1769734639450841E-2</v>
      </c>
      <c r="S67" s="2">
        <f t="shared" si="160"/>
        <v>6.0270830057943703E-2</v>
      </c>
      <c r="T67" s="2">
        <f t="shared" si="160"/>
        <v>4.4347455507538734E-2</v>
      </c>
      <c r="U67" s="2">
        <f t="shared" ref="U67:AA67" si="161">U66/1000</f>
        <v>7.3822578044101556E-2</v>
      </c>
      <c r="V67" s="2">
        <f t="shared" si="161"/>
        <v>8.0061514711796622E-2</v>
      </c>
      <c r="W67" s="2">
        <f t="shared" si="161"/>
        <v>9.2831469187505081E-2</v>
      </c>
      <c r="X67" s="2">
        <f t="shared" si="161"/>
        <v>7.6502532723217942E-2</v>
      </c>
      <c r="Y67" s="2">
        <f t="shared" si="161"/>
        <v>7.7684919971012914E-2</v>
      </c>
      <c r="Z67" s="2"/>
      <c r="AA67" s="2">
        <f t="shared" si="161"/>
        <v>3.5982884983090269E-2</v>
      </c>
      <c r="AC67" s="204">
        <f t="shared" ref="AC67:AF67" si="162">AC66/1000</f>
        <v>3.4639225054017703E-2</v>
      </c>
      <c r="AD67" s="204">
        <f t="shared" si="162"/>
        <v>3.5394076892810954E-2</v>
      </c>
      <c r="AE67" s="204">
        <f t="shared" si="162"/>
        <v>3.7352185212505516E-2</v>
      </c>
      <c r="AF67" s="204">
        <f t="shared" si="162"/>
        <v>3.6000754464370448E-2</v>
      </c>
      <c r="AH67" s="154">
        <f>AH66/1000</f>
        <v>6.7424061910557553E-2</v>
      </c>
      <c r="BJ67" s="204">
        <f>BJ66/1000</f>
        <v>2.3854642374662168E-2</v>
      </c>
      <c r="BK67" s="2">
        <f>BK66/1000</f>
        <v>9.0342042756842156E-3</v>
      </c>
    </row>
    <row r="68" spans="2:63" x14ac:dyDescent="0.2">
      <c r="B68" s="227" t="s">
        <v>714</v>
      </c>
      <c r="BJ68" s="226">
        <f>AA70*BJ31/AA40</f>
        <v>9.0367436576367036E-3</v>
      </c>
    </row>
    <row r="69" spans="2:63" x14ac:dyDescent="0.2">
      <c r="B69" s="168" t="s">
        <v>763</v>
      </c>
      <c r="E69" s="168">
        <f t="shared" ref="E69:T69" si="163">E70*1000</f>
        <v>14.000000000000004</v>
      </c>
      <c r="F69" s="168">
        <f t="shared" si="163"/>
        <v>15.400000000000002</v>
      </c>
      <c r="G69" s="168">
        <f t="shared" si="163"/>
        <v>11.500000000000002</v>
      </c>
      <c r="H69" s="168">
        <f t="shared" si="163"/>
        <v>6.75</v>
      </c>
      <c r="I69" s="168">
        <f t="shared" si="163"/>
        <v>14.2</v>
      </c>
      <c r="J69" s="168">
        <f t="shared" si="163"/>
        <v>21.2</v>
      </c>
      <c r="K69" s="168">
        <f t="shared" si="163"/>
        <v>16</v>
      </c>
      <c r="L69" s="168">
        <f t="shared" si="163"/>
        <v>13.624999999999998</v>
      </c>
      <c r="M69" s="168">
        <f t="shared" si="163"/>
        <v>11.166666666666666</v>
      </c>
      <c r="N69" s="168">
        <f t="shared" si="163"/>
        <v>12.500000000000002</v>
      </c>
      <c r="O69" s="168">
        <f t="shared" si="163"/>
        <v>15.416666666666668</v>
      </c>
      <c r="P69" s="168">
        <f t="shared" si="163"/>
        <v>14.833333333333337</v>
      </c>
      <c r="Q69" s="168">
        <f t="shared" si="163"/>
        <v>12.249999999999998</v>
      </c>
      <c r="R69" s="168">
        <f t="shared" si="163"/>
        <v>12.181818181818183</v>
      </c>
      <c r="S69" s="168">
        <f t="shared" si="163"/>
        <v>9.5735318333333339</v>
      </c>
      <c r="T69" s="168">
        <f t="shared" si="163"/>
        <v>13.555405714285715</v>
      </c>
      <c r="U69" s="168">
        <f t="shared" ref="U69:Z69" si="164">U70*1000</f>
        <v>12.664425636363635</v>
      </c>
      <c r="V69" s="168">
        <f t="shared" si="164"/>
        <v>16.308333333333337</v>
      </c>
      <c r="W69" s="168">
        <f t="shared" si="164"/>
        <v>12.83636363636364</v>
      </c>
      <c r="X69" s="168">
        <f t="shared" si="164"/>
        <v>15.316666666666668</v>
      </c>
      <c r="Y69" s="168">
        <f t="shared" si="164"/>
        <v>16.34</v>
      </c>
      <c r="Z69" s="168">
        <f t="shared" si="164"/>
        <v>17.083333333333332</v>
      </c>
      <c r="AA69" s="169">
        <f t="shared" ref="AA69:AA75" si="165">AVERAGE(E69:N69)</f>
        <v>13.634166666666669</v>
      </c>
      <c r="AH69" s="269">
        <f t="shared" ref="AH69:AH75" si="166">AVERAGE(O69:T69,U69:X69)</f>
        <v>13.493654500216451</v>
      </c>
      <c r="BJ69" s="226"/>
    </row>
    <row r="70" spans="2:63" s="168" customFormat="1" x14ac:dyDescent="0.2">
      <c r="B70" s="168" t="s">
        <v>764</v>
      </c>
      <c r="E70" s="168">
        <v>1.4000000000000004E-2</v>
      </c>
      <c r="F70" s="168">
        <v>1.5400000000000002E-2</v>
      </c>
      <c r="G70" s="168">
        <v>1.1500000000000002E-2</v>
      </c>
      <c r="H70" s="168">
        <v>6.7499999999999999E-3</v>
      </c>
      <c r="I70" s="168">
        <v>1.4199999999999999E-2</v>
      </c>
      <c r="J70" s="168">
        <v>2.12E-2</v>
      </c>
      <c r="K70" s="168">
        <v>1.6E-2</v>
      </c>
      <c r="L70" s="168">
        <v>1.3624999999999998E-2</v>
      </c>
      <c r="M70" s="168">
        <v>1.1166666666666667E-2</v>
      </c>
      <c r="N70" s="168">
        <v>1.2500000000000002E-2</v>
      </c>
      <c r="O70" s="168">
        <v>1.5416666666666667E-2</v>
      </c>
      <c r="P70" s="168">
        <v>1.4833333333333337E-2</v>
      </c>
      <c r="Q70" s="168">
        <v>1.2249999999999999E-2</v>
      </c>
      <c r="R70" s="168">
        <v>1.2181818181818183E-2</v>
      </c>
      <c r="S70" s="168">
        <v>9.5735318333333343E-3</v>
      </c>
      <c r="T70" s="168">
        <v>1.3555405714285715E-2</v>
      </c>
      <c r="U70" s="168">
        <v>1.2664425636363635E-2</v>
      </c>
      <c r="V70" s="168">
        <v>1.6308333333333338E-2</v>
      </c>
      <c r="W70" s="168">
        <v>1.2836363636363639E-2</v>
      </c>
      <c r="X70" s="168">
        <v>1.5316666666666668E-2</v>
      </c>
      <c r="Y70" s="168">
        <v>1.634E-2</v>
      </c>
      <c r="Z70" s="168">
        <v>1.7083333333333332E-2</v>
      </c>
      <c r="AA70" s="169">
        <f t="shared" si="165"/>
        <v>1.3634166666666666E-2</v>
      </c>
      <c r="AC70" s="210">
        <f t="shared" ref="AC70:AC73" si="167">AVERAGE(E70:I70)</f>
        <v>1.2370000000000001E-2</v>
      </c>
      <c r="AD70" s="210">
        <f t="shared" ref="AD70:AD73" si="168">AVERAGE(E70:L70)</f>
        <v>1.4084375E-2</v>
      </c>
      <c r="AE70" s="210">
        <f t="shared" ref="AE70:AE73" si="169">AVERAGE(J70:N70)</f>
        <v>1.4898333333333333E-2</v>
      </c>
      <c r="AF70" s="210">
        <f t="shared" ref="AF70:AF73" si="170">AVERAGE(E70:N70)</f>
        <v>1.3634166666666666E-2</v>
      </c>
      <c r="AH70" s="169">
        <f t="shared" si="166"/>
        <v>1.3493654500216454E-2</v>
      </c>
      <c r="BI70" s="326"/>
    </row>
    <row r="71" spans="2:63" s="168" customFormat="1" x14ac:dyDescent="0.2">
      <c r="B71" s="168" t="s">
        <v>765</v>
      </c>
      <c r="E71" s="168">
        <v>1.0094999999999998</v>
      </c>
      <c r="F71" s="168">
        <v>1.0623333333333334</v>
      </c>
      <c r="G71" s="168">
        <v>0.99749999999999994</v>
      </c>
      <c r="H71" s="168">
        <v>0.89160000000000006</v>
      </c>
      <c r="I71" s="168">
        <v>0.7349</v>
      </c>
      <c r="J71" s="168">
        <v>0.74099999999999999</v>
      </c>
      <c r="K71" s="168">
        <v>0.77880000000000016</v>
      </c>
      <c r="L71" s="168">
        <v>0.85012500000000002</v>
      </c>
      <c r="M71" s="168">
        <v>0.82518181818181813</v>
      </c>
      <c r="N71" s="168">
        <v>0.87378571428571417</v>
      </c>
      <c r="O71" s="168">
        <v>0.82058333333333311</v>
      </c>
      <c r="P71" s="168">
        <v>0.88109090909090915</v>
      </c>
      <c r="Q71" s="168">
        <v>0.80983333333333352</v>
      </c>
      <c r="R71" s="168">
        <v>0.87699999999999989</v>
      </c>
      <c r="S71" s="168">
        <v>0.70967587799999998</v>
      </c>
      <c r="T71" s="168">
        <v>0.84831714371428568</v>
      </c>
      <c r="U71" s="168">
        <v>0.84808647090909095</v>
      </c>
      <c r="V71" s="168">
        <v>0.89973333333333327</v>
      </c>
      <c r="W71" s="168">
        <v>1.0535863636363638</v>
      </c>
      <c r="X71" s="168">
        <v>0.99155000000000004</v>
      </c>
      <c r="Y71" s="168">
        <v>0.96550000000000014</v>
      </c>
      <c r="Z71" s="168">
        <v>0.91888333333333316</v>
      </c>
      <c r="AA71" s="169">
        <f t="shared" si="165"/>
        <v>0.87647258658008664</v>
      </c>
      <c r="AC71" s="210">
        <f t="shared" si="167"/>
        <v>0.93916666666666659</v>
      </c>
      <c r="AD71" s="210">
        <f t="shared" si="168"/>
        <v>0.88321979166666664</v>
      </c>
      <c r="AE71" s="210">
        <f t="shared" si="169"/>
        <v>0.81377850649350647</v>
      </c>
      <c r="AF71" s="210">
        <f t="shared" si="170"/>
        <v>0.87647258658008664</v>
      </c>
      <c r="AH71" s="169">
        <f t="shared" si="166"/>
        <v>0.87394567653506472</v>
      </c>
      <c r="BI71" s="326"/>
    </row>
    <row r="72" spans="2:63" s="168" customFormat="1" x14ac:dyDescent="0.2">
      <c r="B72" s="168" t="s">
        <v>629</v>
      </c>
      <c r="E72" s="173">
        <f t="shared" ref="E72:N72" si="171">E70*E55*10^6/1000</f>
        <v>1643.1958228596077</v>
      </c>
      <c r="F72" s="173">
        <f t="shared" si="171"/>
        <v>1712.4832713521564</v>
      </c>
      <c r="G72" s="173">
        <f t="shared" si="171"/>
        <v>1248.3929886712469</v>
      </c>
      <c r="H72" s="173">
        <f t="shared" si="171"/>
        <v>733.61069558930194</v>
      </c>
      <c r="I72" s="173">
        <f t="shared" si="171"/>
        <v>1647.4017609584439</v>
      </c>
      <c r="J72" s="173">
        <f t="shared" si="171"/>
        <v>2543.5087081459033</v>
      </c>
      <c r="K72" s="173">
        <f t="shared" si="171"/>
        <v>1824.3323259225022</v>
      </c>
      <c r="L72" s="173">
        <f t="shared" si="171"/>
        <v>1634.6851530720501</v>
      </c>
      <c r="M72" s="173">
        <f t="shared" si="171"/>
        <v>1331.4366996545837</v>
      </c>
      <c r="N72" s="173">
        <f t="shared" si="171"/>
        <v>1318.7163405314461</v>
      </c>
      <c r="O72" s="173">
        <f t="shared" ref="O72:T72" si="172">O70*O55*10^6/1000</f>
        <v>1537.2816215286882</v>
      </c>
      <c r="P72" s="173">
        <f t="shared" si="172"/>
        <v>1505.9988936119078</v>
      </c>
      <c r="Q72" s="173">
        <f t="shared" si="172"/>
        <v>1374.8095101345948</v>
      </c>
      <c r="R72" s="173">
        <f t="shared" si="172"/>
        <v>1382.1231017812102</v>
      </c>
      <c r="S72" s="173">
        <f t="shared" si="172"/>
        <v>1165.0781672569633</v>
      </c>
      <c r="T72" s="173">
        <f t="shared" si="172"/>
        <v>1585.3378989485184</v>
      </c>
      <c r="U72" s="173">
        <f>U70*U55*10^6/1000</f>
        <v>1346.9451332354029</v>
      </c>
      <c r="V72" s="173">
        <f>V70*V55*10^6/1000</f>
        <v>1705.3735300964304</v>
      </c>
      <c r="W72" s="173">
        <f>W70*W55*10^6/1000</f>
        <v>1293.8817976688308</v>
      </c>
      <c r="X72" s="173">
        <f>X70*X55*10^6/1000</f>
        <v>1593.2750644278026</v>
      </c>
      <c r="Y72" s="173">
        <f>Y70*Y55*10^6/1000</f>
        <v>1575.610911545162</v>
      </c>
      <c r="Z72" s="173"/>
      <c r="AA72" s="169">
        <f t="shared" si="165"/>
        <v>1563.7763766757241</v>
      </c>
      <c r="AC72" s="210">
        <f t="shared" si="167"/>
        <v>1397.0169078861513</v>
      </c>
      <c r="AD72" s="210">
        <f t="shared" si="168"/>
        <v>1623.4513408214016</v>
      </c>
      <c r="AE72" s="210">
        <f t="shared" si="169"/>
        <v>1730.5358454652971</v>
      </c>
      <c r="AF72" s="210">
        <f t="shared" si="170"/>
        <v>1563.7763766757241</v>
      </c>
      <c r="AH72" s="269">
        <f t="shared" si="166"/>
        <v>1449.010471869035</v>
      </c>
      <c r="BI72" s="326"/>
    </row>
    <row r="73" spans="2:63" s="168" customFormat="1" x14ac:dyDescent="0.2">
      <c r="B73" s="168" t="s">
        <v>630</v>
      </c>
      <c r="E73" s="173">
        <f t="shared" ref="E73:N73" si="173">E71*E55*10^6/1000</f>
        <v>118486.1559411981</v>
      </c>
      <c r="F73" s="173">
        <f t="shared" si="173"/>
        <v>118131.69233331866</v>
      </c>
      <c r="G73" s="173">
        <f t="shared" si="173"/>
        <v>108284.52227822335</v>
      </c>
      <c r="H73" s="173">
        <f t="shared" si="173"/>
        <v>96901.821657395805</v>
      </c>
      <c r="I73" s="173">
        <f t="shared" si="173"/>
        <v>85258.841840025387</v>
      </c>
      <c r="J73" s="173">
        <f t="shared" si="173"/>
        <v>88902.827959250673</v>
      </c>
      <c r="K73" s="173">
        <f t="shared" si="173"/>
        <v>88799.375964277817</v>
      </c>
      <c r="L73" s="173">
        <f t="shared" si="173"/>
        <v>101995.35528479829</v>
      </c>
      <c r="M73" s="173">
        <f t="shared" si="173"/>
        <v>98389.017010295691</v>
      </c>
      <c r="N73" s="173">
        <f t="shared" si="173"/>
        <v>92182.039964120981</v>
      </c>
      <c r="O73" s="173">
        <f t="shared" ref="O73:T73" si="174">O71*O55*10^6/1000</f>
        <v>81824.930417259398</v>
      </c>
      <c r="P73" s="173">
        <f t="shared" si="174"/>
        <v>89455.411298590028</v>
      </c>
      <c r="Q73" s="173">
        <f t="shared" si="174"/>
        <v>90887.066799238077</v>
      </c>
      <c r="R73" s="173">
        <f t="shared" si="174"/>
        <v>99502.54897674128</v>
      </c>
      <c r="S73" s="173">
        <f t="shared" si="174"/>
        <v>86366.023081246647</v>
      </c>
      <c r="T73" s="173">
        <f t="shared" si="174"/>
        <v>99212.767703491787</v>
      </c>
      <c r="U73" s="173">
        <f>U71*U55*10^6/1000</f>
        <v>90199.5856230387</v>
      </c>
      <c r="V73" s="173">
        <f>V71*V55*10^6/1000</f>
        <v>94085.727796347128</v>
      </c>
      <c r="W73" s="173">
        <f>W71*W55*10^6/1000</f>
        <v>106199.56373932744</v>
      </c>
      <c r="X73" s="173">
        <f>X71*X55*10^6/1000</f>
        <v>103143.32253319179</v>
      </c>
      <c r="Y73" s="173">
        <f>Y71*Y55*10^6/1000</f>
        <v>93099.898108742622</v>
      </c>
      <c r="Z73" s="173"/>
      <c r="AA73" s="169">
        <f t="shared" si="165"/>
        <v>99733.165023290465</v>
      </c>
      <c r="AC73" s="210">
        <f t="shared" si="167"/>
        <v>105412.60681003224</v>
      </c>
      <c r="AD73" s="210">
        <f t="shared" si="168"/>
        <v>100845.074157311</v>
      </c>
      <c r="AE73" s="210">
        <f t="shared" si="169"/>
        <v>94053.723236548685</v>
      </c>
      <c r="AF73" s="210">
        <f t="shared" si="170"/>
        <v>99733.165023290465</v>
      </c>
      <c r="AH73" s="269">
        <f t="shared" si="166"/>
        <v>94087.694796847223</v>
      </c>
      <c r="BI73" s="326"/>
    </row>
    <row r="74" spans="2:63" s="168" customFormat="1" x14ac:dyDescent="0.2">
      <c r="B74" s="168" t="s">
        <v>843</v>
      </c>
      <c r="E74" s="322">
        <v>12.426833333333333</v>
      </c>
      <c r="F74" s="322">
        <v>10.507899999999999</v>
      </c>
      <c r="G74" s="322">
        <v>7.8278750000000006</v>
      </c>
      <c r="H74" s="322">
        <v>9.66</v>
      </c>
      <c r="I74" s="322">
        <v>8.3870000000000005</v>
      </c>
      <c r="J74" s="322">
        <v>14.01</v>
      </c>
      <c r="K74" s="322">
        <v>12.316666666666668</v>
      </c>
      <c r="L74" s="322">
        <v>15.38</v>
      </c>
      <c r="M74" s="306">
        <v>10.722222222222221</v>
      </c>
      <c r="N74" s="306">
        <v>13.083333333333334</v>
      </c>
      <c r="O74" s="306">
        <v>11.777777777777779</v>
      </c>
      <c r="P74" s="306">
        <v>11.527777777777777</v>
      </c>
      <c r="Q74" s="306">
        <v>12.166666666666664</v>
      </c>
      <c r="R74" s="301">
        <v>10.948499999999999</v>
      </c>
      <c r="S74" s="301">
        <v>9.6175003964166663</v>
      </c>
      <c r="T74" s="305">
        <v>10.51097594967143</v>
      </c>
      <c r="U74" s="305">
        <v>10.126673078750001</v>
      </c>
      <c r="V74" s="305">
        <v>13.125293288659094</v>
      </c>
      <c r="W74" s="305">
        <v>14.388524827312226</v>
      </c>
      <c r="X74" s="305">
        <v>16.54424914618598</v>
      </c>
      <c r="Y74" s="305">
        <v>15.120571707709772</v>
      </c>
      <c r="Z74" s="305">
        <v>11.28778900459085</v>
      </c>
      <c r="AA74" s="169">
        <f t="shared" si="165"/>
        <v>11.432183055555553</v>
      </c>
      <c r="AC74" s="173"/>
      <c r="AD74" s="173"/>
      <c r="AE74" s="173"/>
      <c r="AF74" s="173"/>
      <c r="AH74" s="269">
        <f t="shared" si="166"/>
        <v>12.073393890921761</v>
      </c>
      <c r="BI74" s="326"/>
    </row>
    <row r="75" spans="2:63" s="168" customFormat="1" x14ac:dyDescent="0.2">
      <c r="B75" s="168" t="s">
        <v>766</v>
      </c>
      <c r="E75" s="301">
        <v>1.3791666666666667</v>
      </c>
      <c r="F75" s="301">
        <v>1.5375000000000001</v>
      </c>
      <c r="G75" s="301">
        <v>1.95</v>
      </c>
      <c r="H75" s="301">
        <v>1.6666666666666667</v>
      </c>
      <c r="I75" s="301">
        <v>2.08</v>
      </c>
      <c r="J75" s="301">
        <v>1.6900000000000002</v>
      </c>
      <c r="K75" s="301">
        <v>1.4833333333333334</v>
      </c>
      <c r="L75" s="301">
        <v>1.59375</v>
      </c>
      <c r="M75" s="301">
        <v>1.4454545454545455</v>
      </c>
      <c r="N75" s="301">
        <v>1.4613333333333336</v>
      </c>
      <c r="O75" s="301">
        <v>1.4458333333333335</v>
      </c>
      <c r="P75" s="301">
        <v>1.2833333333333332</v>
      </c>
      <c r="Q75" s="301">
        <v>1.2583333333333331</v>
      </c>
      <c r="R75" s="301">
        <v>1.3318181818181818</v>
      </c>
      <c r="S75" s="301">
        <v>1.4833333333333334</v>
      </c>
      <c r="T75" s="305">
        <v>1.7</v>
      </c>
      <c r="U75" s="305">
        <v>1.5083333333333335</v>
      </c>
      <c r="V75" s="305">
        <v>1.3041666666666669</v>
      </c>
      <c r="W75" s="305">
        <v>1.2954545454545454</v>
      </c>
      <c r="X75" s="301">
        <v>1.3333333333333333</v>
      </c>
      <c r="Y75" s="301">
        <v>1.3199999999999998</v>
      </c>
      <c r="Z75" s="301">
        <v>0.99</v>
      </c>
      <c r="AA75" s="169">
        <f t="shared" si="165"/>
        <v>1.6287204545454543</v>
      </c>
      <c r="AC75" s="173"/>
      <c r="AD75" s="173"/>
      <c r="AE75" s="173"/>
      <c r="AF75" s="173"/>
      <c r="AH75" s="269">
        <f t="shared" si="166"/>
        <v>1.3943939393939393</v>
      </c>
      <c r="BI75" s="326"/>
    </row>
    <row r="76" spans="2:63" s="2" customFormat="1" x14ac:dyDescent="0.2">
      <c r="B76" s="2" t="s">
        <v>619</v>
      </c>
      <c r="AA76" s="170"/>
      <c r="AC76" s="154"/>
      <c r="AD76" s="154"/>
      <c r="AE76" s="154"/>
      <c r="AF76" s="154"/>
      <c r="AH76" s="154"/>
      <c r="AI76" s="154"/>
      <c r="BI76" s="11"/>
    </row>
    <row r="77" spans="2:63" s="2" customFormat="1" x14ac:dyDescent="0.2">
      <c r="B77" s="2" t="s">
        <v>620</v>
      </c>
      <c r="AA77" s="170"/>
      <c r="AC77" s="154"/>
      <c r="AD77" s="154"/>
      <c r="AE77" s="154"/>
      <c r="AF77" s="154"/>
      <c r="AH77" s="154"/>
      <c r="AI77" s="154"/>
      <c r="BI77" s="11"/>
    </row>
    <row r="78" spans="2:63" s="2" customFormat="1" x14ac:dyDescent="0.2">
      <c r="B78" s="2" t="s">
        <v>621</v>
      </c>
      <c r="AA78" s="170"/>
      <c r="AC78" s="154"/>
      <c r="AD78" s="154"/>
      <c r="AE78" s="154"/>
      <c r="AF78" s="154"/>
      <c r="AH78" s="154"/>
      <c r="AI78" s="154"/>
      <c r="BI78" s="11"/>
    </row>
    <row r="79" spans="2:63" s="2" customFormat="1" x14ac:dyDescent="0.2">
      <c r="B79" s="2" t="s">
        <v>622</v>
      </c>
      <c r="AA79" s="170"/>
      <c r="AC79" s="154"/>
      <c r="AD79" s="154"/>
      <c r="AE79" s="154"/>
      <c r="AF79" s="154"/>
      <c r="AH79" s="154"/>
      <c r="AI79" s="154"/>
      <c r="BI79" s="11"/>
    </row>
    <row r="80" spans="2:63" x14ac:dyDescent="0.2">
      <c r="B80" s="155" t="s">
        <v>601</v>
      </c>
      <c r="C80" s="155"/>
      <c r="AA80" s="170"/>
    </row>
    <row r="81" spans="2:63" x14ac:dyDescent="0.2">
      <c r="B81" s="155" t="s">
        <v>433</v>
      </c>
      <c r="C81" s="155"/>
      <c r="AA81" s="170">
        <v>0.18165578201267266</v>
      </c>
      <c r="AC81">
        <v>0.17610824673607742</v>
      </c>
      <c r="AD81">
        <v>0.18093258415779431</v>
      </c>
      <c r="AE81">
        <v>0.18729354586145652</v>
      </c>
      <c r="AF81">
        <v>0.18172124535985951</v>
      </c>
      <c r="AH81" s="154">
        <v>0.29526652473259135</v>
      </c>
      <c r="BJ81">
        <v>0.12178895991536991</v>
      </c>
    </row>
    <row r="82" spans="2:63" x14ac:dyDescent="0.2">
      <c r="B82" s="155" t="s">
        <v>434</v>
      </c>
      <c r="C82" s="155"/>
      <c r="AA82" s="170">
        <v>3.4285606495345755</v>
      </c>
      <c r="AC82">
        <v>3.6918467637729742</v>
      </c>
      <c r="AD82">
        <v>3.4329464530046767</v>
      </c>
      <c r="AE82">
        <v>3.1696456859248978</v>
      </c>
      <c r="AF82">
        <v>3.4297962009366003</v>
      </c>
      <c r="AH82" s="154">
        <v>6.272915059761262</v>
      </c>
    </row>
    <row r="83" spans="2:63" s="168" customFormat="1" x14ac:dyDescent="0.2">
      <c r="B83" s="171" t="s">
        <v>623</v>
      </c>
      <c r="C83" s="171"/>
      <c r="AA83" s="169">
        <v>4.3347466500297145E-3</v>
      </c>
      <c r="AC83" s="168">
        <v>4.3367857010178914E-3</v>
      </c>
      <c r="AD83" s="168">
        <v>4.3014721671769283E-3</v>
      </c>
      <c r="AE83" s="168">
        <v>4.330217057344125E-3</v>
      </c>
      <c r="AF83" s="168">
        <v>4.3344924598324851E-3</v>
      </c>
      <c r="AH83" s="168">
        <v>4.6749801931674261E-3</v>
      </c>
      <c r="BI83" s="326"/>
      <c r="BJ83" s="168">
        <v>3.3957626170106193E-3</v>
      </c>
      <c r="BK83" s="228">
        <f>BJ83/AF145</f>
        <v>1.068138747726608E-2</v>
      </c>
    </row>
    <row r="84" spans="2:63" s="168" customFormat="1" x14ac:dyDescent="0.2">
      <c r="B84" s="171" t="s">
        <v>581</v>
      </c>
      <c r="C84" s="171"/>
      <c r="AA84" s="169">
        <v>3.9917535449073829E-3</v>
      </c>
      <c r="AC84">
        <v>3.9936312530337035E-3</v>
      </c>
      <c r="AD84">
        <v>3.9611119536896678E-3</v>
      </c>
      <c r="AE84">
        <v>3.9875823628016038E-3</v>
      </c>
      <c r="AF84">
        <v>3.9915194678775603E-3</v>
      </c>
      <c r="AH84" s="168">
        <v>4.3050656163076909E-3</v>
      </c>
      <c r="BI84" s="326"/>
      <c r="BJ84" s="2">
        <v>3.127067983090359E-3</v>
      </c>
    </row>
    <row r="85" spans="2:63" x14ac:dyDescent="0.2">
      <c r="B85" s="155" t="s">
        <v>429</v>
      </c>
      <c r="C85" s="155"/>
      <c r="E85" s="2"/>
      <c r="L85" s="2"/>
      <c r="AA85" s="170">
        <v>2.5832338304750432E-3</v>
      </c>
      <c r="AC85">
        <v>2.5844489754235224E-3</v>
      </c>
      <c r="AD85">
        <v>2.5634043509837122E-3</v>
      </c>
      <c r="AE85">
        <v>2.5805344807763456E-3</v>
      </c>
      <c r="AF85">
        <v>2.5830823492536768E-3</v>
      </c>
      <c r="AH85" s="154">
        <v>2.7859914239066453E-3</v>
      </c>
      <c r="BJ85" s="2">
        <v>2.0236589542007408E-3</v>
      </c>
    </row>
    <row r="86" spans="2:63" x14ac:dyDescent="0.2">
      <c r="B86" s="155" t="s">
        <v>431</v>
      </c>
      <c r="C86" s="155"/>
      <c r="E86" s="2"/>
      <c r="L86" s="2"/>
      <c r="AA86" s="170">
        <v>6.1682748868113349E-3</v>
      </c>
      <c r="AC86">
        <v>6.1711764236296899E-3</v>
      </c>
      <c r="AD86">
        <v>6.1209258319476403E-3</v>
      </c>
      <c r="AE86">
        <v>6.1618293491442567E-3</v>
      </c>
      <c r="AF86">
        <v>6.1679131782418082E-3</v>
      </c>
      <c r="AH86" s="154">
        <v>6.6524217561036375E-3</v>
      </c>
      <c r="BJ86" s="2">
        <v>4.8321156836088116E-3</v>
      </c>
    </row>
    <row r="87" spans="2:63" s="2" customFormat="1" x14ac:dyDescent="0.2">
      <c r="B87" s="171" t="s">
        <v>582</v>
      </c>
      <c r="C87" s="171"/>
      <c r="AA87" s="170">
        <v>0.55130515421164916</v>
      </c>
      <c r="AC87">
        <v>0.59080293398382189</v>
      </c>
      <c r="AD87">
        <v>0.54956925602280449</v>
      </c>
      <c r="AE87">
        <v>0.51281577296992586</v>
      </c>
      <c r="AF87">
        <v>0.55143083063828158</v>
      </c>
      <c r="AH87" s="154">
        <v>0.87225570188134416</v>
      </c>
      <c r="AI87" s="154"/>
      <c r="BI87" s="11"/>
    </row>
    <row r="88" spans="2:63" s="2" customFormat="1" x14ac:dyDescent="0.2">
      <c r="B88" s="171" t="s">
        <v>583</v>
      </c>
      <c r="C88" s="171"/>
      <c r="E88"/>
      <c r="I88"/>
      <c r="L88"/>
      <c r="AA88" s="170">
        <v>0.52764413979209912</v>
      </c>
      <c r="AC88">
        <v>0.56541093453396551</v>
      </c>
      <c r="AD88">
        <v>0.52598172515392838</v>
      </c>
      <c r="AE88">
        <v>0.49083968230178626</v>
      </c>
      <c r="AF88">
        <v>0.52776424861147209</v>
      </c>
      <c r="AH88" s="154">
        <v>0.83436254720802472</v>
      </c>
      <c r="AI88" s="154"/>
      <c r="BI88" s="11"/>
    </row>
    <row r="89" spans="2:63" x14ac:dyDescent="0.2">
      <c r="B89" s="155" t="s">
        <v>429</v>
      </c>
      <c r="C89" s="155"/>
      <c r="AA89" s="170">
        <v>0.38560363484181226</v>
      </c>
      <c r="AC89">
        <v>0.41320370130806056</v>
      </c>
      <c r="AD89">
        <v>0.38438873813634439</v>
      </c>
      <c r="AE89">
        <v>0.35870684680539539</v>
      </c>
      <c r="AF89">
        <v>0.38569141066235874</v>
      </c>
      <c r="AH89" s="154">
        <v>0.60975420120472856</v>
      </c>
    </row>
    <row r="90" spans="2:63" x14ac:dyDescent="0.2">
      <c r="B90" s="155" t="s">
        <v>431</v>
      </c>
      <c r="C90" s="155"/>
      <c r="AA90" s="170">
        <v>0.72200651939174998</v>
      </c>
      <c r="AC90">
        <v>0.77368504657278081</v>
      </c>
      <c r="AD90" s="354">
        <v>0.71973173963741699</v>
      </c>
      <c r="AE90">
        <v>0.67164481488925587</v>
      </c>
      <c r="AF90">
        <v>0.72217087135566627</v>
      </c>
      <c r="AH90" s="154">
        <v>1.1417073614384547</v>
      </c>
    </row>
    <row r="91" spans="2:63" x14ac:dyDescent="0.2">
      <c r="B91" s="155" t="s">
        <v>584</v>
      </c>
      <c r="C91" s="155"/>
      <c r="J91" s="2"/>
      <c r="AA91">
        <v>3.2926399158146427</v>
      </c>
      <c r="AC91">
        <v>3.5187934356012436</v>
      </c>
      <c r="AD91">
        <v>3.275152339403872</v>
      </c>
      <c r="AE91">
        <v>3.071127784542655</v>
      </c>
      <c r="AF91">
        <v>3.2933012379660629</v>
      </c>
      <c r="AH91" s="154">
        <v>5.2268426903727203</v>
      </c>
    </row>
    <row r="92" spans="2:63" x14ac:dyDescent="0.2">
      <c r="B92" s="155" t="s">
        <v>585</v>
      </c>
      <c r="C92" s="155"/>
      <c r="M92" s="170"/>
      <c r="AA92" s="170">
        <v>2.9438267290508899</v>
      </c>
      <c r="AC92">
        <v>3.1458312862303424</v>
      </c>
      <c r="AD92">
        <v>2.9281863087358824</v>
      </c>
      <c r="AE92">
        <v>2.7459580018170944</v>
      </c>
      <c r="AF92">
        <v>2.9444170636269553</v>
      </c>
      <c r="AH92" s="154">
        <v>4.6706718126440814</v>
      </c>
    </row>
    <row r="93" spans="2:63" x14ac:dyDescent="0.2">
      <c r="B93" s="155" t="s">
        <v>429</v>
      </c>
      <c r="C93" s="155"/>
      <c r="AA93" s="170">
        <v>1.7758743897934215</v>
      </c>
      <c r="AC93">
        <v>1.8977343879299997</v>
      </c>
      <c r="AD93">
        <v>1.7664392482448625</v>
      </c>
      <c r="AE93">
        <v>1.6565093464069147</v>
      </c>
      <c r="AF93">
        <v>1.7762305113153503</v>
      </c>
      <c r="AH93" s="154">
        <v>2.8176000894858557</v>
      </c>
    </row>
    <row r="94" spans="2:63" x14ac:dyDescent="0.2">
      <c r="B94" s="155" t="s">
        <v>431</v>
      </c>
      <c r="C94" s="155"/>
      <c r="AA94" s="170">
        <v>4.8799148523576301</v>
      </c>
      <c r="AC94">
        <v>5.2147732287342023</v>
      </c>
      <c r="AD94">
        <v>4.853988082062652</v>
      </c>
      <c r="AE94">
        <v>4.5519123475510348</v>
      </c>
      <c r="AF94">
        <v>4.8808934366055325</v>
      </c>
      <c r="AH94" s="154">
        <v>7.742466811678975</v>
      </c>
    </row>
    <row r="95" spans="2:63" x14ac:dyDescent="0.2">
      <c r="B95" s="155" t="s">
        <v>586</v>
      </c>
      <c r="C95" s="155"/>
      <c r="J95" s="2"/>
      <c r="AA95" s="170">
        <v>2.1937977248425655</v>
      </c>
      <c r="AC95">
        <v>2.10038722835499</v>
      </c>
      <c r="AD95">
        <v>2.2005254569217954</v>
      </c>
      <c r="AE95">
        <v>2.2952874684303977</v>
      </c>
      <c r="AF95">
        <v>2.1935197175881846</v>
      </c>
      <c r="AH95" s="154">
        <v>1.6685563604343936</v>
      </c>
    </row>
    <row r="96" spans="2:63" x14ac:dyDescent="0.2">
      <c r="B96" s="155" t="s">
        <v>587</v>
      </c>
      <c r="C96" s="155"/>
      <c r="E96" s="2"/>
      <c r="M96" s="170"/>
      <c r="AA96" s="170">
        <v>2.0429009052859128</v>
      </c>
      <c r="AC96">
        <v>1.9559843770834078</v>
      </c>
      <c r="AD96" s="354">
        <v>2.0491680864161288</v>
      </c>
      <c r="AE96">
        <v>2.1373298705713237</v>
      </c>
      <c r="AF96">
        <v>2.0426423943220797</v>
      </c>
      <c r="AH96" s="154">
        <v>1.5542610855898131</v>
      </c>
    </row>
    <row r="97" spans="2:63" x14ac:dyDescent="0.2">
      <c r="B97" s="155" t="s">
        <v>429</v>
      </c>
      <c r="C97" s="155"/>
      <c r="E97" s="2"/>
      <c r="AA97" s="170">
        <v>3.1816126218450074</v>
      </c>
      <c r="AC97">
        <v>3.0462488739213969</v>
      </c>
      <c r="AD97" s="354">
        <v>3.1913731259084646</v>
      </c>
      <c r="AE97">
        <v>3.3286762346920438</v>
      </c>
      <c r="AF97">
        <v>3.1812100170278628</v>
      </c>
      <c r="AH97" s="154">
        <v>2.4206052651697223</v>
      </c>
    </row>
    <row r="98" spans="2:63" x14ac:dyDescent="0.2">
      <c r="B98" s="155" t="s">
        <v>431</v>
      </c>
      <c r="C98" s="155"/>
      <c r="E98" s="2"/>
      <c r="AA98" s="170">
        <v>1.4094422984870807</v>
      </c>
      <c r="AC98">
        <v>1.3494766726609415</v>
      </c>
      <c r="AD98" s="354">
        <v>1.4137661646884958</v>
      </c>
      <c r="AE98">
        <v>1.4745909200042853</v>
      </c>
      <c r="AF98">
        <v>1.4092639460833463</v>
      </c>
      <c r="AH98" s="154">
        <v>1.0723189319925146</v>
      </c>
    </row>
    <row r="99" spans="2:63" s="2" customFormat="1" x14ac:dyDescent="0.2">
      <c r="B99" s="155" t="s">
        <v>588</v>
      </c>
      <c r="C99" s="155"/>
      <c r="AA99" s="170">
        <v>26.54484607839137</v>
      </c>
      <c r="AC99">
        <v>27.234240756081149</v>
      </c>
      <c r="AD99">
        <v>26.44196041889164</v>
      </c>
      <c r="AE99">
        <v>25.818642034378989</v>
      </c>
      <c r="AF99">
        <v>26.546557272031094</v>
      </c>
      <c r="AH99" s="154">
        <v>31.789632458212797</v>
      </c>
      <c r="AI99" s="154"/>
      <c r="BI99" s="11"/>
    </row>
    <row r="100" spans="2:63" x14ac:dyDescent="0.2">
      <c r="B100" s="155" t="s">
        <v>589</v>
      </c>
      <c r="C100" s="155"/>
      <c r="E100" s="2"/>
      <c r="M100" s="170"/>
      <c r="AA100" s="170">
        <v>25.343946077793134</v>
      </c>
      <c r="AC100">
        <v>26.032713726174212</v>
      </c>
      <c r="AD100">
        <v>25.241041256778345</v>
      </c>
      <c r="AE100">
        <v>24.618408245686574</v>
      </c>
      <c r="AF100">
        <v>25.345654011159652</v>
      </c>
      <c r="AH100" s="154">
        <v>30.583305234941722</v>
      </c>
    </row>
    <row r="101" spans="2:63" x14ac:dyDescent="0.2">
      <c r="B101" s="155" t="s">
        <v>429</v>
      </c>
      <c r="C101" s="155"/>
      <c r="E101" s="2"/>
      <c r="AA101" s="170">
        <v>18.191932572146186</v>
      </c>
      <c r="AC101">
        <v>18.880700220527267</v>
      </c>
      <c r="AD101">
        <v>18.0890277511314</v>
      </c>
      <c r="AE101">
        <v>17.466394740039625</v>
      </c>
      <c r="AF101">
        <v>18.193640505512708</v>
      </c>
      <c r="AH101" s="154">
        <v>23.43129172929477</v>
      </c>
    </row>
    <row r="102" spans="2:63" x14ac:dyDescent="0.2">
      <c r="B102" s="155" t="s">
        <v>431</v>
      </c>
      <c r="C102" s="155"/>
      <c r="E102" s="2"/>
      <c r="AA102" s="170">
        <v>32.495959583440083</v>
      </c>
      <c r="AC102">
        <v>33.184727231821157</v>
      </c>
      <c r="AD102">
        <v>32.393054762425294</v>
      </c>
      <c r="AE102">
        <v>31.770421751333522</v>
      </c>
      <c r="AF102">
        <v>32.497667516806601</v>
      </c>
      <c r="AH102" s="154">
        <v>37.735318740588667</v>
      </c>
    </row>
    <row r="103" spans="2:63" x14ac:dyDescent="0.2">
      <c r="B103" s="162" t="s">
        <v>596</v>
      </c>
      <c r="C103" s="162"/>
      <c r="AA103" s="170">
        <v>2.5325469628659936</v>
      </c>
      <c r="AC103">
        <v>2.4791015636802189</v>
      </c>
      <c r="AD103">
        <v>2.5342040026568307</v>
      </c>
      <c r="AE103">
        <v>2.586079628114184</v>
      </c>
      <c r="AF103">
        <v>2.5327203419538926</v>
      </c>
      <c r="AH103" s="154">
        <v>2.7503129579930841</v>
      </c>
      <c r="BJ103">
        <v>2.158082909017236</v>
      </c>
    </row>
    <row r="104" spans="2:63" x14ac:dyDescent="0.2">
      <c r="B104" s="162" t="s">
        <v>597</v>
      </c>
      <c r="C104" s="162"/>
      <c r="AA104" s="170">
        <v>0.31864336573628371</v>
      </c>
      <c r="AC104">
        <v>0.32397037278303603</v>
      </c>
      <c r="AD104">
        <v>0.31931682585375798</v>
      </c>
      <c r="AE104">
        <v>0.31273676654009425</v>
      </c>
      <c r="AF104">
        <v>0.31857873487142629</v>
      </c>
      <c r="AH104" s="154">
        <v>0.27018155191623322</v>
      </c>
    </row>
    <row r="105" spans="2:63" s="2" customFormat="1" x14ac:dyDescent="0.2">
      <c r="B105" s="156" t="s">
        <v>598</v>
      </c>
      <c r="C105" s="156"/>
      <c r="AA105" s="170">
        <v>0.48145412326718767</v>
      </c>
      <c r="AC105" s="154">
        <v>0.47700460199796163</v>
      </c>
      <c r="AD105" s="154">
        <v>0.47986212615338825</v>
      </c>
      <c r="AE105" s="154">
        <v>0.48571154179392245</v>
      </c>
      <c r="AF105" s="154">
        <v>0.48145412326718767</v>
      </c>
      <c r="AH105" s="154">
        <v>0.5158369775713405</v>
      </c>
      <c r="AI105" s="154"/>
      <c r="BI105" s="11"/>
      <c r="BJ105" s="2">
        <v>0.4008256688114179</v>
      </c>
    </row>
    <row r="106" spans="2:63" s="168" customFormat="1" x14ac:dyDescent="0.2">
      <c r="B106" s="171" t="s">
        <v>624</v>
      </c>
      <c r="C106" s="171"/>
      <c r="AA106" s="169">
        <v>1.9943295051381787E-2</v>
      </c>
      <c r="AC106" s="168">
        <v>1.9681309833761443E-2</v>
      </c>
      <c r="AD106" s="168">
        <v>1.9864924246503102E-2</v>
      </c>
      <c r="AE106" s="168">
        <v>2.0196540857821445E-2</v>
      </c>
      <c r="AF106" s="168">
        <v>1.9944083544301026E-2</v>
      </c>
      <c r="AH106" s="168">
        <v>2.2459700936455738E-2</v>
      </c>
      <c r="BI106" s="326"/>
      <c r="BJ106" s="168">
        <v>1.5708525666388133E-2</v>
      </c>
      <c r="BK106" s="228">
        <f>BJ106/AF146</f>
        <v>1.0738656230927502E-2</v>
      </c>
    </row>
    <row r="107" spans="2:63" x14ac:dyDescent="0.2">
      <c r="B107" s="61" t="s">
        <v>600</v>
      </c>
      <c r="C107" s="61"/>
      <c r="AA107" s="170">
        <v>0.84859170775212289</v>
      </c>
      <c r="AC107">
        <v>0.84787993013112539</v>
      </c>
      <c r="AD107">
        <v>0.84879676271174853</v>
      </c>
      <c r="AE107">
        <v>0.84933414753448933</v>
      </c>
      <c r="AF107">
        <v>0.84861517701708677</v>
      </c>
      <c r="AH107" s="154">
        <v>0.86918039138248737</v>
      </c>
      <c r="BJ107">
        <v>0.84861517701708677</v>
      </c>
    </row>
    <row r="108" spans="2:63" s="168" customFormat="1" x14ac:dyDescent="0.2">
      <c r="B108" s="171" t="s">
        <v>625</v>
      </c>
      <c r="C108" s="171"/>
      <c r="AA108" s="169">
        <v>2.7514103425093785E-2</v>
      </c>
      <c r="AC108" s="168">
        <v>2.6794874200420944E-2</v>
      </c>
      <c r="AD108" s="168">
        <v>2.7364905809466166E-2</v>
      </c>
      <c r="AE108" s="168">
        <v>2.8231154649666058E-2</v>
      </c>
      <c r="AF108" s="168">
        <v>2.7519752289588868E-2</v>
      </c>
      <c r="AH108" s="168">
        <v>3.8656602068134503E-2</v>
      </c>
      <c r="BI108" s="326"/>
      <c r="BJ108" s="168">
        <v>1.8443644285182657E-2</v>
      </c>
      <c r="BK108" s="228">
        <f>BJ108/AF147</f>
        <v>9.1375720783659457E-3</v>
      </c>
    </row>
    <row r="109" spans="2:63" x14ac:dyDescent="0.2">
      <c r="B109" s="154" t="s">
        <v>599</v>
      </c>
      <c r="C109" s="154"/>
      <c r="AA109" s="170">
        <v>0.48724371270145916</v>
      </c>
      <c r="AC109">
        <v>0.48990782182328496</v>
      </c>
      <c r="AD109">
        <v>0.48647700473214694</v>
      </c>
      <c r="AE109">
        <v>0.48446937949545282</v>
      </c>
      <c r="AF109">
        <v>0.48715594234363585</v>
      </c>
      <c r="AH109" s="154">
        <v>0.41198218914840751</v>
      </c>
      <c r="BJ109">
        <v>0.48715594234363585</v>
      </c>
    </row>
    <row r="110" spans="2:63" s="168" customFormat="1" x14ac:dyDescent="0.2">
      <c r="B110" s="168" t="s">
        <v>595</v>
      </c>
      <c r="AA110" s="169">
        <v>1.9732053780641523E-2</v>
      </c>
      <c r="AC110" s="168">
        <v>1.921950307217166E-2</v>
      </c>
      <c r="AD110" s="168">
        <v>1.9624099551584472E-2</v>
      </c>
      <c r="AE110" s="168">
        <v>2.0242729790993303E-2</v>
      </c>
      <c r="AF110" s="168">
        <v>1.9735994918864623E-2</v>
      </c>
      <c r="AH110" s="168">
        <v>2.7592784025021966E-2</v>
      </c>
      <c r="BI110" s="326"/>
      <c r="BJ110" s="168">
        <v>1.3226996597473714E-2</v>
      </c>
      <c r="BK110" s="228">
        <f>BJ110/AF148</f>
        <v>9.137572078365944E-3</v>
      </c>
    </row>
    <row r="111" spans="2:63" x14ac:dyDescent="0.2">
      <c r="B111" s="154" t="s">
        <v>631</v>
      </c>
      <c r="C111" s="154"/>
    </row>
    <row r="112" spans="2:63" x14ac:dyDescent="0.2">
      <c r="B112" s="154" t="s">
        <v>702</v>
      </c>
      <c r="C112" s="154"/>
    </row>
    <row r="113" spans="2:61" x14ac:dyDescent="0.2">
      <c r="B113" s="2" t="s">
        <v>668</v>
      </c>
      <c r="C113" s="2"/>
      <c r="E113" s="168"/>
      <c r="F113" s="168"/>
      <c r="G113" s="168"/>
      <c r="H113" s="168"/>
      <c r="I113" s="168"/>
      <c r="J113" s="168"/>
      <c r="K113" s="168"/>
      <c r="L113" s="168"/>
      <c r="M113" s="168"/>
      <c r="N113" s="168"/>
      <c r="O113" s="168"/>
      <c r="P113" s="168"/>
      <c r="Q113" s="168"/>
      <c r="R113" s="168"/>
      <c r="S113" s="168"/>
      <c r="T113" s="168"/>
      <c r="U113" s="168"/>
      <c r="V113" s="168"/>
      <c r="W113" s="168"/>
      <c r="X113" s="168"/>
      <c r="Y113" s="168"/>
      <c r="Z113" s="168"/>
      <c r="AA113" s="170"/>
      <c r="AC113" s="154"/>
      <c r="AD113" s="154"/>
      <c r="AE113" s="154"/>
      <c r="AF113" s="154"/>
    </row>
    <row r="114" spans="2:61" x14ac:dyDescent="0.2">
      <c r="B114" s="2" t="s">
        <v>669</v>
      </c>
      <c r="C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170"/>
      <c r="AC114" s="154"/>
      <c r="AD114" s="154"/>
      <c r="AE114" s="154"/>
      <c r="AF114" s="154"/>
    </row>
    <row r="115" spans="2:61" s="2" customFormat="1" x14ac:dyDescent="0.2">
      <c r="B115" s="154" t="s">
        <v>670</v>
      </c>
      <c r="C115" s="154"/>
      <c r="H115"/>
      <c r="AA115" s="170"/>
      <c r="AC115" s="154"/>
      <c r="AD115" s="154"/>
      <c r="AE115" s="154"/>
      <c r="AF115" s="154"/>
      <c r="AH115" s="154"/>
      <c r="AI115" s="154"/>
      <c r="BI115" s="11"/>
    </row>
    <row r="116" spans="2:61" x14ac:dyDescent="0.2">
      <c r="B116" s="2" t="s">
        <v>671</v>
      </c>
      <c r="C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170"/>
    </row>
    <row r="117" spans="2:61" x14ac:dyDescent="0.2">
      <c r="B117" s="2" t="s">
        <v>672</v>
      </c>
      <c r="C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170"/>
    </row>
    <row r="118" spans="2:61" x14ac:dyDescent="0.2">
      <c r="B118" s="2" t="s">
        <v>673</v>
      </c>
      <c r="C118" s="2"/>
    </row>
    <row r="119" spans="2:61" x14ac:dyDescent="0.2">
      <c r="B119" s="2" t="s">
        <v>674</v>
      </c>
      <c r="C119" s="2"/>
    </row>
    <row r="120" spans="2:61" x14ac:dyDescent="0.2">
      <c r="B120" s="154" t="s">
        <v>675</v>
      </c>
      <c r="C120" s="154"/>
      <c r="AA120" s="170"/>
    </row>
    <row r="121" spans="2:61" x14ac:dyDescent="0.2">
      <c r="B121" s="154" t="s">
        <v>676</v>
      </c>
      <c r="C121" s="154"/>
      <c r="AA121" s="170"/>
    </row>
    <row r="122" spans="2:61" x14ac:dyDescent="0.2">
      <c r="B122" s="154" t="s">
        <v>677</v>
      </c>
      <c r="C122" s="154"/>
      <c r="AA122" s="170"/>
    </row>
    <row r="123" spans="2:61" x14ac:dyDescent="0.2">
      <c r="B123" s="154" t="s">
        <v>678</v>
      </c>
      <c r="C123" s="154"/>
      <c r="AA123" s="170"/>
    </row>
    <row r="124" spans="2:61" x14ac:dyDescent="0.2">
      <c r="B124" s="154" t="s">
        <v>679</v>
      </c>
      <c r="C124" s="154"/>
      <c r="AA124" s="170"/>
    </row>
    <row r="125" spans="2:61" x14ac:dyDescent="0.2">
      <c r="B125" s="2" t="s">
        <v>632</v>
      </c>
      <c r="C125" s="2"/>
    </row>
    <row r="126" spans="2:61" x14ac:dyDescent="0.2">
      <c r="B126" s="154" t="s">
        <v>633</v>
      </c>
      <c r="C126" s="154"/>
      <c r="AA126" s="170"/>
    </row>
    <row r="127" spans="2:61" x14ac:dyDescent="0.2">
      <c r="B127" s="154"/>
      <c r="C127" s="154"/>
      <c r="AA127" s="170"/>
    </row>
    <row r="128" spans="2:61" x14ac:dyDescent="0.2">
      <c r="B128" s="168" t="s">
        <v>634</v>
      </c>
      <c r="C128" s="168"/>
      <c r="AA128" s="170"/>
    </row>
    <row r="129" spans="2:32" x14ac:dyDescent="0.2">
      <c r="B129" s="2" t="s">
        <v>680</v>
      </c>
      <c r="C129" s="2"/>
      <c r="AA129" s="170"/>
      <c r="AC129" s="355">
        <f t="shared" ref="AC129:AF129" si="175">ABS(AC65-AC$70)</f>
        <v>1.5994660870440477E-2</v>
      </c>
      <c r="AD129" s="355">
        <f>ABS(AD65-AD$70)</f>
        <v>1.4786156685595846E-2</v>
      </c>
      <c r="AE129" s="355">
        <f t="shared" si="175"/>
        <v>1.5275523817822736E-2</v>
      </c>
      <c r="AF129" s="355">
        <f t="shared" si="175"/>
        <v>1.5641528207800733E-2</v>
      </c>
    </row>
    <row r="130" spans="2:32" x14ac:dyDescent="0.2">
      <c r="B130" s="11" t="s">
        <v>681</v>
      </c>
      <c r="C130" s="11"/>
      <c r="AA130" s="170"/>
      <c r="AC130" s="154">
        <f t="shared" ref="AC130:AF130" si="176">ABS(AC67-AC$70)</f>
        <v>2.2269225054017704E-2</v>
      </c>
      <c r="AD130" s="154">
        <f>ABS(AD67-AD$70)</f>
        <v>2.1309701892810954E-2</v>
      </c>
      <c r="AE130" s="154">
        <f t="shared" si="176"/>
        <v>2.2453851879172183E-2</v>
      </c>
      <c r="AF130" s="154">
        <f t="shared" si="176"/>
        <v>2.2366587797703782E-2</v>
      </c>
    </row>
    <row r="131" spans="2:32" x14ac:dyDescent="0.2">
      <c r="B131" s="154" t="s">
        <v>635</v>
      </c>
      <c r="C131" s="154"/>
      <c r="AC131" s="154">
        <f t="shared" ref="AC131:AF131" si="177">ABS(AC83-AC$70)</f>
        <v>8.0332142989821102E-3</v>
      </c>
      <c r="AD131" s="154">
        <f>ABS(AD83-AD$70)</f>
        <v>9.7829028328230705E-3</v>
      </c>
      <c r="AE131" s="154">
        <f t="shared" si="177"/>
        <v>1.0568116275989208E-2</v>
      </c>
      <c r="AF131" s="154">
        <f t="shared" si="177"/>
        <v>9.2996742068341808E-3</v>
      </c>
    </row>
    <row r="132" spans="2:32" x14ac:dyDescent="0.2">
      <c r="B132" s="154" t="s">
        <v>636</v>
      </c>
      <c r="C132" s="154"/>
      <c r="AC132" s="154">
        <f t="shared" ref="AC132:AF132" si="178">ABS(AC106-AC$70)</f>
        <v>7.311309833761442E-3</v>
      </c>
      <c r="AD132" s="154">
        <f>ABS(AD106-AD$70)</f>
        <v>5.7805492465031021E-3</v>
      </c>
      <c r="AE132" s="168">
        <f t="shared" si="178"/>
        <v>5.2982075244881119E-3</v>
      </c>
      <c r="AF132" s="154">
        <f t="shared" si="178"/>
        <v>6.3099168776343598E-3</v>
      </c>
    </row>
    <row r="133" spans="2:32" x14ac:dyDescent="0.2">
      <c r="B133" s="154" t="s">
        <v>637</v>
      </c>
      <c r="C133" s="154"/>
      <c r="AC133" s="154">
        <f t="shared" ref="AC133:AF133" si="179">ABS(AC108-AC$70)</f>
        <v>1.4424874200420943E-2</v>
      </c>
      <c r="AD133" s="154">
        <f>ABS(AD108-AD$70)</f>
        <v>1.3280530809466166E-2</v>
      </c>
      <c r="AE133" s="154">
        <f t="shared" si="179"/>
        <v>1.3332821316332726E-2</v>
      </c>
      <c r="AF133" s="154">
        <f t="shared" si="179"/>
        <v>1.3885585622922202E-2</v>
      </c>
    </row>
    <row r="134" spans="2:32" x14ac:dyDescent="0.2">
      <c r="B134" s="154" t="s">
        <v>638</v>
      </c>
      <c r="C134" s="154"/>
      <c r="AC134" s="168">
        <f t="shared" ref="AC134:AF134" si="180">ABS(AC110-AC$70)</f>
        <v>6.8495030721716591E-3</v>
      </c>
      <c r="AD134" s="168">
        <f>ABS(AD110-AD$70)</f>
        <v>5.5397245515844719E-3</v>
      </c>
      <c r="AE134" s="154">
        <f t="shared" si="180"/>
        <v>5.3443964576599702E-3</v>
      </c>
      <c r="AF134" s="168">
        <f t="shared" si="180"/>
        <v>6.1018282521979571E-3</v>
      </c>
    </row>
    <row r="135" spans="2:32" x14ac:dyDescent="0.2">
      <c r="B135" s="2" t="s">
        <v>668</v>
      </c>
      <c r="C135" s="2"/>
      <c r="AC135" s="154"/>
      <c r="AD135" s="154"/>
      <c r="AE135" s="168"/>
      <c r="AF135" s="168"/>
    </row>
    <row r="136" spans="2:32" x14ac:dyDescent="0.2">
      <c r="B136" s="2" t="s">
        <v>669</v>
      </c>
      <c r="C136" s="2"/>
      <c r="AC136" s="154"/>
      <c r="AD136" s="154"/>
      <c r="AE136" s="154"/>
      <c r="AF136" s="154"/>
    </row>
    <row r="137" spans="2:32" x14ac:dyDescent="0.2">
      <c r="B137" s="154" t="s">
        <v>682</v>
      </c>
      <c r="C137" s="154"/>
      <c r="AC137" s="154"/>
      <c r="AD137" s="154"/>
      <c r="AE137" s="154"/>
      <c r="AF137" s="154"/>
    </row>
    <row r="138" spans="2:32" x14ac:dyDescent="0.2">
      <c r="B138" s="2" t="s">
        <v>671</v>
      </c>
      <c r="C138" s="2"/>
      <c r="AC138" s="154"/>
      <c r="AD138" s="154"/>
      <c r="AE138" s="154"/>
      <c r="AF138" s="154"/>
    </row>
    <row r="139" spans="2:32" x14ac:dyDescent="0.2">
      <c r="B139" s="2" t="s">
        <v>672</v>
      </c>
      <c r="C139" s="2"/>
      <c r="AC139" s="168"/>
      <c r="AD139" s="168"/>
      <c r="AE139" s="154"/>
      <c r="AF139" s="154"/>
    </row>
    <row r="140" spans="2:32" x14ac:dyDescent="0.2">
      <c r="B140" s="2" t="s">
        <v>673</v>
      </c>
      <c r="C140" s="2"/>
      <c r="AC140" s="154"/>
      <c r="AD140" s="154"/>
      <c r="AE140" s="154"/>
      <c r="AF140" s="154"/>
    </row>
    <row r="141" spans="2:32" x14ac:dyDescent="0.2">
      <c r="B141" s="154" t="s">
        <v>683</v>
      </c>
      <c r="C141" s="154"/>
      <c r="AC141" s="154">
        <f t="shared" ref="AC141:AF141" si="181">ABS(AC81-AC$70)</f>
        <v>0.16373824673607743</v>
      </c>
      <c r="AD141" s="154">
        <f>ABS(AD81-AD$70)</f>
        <v>0.1668482091577943</v>
      </c>
      <c r="AE141" s="154">
        <f t="shared" si="181"/>
        <v>0.17239521252812318</v>
      </c>
      <c r="AF141" s="154">
        <f t="shared" si="181"/>
        <v>0.16808707869319284</v>
      </c>
    </row>
    <row r="142" spans="2:32" x14ac:dyDescent="0.2">
      <c r="B142" s="168" t="s">
        <v>639</v>
      </c>
      <c r="C142" s="168"/>
      <c r="AC142" s="154"/>
      <c r="AD142" s="154"/>
      <c r="AE142" s="154"/>
      <c r="AF142" s="154"/>
    </row>
    <row r="143" spans="2:32" x14ac:dyDescent="0.2">
      <c r="B143" s="2" t="s">
        <v>684</v>
      </c>
      <c r="C143" s="2"/>
      <c r="AC143" s="355">
        <f t="shared" ref="AC143:AF143" si="182">AC65/AC$70</f>
        <v>2.2930202805529891</v>
      </c>
      <c r="AD143" s="355">
        <f>AD65/AD$70</f>
        <v>2.049826966805119</v>
      </c>
      <c r="AE143" s="355">
        <f t="shared" si="182"/>
        <v>2.0253176295663544</v>
      </c>
      <c r="AF143" s="355">
        <f t="shared" si="182"/>
        <v>2.1472302334429973</v>
      </c>
    </row>
    <row r="144" spans="2:32" x14ac:dyDescent="0.2">
      <c r="B144" s="11" t="s">
        <v>685</v>
      </c>
      <c r="C144" s="11"/>
      <c r="AC144" s="154">
        <f t="shared" ref="AC144:AF144" si="183">AC67/AC$70</f>
        <v>2.8002607157653761</v>
      </c>
      <c r="AD144" s="154">
        <f>AD67/AD$70</f>
        <v>2.5130030187928791</v>
      </c>
      <c r="AE144" s="154">
        <f t="shared" si="183"/>
        <v>2.50713850850244</v>
      </c>
      <c r="AF144" s="154">
        <f t="shared" si="183"/>
        <v>2.6404807381727609</v>
      </c>
    </row>
    <row r="145" spans="2:33" x14ac:dyDescent="0.2">
      <c r="B145" s="154" t="s">
        <v>640</v>
      </c>
      <c r="C145" s="154"/>
      <c r="AC145" s="154">
        <f t="shared" ref="AC145:AF145" si="184">AC83/AC$70</f>
        <v>0.35058898148891604</v>
      </c>
      <c r="AD145" s="154">
        <f>AD83/AD$70</f>
        <v>0.30540738706381565</v>
      </c>
      <c r="AE145" s="154">
        <f t="shared" si="184"/>
        <v>0.29065110576199521</v>
      </c>
      <c r="AF145" s="154">
        <f t="shared" si="184"/>
        <v>0.3179139998654717</v>
      </c>
    </row>
    <row r="146" spans="2:33" x14ac:dyDescent="0.2">
      <c r="B146" s="154" t="s">
        <v>641</v>
      </c>
      <c r="C146" s="154"/>
      <c r="AC146" s="154">
        <f t="shared" ref="AC146:AF146" si="185">AC106/AC$70</f>
        <v>1.5910517246371416</v>
      </c>
      <c r="AD146" s="154">
        <f>AD106/AD$70</f>
        <v>1.4104228442158848</v>
      </c>
      <c r="AE146" s="168">
        <f t="shared" si="185"/>
        <v>1.3556241766073238</v>
      </c>
      <c r="AF146" s="154">
        <f t="shared" si="185"/>
        <v>1.4628018002054417</v>
      </c>
    </row>
    <row r="147" spans="2:33" x14ac:dyDescent="0.2">
      <c r="B147" s="154" t="s">
        <v>642</v>
      </c>
      <c r="C147" s="154"/>
      <c r="AC147" s="154">
        <f t="shared" ref="AC147:AF147" si="186">AC108/AC$70</f>
        <v>2.1661175586435686</v>
      </c>
      <c r="AD147" s="154">
        <f>AD108/AD$70</f>
        <v>1.9429265274082923</v>
      </c>
      <c r="AE147" s="154">
        <f t="shared" si="186"/>
        <v>1.894920325517355</v>
      </c>
      <c r="AF147" s="154">
        <f t="shared" si="186"/>
        <v>2.0184403610724675</v>
      </c>
    </row>
    <row r="148" spans="2:33" x14ac:dyDescent="0.2">
      <c r="B148" s="154" t="s">
        <v>643</v>
      </c>
      <c r="C148" s="154"/>
      <c r="AC148" s="168">
        <f t="shared" ref="AC148:AF148" si="187">AC110/AC$70</f>
        <v>1.5537189225684445</v>
      </c>
      <c r="AD148" s="168">
        <f>AD110/AD$70</f>
        <v>1.3933241305762216</v>
      </c>
      <c r="AE148" s="154">
        <f t="shared" si="187"/>
        <v>1.3587244517950534</v>
      </c>
      <c r="AF148" s="168">
        <f t="shared" si="187"/>
        <v>1.4475395087487042</v>
      </c>
    </row>
    <row r="149" spans="2:33" x14ac:dyDescent="0.2">
      <c r="B149" s="2" t="s">
        <v>668</v>
      </c>
      <c r="C149" s="2"/>
      <c r="AC149" s="154"/>
      <c r="AD149" s="154"/>
      <c r="AE149" s="168"/>
      <c r="AF149" s="168"/>
    </row>
    <row r="150" spans="2:33" x14ac:dyDescent="0.2">
      <c r="B150" s="2" t="s">
        <v>669</v>
      </c>
      <c r="C150" s="2"/>
      <c r="AC150" s="154"/>
      <c r="AD150" s="154"/>
      <c r="AE150" s="154"/>
      <c r="AF150" s="154"/>
    </row>
    <row r="151" spans="2:33" x14ac:dyDescent="0.2">
      <c r="B151" s="154" t="s">
        <v>682</v>
      </c>
      <c r="C151" s="154"/>
      <c r="AC151" s="154"/>
      <c r="AD151" s="154"/>
      <c r="AE151" s="154"/>
      <c r="AF151" s="154"/>
    </row>
    <row r="152" spans="2:33" x14ac:dyDescent="0.2">
      <c r="B152" s="2" t="s">
        <v>671</v>
      </c>
      <c r="C152" s="2"/>
      <c r="AC152" s="154"/>
      <c r="AD152" s="154"/>
      <c r="AE152" s="154"/>
      <c r="AF152" s="154"/>
    </row>
    <row r="153" spans="2:33" x14ac:dyDescent="0.2">
      <c r="B153" s="2" t="s">
        <v>672</v>
      </c>
      <c r="C153" s="2"/>
      <c r="AC153" s="168"/>
      <c r="AD153" s="168"/>
      <c r="AE153" s="154"/>
      <c r="AF153" s="154"/>
      <c r="AG153" s="11"/>
    </row>
    <row r="154" spans="2:33" x14ac:dyDescent="0.2">
      <c r="B154" s="2" t="s">
        <v>673</v>
      </c>
      <c r="C154" s="2"/>
      <c r="AC154" s="154"/>
      <c r="AD154" s="154"/>
      <c r="AE154" s="154"/>
      <c r="AF154" s="154"/>
    </row>
    <row r="155" spans="2:33" x14ac:dyDescent="0.2">
      <c r="B155" s="154" t="s">
        <v>683</v>
      </c>
      <c r="C155" s="154"/>
      <c r="AC155" s="154">
        <f t="shared" ref="AC155:AF155" si="188">AC81/AC$70</f>
        <v>14.236721643983621</v>
      </c>
      <c r="AD155" s="154">
        <f>AD81/AD$70</f>
        <v>12.846333909583798</v>
      </c>
      <c r="AE155" s="154">
        <f t="shared" si="188"/>
        <v>12.571442836656663</v>
      </c>
      <c r="AF155" s="154">
        <f t="shared" si="188"/>
        <v>13.32837200854663</v>
      </c>
    </row>
    <row r="156" spans="2:33" x14ac:dyDescent="0.2">
      <c r="B156" s="168" t="s">
        <v>686</v>
      </c>
      <c r="C156" s="168"/>
      <c r="AC156" s="154"/>
      <c r="AD156" s="154"/>
      <c r="AE156" s="154"/>
      <c r="AF156" s="154"/>
    </row>
    <row r="157" spans="2:33" x14ac:dyDescent="0.2">
      <c r="B157" s="154" t="s">
        <v>635</v>
      </c>
      <c r="C157" s="154"/>
      <c r="AC157" s="168">
        <f t="shared" ref="AC157:AF157" si="189">ABS(AC87-AC$71)</f>
        <v>0.34836373268284471</v>
      </c>
      <c r="AD157" s="168">
        <f>ABS(AD87-AD$71)</f>
        <v>0.33365053564386216</v>
      </c>
      <c r="AE157" s="168">
        <f t="shared" si="189"/>
        <v>0.30096273352358061</v>
      </c>
      <c r="AF157" s="168">
        <f t="shared" si="189"/>
        <v>0.32504175594180507</v>
      </c>
    </row>
    <row r="158" spans="2:33" x14ac:dyDescent="0.2">
      <c r="B158" s="2" t="s">
        <v>674</v>
      </c>
      <c r="C158" s="2"/>
      <c r="AC158" s="154"/>
      <c r="AD158" s="154"/>
      <c r="AE158" s="154"/>
      <c r="AF158" s="154"/>
    </row>
    <row r="159" spans="2:33" x14ac:dyDescent="0.2">
      <c r="B159" s="154" t="s">
        <v>675</v>
      </c>
      <c r="C159" s="154"/>
      <c r="AC159" s="154"/>
      <c r="AD159" s="154"/>
      <c r="AE159" s="154"/>
      <c r="AF159" s="154"/>
    </row>
    <row r="160" spans="2:33" x14ac:dyDescent="0.2">
      <c r="B160" s="154" t="s">
        <v>676</v>
      </c>
      <c r="C160" s="154"/>
      <c r="AC160" s="154"/>
      <c r="AD160" s="154"/>
      <c r="AE160" s="154"/>
      <c r="AF160" s="154"/>
    </row>
    <row r="161" spans="2:33" x14ac:dyDescent="0.2">
      <c r="B161" s="154" t="s">
        <v>677</v>
      </c>
      <c r="C161" s="154"/>
      <c r="AC161" s="154"/>
      <c r="AD161" s="154"/>
      <c r="AE161" s="154"/>
      <c r="AF161" s="154"/>
    </row>
    <row r="162" spans="2:33" x14ac:dyDescent="0.2">
      <c r="B162" s="154" t="s">
        <v>678</v>
      </c>
      <c r="C162" s="154"/>
      <c r="AC162" s="154"/>
      <c r="AD162" s="154"/>
      <c r="AE162" s="154"/>
      <c r="AF162" s="154"/>
    </row>
    <row r="163" spans="2:33" x14ac:dyDescent="0.2">
      <c r="B163" s="154" t="s">
        <v>679</v>
      </c>
      <c r="C163" s="154"/>
      <c r="AC163" s="168"/>
      <c r="AD163" s="168"/>
      <c r="AE163" s="168"/>
      <c r="AF163" s="168"/>
    </row>
    <row r="164" spans="2:33" x14ac:dyDescent="0.2">
      <c r="B164" s="154" t="s">
        <v>683</v>
      </c>
      <c r="C164" s="154"/>
      <c r="AC164" s="154">
        <f t="shared" ref="AC164:AF164" si="190">ABS(AC82-AC$71)</f>
        <v>2.7526800971063077</v>
      </c>
      <c r="AD164" s="154">
        <f>ABS(AD82-AD$71)</f>
        <v>2.5497266613380098</v>
      </c>
      <c r="AE164" s="154">
        <f t="shared" si="190"/>
        <v>2.3558671794313915</v>
      </c>
      <c r="AF164" s="154">
        <f t="shared" si="190"/>
        <v>2.5533236143565139</v>
      </c>
    </row>
    <row r="165" spans="2:33" x14ac:dyDescent="0.2">
      <c r="B165" s="168" t="s">
        <v>687</v>
      </c>
      <c r="C165" s="168"/>
      <c r="AC165" s="154"/>
      <c r="AD165" s="154"/>
      <c r="AE165" s="154"/>
      <c r="AF165" s="154"/>
    </row>
    <row r="166" spans="2:33" x14ac:dyDescent="0.2">
      <c r="B166" s="154" t="s">
        <v>640</v>
      </c>
      <c r="C166" s="154"/>
      <c r="AC166" s="168">
        <f t="shared" ref="AC166:AF166" si="191">AC87/AC$71</f>
        <v>0.62907144701028073</v>
      </c>
      <c r="AD166" s="168">
        <f>AD87/AD$71</f>
        <v>0.6222338552737231</v>
      </c>
      <c r="AE166" s="168">
        <f t="shared" si="191"/>
        <v>0.63016627851182727</v>
      </c>
      <c r="AF166" s="168">
        <f t="shared" si="191"/>
        <v>0.629147835404542</v>
      </c>
      <c r="AG166" s="11"/>
    </row>
    <row r="167" spans="2:33" x14ac:dyDescent="0.2">
      <c r="B167" s="2" t="s">
        <v>674</v>
      </c>
      <c r="C167" s="2"/>
      <c r="AC167" s="154"/>
      <c r="AD167" s="154"/>
      <c r="AE167" s="154"/>
      <c r="AF167" s="154"/>
    </row>
    <row r="168" spans="2:33" x14ac:dyDescent="0.2">
      <c r="B168" s="154" t="s">
        <v>675</v>
      </c>
      <c r="C168" s="154"/>
      <c r="AC168" s="154"/>
      <c r="AD168" s="154"/>
      <c r="AE168" s="154"/>
      <c r="AF168" s="154"/>
    </row>
    <row r="169" spans="2:33" x14ac:dyDescent="0.2">
      <c r="B169" s="154" t="s">
        <v>676</v>
      </c>
      <c r="C169" s="154"/>
      <c r="AC169" s="154"/>
      <c r="AD169" s="154"/>
      <c r="AE169" s="154"/>
      <c r="AF169" s="154"/>
    </row>
    <row r="170" spans="2:33" x14ac:dyDescent="0.2">
      <c r="B170" s="154" t="s">
        <v>677</v>
      </c>
      <c r="C170" s="154"/>
      <c r="AC170" s="154"/>
      <c r="AD170" s="154"/>
      <c r="AE170" s="154"/>
      <c r="AF170" s="154"/>
    </row>
    <row r="171" spans="2:33" x14ac:dyDescent="0.2">
      <c r="B171" s="154" t="s">
        <v>678</v>
      </c>
      <c r="C171" s="154"/>
      <c r="AC171" s="154"/>
      <c r="AD171" s="154"/>
      <c r="AE171" s="154"/>
      <c r="AF171" s="154"/>
    </row>
    <row r="172" spans="2:33" x14ac:dyDescent="0.2">
      <c r="B172" s="154" t="s">
        <v>679</v>
      </c>
      <c r="C172" s="154"/>
      <c r="AC172" s="168"/>
      <c r="AD172" s="168"/>
      <c r="AE172" s="168"/>
      <c r="AF172" s="168"/>
    </row>
    <row r="173" spans="2:33" x14ac:dyDescent="0.2">
      <c r="B173" s="154" t="s">
        <v>683</v>
      </c>
      <c r="C173" s="154"/>
      <c r="AC173" s="154">
        <f t="shared" ref="AC173:AF173" si="192">AC82/AC$71</f>
        <v>3.9309814698558734</v>
      </c>
      <c r="AD173" s="154">
        <f>AD82/AD$71</f>
        <v>3.8868540825229774</v>
      </c>
      <c r="AE173" s="154">
        <f t="shared" si="192"/>
        <v>3.8949734610005824</v>
      </c>
      <c r="AF173" s="154">
        <f t="shared" si="192"/>
        <v>3.9131813743534658</v>
      </c>
    </row>
  </sheetData>
  <phoneticPr fontId="0" type="noConversion"/>
  <printOptions gridLines="1"/>
  <pageMargins left="0.75" right="0.75" top="1" bottom="1" header="0.5" footer="0.5"/>
  <pageSetup scale="16" orientation="landscape" r:id="rId1"/>
  <headerFooter alignWithMargins="0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M29"/>
  <sheetViews>
    <sheetView workbookViewId="0">
      <selection activeCell="L15" sqref="L15"/>
    </sheetView>
  </sheetViews>
  <sheetFormatPr defaultRowHeight="12.75" x14ac:dyDescent="0.2"/>
  <cols>
    <col min="1" max="1" width="20.85546875" customWidth="1"/>
    <col min="2" max="2" width="20.85546875" bestFit="1" customWidth="1"/>
    <col min="10" max="10" width="70.42578125" bestFit="1" customWidth="1"/>
    <col min="11" max="11" width="53.28515625" bestFit="1" customWidth="1"/>
    <col min="12" max="12" width="15.140625" customWidth="1"/>
    <col min="13" max="13" width="20.28515625" customWidth="1"/>
  </cols>
  <sheetData>
    <row r="1" spans="1:13" x14ac:dyDescent="0.2">
      <c r="A1" s="82">
        <v>41225</v>
      </c>
    </row>
    <row r="3" spans="1:13" x14ac:dyDescent="0.2">
      <c r="A3" t="s">
        <v>796</v>
      </c>
    </row>
    <row r="5" spans="1:13" x14ac:dyDescent="0.2">
      <c r="E5" t="s">
        <v>807</v>
      </c>
      <c r="L5" s="168" t="s">
        <v>841</v>
      </c>
    </row>
    <row r="6" spans="1:13" x14ac:dyDescent="0.2">
      <c r="A6" t="s">
        <v>797</v>
      </c>
      <c r="B6" t="s">
        <v>799</v>
      </c>
      <c r="C6" t="s">
        <v>798</v>
      </c>
      <c r="E6" t="s">
        <v>36</v>
      </c>
      <c r="F6" t="s">
        <v>832</v>
      </c>
      <c r="G6" t="s">
        <v>37</v>
      </c>
      <c r="H6" t="s">
        <v>833</v>
      </c>
      <c r="I6" t="s">
        <v>802</v>
      </c>
      <c r="J6" t="s">
        <v>808</v>
      </c>
      <c r="K6" t="s">
        <v>809</v>
      </c>
      <c r="L6" s="154" t="s">
        <v>36</v>
      </c>
      <c r="M6" s="154" t="s">
        <v>37</v>
      </c>
    </row>
    <row r="7" spans="1:13" ht="25.5" x14ac:dyDescent="0.2">
      <c r="A7" t="s">
        <v>805</v>
      </c>
      <c r="B7" t="s">
        <v>806</v>
      </c>
      <c r="C7">
        <v>99</v>
      </c>
      <c r="E7">
        <v>0.15</v>
      </c>
      <c r="G7">
        <v>0.32</v>
      </c>
      <c r="H7">
        <v>0.76</v>
      </c>
      <c r="J7" s="317" t="s">
        <v>825</v>
      </c>
      <c r="K7" t="s">
        <v>810</v>
      </c>
      <c r="L7">
        <f>E7</f>
        <v>0.15</v>
      </c>
      <c r="M7">
        <f>G7</f>
        <v>0.32</v>
      </c>
    </row>
    <row r="8" spans="1:13" ht="25.5" x14ac:dyDescent="0.2">
      <c r="A8" t="s">
        <v>803</v>
      </c>
      <c r="B8" t="s">
        <v>804</v>
      </c>
      <c r="C8">
        <v>1600</v>
      </c>
      <c r="E8">
        <v>0.98</v>
      </c>
      <c r="F8">
        <v>1.51</v>
      </c>
      <c r="G8">
        <v>2.13</v>
      </c>
      <c r="H8">
        <v>5.46</v>
      </c>
      <c r="J8" s="317" t="s">
        <v>825</v>
      </c>
      <c r="K8" t="s">
        <v>810</v>
      </c>
      <c r="L8">
        <f>E8</f>
        <v>0.98</v>
      </c>
      <c r="M8">
        <f t="shared" ref="M8" si="0">G8</f>
        <v>2.13</v>
      </c>
    </row>
    <row r="9" spans="1:13" x14ac:dyDescent="0.2">
      <c r="A9" s="154" t="s">
        <v>803</v>
      </c>
      <c r="B9" t="s">
        <v>804</v>
      </c>
      <c r="C9">
        <v>1600</v>
      </c>
      <c r="E9" s="319">
        <v>5.09</v>
      </c>
      <c r="J9" s="318"/>
      <c r="K9" s="154" t="s">
        <v>813</v>
      </c>
      <c r="L9" s="319">
        <f>E9*0.6</f>
        <v>3.0539999999999998</v>
      </c>
    </row>
    <row r="10" spans="1:13" ht="38.25" x14ac:dyDescent="0.2">
      <c r="A10" s="154" t="s">
        <v>800</v>
      </c>
      <c r="B10" s="154" t="s">
        <v>801</v>
      </c>
      <c r="C10">
        <v>283</v>
      </c>
      <c r="E10">
        <v>0.19</v>
      </c>
      <c r="J10" s="317" t="s">
        <v>824</v>
      </c>
      <c r="K10" s="154" t="s">
        <v>811</v>
      </c>
      <c r="L10">
        <f t="shared" ref="L10:L15" si="1">E10*0.6</f>
        <v>0.11399999999999999</v>
      </c>
    </row>
    <row r="11" spans="1:13" ht="25.5" x14ac:dyDescent="0.2">
      <c r="A11" s="154" t="s">
        <v>800</v>
      </c>
      <c r="B11" s="154" t="s">
        <v>801</v>
      </c>
      <c r="C11">
        <v>283</v>
      </c>
      <c r="E11">
        <v>3.7999999999999999E-2</v>
      </c>
      <c r="I11">
        <v>0.60799999999999998</v>
      </c>
      <c r="J11" s="317" t="s">
        <v>823</v>
      </c>
      <c r="K11" s="154" t="s">
        <v>818</v>
      </c>
      <c r="L11">
        <f t="shared" si="1"/>
        <v>2.2799999999999997E-2</v>
      </c>
    </row>
    <row r="12" spans="1:13" ht="25.5" x14ac:dyDescent="0.2">
      <c r="A12" s="154" t="s">
        <v>812</v>
      </c>
      <c r="B12" s="154" t="s">
        <v>820</v>
      </c>
      <c r="C12">
        <v>1224</v>
      </c>
      <c r="E12">
        <v>0.61</v>
      </c>
      <c r="F12">
        <v>0.92</v>
      </c>
      <c r="G12">
        <v>0.68</v>
      </c>
      <c r="J12" s="317" t="s">
        <v>822</v>
      </c>
      <c r="K12" s="154" t="s">
        <v>813</v>
      </c>
      <c r="L12" s="308">
        <f>AVERAGE(E12:F12)*0.6</f>
        <v>0.45899999999999996</v>
      </c>
      <c r="M12">
        <f t="shared" ref="M12:M15" si="2">G12*0.6</f>
        <v>0.40800000000000003</v>
      </c>
    </row>
    <row r="13" spans="1:13" x14ac:dyDescent="0.2">
      <c r="A13" s="154" t="s">
        <v>812</v>
      </c>
      <c r="B13" s="154" t="s">
        <v>820</v>
      </c>
      <c r="C13">
        <v>1224</v>
      </c>
      <c r="E13" s="154" t="s">
        <v>817</v>
      </c>
      <c r="G13">
        <v>1.8</v>
      </c>
      <c r="I13">
        <v>1.819</v>
      </c>
      <c r="J13" s="317" t="s">
        <v>821</v>
      </c>
      <c r="K13" s="154" t="s">
        <v>819</v>
      </c>
      <c r="M13">
        <f t="shared" si="2"/>
        <v>1.08</v>
      </c>
    </row>
    <row r="14" spans="1:13" ht="25.5" x14ac:dyDescent="0.2">
      <c r="A14" s="154" t="s">
        <v>828</v>
      </c>
      <c r="B14" s="154" t="s">
        <v>828</v>
      </c>
      <c r="C14">
        <v>544</v>
      </c>
      <c r="E14" s="154">
        <f>C14*0.0225*0.0187</f>
        <v>0.22888800000000001</v>
      </c>
      <c r="J14" s="317" t="s">
        <v>834</v>
      </c>
      <c r="K14" s="154" t="s">
        <v>829</v>
      </c>
      <c r="L14">
        <f t="shared" si="1"/>
        <v>0.1373328</v>
      </c>
    </row>
    <row r="15" spans="1:13" x14ac:dyDescent="0.2">
      <c r="A15" s="154" t="s">
        <v>814</v>
      </c>
      <c r="B15" s="154" t="s">
        <v>815</v>
      </c>
      <c r="C15">
        <v>2560</v>
      </c>
      <c r="E15">
        <v>0.49</v>
      </c>
      <c r="G15">
        <v>1.57</v>
      </c>
      <c r="J15" s="318"/>
      <c r="K15" s="154" t="s">
        <v>816</v>
      </c>
      <c r="L15">
        <f t="shared" si="1"/>
        <v>0.29399999999999998</v>
      </c>
      <c r="M15">
        <f t="shared" si="2"/>
        <v>0.94199999999999995</v>
      </c>
    </row>
    <row r="16" spans="1:13" x14ac:dyDescent="0.2">
      <c r="A16" s="154"/>
      <c r="B16" s="154"/>
      <c r="J16" s="318"/>
      <c r="K16" s="154"/>
    </row>
    <row r="17" spans="1:13" x14ac:dyDescent="0.2">
      <c r="A17" s="168" t="s">
        <v>842</v>
      </c>
      <c r="B17" s="154"/>
      <c r="J17" s="318"/>
      <c r="K17" s="154"/>
      <c r="L17" s="168" t="s">
        <v>830</v>
      </c>
      <c r="M17" s="168" t="s">
        <v>831</v>
      </c>
    </row>
    <row r="18" spans="1:13" s="168" customFormat="1" ht="38.25" x14ac:dyDescent="0.2">
      <c r="A18" s="168" t="s">
        <v>826</v>
      </c>
      <c r="B18" s="168" t="s">
        <v>835</v>
      </c>
      <c r="C18" s="168">
        <v>544</v>
      </c>
      <c r="J18" s="321" t="s">
        <v>827</v>
      </c>
      <c r="L18" s="168">
        <f xml:space="preserve"> 0.000555*C18 - 0.062309</f>
        <v>0.23961100000000002</v>
      </c>
      <c r="M18" s="168">
        <f xml:space="preserve"> 0.00093*C18 + 0.020165</f>
        <v>0.52608500000000002</v>
      </c>
    </row>
    <row r="19" spans="1:13" x14ac:dyDescent="0.2">
      <c r="L19" s="154"/>
    </row>
    <row r="21" spans="1:13" x14ac:dyDescent="0.2">
      <c r="C21" t="s">
        <v>837</v>
      </c>
      <c r="E21" t="s">
        <v>839</v>
      </c>
    </row>
    <row r="22" spans="1:13" x14ac:dyDescent="0.2">
      <c r="B22" t="s">
        <v>836</v>
      </c>
      <c r="C22" t="s">
        <v>36</v>
      </c>
      <c r="D22" t="s">
        <v>37</v>
      </c>
      <c r="E22" t="s">
        <v>36</v>
      </c>
      <c r="F22" t="s">
        <v>37</v>
      </c>
    </row>
    <row r="23" spans="1:13" x14ac:dyDescent="0.2">
      <c r="B23" s="159">
        <v>1000</v>
      </c>
      <c r="C23">
        <f>L$18*B23*365/1000</f>
        <v>87.458015000000017</v>
      </c>
      <c r="D23">
        <f>M$18*B23*365/1000</f>
        <v>192.02102500000004</v>
      </c>
      <c r="E23" s="320">
        <f>C23/C$29</f>
        <v>4.6822731779559854E-2</v>
      </c>
      <c r="F23" s="320">
        <f>D23/D$29</f>
        <v>4.8718582021060062E-3</v>
      </c>
    </row>
    <row r="24" spans="1:13" x14ac:dyDescent="0.2">
      <c r="B24" s="159">
        <v>5000</v>
      </c>
      <c r="C24">
        <f t="shared" ref="C24:C25" si="3">L$18*B24*365/1000</f>
        <v>437.290075</v>
      </c>
      <c r="D24">
        <f t="shared" ref="D24:D25" si="4">M$18*B24*365/1000</f>
        <v>960.10512500000016</v>
      </c>
      <c r="E24" s="320">
        <f t="shared" ref="E24:E25" si="5">C24/C$29</f>
        <v>0.23411365889779923</v>
      </c>
      <c r="F24" s="320">
        <f t="shared" ref="F24:F25" si="6">D24/D$29</f>
        <v>2.435929101053003E-2</v>
      </c>
    </row>
    <row r="25" spans="1:13" x14ac:dyDescent="0.2">
      <c r="B25" s="159">
        <v>10000</v>
      </c>
      <c r="C25">
        <f t="shared" si="3"/>
        <v>874.58015</v>
      </c>
      <c r="D25">
        <f t="shared" si="4"/>
        <v>1920.2102500000003</v>
      </c>
      <c r="E25" s="320">
        <f t="shared" si="5"/>
        <v>0.46822731779559845</v>
      </c>
      <c r="F25" s="320">
        <f t="shared" si="6"/>
        <v>4.871858202106006E-2</v>
      </c>
    </row>
    <row r="27" spans="1:13" x14ac:dyDescent="0.2">
      <c r="C27" t="s">
        <v>838</v>
      </c>
    </row>
    <row r="28" spans="1:13" x14ac:dyDescent="0.2">
      <c r="C28" t="s">
        <v>36</v>
      </c>
      <c r="D28" t="s">
        <v>37</v>
      </c>
    </row>
    <row r="29" spans="1:13" x14ac:dyDescent="0.2">
      <c r="B29" s="154" t="s">
        <v>840</v>
      </c>
      <c r="C29" s="159">
        <f>AVERAGE(Summary!U40:Y40,Summary!P40:T40)</f>
        <v>1867.8537470165127</v>
      </c>
      <c r="D29" s="159">
        <f>AVERAGE(Summary!BB40:BF40,Summary!AW40:BA40)</f>
        <v>39414.329611849789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P13"/>
  <sheetViews>
    <sheetView workbookViewId="0">
      <pane xSplit="2" ySplit="5" topLeftCell="C6" activePane="bottomRight" state="frozen"/>
      <selection pane="topRight" activeCell="C1" sqref="C1"/>
      <selection pane="bottomLeft" activeCell="A4" sqref="A4"/>
      <selection pane="bottomRight" activeCell="A6" sqref="A6:A11"/>
    </sheetView>
  </sheetViews>
  <sheetFormatPr defaultColWidth="8.85546875" defaultRowHeight="15" x14ac:dyDescent="0.25"/>
  <cols>
    <col min="1" max="1" width="23.140625" style="328" customWidth="1"/>
    <col min="2" max="2" width="8.85546875" style="327"/>
    <col min="3" max="3" width="9.7109375" style="328" bestFit="1" customWidth="1"/>
    <col min="4" max="4" width="9.7109375" style="328" customWidth="1"/>
    <col min="5" max="5" width="10.5703125" style="328" bestFit="1" customWidth="1"/>
    <col min="6" max="6" width="16.5703125" style="328" customWidth="1"/>
    <col min="7" max="7" width="11.28515625" style="328" customWidth="1"/>
    <col min="8" max="8" width="10.7109375" style="328" bestFit="1" customWidth="1"/>
    <col min="9" max="9" width="14" style="329" customWidth="1"/>
    <col min="10" max="10" width="8.85546875" style="329"/>
    <col min="11" max="16" width="10.7109375" style="328" bestFit="1" customWidth="1"/>
    <col min="17" max="16384" width="8.85546875" style="327"/>
  </cols>
  <sheetData>
    <row r="1" spans="1:16" x14ac:dyDescent="0.25">
      <c r="A1" s="343" t="s">
        <v>856</v>
      </c>
    </row>
    <row r="2" spans="1:16" x14ac:dyDescent="0.25">
      <c r="A2" s="343" t="s">
        <v>855</v>
      </c>
      <c r="E2" s="344">
        <v>36892</v>
      </c>
    </row>
    <row r="3" spans="1:16" x14ac:dyDescent="0.25">
      <c r="A3" s="328" t="s">
        <v>526</v>
      </c>
      <c r="E3" s="344">
        <v>41274</v>
      </c>
    </row>
    <row r="4" spans="1:16" x14ac:dyDescent="0.25">
      <c r="A4" s="328" t="s">
        <v>854</v>
      </c>
      <c r="D4" s="328" t="s">
        <v>853</v>
      </c>
      <c r="E4" s="328">
        <v>102</v>
      </c>
      <c r="F4" s="328">
        <v>103</v>
      </c>
      <c r="G4" s="328">
        <v>104</v>
      </c>
      <c r="H4" s="328">
        <v>105</v>
      </c>
      <c r="I4" s="329">
        <v>106</v>
      </c>
      <c r="J4" s="329">
        <v>107</v>
      </c>
      <c r="K4" s="328">
        <v>108</v>
      </c>
      <c r="L4" s="328">
        <v>109</v>
      </c>
      <c r="M4" s="328">
        <v>110</v>
      </c>
      <c r="N4" s="328">
        <v>111</v>
      </c>
      <c r="O4" s="328">
        <v>112</v>
      </c>
      <c r="P4" s="328">
        <v>113</v>
      </c>
    </row>
    <row r="5" spans="1:16" s="336" customFormat="1" ht="15.75" thickBot="1" x14ac:dyDescent="0.3">
      <c r="A5" s="342"/>
      <c r="C5" s="342"/>
      <c r="D5" s="342" t="s">
        <v>852</v>
      </c>
      <c r="E5" s="341">
        <v>37253</v>
      </c>
      <c r="F5" s="341">
        <v>37616</v>
      </c>
      <c r="G5" s="340">
        <v>37989</v>
      </c>
      <c r="H5" s="340">
        <v>38338</v>
      </c>
      <c r="I5" s="339">
        <v>38702</v>
      </c>
      <c r="J5" s="338">
        <v>39052</v>
      </c>
      <c r="K5" s="337">
        <v>39430</v>
      </c>
      <c r="L5" s="337">
        <v>39797</v>
      </c>
      <c r="M5" s="337">
        <v>40161</v>
      </c>
      <c r="N5" s="337">
        <v>40526</v>
      </c>
      <c r="O5" s="337">
        <v>40900</v>
      </c>
      <c r="P5" s="337">
        <v>41257</v>
      </c>
    </row>
    <row r="6" spans="1:16" s="330" customFormat="1" x14ac:dyDescent="0.25">
      <c r="A6" s="333" t="s">
        <v>851</v>
      </c>
      <c r="E6" s="331">
        <v>15000</v>
      </c>
      <c r="F6" s="334">
        <v>5000</v>
      </c>
      <c r="G6" s="331">
        <v>50</v>
      </c>
      <c r="H6" s="331">
        <v>256</v>
      </c>
      <c r="I6" s="331">
        <v>209</v>
      </c>
      <c r="J6" s="331"/>
      <c r="K6" s="331">
        <v>700</v>
      </c>
      <c r="L6" s="331">
        <v>3735</v>
      </c>
      <c r="M6" s="331">
        <v>3000</v>
      </c>
      <c r="N6" s="331">
        <v>3902</v>
      </c>
      <c r="O6" s="331">
        <v>20</v>
      </c>
      <c r="P6" s="331">
        <v>4101</v>
      </c>
    </row>
    <row r="7" spans="1:16" s="330" customFormat="1" x14ac:dyDescent="0.25">
      <c r="A7" s="335" t="s">
        <v>850</v>
      </c>
      <c r="E7" s="331">
        <v>20</v>
      </c>
      <c r="F7" s="334">
        <v>70</v>
      </c>
      <c r="G7" s="331"/>
      <c r="H7" s="331"/>
      <c r="I7" s="331">
        <v>15</v>
      </c>
      <c r="J7" s="331"/>
      <c r="K7" s="331">
        <v>24</v>
      </c>
      <c r="L7" s="331">
        <v>11</v>
      </c>
      <c r="M7" s="331">
        <v>100</v>
      </c>
      <c r="N7" s="331">
        <v>16</v>
      </c>
      <c r="O7" s="331">
        <v>3</v>
      </c>
      <c r="P7" s="331">
        <v>8</v>
      </c>
    </row>
    <row r="8" spans="1:16" s="330" customFormat="1" x14ac:dyDescent="0.25">
      <c r="A8" s="335" t="s">
        <v>849</v>
      </c>
      <c r="E8" s="331"/>
      <c r="F8" s="334">
        <v>25</v>
      </c>
      <c r="G8" s="331"/>
      <c r="H8" s="331"/>
      <c r="I8" s="331"/>
      <c r="J8" s="331"/>
      <c r="K8" s="331">
        <v>150</v>
      </c>
      <c r="L8" s="331">
        <v>148</v>
      </c>
      <c r="M8" s="331">
        <v>500</v>
      </c>
      <c r="N8" s="331">
        <v>75</v>
      </c>
      <c r="O8" s="331"/>
      <c r="P8" s="331">
        <v>45</v>
      </c>
    </row>
    <row r="9" spans="1:16" s="330" customFormat="1" x14ac:dyDescent="0.25">
      <c r="A9" s="332" t="s">
        <v>848</v>
      </c>
      <c r="E9" s="331"/>
      <c r="F9" s="331"/>
      <c r="G9" s="331"/>
      <c r="H9" s="331"/>
      <c r="I9" s="331"/>
      <c r="J9" s="331"/>
      <c r="K9" s="331"/>
      <c r="L9" s="331">
        <v>1</v>
      </c>
      <c r="M9" s="331">
        <v>1</v>
      </c>
      <c r="N9" s="331"/>
      <c r="O9" s="331"/>
      <c r="P9" s="331"/>
    </row>
    <row r="10" spans="1:16" s="330" customFormat="1" x14ac:dyDescent="0.25">
      <c r="A10" s="332"/>
      <c r="E10" s="331"/>
      <c r="F10" s="331"/>
      <c r="G10" s="331"/>
      <c r="H10" s="331"/>
      <c r="I10" s="331"/>
      <c r="J10" s="331"/>
      <c r="K10" s="331"/>
      <c r="L10" s="331"/>
      <c r="M10" s="331"/>
      <c r="N10" s="331"/>
      <c r="O10" s="331"/>
      <c r="P10" s="331"/>
    </row>
    <row r="11" spans="1:16" s="330" customFormat="1" x14ac:dyDescent="0.25">
      <c r="A11" s="333" t="s">
        <v>847</v>
      </c>
      <c r="E11" s="331">
        <v>7</v>
      </c>
      <c r="F11" s="331">
        <v>36</v>
      </c>
      <c r="G11" s="331">
        <v>86</v>
      </c>
      <c r="H11" s="331">
        <v>58</v>
      </c>
      <c r="I11" s="331">
        <v>108</v>
      </c>
      <c r="J11" s="331"/>
      <c r="K11" s="331">
        <v>63</v>
      </c>
      <c r="L11" s="331">
        <v>43</v>
      </c>
      <c r="M11" s="331">
        <v>60</v>
      </c>
      <c r="N11" s="331">
        <v>31</v>
      </c>
      <c r="O11" s="331">
        <v>5</v>
      </c>
      <c r="P11" s="331">
        <v>65</v>
      </c>
    </row>
    <row r="12" spans="1:16" s="330" customFormat="1" x14ac:dyDescent="0.25">
      <c r="A12" s="332"/>
      <c r="C12" s="331"/>
      <c r="D12" s="331"/>
      <c r="E12" s="331"/>
      <c r="F12" s="331"/>
      <c r="G12" s="331"/>
      <c r="H12" s="331"/>
      <c r="I12" s="331"/>
      <c r="J12" s="331"/>
      <c r="K12" s="331"/>
      <c r="L12" s="331"/>
      <c r="M12" s="331"/>
      <c r="N12" s="331"/>
      <c r="O12" s="331"/>
      <c r="P12" s="331"/>
    </row>
    <row r="13" spans="1:16" s="330" customFormat="1" x14ac:dyDescent="0.25">
      <c r="A13" s="345" t="s">
        <v>857</v>
      </c>
      <c r="C13" s="331"/>
      <c r="D13" s="331"/>
      <c r="E13" s="331"/>
      <c r="F13" s="331"/>
      <c r="G13" s="331"/>
      <c r="H13" s="331"/>
      <c r="I13" s="331"/>
      <c r="J13" s="331"/>
      <c r="K13" s="331"/>
      <c r="L13" s="331"/>
      <c r="M13" s="331"/>
      <c r="N13" s="331"/>
      <c r="O13" s="331"/>
      <c r="P13" s="331"/>
    </row>
  </sheetData>
  <pageMargins left="0.7" right="0.7" top="0.75" bottom="0.75" header="0.3" footer="0.3"/>
  <pageSetup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C80"/>
  <sheetViews>
    <sheetView defaultGridColor="0" colorId="11" workbookViewId="0">
      <pane xSplit="1" ySplit="1" topLeftCell="B65" activePane="bottomRight" state="frozen"/>
      <selection pane="topRight" activeCell="B1" sqref="B1"/>
      <selection pane="bottomLeft" activeCell="A2" sqref="A2"/>
      <selection pane="bottomRight" activeCell="A80" sqref="A80"/>
    </sheetView>
  </sheetViews>
  <sheetFormatPr defaultRowHeight="12.75" x14ac:dyDescent="0.2"/>
  <cols>
    <col min="1" max="1" width="10.140625" bestFit="1" customWidth="1"/>
    <col min="2" max="2" width="15" bestFit="1" customWidth="1"/>
  </cols>
  <sheetData>
    <row r="1" spans="1:3" x14ac:dyDescent="0.2">
      <c r="A1" s="38" t="s">
        <v>43</v>
      </c>
      <c r="B1" s="38" t="s">
        <v>44</v>
      </c>
      <c r="C1" s="38" t="s">
        <v>45</v>
      </c>
    </row>
    <row r="2" spans="1:3" x14ac:dyDescent="0.2">
      <c r="A2" s="82">
        <v>37427</v>
      </c>
      <c r="B2" s="20" t="s">
        <v>46</v>
      </c>
      <c r="C2" s="40" t="s">
        <v>527</v>
      </c>
    </row>
    <row r="3" spans="1:3" x14ac:dyDescent="0.2">
      <c r="A3" s="39"/>
      <c r="B3" s="20"/>
      <c r="C3" s="40" t="s">
        <v>520</v>
      </c>
    </row>
    <row r="4" spans="1:3" x14ac:dyDescent="0.2">
      <c r="A4" s="82">
        <v>37427</v>
      </c>
      <c r="B4" s="20" t="s">
        <v>46</v>
      </c>
      <c r="C4" s="40" t="s">
        <v>48</v>
      </c>
    </row>
    <row r="5" spans="1:3" x14ac:dyDescent="0.2">
      <c r="A5" s="39"/>
      <c r="B5" s="20"/>
      <c r="C5" s="40" t="s">
        <v>47</v>
      </c>
    </row>
    <row r="6" spans="1:3" x14ac:dyDescent="0.2">
      <c r="A6" s="82">
        <v>37427</v>
      </c>
      <c r="B6" s="20" t="s">
        <v>46</v>
      </c>
      <c r="C6" s="40" t="s">
        <v>523</v>
      </c>
    </row>
    <row r="7" spans="1:3" x14ac:dyDescent="0.2">
      <c r="C7" s="40" t="s">
        <v>516</v>
      </c>
    </row>
    <row r="8" spans="1:3" x14ac:dyDescent="0.2">
      <c r="A8" s="82">
        <v>37427</v>
      </c>
      <c r="B8" s="20" t="s">
        <v>46</v>
      </c>
      <c r="C8" s="15" t="s">
        <v>517</v>
      </c>
    </row>
    <row r="9" spans="1:3" x14ac:dyDescent="0.2">
      <c r="C9" s="15" t="s">
        <v>518</v>
      </c>
    </row>
    <row r="10" spans="1:3" x14ac:dyDescent="0.2">
      <c r="C10" s="15" t="s">
        <v>519</v>
      </c>
    </row>
    <row r="11" spans="1:3" x14ac:dyDescent="0.2">
      <c r="A11" s="39">
        <v>37448</v>
      </c>
      <c r="B11" s="40" t="s">
        <v>46</v>
      </c>
      <c r="C11" s="2" t="s">
        <v>528</v>
      </c>
    </row>
    <row r="12" spans="1:3" x14ac:dyDescent="0.2">
      <c r="A12" s="39">
        <v>37456</v>
      </c>
      <c r="B12" s="40" t="s">
        <v>46</v>
      </c>
      <c r="C12" s="40" t="s">
        <v>529</v>
      </c>
    </row>
    <row r="13" spans="1:3" x14ac:dyDescent="0.2">
      <c r="A13" s="39">
        <v>37466</v>
      </c>
      <c r="B13" s="40" t="s">
        <v>46</v>
      </c>
      <c r="C13" s="2" t="s">
        <v>530</v>
      </c>
    </row>
    <row r="14" spans="1:3" x14ac:dyDescent="0.2">
      <c r="A14" s="39">
        <v>37553</v>
      </c>
      <c r="B14" s="40" t="s">
        <v>46</v>
      </c>
      <c r="C14" s="2" t="s">
        <v>541</v>
      </c>
    </row>
    <row r="15" spans="1:3" x14ac:dyDescent="0.2">
      <c r="A15" s="82">
        <v>37564</v>
      </c>
      <c r="B15" s="40" t="s">
        <v>46</v>
      </c>
      <c r="C15" s="2" t="s">
        <v>543</v>
      </c>
    </row>
    <row r="16" spans="1:3" x14ac:dyDescent="0.2">
      <c r="A16" s="82">
        <v>37564</v>
      </c>
      <c r="B16" s="40" t="s">
        <v>46</v>
      </c>
      <c r="C16" s="2" t="s">
        <v>544</v>
      </c>
    </row>
    <row r="17" spans="1:3" x14ac:dyDescent="0.2">
      <c r="A17" s="39">
        <v>37579</v>
      </c>
      <c r="B17" s="40" t="s">
        <v>46</v>
      </c>
      <c r="C17" s="40" t="s">
        <v>545</v>
      </c>
    </row>
    <row r="18" spans="1:3" x14ac:dyDescent="0.2">
      <c r="A18" s="82">
        <v>37629</v>
      </c>
      <c r="B18" s="40" t="s">
        <v>46</v>
      </c>
      <c r="C18" s="2" t="s">
        <v>548</v>
      </c>
    </row>
    <row r="19" spans="1:3" x14ac:dyDescent="0.2">
      <c r="A19" s="82">
        <v>37637</v>
      </c>
      <c r="B19" s="40" t="s">
        <v>46</v>
      </c>
      <c r="C19" s="40" t="s">
        <v>576</v>
      </c>
    </row>
    <row r="20" spans="1:3" x14ac:dyDescent="0.2">
      <c r="A20" s="82">
        <v>37642</v>
      </c>
      <c r="B20" s="40" t="s">
        <v>46</v>
      </c>
      <c r="C20" s="40" t="s">
        <v>613</v>
      </c>
    </row>
    <row r="21" spans="1:3" x14ac:dyDescent="0.2">
      <c r="A21" s="82">
        <v>37642</v>
      </c>
      <c r="B21" s="40" t="s">
        <v>46</v>
      </c>
      <c r="C21" s="40" t="s">
        <v>614</v>
      </c>
    </row>
    <row r="22" spans="1:3" x14ac:dyDescent="0.2">
      <c r="A22" s="82">
        <v>37650</v>
      </c>
      <c r="B22" s="40" t="s">
        <v>46</v>
      </c>
      <c r="C22" s="40" t="s">
        <v>616</v>
      </c>
    </row>
    <row r="23" spans="1:3" x14ac:dyDescent="0.2">
      <c r="A23" s="82">
        <v>37652</v>
      </c>
      <c r="B23" s="40" t="s">
        <v>46</v>
      </c>
      <c r="C23" s="40" t="s">
        <v>626</v>
      </c>
    </row>
    <row r="24" spans="1:3" x14ac:dyDescent="0.2">
      <c r="A24" s="39">
        <v>37657</v>
      </c>
      <c r="B24" s="40" t="s">
        <v>46</v>
      </c>
      <c r="C24" s="40" t="s">
        <v>627</v>
      </c>
    </row>
    <row r="25" spans="1:3" x14ac:dyDescent="0.2">
      <c r="A25" s="39">
        <v>37657</v>
      </c>
      <c r="B25" s="40" t="s">
        <v>46</v>
      </c>
      <c r="C25" s="40" t="s">
        <v>628</v>
      </c>
    </row>
    <row r="26" spans="1:3" x14ac:dyDescent="0.2">
      <c r="A26" s="39">
        <v>37670</v>
      </c>
      <c r="B26" s="40" t="s">
        <v>46</v>
      </c>
      <c r="C26" s="40" t="s">
        <v>652</v>
      </c>
    </row>
    <row r="27" spans="1:3" x14ac:dyDescent="0.2">
      <c r="A27" s="39">
        <v>37671</v>
      </c>
      <c r="B27" s="40" t="s">
        <v>46</v>
      </c>
      <c r="C27" s="40" t="s">
        <v>655</v>
      </c>
    </row>
    <row r="28" spans="1:3" x14ac:dyDescent="0.2">
      <c r="A28" s="39">
        <v>37726</v>
      </c>
      <c r="B28" s="2" t="s">
        <v>46</v>
      </c>
      <c r="C28" s="40" t="s">
        <v>656</v>
      </c>
    </row>
    <row r="29" spans="1:3" x14ac:dyDescent="0.2">
      <c r="A29" s="194">
        <v>37735</v>
      </c>
      <c r="B29" s="2" t="s">
        <v>46</v>
      </c>
      <c r="C29" s="40" t="s">
        <v>657</v>
      </c>
    </row>
    <row r="30" spans="1:3" x14ac:dyDescent="0.2">
      <c r="A30" s="39">
        <v>37841</v>
      </c>
      <c r="B30" s="2" t="s">
        <v>46</v>
      </c>
      <c r="C30" s="40" t="s">
        <v>662</v>
      </c>
    </row>
    <row r="31" spans="1:3" x14ac:dyDescent="0.2">
      <c r="A31" s="39">
        <v>37841</v>
      </c>
      <c r="B31" s="2" t="s">
        <v>46</v>
      </c>
      <c r="C31" s="40" t="s">
        <v>663</v>
      </c>
    </row>
    <row r="32" spans="1:3" x14ac:dyDescent="0.2">
      <c r="A32" s="39">
        <v>37841</v>
      </c>
      <c r="B32" s="2" t="s">
        <v>46</v>
      </c>
      <c r="C32" s="40" t="s">
        <v>664</v>
      </c>
    </row>
    <row r="33" spans="1:3" x14ac:dyDescent="0.2">
      <c r="A33" s="39">
        <v>37859</v>
      </c>
      <c r="B33" t="s">
        <v>46</v>
      </c>
      <c r="C33" t="s">
        <v>688</v>
      </c>
    </row>
    <row r="34" spans="1:3" x14ac:dyDescent="0.2">
      <c r="A34" s="39">
        <v>37859</v>
      </c>
      <c r="B34" t="s">
        <v>46</v>
      </c>
      <c r="C34" t="s">
        <v>689</v>
      </c>
    </row>
    <row r="35" spans="1:3" x14ac:dyDescent="0.2">
      <c r="A35" s="39">
        <v>37859</v>
      </c>
      <c r="B35" t="s">
        <v>46</v>
      </c>
      <c r="C35" t="s">
        <v>690</v>
      </c>
    </row>
    <row r="36" spans="1:3" x14ac:dyDescent="0.2">
      <c r="A36" s="39">
        <v>37861</v>
      </c>
      <c r="B36" t="s">
        <v>46</v>
      </c>
      <c r="C36" t="s">
        <v>691</v>
      </c>
    </row>
    <row r="37" spans="1:3" x14ac:dyDescent="0.2">
      <c r="A37" s="194">
        <v>37862</v>
      </c>
      <c r="B37" s="40" t="s">
        <v>46</v>
      </c>
      <c r="C37" s="2" t="s">
        <v>693</v>
      </c>
    </row>
    <row r="38" spans="1:3" x14ac:dyDescent="0.2">
      <c r="A38" s="82">
        <v>37883</v>
      </c>
      <c r="B38" s="40" t="s">
        <v>46</v>
      </c>
      <c r="C38" t="s">
        <v>703</v>
      </c>
    </row>
    <row r="39" spans="1:3" x14ac:dyDescent="0.2">
      <c r="A39" s="194">
        <v>37937</v>
      </c>
      <c r="B39" s="40" t="s">
        <v>46</v>
      </c>
      <c r="C39" s="225" t="s">
        <v>713</v>
      </c>
    </row>
    <row r="40" spans="1:3" x14ac:dyDescent="0.2">
      <c r="A40" s="194">
        <v>37938</v>
      </c>
      <c r="B40" s="40" t="s">
        <v>46</v>
      </c>
      <c r="C40" s="225" t="s">
        <v>715</v>
      </c>
    </row>
    <row r="41" spans="1:3" x14ac:dyDescent="0.2">
      <c r="A41" s="39">
        <v>38328</v>
      </c>
      <c r="B41" s="40" t="s">
        <v>46</v>
      </c>
      <c r="C41" s="40" t="s">
        <v>729</v>
      </c>
    </row>
    <row r="42" spans="1:3" x14ac:dyDescent="0.2">
      <c r="A42" s="39">
        <v>38338</v>
      </c>
      <c r="B42" s="40" t="s">
        <v>46</v>
      </c>
      <c r="C42" s="40" t="s">
        <v>730</v>
      </c>
    </row>
    <row r="43" spans="1:3" x14ac:dyDescent="0.2">
      <c r="A43" s="39">
        <v>38358</v>
      </c>
      <c r="B43" s="40" t="s">
        <v>46</v>
      </c>
      <c r="C43" s="40" t="s">
        <v>731</v>
      </c>
    </row>
    <row r="44" spans="1:3" x14ac:dyDescent="0.2">
      <c r="A44" s="82">
        <v>38386</v>
      </c>
      <c r="B44" s="40" t="s">
        <v>46</v>
      </c>
      <c r="C44" s="40" t="s">
        <v>732</v>
      </c>
    </row>
    <row r="45" spans="1:3" x14ac:dyDescent="0.2">
      <c r="A45" s="82">
        <v>38386</v>
      </c>
      <c r="B45" s="40" t="s">
        <v>46</v>
      </c>
      <c r="C45" s="40" t="s">
        <v>733</v>
      </c>
    </row>
    <row r="46" spans="1:3" x14ac:dyDescent="0.2">
      <c r="A46" s="82">
        <v>38412</v>
      </c>
      <c r="B46" s="2" t="s">
        <v>46</v>
      </c>
      <c r="C46" s="2" t="s">
        <v>734</v>
      </c>
    </row>
    <row r="47" spans="1:3" x14ac:dyDescent="0.2">
      <c r="A47" s="39">
        <v>38420</v>
      </c>
      <c r="B47" s="40" t="s">
        <v>46</v>
      </c>
      <c r="C47" s="40" t="s">
        <v>735</v>
      </c>
    </row>
    <row r="48" spans="1:3" x14ac:dyDescent="0.2">
      <c r="A48" s="39">
        <v>38533</v>
      </c>
      <c r="B48" s="40" t="s">
        <v>46</v>
      </c>
      <c r="C48" s="40" t="s">
        <v>749</v>
      </c>
    </row>
    <row r="49" spans="1:3" x14ac:dyDescent="0.2">
      <c r="A49" s="39">
        <v>38244</v>
      </c>
      <c r="B49" s="40" t="s">
        <v>46</v>
      </c>
      <c r="C49" s="40" t="s">
        <v>750</v>
      </c>
    </row>
    <row r="50" spans="1:3" x14ac:dyDescent="0.2">
      <c r="A50" s="82">
        <v>38618</v>
      </c>
      <c r="B50" s="40" t="s">
        <v>46</v>
      </c>
      <c r="C50" s="40" t="s">
        <v>751</v>
      </c>
    </row>
    <row r="51" spans="1:3" x14ac:dyDescent="0.2">
      <c r="A51" s="82">
        <v>38799</v>
      </c>
      <c r="B51" t="s">
        <v>752</v>
      </c>
      <c r="C51" t="s">
        <v>753</v>
      </c>
    </row>
    <row r="52" spans="1:3" x14ac:dyDescent="0.2">
      <c r="A52" s="82">
        <v>38917</v>
      </c>
      <c r="B52" t="s">
        <v>752</v>
      </c>
      <c r="C52" t="s">
        <v>755</v>
      </c>
    </row>
    <row r="53" spans="1:3" x14ac:dyDescent="0.2">
      <c r="A53" s="82">
        <v>39059</v>
      </c>
      <c r="B53" s="40" t="s">
        <v>46</v>
      </c>
      <c r="C53" s="40" t="s">
        <v>760</v>
      </c>
    </row>
    <row r="54" spans="1:3" x14ac:dyDescent="0.2">
      <c r="A54" s="39">
        <v>39238</v>
      </c>
      <c r="B54" s="2" t="s">
        <v>46</v>
      </c>
      <c r="C54" s="40" t="s">
        <v>761</v>
      </c>
    </row>
    <row r="55" spans="1:3" x14ac:dyDescent="0.2">
      <c r="A55" s="39">
        <v>39248</v>
      </c>
      <c r="B55" s="2" t="s">
        <v>46</v>
      </c>
      <c r="C55" s="40" t="s">
        <v>762</v>
      </c>
    </row>
    <row r="56" spans="1:3" x14ac:dyDescent="0.2">
      <c r="A56" s="194">
        <v>39282</v>
      </c>
      <c r="B56" s="2" t="s">
        <v>46</v>
      </c>
      <c r="C56" s="40" t="s">
        <v>768</v>
      </c>
    </row>
    <row r="57" spans="1:3" x14ac:dyDescent="0.2">
      <c r="A57" s="194">
        <v>39282</v>
      </c>
      <c r="B57" s="2" t="s">
        <v>46</v>
      </c>
      <c r="C57" s="40" t="s">
        <v>767</v>
      </c>
    </row>
    <row r="58" spans="1:3" x14ac:dyDescent="0.2">
      <c r="A58" s="82">
        <v>39287</v>
      </c>
      <c r="B58" s="2" t="s">
        <v>46</v>
      </c>
      <c r="C58" s="40" t="s">
        <v>769</v>
      </c>
    </row>
    <row r="59" spans="1:3" x14ac:dyDescent="0.2">
      <c r="A59" s="82">
        <v>39318</v>
      </c>
      <c r="B59" s="2" t="s">
        <v>46</v>
      </c>
      <c r="C59" s="40" t="s">
        <v>770</v>
      </c>
    </row>
    <row r="60" spans="1:3" x14ac:dyDescent="0.2">
      <c r="A60" s="82">
        <v>39321</v>
      </c>
      <c r="B60" s="2" t="s">
        <v>46</v>
      </c>
      <c r="C60" s="40" t="s">
        <v>771</v>
      </c>
    </row>
    <row r="61" spans="1:3" x14ac:dyDescent="0.2">
      <c r="A61" s="82">
        <v>39582</v>
      </c>
      <c r="B61" s="2" t="s">
        <v>46</v>
      </c>
      <c r="C61" s="44" t="s">
        <v>773</v>
      </c>
    </row>
    <row r="62" spans="1:3" x14ac:dyDescent="0.2">
      <c r="A62" s="307">
        <v>39608</v>
      </c>
      <c r="B62" s="2" t="s">
        <v>46</v>
      </c>
      <c r="C62" s="15" t="s">
        <v>774</v>
      </c>
    </row>
    <row r="63" spans="1:3" x14ac:dyDescent="0.2">
      <c r="A63" s="307">
        <v>39729</v>
      </c>
      <c r="B63" s="2" t="s">
        <v>46</v>
      </c>
      <c r="C63" s="15" t="s">
        <v>776</v>
      </c>
    </row>
    <row r="64" spans="1:3" x14ac:dyDescent="0.2">
      <c r="A64" s="82">
        <v>39786</v>
      </c>
      <c r="B64" s="2" t="s">
        <v>46</v>
      </c>
      <c r="C64" s="44" t="s">
        <v>778</v>
      </c>
    </row>
    <row r="65" spans="1:3" x14ac:dyDescent="0.2">
      <c r="A65" s="82">
        <v>39934</v>
      </c>
      <c r="B65" s="2" t="s">
        <v>46</v>
      </c>
      <c r="C65" s="44" t="s">
        <v>779</v>
      </c>
    </row>
    <row r="66" spans="1:3" x14ac:dyDescent="0.2">
      <c r="A66" s="82">
        <v>39945</v>
      </c>
      <c r="B66" s="2" t="s">
        <v>46</v>
      </c>
      <c r="C66" s="15" t="s">
        <v>774</v>
      </c>
    </row>
    <row r="67" spans="1:3" x14ac:dyDescent="0.2">
      <c r="A67" s="307">
        <v>40358</v>
      </c>
      <c r="B67" s="2" t="s">
        <v>46</v>
      </c>
      <c r="C67" s="15" t="s">
        <v>780</v>
      </c>
    </row>
    <row r="68" spans="1:3" x14ac:dyDescent="0.2">
      <c r="A68" s="309">
        <v>40373</v>
      </c>
      <c r="B68" s="2" t="s">
        <v>46</v>
      </c>
      <c r="C68" s="44" t="s">
        <v>781</v>
      </c>
    </row>
    <row r="69" spans="1:3" x14ac:dyDescent="0.2">
      <c r="A69" s="309">
        <v>40633</v>
      </c>
      <c r="B69" s="2" t="s">
        <v>46</v>
      </c>
      <c r="C69" s="44" t="s">
        <v>782</v>
      </c>
    </row>
    <row r="70" spans="1:3" x14ac:dyDescent="0.2">
      <c r="A70" s="82">
        <v>40736</v>
      </c>
      <c r="B70" s="2" t="s">
        <v>46</v>
      </c>
      <c r="C70" s="2" t="s">
        <v>783</v>
      </c>
    </row>
    <row r="71" spans="1:3" x14ac:dyDescent="0.2">
      <c r="A71" s="309">
        <v>40737</v>
      </c>
      <c r="B71" s="310" t="s">
        <v>752</v>
      </c>
      <c r="C71" s="2" t="s">
        <v>786</v>
      </c>
    </row>
    <row r="72" spans="1:3" x14ac:dyDescent="0.2">
      <c r="A72" s="307">
        <v>40890</v>
      </c>
      <c r="B72" s="310" t="s">
        <v>752</v>
      </c>
      <c r="C72" s="44" t="s">
        <v>787</v>
      </c>
    </row>
    <row r="73" spans="1:3" x14ac:dyDescent="0.2">
      <c r="A73" s="82">
        <v>40630</v>
      </c>
      <c r="B73" s="310" t="s">
        <v>752</v>
      </c>
      <c r="C73" s="44" t="s">
        <v>791</v>
      </c>
    </row>
    <row r="74" spans="1:3" x14ac:dyDescent="0.2">
      <c r="A74" s="82">
        <v>41012</v>
      </c>
      <c r="B74" s="310" t="s">
        <v>752</v>
      </c>
      <c r="C74" s="44" t="s">
        <v>792</v>
      </c>
    </row>
    <row r="75" spans="1:3" x14ac:dyDescent="0.2">
      <c r="A75" s="82">
        <v>41037</v>
      </c>
      <c r="B75" s="310" t="s">
        <v>752</v>
      </c>
      <c r="C75" s="316" t="s">
        <v>794</v>
      </c>
    </row>
    <row r="76" spans="1:3" x14ac:dyDescent="0.2">
      <c r="C76" s="40" t="s">
        <v>795</v>
      </c>
    </row>
    <row r="77" spans="1:3" x14ac:dyDescent="0.2">
      <c r="A77" s="323">
        <v>41249</v>
      </c>
      <c r="B77" s="324" t="s">
        <v>752</v>
      </c>
      <c r="C77" s="40" t="s">
        <v>844</v>
      </c>
    </row>
    <row r="78" spans="1:3" x14ac:dyDescent="0.2">
      <c r="A78" s="82">
        <v>41451</v>
      </c>
      <c r="B78" s="310" t="s">
        <v>752</v>
      </c>
      <c r="C78" s="316" t="s">
        <v>859</v>
      </c>
    </row>
    <row r="79" spans="1:3" x14ac:dyDescent="0.2">
      <c r="C79" s="40" t="s">
        <v>860</v>
      </c>
    </row>
    <row r="80" spans="1:3" x14ac:dyDescent="0.2">
      <c r="A80" s="82">
        <v>42241</v>
      </c>
      <c r="B80" t="s">
        <v>877</v>
      </c>
      <c r="C80" s="316" t="s">
        <v>878</v>
      </c>
    </row>
  </sheetData>
  <phoneticPr fontId="0" type="noConversion"/>
  <pageMargins left="0.75" right="0.75" top="1" bottom="1" header="0.5" footer="0.5"/>
  <pageSetup orientation="portrait" verticalDpi="0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T42"/>
  <sheetViews>
    <sheetView zoomScale="110" zoomScaleNormal="110" workbookViewId="0">
      <selection activeCell="C25" sqref="C25"/>
    </sheetView>
  </sheetViews>
  <sheetFormatPr defaultRowHeight="12.75" x14ac:dyDescent="0.2"/>
  <cols>
    <col min="1" max="1" width="4.85546875" customWidth="1"/>
    <col min="2" max="2" width="25.5703125" bestFit="1" customWidth="1"/>
    <col min="3" max="3" width="10.28515625" bestFit="1" customWidth="1"/>
    <col min="4" max="8" width="10.7109375" bestFit="1" customWidth="1"/>
    <col min="9" max="10" width="10.28515625" bestFit="1" customWidth="1"/>
    <col min="11" max="15" width="10.7109375" bestFit="1" customWidth="1"/>
    <col min="16" max="16" width="10.28515625" bestFit="1" customWidth="1"/>
    <col min="18" max="18" width="9" customWidth="1"/>
  </cols>
  <sheetData>
    <row r="1" spans="1:20" x14ac:dyDescent="0.2">
      <c r="A1" s="168" t="s">
        <v>882</v>
      </c>
      <c r="C1" t="s">
        <v>879</v>
      </c>
    </row>
    <row r="2" spans="1:20" x14ac:dyDescent="0.2">
      <c r="C2" s="168">
        <v>2000</v>
      </c>
      <c r="D2" s="168">
        <v>2001</v>
      </c>
      <c r="E2" s="168">
        <v>2002</v>
      </c>
      <c r="F2" s="168">
        <v>2003</v>
      </c>
      <c r="G2" s="168">
        <v>2004</v>
      </c>
      <c r="H2" s="168">
        <v>2005</v>
      </c>
      <c r="I2" s="168">
        <v>2006</v>
      </c>
      <c r="J2" s="168">
        <v>2007</v>
      </c>
      <c r="K2" s="168">
        <v>2008</v>
      </c>
      <c r="L2" s="168">
        <v>2009</v>
      </c>
      <c r="M2" s="168">
        <v>2010</v>
      </c>
      <c r="N2" s="168">
        <v>2011</v>
      </c>
      <c r="O2" s="168">
        <v>2012</v>
      </c>
      <c r="P2" s="168" t="s">
        <v>50</v>
      </c>
      <c r="Q2" s="168" t="s">
        <v>883</v>
      </c>
    </row>
    <row r="3" spans="1:20" ht="15" x14ac:dyDescent="0.25">
      <c r="A3" s="16">
        <v>1</v>
      </c>
      <c r="B3" s="15" t="s">
        <v>7</v>
      </c>
      <c r="C3" s="424">
        <v>1.6039632190544135</v>
      </c>
      <c r="D3" s="424">
        <v>4.294295124197359</v>
      </c>
      <c r="E3" s="424">
        <v>7.5677028579372649</v>
      </c>
      <c r="F3" s="424">
        <v>3.1808111956173231</v>
      </c>
      <c r="G3" s="424">
        <v>7.8329944088600261</v>
      </c>
      <c r="H3" s="424">
        <v>3.9627898762072022</v>
      </c>
      <c r="I3" s="424">
        <v>2.8874499995099954</v>
      </c>
      <c r="J3" s="424">
        <v>3.0884197754368854</v>
      </c>
      <c r="K3" s="424">
        <v>7.183966892176314</v>
      </c>
      <c r="L3" s="424">
        <v>7.9564781087299687</v>
      </c>
      <c r="M3" s="424">
        <v>3.1246558081058105</v>
      </c>
      <c r="N3" s="424">
        <v>5.7521261109182813</v>
      </c>
      <c r="O3" s="424">
        <v>7.6168554676454372</v>
      </c>
      <c r="P3" s="424">
        <f>AVERAGE(C3:O3)</f>
        <v>5.0809622187997139</v>
      </c>
      <c r="Q3" s="433">
        <f>P3/$P$20</f>
        <v>4.3845607067130076E-3</v>
      </c>
    </row>
    <row r="4" spans="1:20" ht="15" x14ac:dyDescent="0.25">
      <c r="A4" s="16">
        <v>2</v>
      </c>
      <c r="B4" s="15" t="s">
        <v>16</v>
      </c>
      <c r="C4" s="424">
        <v>3.1633884472737965</v>
      </c>
      <c r="D4" s="424">
        <v>5.6636836267842465</v>
      </c>
      <c r="E4" s="424">
        <v>8.2976997156628212</v>
      </c>
      <c r="F4" s="424">
        <v>5.8233756065596367</v>
      </c>
      <c r="G4" s="424">
        <v>8.0323779307036123</v>
      </c>
      <c r="H4" s="424">
        <v>6.9513884166219526</v>
      </c>
      <c r="I4" s="424">
        <v>4.2951417376984251</v>
      </c>
      <c r="J4" s="424">
        <v>5.0619464723002823</v>
      </c>
      <c r="K4" s="424">
        <v>7.05079829759626</v>
      </c>
      <c r="L4" s="424">
        <v>8.1041840046726943</v>
      </c>
      <c r="M4" s="424">
        <v>5.5407739156664224</v>
      </c>
      <c r="N4" s="424">
        <v>6.3212221073536501</v>
      </c>
      <c r="O4" s="424">
        <v>7.6952446703496573</v>
      </c>
      <c r="P4" s="424">
        <f t="shared" ref="P4:P19" si="0">AVERAGE(C4:O4)</f>
        <v>6.3077865345571889</v>
      </c>
      <c r="Q4" s="433">
        <f t="shared" ref="Q4:Q19" si="1">P4/$P$20</f>
        <v>5.4432353154332848E-3</v>
      </c>
    </row>
    <row r="5" spans="1:20" ht="15" x14ac:dyDescent="0.25">
      <c r="A5" s="16">
        <v>3</v>
      </c>
      <c r="B5" s="15" t="s">
        <v>17</v>
      </c>
      <c r="C5" s="424">
        <v>11.479677541565689</v>
      </c>
      <c r="D5" s="424">
        <v>19.621855838951401</v>
      </c>
      <c r="E5" s="424">
        <v>27.912010618818936</v>
      </c>
      <c r="F5" s="424">
        <v>20.983225301893075</v>
      </c>
      <c r="G5" s="424">
        <v>26.687467096451829</v>
      </c>
      <c r="H5" s="424">
        <v>24.939209908704893</v>
      </c>
      <c r="I5" s="424">
        <v>16.122090027715181</v>
      </c>
      <c r="J5" s="424">
        <v>19.19263011757613</v>
      </c>
      <c r="K5" s="424">
        <v>24.971435083764884</v>
      </c>
      <c r="L5" s="424">
        <v>28.886036524961543</v>
      </c>
      <c r="M5" s="424">
        <v>21.164583771501796</v>
      </c>
      <c r="N5" s="424">
        <v>22.808453249992272</v>
      </c>
      <c r="O5" s="424">
        <v>27.390617810918826</v>
      </c>
      <c r="P5" s="424">
        <f t="shared" si="0"/>
        <v>22.473791760985879</v>
      </c>
      <c r="Q5" s="433">
        <f t="shared" si="1"/>
        <v>1.9393512496801636E-2</v>
      </c>
    </row>
    <row r="6" spans="1:20" ht="15" x14ac:dyDescent="0.25">
      <c r="A6" s="16">
        <v>4</v>
      </c>
      <c r="B6" s="15" t="s">
        <v>18</v>
      </c>
      <c r="C6" s="424">
        <v>7.2440677293357156</v>
      </c>
      <c r="D6" s="424">
        <v>11.898828295870036</v>
      </c>
      <c r="E6" s="424">
        <v>16.471935764045408</v>
      </c>
      <c r="F6" s="424">
        <v>13.1636379801309</v>
      </c>
      <c r="G6" s="424">
        <v>15.563393803208394</v>
      </c>
      <c r="H6" s="424">
        <v>15.588654342630548</v>
      </c>
      <c r="I6" s="424">
        <v>16.407965139617922</v>
      </c>
      <c r="J6" s="424">
        <v>19.763447223051454</v>
      </c>
      <c r="K6" s="424">
        <v>23.623155160558163</v>
      </c>
      <c r="L6" s="424">
        <v>27.560002126464724</v>
      </c>
      <c r="M6" s="424">
        <v>21.979711711965201</v>
      </c>
      <c r="N6" s="424">
        <v>22.111701319326723</v>
      </c>
      <c r="O6" s="424">
        <v>26.085488604280233</v>
      </c>
      <c r="P6" s="424">
        <f t="shared" si="0"/>
        <v>18.266306861575803</v>
      </c>
      <c r="Q6" s="433">
        <f t="shared" si="1"/>
        <v>1.5762709477683781E-2</v>
      </c>
    </row>
    <row r="7" spans="1:20" ht="15" x14ac:dyDescent="0.25">
      <c r="A7" s="16">
        <v>5</v>
      </c>
      <c r="B7" s="15" t="s">
        <v>19</v>
      </c>
      <c r="C7" s="424">
        <v>49.807317106609226</v>
      </c>
      <c r="D7" s="424">
        <v>82.669674115257493</v>
      </c>
      <c r="E7" s="424">
        <v>115.28142301135988</v>
      </c>
      <c r="F7" s="424">
        <v>90.64552269576383</v>
      </c>
      <c r="G7" s="424">
        <v>109.27581715028923</v>
      </c>
      <c r="H7" s="424">
        <v>107.44565491083729</v>
      </c>
      <c r="I7" s="424">
        <v>59.553539418127208</v>
      </c>
      <c r="J7" s="424">
        <v>71.506834397723608</v>
      </c>
      <c r="K7" s="424">
        <v>87.494442911082686</v>
      </c>
      <c r="L7" s="424">
        <v>101.82959343930507</v>
      </c>
      <c r="M7" s="424">
        <v>79.345983130656535</v>
      </c>
      <c r="N7" s="424">
        <v>81.333324536766639</v>
      </c>
      <c r="O7" s="424">
        <v>96.431358056288175</v>
      </c>
      <c r="P7" s="424">
        <f t="shared" si="0"/>
        <v>87.12465268308209</v>
      </c>
      <c r="Q7" s="433">
        <f t="shared" si="1"/>
        <v>7.5183264958522206E-2</v>
      </c>
    </row>
    <row r="8" spans="1:20" ht="15" x14ac:dyDescent="0.25">
      <c r="A8" s="16">
        <v>6</v>
      </c>
      <c r="B8" s="15" t="s">
        <v>20</v>
      </c>
      <c r="C8" s="424">
        <v>6.8409054321058607</v>
      </c>
      <c r="D8" s="424">
        <v>11.143150686944718</v>
      </c>
      <c r="E8" s="424">
        <v>15.334435505610408</v>
      </c>
      <c r="F8" s="424">
        <v>12.416039869361422</v>
      </c>
      <c r="G8" s="424">
        <v>14.450190894019533</v>
      </c>
      <c r="H8" s="424">
        <v>14.692295729581001</v>
      </c>
      <c r="I8" s="424">
        <v>8.7117273184361999</v>
      </c>
      <c r="J8" s="424">
        <v>10.512236748831747</v>
      </c>
      <c r="K8" s="424">
        <v>12.395477655227099</v>
      </c>
      <c r="L8" s="424">
        <v>14.48185256439036</v>
      </c>
      <c r="M8" s="424">
        <v>11.706146916235726</v>
      </c>
      <c r="N8" s="424">
        <v>11.649645774647588</v>
      </c>
      <c r="O8" s="424">
        <v>13.702862192257214</v>
      </c>
      <c r="P8" s="424">
        <f t="shared" si="0"/>
        <v>12.156689791357605</v>
      </c>
      <c r="Q8" s="433">
        <f t="shared" si="1"/>
        <v>1.0490482331411094E-2</v>
      </c>
      <c r="R8" s="428">
        <f>SUM(P3:P8)</f>
        <v>151.41018985035825</v>
      </c>
      <c r="S8" s="432">
        <f>R8/P20</f>
        <v>0.13065776528656498</v>
      </c>
      <c r="T8" s="154" t="s">
        <v>885</v>
      </c>
    </row>
    <row r="9" spans="1:20" ht="15" x14ac:dyDescent="0.25">
      <c r="A9" s="47">
        <v>7</v>
      </c>
      <c r="B9" s="44" t="s">
        <v>21</v>
      </c>
      <c r="C9" s="424">
        <v>7.0821940619762075E-2</v>
      </c>
      <c r="D9" s="424">
        <v>0.32129268690095525</v>
      </c>
      <c r="E9" s="424">
        <v>0.6452049203124508</v>
      </c>
      <c r="F9" s="424">
        <v>0.16156331884753616</v>
      </c>
      <c r="G9" s="424">
        <v>0.69392790913645686</v>
      </c>
      <c r="H9" s="424">
        <v>0.21553256544054028</v>
      </c>
      <c r="I9" s="424">
        <v>0.20212598109255497</v>
      </c>
      <c r="J9" s="424">
        <v>0.19489415712492414</v>
      </c>
      <c r="K9" s="424">
        <v>0.66840112086370163</v>
      </c>
      <c r="L9" s="424">
        <v>0.7268368625914674</v>
      </c>
      <c r="M9" s="424">
        <v>0.17808528637753632</v>
      </c>
      <c r="N9" s="424">
        <v>0.50441828311822978</v>
      </c>
      <c r="O9" s="424">
        <v>0.69868051749582805</v>
      </c>
      <c r="P9" s="424">
        <f t="shared" si="0"/>
        <v>0.40629119614784176</v>
      </c>
      <c r="Q9" s="433">
        <f t="shared" si="1"/>
        <v>3.506045385501961E-4</v>
      </c>
    </row>
    <row r="10" spans="1:20" ht="15" x14ac:dyDescent="0.25">
      <c r="A10" s="16">
        <v>8</v>
      </c>
      <c r="B10" s="15" t="s">
        <v>22</v>
      </c>
      <c r="C10" s="424">
        <v>0</v>
      </c>
      <c r="D10" s="424">
        <v>0</v>
      </c>
      <c r="E10" s="424">
        <v>0</v>
      </c>
      <c r="F10" s="424">
        <v>0</v>
      </c>
      <c r="G10" s="424">
        <v>0</v>
      </c>
      <c r="H10" s="424">
        <v>0</v>
      </c>
      <c r="I10" s="424">
        <v>6.2340847228416527E-2</v>
      </c>
      <c r="J10" s="424">
        <v>6.1278930185450303E-2</v>
      </c>
      <c r="K10" s="424">
        <v>0.19707173584280288</v>
      </c>
      <c r="L10" s="424">
        <v>0.21485568990082643</v>
      </c>
      <c r="M10" s="424">
        <v>5.7155973966838296E-2</v>
      </c>
      <c r="N10" s="424">
        <v>0.1499927682643461</v>
      </c>
      <c r="O10" s="424">
        <v>0.2064119678606211</v>
      </c>
      <c r="P10" s="424">
        <f t="shared" si="0"/>
        <v>7.3008301019177047E-2</v>
      </c>
      <c r="Q10" s="433">
        <f t="shared" si="1"/>
        <v>6.3001713873829789E-5</v>
      </c>
    </row>
    <row r="11" spans="1:20" ht="15" x14ac:dyDescent="0.25">
      <c r="A11" s="16">
        <v>9</v>
      </c>
      <c r="B11" s="15" t="s">
        <v>23</v>
      </c>
      <c r="C11" s="424">
        <v>4.3239821514475922</v>
      </c>
      <c r="D11" s="424">
        <v>20.824560347723068</v>
      </c>
      <c r="E11" s="424">
        <v>42.246702339715945</v>
      </c>
      <c r="F11" s="424">
        <v>10.057892207475174</v>
      </c>
      <c r="G11" s="424">
        <v>45.561035656917781</v>
      </c>
      <c r="H11" s="424">
        <v>13.531335278421754</v>
      </c>
      <c r="I11" s="424">
        <v>28.432241284007034</v>
      </c>
      <c r="J11" s="424">
        <v>26.648603642112104</v>
      </c>
      <c r="K11" s="424">
        <v>99.976339330741979</v>
      </c>
      <c r="L11" s="424">
        <v>108.35308429667198</v>
      </c>
      <c r="M11" s="424">
        <v>23.588126394936051</v>
      </c>
      <c r="N11" s="424">
        <v>74.615775989958308</v>
      </c>
      <c r="O11" s="424">
        <v>104.23477450593553</v>
      </c>
      <c r="P11" s="424">
        <f t="shared" si="0"/>
        <v>46.338034878928021</v>
      </c>
      <c r="Q11" s="433">
        <f t="shared" si="1"/>
        <v>3.9986899765698386E-2</v>
      </c>
    </row>
    <row r="12" spans="1:20" ht="15" x14ac:dyDescent="0.25">
      <c r="A12" s="16">
        <v>10</v>
      </c>
      <c r="B12" s="15" t="s">
        <v>24</v>
      </c>
      <c r="C12" s="424">
        <v>15.25449315448166</v>
      </c>
      <c r="D12" s="424">
        <v>77.509037353031985</v>
      </c>
      <c r="E12" s="424">
        <v>158.59049602666221</v>
      </c>
      <c r="F12" s="424">
        <v>36.131305215023538</v>
      </c>
      <c r="G12" s="424">
        <v>171.41921462174935</v>
      </c>
      <c r="H12" s="424">
        <v>48.982032439731192</v>
      </c>
      <c r="I12" s="424">
        <v>28.986944554625744</v>
      </c>
      <c r="J12" s="424">
        <v>27.51677906080111</v>
      </c>
      <c r="K12" s="424">
        <v>99.220601096158788</v>
      </c>
      <c r="L12" s="424">
        <v>107.68950472892621</v>
      </c>
      <c r="M12" s="424">
        <v>24.712904650574014</v>
      </c>
      <c r="N12" s="424">
        <v>74.407647984036657</v>
      </c>
      <c r="O12" s="424">
        <v>103.56250072064225</v>
      </c>
      <c r="P12" s="424">
        <f t="shared" si="0"/>
        <v>74.921804738957292</v>
      </c>
      <c r="Q12" s="433">
        <f t="shared" si="1"/>
        <v>6.4652950954643906E-2</v>
      </c>
    </row>
    <row r="13" spans="1:20" ht="15" x14ac:dyDescent="0.25">
      <c r="A13" s="16">
        <v>11</v>
      </c>
      <c r="B13" s="15" t="s">
        <v>25</v>
      </c>
      <c r="C13" s="424">
        <v>8.1907214667699679E-2</v>
      </c>
      <c r="D13" s="424">
        <v>0.31311080729236246</v>
      </c>
      <c r="E13" s="424">
        <v>0.60807216633576022</v>
      </c>
      <c r="F13" s="424">
        <v>0.17747505819365775</v>
      </c>
      <c r="G13" s="424">
        <v>0.6479878497799304</v>
      </c>
      <c r="H13" s="424">
        <v>0.23125893641736089</v>
      </c>
      <c r="I13" s="424">
        <v>0.19810258480158174</v>
      </c>
      <c r="J13" s="424">
        <v>0.19651758859162435</v>
      </c>
      <c r="K13" s="424">
        <v>0.61233611784584041</v>
      </c>
      <c r="L13" s="424">
        <v>0.66848258522634363</v>
      </c>
      <c r="M13" s="424">
        <v>0.18504121564920242</v>
      </c>
      <c r="N13" s="424">
        <v>0.468087735443521</v>
      </c>
      <c r="O13" s="424">
        <v>0.64201885621085397</v>
      </c>
      <c r="P13" s="424">
        <f t="shared" si="0"/>
        <v>0.38695374741967226</v>
      </c>
      <c r="Q13" s="433">
        <f t="shared" si="1"/>
        <v>3.33917498928469E-4</v>
      </c>
    </row>
    <row r="14" spans="1:20" ht="15" x14ac:dyDescent="0.25">
      <c r="A14" s="16">
        <v>12</v>
      </c>
      <c r="B14" s="15" t="s">
        <v>26</v>
      </c>
      <c r="C14" s="424">
        <v>0</v>
      </c>
      <c r="D14" s="424">
        <v>0</v>
      </c>
      <c r="E14" s="424">
        <v>0</v>
      </c>
      <c r="F14" s="424">
        <v>0</v>
      </c>
      <c r="G14" s="424">
        <v>0</v>
      </c>
      <c r="H14" s="424">
        <v>0</v>
      </c>
      <c r="I14" s="424">
        <v>0</v>
      </c>
      <c r="J14" s="424">
        <v>0</v>
      </c>
      <c r="K14" s="424">
        <v>0</v>
      </c>
      <c r="L14" s="424">
        <v>0</v>
      </c>
      <c r="M14" s="424">
        <v>0</v>
      </c>
      <c r="N14" s="424">
        <v>0</v>
      </c>
      <c r="O14" s="424">
        <v>0</v>
      </c>
      <c r="P14" s="424">
        <f t="shared" si="0"/>
        <v>0</v>
      </c>
      <c r="Q14" s="433">
        <f t="shared" si="1"/>
        <v>0</v>
      </c>
    </row>
    <row r="15" spans="1:20" ht="15" x14ac:dyDescent="0.25">
      <c r="A15" s="16">
        <v>13</v>
      </c>
      <c r="B15" s="15" t="s">
        <v>27</v>
      </c>
      <c r="C15" s="424">
        <v>0.33137002187215764</v>
      </c>
      <c r="D15" s="424">
        <v>1.5202416817044428</v>
      </c>
      <c r="E15" s="424">
        <v>3.0588757310854722</v>
      </c>
      <c r="F15" s="424">
        <v>0.7586579422960309</v>
      </c>
      <c r="G15" s="424">
        <v>3.2916075158922631</v>
      </c>
      <c r="H15" s="424">
        <v>1.0136765890922232</v>
      </c>
      <c r="I15" s="424">
        <v>0.93376903280992307</v>
      </c>
      <c r="J15" s="424">
        <v>0.89470933062294122</v>
      </c>
      <c r="K15" s="424">
        <v>3.1317458112968963</v>
      </c>
      <c r="L15" s="424">
        <v>3.4028599277203155</v>
      </c>
      <c r="M15" s="424">
        <v>0.8119247014928388</v>
      </c>
      <c r="N15" s="424">
        <v>2.3572757256104317</v>
      </c>
      <c r="O15" s="424">
        <v>3.2716224564351331</v>
      </c>
      <c r="P15" s="424">
        <f t="shared" si="0"/>
        <v>1.9060258821485438</v>
      </c>
      <c r="Q15" s="433">
        <f t="shared" si="1"/>
        <v>1.6447841627172568E-3</v>
      </c>
      <c r="R15" s="428">
        <f>SUM(P10:P15)</f>
        <v>123.6258275484727</v>
      </c>
      <c r="S15" s="432">
        <f>R15/P20</f>
        <v>0.10668155409586184</v>
      </c>
      <c r="T15" s="154" t="s">
        <v>886</v>
      </c>
    </row>
    <row r="16" spans="1:20" ht="15" x14ac:dyDescent="0.25">
      <c r="A16" s="16">
        <v>14</v>
      </c>
      <c r="B16" s="15" t="s">
        <v>28</v>
      </c>
      <c r="C16" s="424">
        <v>1.5407402097236258</v>
      </c>
      <c r="D16" s="424">
        <v>7.3653002321433032</v>
      </c>
      <c r="E16" s="424">
        <v>14.923612504162723</v>
      </c>
      <c r="F16" s="424">
        <v>3.5750524539826136</v>
      </c>
      <c r="G16" s="424">
        <v>16.089132895894032</v>
      </c>
      <c r="H16" s="424">
        <v>4.8046048945339459</v>
      </c>
      <c r="I16" s="424">
        <v>3.7001328938861033</v>
      </c>
      <c r="J16" s="424">
        <v>3.5107309935106756</v>
      </c>
      <c r="K16" s="424">
        <v>12.678840530396956</v>
      </c>
      <c r="L16" s="424">
        <v>13.760236927212642</v>
      </c>
      <c r="M16" s="424">
        <v>3.1512429479505388</v>
      </c>
      <c r="N16" s="424">
        <v>9.5063089396125342</v>
      </c>
      <c r="O16" s="424">
        <v>13.233074526070645</v>
      </c>
      <c r="P16" s="424">
        <f t="shared" si="0"/>
        <v>8.2953085345446418</v>
      </c>
      <c r="Q16" s="433">
        <f t="shared" si="1"/>
        <v>7.1583456606015778E-3</v>
      </c>
    </row>
    <row r="17" spans="1:20" ht="15" x14ac:dyDescent="0.25">
      <c r="A17" s="47">
        <v>15</v>
      </c>
      <c r="B17" s="44" t="s">
        <v>29</v>
      </c>
      <c r="C17" s="424">
        <v>0.92037173130463334</v>
      </c>
      <c r="D17" s="424">
        <v>1.4655883849247351</v>
      </c>
      <c r="E17" s="424">
        <v>1.9837043723487311</v>
      </c>
      <c r="F17" s="424">
        <v>1.665058312855471</v>
      </c>
      <c r="G17" s="424">
        <v>1.8552937886401017</v>
      </c>
      <c r="H17" s="424">
        <v>1.9663430609144852</v>
      </c>
      <c r="I17" s="424">
        <v>1.0576799587085932</v>
      </c>
      <c r="J17" s="424">
        <v>1.2837990193906195</v>
      </c>
      <c r="K17" s="424">
        <v>1.4464738666490269</v>
      </c>
      <c r="L17" s="424">
        <v>1.6982388820065175</v>
      </c>
      <c r="M17" s="424">
        <v>1.4355814221300096</v>
      </c>
      <c r="N17" s="424">
        <v>1.3784353425130347</v>
      </c>
      <c r="O17" s="424">
        <v>1.6052100839033225</v>
      </c>
      <c r="P17" s="424">
        <f t="shared" si="0"/>
        <v>1.5201367866376372</v>
      </c>
      <c r="Q17" s="433">
        <f t="shared" si="1"/>
        <v>1.3117853934947929E-3</v>
      </c>
    </row>
    <row r="18" spans="1:20" ht="15" x14ac:dyDescent="0.25">
      <c r="A18" s="16">
        <v>16</v>
      </c>
      <c r="B18" s="15" t="s">
        <v>30</v>
      </c>
      <c r="C18" s="424">
        <v>214.20870923779128</v>
      </c>
      <c r="D18" s="424">
        <v>345.38617849264722</v>
      </c>
      <c r="E18" s="424">
        <v>471.80751477042804</v>
      </c>
      <c r="F18" s="424">
        <v>388.21501116673437</v>
      </c>
      <c r="G18" s="424">
        <v>443.12476560481116</v>
      </c>
      <c r="H18" s="424">
        <v>458.9688136236278</v>
      </c>
      <c r="I18" s="424">
        <v>269.78992833861474</v>
      </c>
      <c r="J18" s="424">
        <v>319.34941937791694</v>
      </c>
      <c r="K18" s="424">
        <v>369.22064072929373</v>
      </c>
      <c r="L18" s="424">
        <v>441.81431250418046</v>
      </c>
      <c r="M18" s="424">
        <v>364.11842053258374</v>
      </c>
      <c r="N18" s="424">
        <v>356.778527365603</v>
      </c>
      <c r="O18" s="424">
        <v>417.86210164968747</v>
      </c>
      <c r="P18" s="424">
        <f t="shared" si="0"/>
        <v>373.89571872260916</v>
      </c>
      <c r="Q18" s="433">
        <f t="shared" si="1"/>
        <v>0.32264921605865482</v>
      </c>
      <c r="R18" s="406">
        <f>SUM(P16:P18)</f>
        <v>383.71116404379143</v>
      </c>
      <c r="S18" s="432">
        <f>R18/P20</f>
        <v>0.33111934711275121</v>
      </c>
      <c r="T18" s="154" t="s">
        <v>884</v>
      </c>
    </row>
    <row r="19" spans="1:20" ht="15" x14ac:dyDescent="0.25">
      <c r="A19" s="374">
        <v>18</v>
      </c>
      <c r="B19" s="425" t="s">
        <v>881</v>
      </c>
      <c r="C19" s="426">
        <v>96.9</v>
      </c>
      <c r="D19" s="426">
        <v>512.20000000000005</v>
      </c>
      <c r="E19" s="426">
        <v>727.7</v>
      </c>
      <c r="F19" s="426">
        <v>555.5</v>
      </c>
      <c r="G19" s="426">
        <v>670.6</v>
      </c>
      <c r="H19" s="426">
        <v>770.8</v>
      </c>
      <c r="I19" s="426">
        <v>160.30000000000001</v>
      </c>
      <c r="J19" s="426">
        <v>342.3</v>
      </c>
      <c r="K19" s="426">
        <v>477.9</v>
      </c>
      <c r="L19" s="426">
        <v>649.29999999999995</v>
      </c>
      <c r="M19" s="426">
        <v>536.9</v>
      </c>
      <c r="N19" s="426">
        <v>419.8</v>
      </c>
      <c r="O19" s="426">
        <v>575.6</v>
      </c>
      <c r="P19" s="424">
        <f t="shared" si="0"/>
        <v>499.67692307692312</v>
      </c>
      <c r="Q19" s="433">
        <f t="shared" si="1"/>
        <v>0.43119072896627197</v>
      </c>
    </row>
    <row r="20" spans="1:20" ht="15" x14ac:dyDescent="0.25">
      <c r="A20" s="47"/>
      <c r="B20" s="316" t="s">
        <v>42</v>
      </c>
      <c r="C20" s="431">
        <f>SUM(C3:C19)</f>
        <v>413.77171513785311</v>
      </c>
      <c r="D20" s="431">
        <f t="shared" ref="D20:Q20" si="2">SUM(D3:D19)</f>
        <v>1102.1967976743733</v>
      </c>
      <c r="E20" s="431">
        <f t="shared" si="2"/>
        <v>1612.4293903044861</v>
      </c>
      <c r="F20" s="431">
        <f t="shared" si="2"/>
        <v>1142.4546283247346</v>
      </c>
      <c r="G20" s="431">
        <f t="shared" si="2"/>
        <v>1535.1252071263539</v>
      </c>
      <c r="H20" s="431">
        <f t="shared" si="2"/>
        <v>1474.0935905727622</v>
      </c>
      <c r="I20" s="431">
        <f t="shared" si="2"/>
        <v>601.64117911687958</v>
      </c>
      <c r="J20" s="431">
        <f t="shared" si="2"/>
        <v>851.08224683517642</v>
      </c>
      <c r="K20" s="431">
        <f t="shared" si="2"/>
        <v>1227.7717263394952</v>
      </c>
      <c r="L20" s="431">
        <f t="shared" si="2"/>
        <v>1516.4465591729611</v>
      </c>
      <c r="M20" s="431">
        <f t="shared" si="2"/>
        <v>1098.0003383797921</v>
      </c>
      <c r="N20" s="431">
        <f t="shared" si="2"/>
        <v>1089.9429432331654</v>
      </c>
      <c r="O20" s="431">
        <f t="shared" si="2"/>
        <v>1399.8388220859813</v>
      </c>
      <c r="P20" s="431">
        <f t="shared" si="2"/>
        <v>1158.8303957156932</v>
      </c>
      <c r="Q20" s="434">
        <f t="shared" si="2"/>
        <v>1.0000000000000002</v>
      </c>
      <c r="R20" s="435"/>
    </row>
    <row r="21" spans="1:20" s="186" customFormat="1" ht="15" x14ac:dyDescent="0.25">
      <c r="A21" s="47"/>
      <c r="B21" s="316"/>
      <c r="C21" s="427"/>
      <c r="D21" s="427"/>
      <c r="E21" s="427"/>
      <c r="F21" s="427"/>
      <c r="G21" s="427"/>
      <c r="H21" s="427"/>
      <c r="I21" s="427"/>
      <c r="J21" s="427"/>
      <c r="K21" s="427"/>
      <c r="L21" s="427"/>
      <c r="M21" s="427"/>
      <c r="N21" s="427"/>
      <c r="O21" s="427"/>
    </row>
    <row r="23" spans="1:20" x14ac:dyDescent="0.2">
      <c r="C23" t="s">
        <v>880</v>
      </c>
    </row>
    <row r="24" spans="1:20" x14ac:dyDescent="0.2">
      <c r="C24" s="168">
        <v>2000</v>
      </c>
      <c r="D24" s="168">
        <v>2001</v>
      </c>
      <c r="E24" s="168">
        <v>2002</v>
      </c>
      <c r="F24" s="168">
        <v>2003</v>
      </c>
      <c r="G24" s="168">
        <v>2004</v>
      </c>
      <c r="H24" s="168">
        <v>2005</v>
      </c>
      <c r="I24" s="168">
        <v>2006</v>
      </c>
      <c r="J24" s="168">
        <v>2007</v>
      </c>
      <c r="K24" s="168">
        <v>2008</v>
      </c>
      <c r="L24" s="168">
        <v>2009</v>
      </c>
      <c r="M24" s="168">
        <v>2010</v>
      </c>
      <c r="N24" s="168">
        <v>2011</v>
      </c>
      <c r="O24" s="168">
        <v>2012</v>
      </c>
      <c r="P24" s="168" t="s">
        <v>50</v>
      </c>
      <c r="Q24" s="168" t="s">
        <v>883</v>
      </c>
    </row>
    <row r="25" spans="1:20" ht="15" x14ac:dyDescent="0.25">
      <c r="A25" s="16">
        <v>1</v>
      </c>
      <c r="B25" s="15" t="s">
        <v>7</v>
      </c>
      <c r="C25" s="424">
        <v>26.642019522323071</v>
      </c>
      <c r="D25" s="424">
        <v>69.731070020361159</v>
      </c>
      <c r="E25" s="424">
        <v>121.92638272745423</v>
      </c>
      <c r="F25" s="424">
        <v>52.577443224220985</v>
      </c>
      <c r="G25" s="424">
        <v>125.88387481452413</v>
      </c>
      <c r="H25" s="424">
        <v>65.330318716456119</v>
      </c>
      <c r="I25" s="424">
        <v>47.129020782350615</v>
      </c>
      <c r="J25" s="424">
        <v>50.657772725651704</v>
      </c>
      <c r="K25" s="424">
        <v>115.3257394419557</v>
      </c>
      <c r="L25" s="424">
        <v>127.88382807346515</v>
      </c>
      <c r="M25" s="424">
        <v>51.474931935738226</v>
      </c>
      <c r="N25" s="424">
        <v>92.69903008663124</v>
      </c>
      <c r="O25" s="424">
        <v>122.39162995045626</v>
      </c>
      <c r="P25" s="424">
        <f t="shared" ref="P25:P41" si="3">AVERAGE(C25:O25)</f>
        <v>82.281004770891428</v>
      </c>
      <c r="Q25" s="433">
        <f>P25/$P$42</f>
        <v>4.1699620642800623E-3</v>
      </c>
    </row>
    <row r="26" spans="1:20" ht="15" x14ac:dyDescent="0.25">
      <c r="A26" s="16">
        <v>2</v>
      </c>
      <c r="B26" s="15" t="s">
        <v>16</v>
      </c>
      <c r="C26" s="424">
        <v>32.548148049133211</v>
      </c>
      <c r="D26" s="424">
        <v>58.273720177138323</v>
      </c>
      <c r="E26" s="424">
        <v>85.375148614895508</v>
      </c>
      <c r="F26" s="424">
        <v>59.916793194133085</v>
      </c>
      <c r="G26" s="424">
        <v>82.645249052622376</v>
      </c>
      <c r="H26" s="424">
        <v>71.522932798919129</v>
      </c>
      <c r="I26" s="424">
        <v>44.192773508766557</v>
      </c>
      <c r="J26" s="424">
        <v>52.082438165064552</v>
      </c>
      <c r="K26" s="424">
        <v>72.545762456872453</v>
      </c>
      <c r="L26" s="424">
        <v>83.38406275360397</v>
      </c>
      <c r="M26" s="424">
        <v>57.00910043763502</v>
      </c>
      <c r="N26" s="424">
        <v>65.039142815012255</v>
      </c>
      <c r="O26" s="424">
        <v>79.176480214023357</v>
      </c>
      <c r="P26" s="424">
        <f t="shared" si="3"/>
        <v>64.900904018293829</v>
      </c>
      <c r="Q26" s="433">
        <f t="shared" ref="Q26:Q41" si="4">P26/$P$42</f>
        <v>3.2891468504466911E-3</v>
      </c>
    </row>
    <row r="27" spans="1:20" ht="15" x14ac:dyDescent="0.25">
      <c r="A27" s="16">
        <v>3</v>
      </c>
      <c r="B27" s="15" t="s">
        <v>17</v>
      </c>
      <c r="C27" s="424">
        <v>84.566547191408716</v>
      </c>
      <c r="D27" s="424">
        <v>145.52780410579649</v>
      </c>
      <c r="E27" s="424">
        <v>207.93441741257672</v>
      </c>
      <c r="F27" s="424">
        <v>154.73296490384206</v>
      </c>
      <c r="G27" s="424">
        <v>199.1893230774329</v>
      </c>
      <c r="H27" s="424">
        <v>184.02005466802152</v>
      </c>
      <c r="I27" s="424">
        <v>122.46094225424049</v>
      </c>
      <c r="J27" s="424">
        <v>145.47757834136328</v>
      </c>
      <c r="K27" s="424">
        <v>192.06258851715464</v>
      </c>
      <c r="L27" s="424">
        <v>221.86007118138181</v>
      </c>
      <c r="M27" s="424">
        <v>160.17766476826586</v>
      </c>
      <c r="N27" s="424">
        <v>174.71488579074435</v>
      </c>
      <c r="O27" s="424">
        <v>210.43799429547329</v>
      </c>
      <c r="P27" s="424">
        <f t="shared" si="3"/>
        <v>169.47406434674633</v>
      </c>
      <c r="Q27" s="433">
        <f t="shared" si="4"/>
        <v>8.58886472246022E-3</v>
      </c>
    </row>
    <row r="28" spans="1:20" ht="15" x14ac:dyDescent="0.25">
      <c r="A28" s="16">
        <v>4</v>
      </c>
      <c r="B28" s="15" t="s">
        <v>18</v>
      </c>
      <c r="C28" s="424">
        <v>95.263098231252641</v>
      </c>
      <c r="D28" s="424">
        <v>156.54858251405244</v>
      </c>
      <c r="E28" s="424">
        <v>216.78675267493117</v>
      </c>
      <c r="F28" s="424">
        <v>173.12011186239232</v>
      </c>
      <c r="G28" s="424">
        <v>204.85950843733823</v>
      </c>
      <c r="H28" s="424">
        <v>205.02107204772764</v>
      </c>
      <c r="I28" s="424">
        <v>218.9745674290931</v>
      </c>
      <c r="J28" s="424">
        <v>263.73981411884233</v>
      </c>
      <c r="K28" s="424">
        <v>315.38827839855617</v>
      </c>
      <c r="L28" s="424">
        <v>367.9311915061985</v>
      </c>
      <c r="M28" s="424">
        <v>293.30293519956399</v>
      </c>
      <c r="N28" s="424">
        <v>295.16980284057558</v>
      </c>
      <c r="O28" s="424">
        <v>348.2496424416766</v>
      </c>
      <c r="P28" s="424">
        <f t="shared" si="3"/>
        <v>242.64271982324618</v>
      </c>
      <c r="Q28" s="433">
        <f t="shared" si="4"/>
        <v>1.2297017272139839E-2</v>
      </c>
    </row>
    <row r="29" spans="1:20" ht="15" x14ac:dyDescent="0.25">
      <c r="A29" s="16">
        <v>5</v>
      </c>
      <c r="B29" s="15" t="s">
        <v>19</v>
      </c>
      <c r="C29" s="424">
        <v>400.07014981953256</v>
      </c>
      <c r="D29" s="424">
        <v>664.47605004592594</v>
      </c>
      <c r="E29" s="424">
        <v>927.02969576686201</v>
      </c>
      <c r="F29" s="424">
        <v>728.16835023342333</v>
      </c>
      <c r="G29" s="424">
        <v>878.91523384207983</v>
      </c>
      <c r="H29" s="424">
        <v>863.17852003052394</v>
      </c>
      <c r="I29" s="424">
        <v>467.6782985749818</v>
      </c>
      <c r="J29" s="424">
        <v>561.40095716311816</v>
      </c>
      <c r="K29" s="424">
        <v>688.24594759760691</v>
      </c>
      <c r="L29" s="424">
        <v>800.85110435674267</v>
      </c>
      <c r="M29" s="424">
        <v>622.82845424113702</v>
      </c>
      <c r="N29" s="424">
        <v>639.42093903887644</v>
      </c>
      <c r="O29" s="424">
        <v>758.42803304618701</v>
      </c>
      <c r="P29" s="424">
        <f t="shared" si="3"/>
        <v>692.36090259669209</v>
      </c>
      <c r="Q29" s="433">
        <f t="shared" si="4"/>
        <v>3.5088520207768363E-2</v>
      </c>
    </row>
    <row r="30" spans="1:20" ht="15" x14ac:dyDescent="0.25">
      <c r="A30" s="16">
        <v>6</v>
      </c>
      <c r="B30" s="15" t="s">
        <v>20</v>
      </c>
      <c r="C30" s="424">
        <v>56.734414017666076</v>
      </c>
      <c r="D30" s="424">
        <v>92.275701182618405</v>
      </c>
      <c r="E30" s="424">
        <v>126.84640672177517</v>
      </c>
      <c r="F30" s="424">
        <v>102.94898591935033</v>
      </c>
      <c r="G30" s="424">
        <v>119.4739442645553</v>
      </c>
      <c r="H30" s="424">
        <v>121.8063827591578</v>
      </c>
      <c r="I30" s="424">
        <v>72.177355969271616</v>
      </c>
      <c r="J30" s="424">
        <v>87.127613600441563</v>
      </c>
      <c r="K30" s="424">
        <v>102.44192306555621</v>
      </c>
      <c r="L30" s="424">
        <v>119.72097449603673</v>
      </c>
      <c r="M30" s="424">
        <v>97.049129517952196</v>
      </c>
      <c r="N30" s="424">
        <v>96.36109740181243</v>
      </c>
      <c r="O30" s="424">
        <v>113.27374452800174</v>
      </c>
      <c r="P30" s="424">
        <f t="shared" si="3"/>
        <v>100.63366718801505</v>
      </c>
      <c r="Q30" s="433">
        <f t="shared" si="4"/>
        <v>5.1000662392477695E-3</v>
      </c>
      <c r="R30" s="406">
        <f>SUM(P25:P30)</f>
        <v>1352.293262743885</v>
      </c>
      <c r="S30" s="432">
        <f>R30/P42</f>
        <v>6.8533577356342953E-2</v>
      </c>
      <c r="T30" s="154" t="s">
        <v>885</v>
      </c>
    </row>
    <row r="31" spans="1:20" ht="15" x14ac:dyDescent="0.25">
      <c r="A31" s="47">
        <v>7</v>
      </c>
      <c r="B31" s="44" t="s">
        <v>21</v>
      </c>
      <c r="C31" s="424">
        <v>0.71833685726959295</v>
      </c>
      <c r="D31" s="424">
        <v>3.2529103751019139</v>
      </c>
      <c r="E31" s="424">
        <v>6.5302477509635439</v>
      </c>
      <c r="F31" s="424">
        <v>1.6377650939254076</v>
      </c>
      <c r="G31" s="424">
        <v>7.0227754977507715</v>
      </c>
      <c r="H31" s="424">
        <v>2.1842940926536829</v>
      </c>
      <c r="I31" s="424">
        <v>2.1445307654659436</v>
      </c>
      <c r="J31" s="424">
        <v>2.0713132268495245</v>
      </c>
      <c r="K31" s="424">
        <v>7.0643665050274134</v>
      </c>
      <c r="L31" s="424">
        <v>7.6836437222584841</v>
      </c>
      <c r="M31" s="424">
        <v>1.8961622488938084</v>
      </c>
      <c r="N31" s="424">
        <v>5.3350387193743929</v>
      </c>
      <c r="O31" s="424">
        <v>7.3856308940625421</v>
      </c>
      <c r="P31" s="424">
        <f t="shared" si="3"/>
        <v>4.2251550576613095</v>
      </c>
      <c r="Q31" s="433">
        <f t="shared" si="4"/>
        <v>2.1412884243705399E-4</v>
      </c>
      <c r="R31" s="406"/>
    </row>
    <row r="32" spans="1:20" ht="15" x14ac:dyDescent="0.25">
      <c r="A32" s="16">
        <v>8</v>
      </c>
      <c r="B32" s="15" t="s">
        <v>22</v>
      </c>
      <c r="C32" s="424">
        <v>0</v>
      </c>
      <c r="D32" s="424">
        <v>0</v>
      </c>
      <c r="E32" s="424">
        <v>0</v>
      </c>
      <c r="F32" s="424">
        <v>0</v>
      </c>
      <c r="G32" s="424">
        <v>0</v>
      </c>
      <c r="H32" s="424">
        <v>0</v>
      </c>
      <c r="I32" s="424">
        <v>1.8590616680376997</v>
      </c>
      <c r="J32" s="424">
        <v>1.8273943205924348</v>
      </c>
      <c r="K32" s="424">
        <v>5.8768612594665868</v>
      </c>
      <c r="L32" s="424">
        <v>6.40719520206249</v>
      </c>
      <c r="M32" s="424">
        <v>1.7044439564927081</v>
      </c>
      <c r="N32" s="424">
        <v>4.4729229447494969</v>
      </c>
      <c r="O32" s="424">
        <v>6.1553956087237038</v>
      </c>
      <c r="P32" s="424">
        <f t="shared" si="3"/>
        <v>2.1771749969327017</v>
      </c>
      <c r="Q32" s="433">
        <f t="shared" si="4"/>
        <v>1.1033819008151215E-4</v>
      </c>
      <c r="R32" s="406"/>
    </row>
    <row r="33" spans="1:20" ht="15" x14ac:dyDescent="0.25">
      <c r="A33" s="16">
        <v>9</v>
      </c>
      <c r="B33" s="15" t="s">
        <v>23</v>
      </c>
      <c r="C33" s="424">
        <v>33.164931555755409</v>
      </c>
      <c r="D33" s="424">
        <v>159.72432226153333</v>
      </c>
      <c r="E33" s="424">
        <v>324.03209413896047</v>
      </c>
      <c r="F33" s="424">
        <v>77.144006374865981</v>
      </c>
      <c r="G33" s="424">
        <v>349.4530218320038</v>
      </c>
      <c r="H33" s="424">
        <v>103.78530545427833</v>
      </c>
      <c r="I33" s="424">
        <v>218.07521472888888</v>
      </c>
      <c r="J33" s="424">
        <v>204.39471877820355</v>
      </c>
      <c r="K33" s="424">
        <v>766.81825571111472</v>
      </c>
      <c r="L33" s="424">
        <v>831.0678672323096</v>
      </c>
      <c r="M33" s="424">
        <v>180.92086646441456</v>
      </c>
      <c r="N33" s="424">
        <v>572.30280260478969</v>
      </c>
      <c r="O33" s="424">
        <v>799.4804421340242</v>
      </c>
      <c r="P33" s="424">
        <f t="shared" si="3"/>
        <v>355.41260379008787</v>
      </c>
      <c r="Q33" s="433">
        <f t="shared" si="4"/>
        <v>1.8012141187366423E-2</v>
      </c>
      <c r="R33" s="406"/>
    </row>
    <row r="34" spans="1:20" ht="15" x14ac:dyDescent="0.25">
      <c r="A34" s="16">
        <v>10</v>
      </c>
      <c r="B34" s="15" t="s">
        <v>24</v>
      </c>
      <c r="C34" s="424">
        <v>143.28116625708083</v>
      </c>
      <c r="D34" s="424">
        <v>728.02060054963715</v>
      </c>
      <c r="E34" s="424">
        <v>1489.5959503782819</v>
      </c>
      <c r="F34" s="424">
        <v>339.37119359997695</v>
      </c>
      <c r="G34" s="424">
        <v>1610.0924980690818</v>
      </c>
      <c r="H34" s="424">
        <v>460.07446216231398</v>
      </c>
      <c r="I34" s="424">
        <v>272.26622215212114</v>
      </c>
      <c r="J34" s="424">
        <v>258.45737092298521</v>
      </c>
      <c r="K34" s="424">
        <v>931.95121580355715</v>
      </c>
      <c r="L34" s="424">
        <v>1011.4972470701055</v>
      </c>
      <c r="M34" s="424">
        <v>232.12136673934603</v>
      </c>
      <c r="N34" s="424">
        <v>698.89012198788885</v>
      </c>
      <c r="O34" s="424">
        <v>972.73345849540283</v>
      </c>
      <c r="P34" s="424">
        <f t="shared" si="3"/>
        <v>703.7194518605985</v>
      </c>
      <c r="Q34" s="433">
        <f t="shared" si="4"/>
        <v>3.5664166065127928E-2</v>
      </c>
      <c r="R34" s="406"/>
    </row>
    <row r="35" spans="1:20" ht="15" x14ac:dyDescent="0.25">
      <c r="A35" s="16">
        <v>11</v>
      </c>
      <c r="B35" s="15" t="s">
        <v>25</v>
      </c>
      <c r="C35" s="424">
        <v>1.592641910433034</v>
      </c>
      <c r="D35" s="424">
        <v>6.0882719101909704</v>
      </c>
      <c r="E35" s="424">
        <v>11.823637522080778</v>
      </c>
      <c r="F35" s="424">
        <v>3.4509074308349836</v>
      </c>
      <c r="G35" s="424">
        <v>12.599776603292055</v>
      </c>
      <c r="H35" s="424">
        <v>4.4967061301585458</v>
      </c>
      <c r="I35" s="424">
        <v>3.8519986352866917</v>
      </c>
      <c r="J35" s="424">
        <v>3.8211792330875469</v>
      </c>
      <c r="K35" s="424">
        <v>11.906547774938955</v>
      </c>
      <c r="L35" s="424">
        <v>12.998285754746172</v>
      </c>
      <c r="M35" s="424">
        <v>3.5980273092672284</v>
      </c>
      <c r="N35" s="424">
        <v>9.1017152548959785</v>
      </c>
      <c r="O35" s="424">
        <v>12.483712721010324</v>
      </c>
      <c r="P35" s="424">
        <f t="shared" si="3"/>
        <v>7.5241083223248655</v>
      </c>
      <c r="Q35" s="433">
        <f t="shared" si="4"/>
        <v>3.8131821990983054E-4</v>
      </c>
      <c r="R35" s="406"/>
    </row>
    <row r="36" spans="1:20" ht="15" x14ac:dyDescent="0.25">
      <c r="A36" s="16">
        <v>12</v>
      </c>
      <c r="B36" s="15" t="s">
        <v>26</v>
      </c>
      <c r="C36" s="424">
        <v>0</v>
      </c>
      <c r="D36" s="424">
        <v>0</v>
      </c>
      <c r="E36" s="424">
        <v>0</v>
      </c>
      <c r="F36" s="424">
        <v>0</v>
      </c>
      <c r="G36" s="424">
        <v>0</v>
      </c>
      <c r="H36" s="424">
        <v>0</v>
      </c>
      <c r="I36" s="424">
        <v>0</v>
      </c>
      <c r="J36" s="424">
        <v>0</v>
      </c>
      <c r="K36" s="424">
        <v>0</v>
      </c>
      <c r="L36" s="424">
        <v>0</v>
      </c>
      <c r="M36" s="424">
        <v>0</v>
      </c>
      <c r="N36" s="424">
        <v>0</v>
      </c>
      <c r="O36" s="424">
        <v>0</v>
      </c>
      <c r="P36" s="424">
        <f t="shared" si="3"/>
        <v>0</v>
      </c>
      <c r="Q36" s="433">
        <f t="shared" si="4"/>
        <v>0</v>
      </c>
      <c r="R36" s="406"/>
    </row>
    <row r="37" spans="1:20" ht="15" x14ac:dyDescent="0.25">
      <c r="A37" s="16">
        <v>13</v>
      </c>
      <c r="B37" s="15" t="s">
        <v>27</v>
      </c>
      <c r="C37" s="424">
        <v>2.369976907840083</v>
      </c>
      <c r="D37" s="424">
        <v>10.872853433209819</v>
      </c>
      <c r="E37" s="424">
        <v>21.877250107500245</v>
      </c>
      <c r="F37" s="424">
        <v>5.4259639844087513</v>
      </c>
      <c r="G37" s="424">
        <v>23.541760833595127</v>
      </c>
      <c r="H37" s="424">
        <v>7.2498715924686463</v>
      </c>
      <c r="I37" s="424">
        <v>6.6783682860408682</v>
      </c>
      <c r="J37" s="424">
        <v>6.3990111139971901</v>
      </c>
      <c r="K37" s="424">
        <v>22.398420991932749</v>
      </c>
      <c r="L37" s="424">
        <v>24.337444297912008</v>
      </c>
      <c r="M37" s="424">
        <v>5.8069308218392557</v>
      </c>
      <c r="N37" s="424">
        <v>16.859367674677703</v>
      </c>
      <c r="O37" s="424">
        <v>23.398826571927117</v>
      </c>
      <c r="P37" s="424">
        <f t="shared" si="3"/>
        <v>13.632003585949967</v>
      </c>
      <c r="Q37" s="433">
        <f t="shared" si="4"/>
        <v>6.9086343770137309E-4</v>
      </c>
      <c r="R37" s="406">
        <f>SUM(P32:P37)</f>
        <v>1082.4653425558938</v>
      </c>
      <c r="S37" s="432">
        <f>R37/P42</f>
        <v>5.4858827100187059E-2</v>
      </c>
      <c r="T37" s="154" t="s">
        <v>886</v>
      </c>
    </row>
    <row r="38" spans="1:20" ht="15" x14ac:dyDescent="0.25">
      <c r="A38" s="16">
        <v>14</v>
      </c>
      <c r="B38" s="15" t="s">
        <v>28</v>
      </c>
      <c r="C38" s="424">
        <v>45.946296716287229</v>
      </c>
      <c r="D38" s="424">
        <v>219.64005854776673</v>
      </c>
      <c r="E38" s="424">
        <v>445.0359144700659</v>
      </c>
      <c r="F38" s="424">
        <v>106.61136756886525</v>
      </c>
      <c r="G38" s="424">
        <v>479.79280950623559</v>
      </c>
      <c r="H38" s="424">
        <v>143.27775746722472</v>
      </c>
      <c r="I38" s="424">
        <v>110.34138186260549</v>
      </c>
      <c r="J38" s="424">
        <v>104.69324218379548</v>
      </c>
      <c r="K38" s="424">
        <v>378.09474001629576</v>
      </c>
      <c r="L38" s="424">
        <v>410.34297979250687</v>
      </c>
      <c r="M38" s="424">
        <v>93.972976493950839</v>
      </c>
      <c r="N38" s="424">
        <v>283.48691652207862</v>
      </c>
      <c r="O38" s="424">
        <v>394.62250988610703</v>
      </c>
      <c r="P38" s="424">
        <f t="shared" si="3"/>
        <v>247.37376546413731</v>
      </c>
      <c r="Q38" s="433">
        <f t="shared" si="4"/>
        <v>1.2536784407966951E-2</v>
      </c>
    </row>
    <row r="39" spans="1:20" ht="15" x14ac:dyDescent="0.25">
      <c r="A39" s="47">
        <v>15</v>
      </c>
      <c r="B39" s="44" t="s">
        <v>29</v>
      </c>
      <c r="C39" s="424">
        <v>49.105606011357956</v>
      </c>
      <c r="D39" s="424">
        <v>78.195150238828475</v>
      </c>
      <c r="E39" s="424">
        <v>105.83876279368569</v>
      </c>
      <c r="F39" s="424">
        <v>88.837688855476401</v>
      </c>
      <c r="G39" s="424">
        <v>98.987531582633494</v>
      </c>
      <c r="H39" s="424">
        <v>104.9124656355558</v>
      </c>
      <c r="I39" s="424">
        <v>56.431562999909858</v>
      </c>
      <c r="J39" s="424">
        <v>68.495942128297827</v>
      </c>
      <c r="K39" s="424">
        <v>77.175312306373371</v>
      </c>
      <c r="L39" s="424">
        <v>90.608008282447827</v>
      </c>
      <c r="M39" s="424">
        <v>76.594155724898158</v>
      </c>
      <c r="N39" s="424">
        <v>73.545178039776218</v>
      </c>
      <c r="O39" s="424">
        <v>85.644540422684059</v>
      </c>
      <c r="P39" s="424">
        <f t="shared" si="3"/>
        <v>81.105531155532717</v>
      </c>
      <c r="Q39" s="433">
        <f t="shared" si="4"/>
        <v>4.1103896222898784E-3</v>
      </c>
    </row>
    <row r="40" spans="1:20" ht="15" x14ac:dyDescent="0.25">
      <c r="A40" s="16">
        <v>16</v>
      </c>
      <c r="B40" s="15" t="s">
        <v>30</v>
      </c>
      <c r="C40" s="406">
        <v>6484.0702787552091</v>
      </c>
      <c r="D40" s="406">
        <v>10454.795524541238</v>
      </c>
      <c r="E40" s="406">
        <v>14281.553232367709</v>
      </c>
      <c r="F40" s="406">
        <v>11751.218821259534</v>
      </c>
      <c r="G40" s="406">
        <v>13413.33007729836</v>
      </c>
      <c r="H40" s="406">
        <v>13892.927387881733</v>
      </c>
      <c r="I40" s="406">
        <v>8166.5066844036928</v>
      </c>
      <c r="J40" s="406">
        <v>9879.6413644214845</v>
      </c>
      <c r="K40" s="406">
        <v>11423.042271366796</v>
      </c>
      <c r="L40" s="406">
        <v>13373.662829259116</v>
      </c>
      <c r="M40" s="406">
        <v>11021.818099383274</v>
      </c>
      <c r="N40" s="406">
        <v>10799.640470366207</v>
      </c>
      <c r="O40" s="406">
        <v>12648.63246487888</v>
      </c>
      <c r="P40" s="406">
        <f t="shared" si="3"/>
        <v>11353.141500475633</v>
      </c>
      <c r="Q40" s="433">
        <f t="shared" si="4"/>
        <v>0.5753717944890151</v>
      </c>
      <c r="R40" s="406">
        <f>SUM(P38:P40)</f>
        <v>11681.620797095302</v>
      </c>
      <c r="S40" s="432">
        <f>R40/P42</f>
        <v>0.59201896851927183</v>
      </c>
      <c r="T40" s="154" t="s">
        <v>884</v>
      </c>
    </row>
    <row r="41" spans="1:20" ht="15" x14ac:dyDescent="0.25">
      <c r="A41" s="374">
        <v>18</v>
      </c>
      <c r="B41" s="425" t="s">
        <v>881</v>
      </c>
      <c r="C41" s="429">
        <v>1090</v>
      </c>
      <c r="D41" s="429">
        <v>5197</v>
      </c>
      <c r="E41" s="429">
        <v>7615</v>
      </c>
      <c r="F41" s="429">
        <v>6372</v>
      </c>
      <c r="G41" s="429">
        <v>7692</v>
      </c>
      <c r="H41" s="429">
        <v>8837</v>
      </c>
      <c r="I41" s="429">
        <v>1839</v>
      </c>
      <c r="J41" s="429">
        <v>3926</v>
      </c>
      <c r="K41" s="429">
        <v>5482</v>
      </c>
      <c r="L41" s="429">
        <v>7447</v>
      </c>
      <c r="M41" s="429">
        <v>6159</v>
      </c>
      <c r="N41" s="429">
        <v>4815</v>
      </c>
      <c r="O41" s="429">
        <v>6475</v>
      </c>
      <c r="P41" s="406">
        <f t="shared" si="3"/>
        <v>5611.2307692307695</v>
      </c>
      <c r="Q41" s="433">
        <f t="shared" si="4"/>
        <v>0.28437449818176108</v>
      </c>
    </row>
    <row r="42" spans="1:20" ht="15" x14ac:dyDescent="0.2">
      <c r="B42" s="316" t="s">
        <v>42</v>
      </c>
      <c r="C42" s="430">
        <f t="shared" ref="C42:P42" si="5">SUM(C24:C41)</f>
        <v>10546.073611802549</v>
      </c>
      <c r="D42" s="430">
        <f t="shared" si="5"/>
        <v>20045.422619903398</v>
      </c>
      <c r="E42" s="430">
        <f t="shared" si="5"/>
        <v>27989.185893447742</v>
      </c>
      <c r="F42" s="430">
        <f t="shared" si="5"/>
        <v>22020.162363505249</v>
      </c>
      <c r="G42" s="430">
        <f t="shared" si="5"/>
        <v>27301.787384711504</v>
      </c>
      <c r="H42" s="430">
        <f t="shared" si="5"/>
        <v>27071.787531437192</v>
      </c>
      <c r="I42" s="430">
        <f t="shared" si="5"/>
        <v>13655.767984020753</v>
      </c>
      <c r="J42" s="430">
        <f t="shared" si="5"/>
        <v>17623.287710443776</v>
      </c>
      <c r="K42" s="430">
        <f t="shared" si="5"/>
        <v>22600.338231213205</v>
      </c>
      <c r="L42" s="430">
        <f t="shared" si="5"/>
        <v>26946.236732980895</v>
      </c>
      <c r="M42" s="430">
        <f t="shared" si="5"/>
        <v>21069.275245242668</v>
      </c>
      <c r="N42" s="430">
        <f t="shared" si="5"/>
        <v>20653.039432088088</v>
      </c>
      <c r="O42" s="430">
        <f t="shared" si="5"/>
        <v>25069.494506088638</v>
      </c>
      <c r="P42" s="430">
        <f t="shared" si="5"/>
        <v>19731.835326683511</v>
      </c>
      <c r="Q42" s="434">
        <f>SUM(Q25:Q41)</f>
        <v>1</v>
      </c>
      <c r="R42" s="43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>
    <pageSetUpPr fitToPage="1"/>
  </sheetPr>
  <dimension ref="A1:I172"/>
  <sheetViews>
    <sheetView topLeftCell="A16" workbookViewId="0">
      <selection activeCell="G85" sqref="G85"/>
    </sheetView>
  </sheetViews>
  <sheetFormatPr defaultRowHeight="12.75" x14ac:dyDescent="0.2"/>
  <cols>
    <col min="1" max="1" width="25.7109375" bestFit="1" customWidth="1"/>
    <col min="3" max="3" width="16.28515625" bestFit="1" customWidth="1"/>
    <col min="5" max="5" width="16.28515625" bestFit="1" customWidth="1"/>
  </cols>
  <sheetData>
    <row r="1" spans="1:9" x14ac:dyDescent="0.2">
      <c r="A1" s="186"/>
      <c r="B1" s="186"/>
      <c r="C1" s="397">
        <v>2002</v>
      </c>
      <c r="D1" s="225" t="s">
        <v>870</v>
      </c>
      <c r="E1" s="397">
        <v>2009</v>
      </c>
      <c r="F1" s="225" t="s">
        <v>870</v>
      </c>
      <c r="G1" s="398" t="s">
        <v>874</v>
      </c>
      <c r="H1" s="186">
        <v>2002</v>
      </c>
      <c r="I1" s="186">
        <v>2009</v>
      </c>
    </row>
    <row r="2" spans="1:9" x14ac:dyDescent="0.2">
      <c r="A2" s="186"/>
      <c r="B2" s="186"/>
      <c r="C2" s="186" t="s">
        <v>869</v>
      </c>
      <c r="D2" s="225" t="s">
        <v>872</v>
      </c>
      <c r="E2" s="186" t="s">
        <v>869</v>
      </c>
      <c r="F2" s="225" t="s">
        <v>871</v>
      </c>
      <c r="G2" s="225" t="s">
        <v>871</v>
      </c>
      <c r="H2" s="225" t="s">
        <v>873</v>
      </c>
      <c r="I2" s="225" t="s">
        <v>873</v>
      </c>
    </row>
    <row r="3" spans="1:9" ht="15" x14ac:dyDescent="0.25">
      <c r="A3" s="11" t="s">
        <v>7</v>
      </c>
      <c r="B3" s="3" t="s">
        <v>8</v>
      </c>
      <c r="C3" s="186">
        <v>2.6517237223050523</v>
      </c>
      <c r="D3" s="387">
        <v>49.05538</v>
      </c>
      <c r="E3" s="186">
        <v>2.5516799921062501</v>
      </c>
      <c r="F3" s="387">
        <v>47.0105</v>
      </c>
      <c r="G3" s="388">
        <f>F3-D3</f>
        <v>-2.0448799999999991</v>
      </c>
      <c r="H3" s="389">
        <v>7.421366301356426E-2</v>
      </c>
      <c r="I3" s="389">
        <v>7.926965233480647E-2</v>
      </c>
    </row>
    <row r="4" spans="1:9" ht="15" x14ac:dyDescent="0.25">
      <c r="A4" s="11"/>
      <c r="B4" s="3" t="s">
        <v>9</v>
      </c>
      <c r="C4" s="186">
        <v>0.5143047518455065</v>
      </c>
      <c r="D4" s="387">
        <v>6.3624999999999998</v>
      </c>
      <c r="E4" s="186">
        <v>0.55861925108425126</v>
      </c>
      <c r="F4" s="387">
        <v>6.9507000000000003</v>
      </c>
      <c r="G4" s="388">
        <f t="shared" ref="G4:G67" si="0">F4-D4</f>
        <v>0.5882000000000005</v>
      </c>
      <c r="H4" s="389">
        <v>0.10342732602712854</v>
      </c>
      <c r="I4" s="389">
        <v>0.11353930466961296</v>
      </c>
    </row>
    <row r="5" spans="1:9" ht="15" x14ac:dyDescent="0.25">
      <c r="A5" s="11"/>
      <c r="B5" s="3" t="s">
        <v>10</v>
      </c>
      <c r="C5" s="186">
        <v>0.23416146703660856</v>
      </c>
      <c r="D5" s="387">
        <v>1.1967000000000001</v>
      </c>
      <c r="E5" s="186">
        <v>0.19312398556352192</v>
      </c>
      <c r="F5" s="387">
        <v>0.9526</v>
      </c>
      <c r="G5" s="388">
        <f t="shared" si="0"/>
        <v>-0.24410000000000009</v>
      </c>
      <c r="H5" s="389">
        <v>0.1326409890406928</v>
      </c>
      <c r="I5" s="389">
        <v>0.14780895700441943</v>
      </c>
    </row>
    <row r="6" spans="1:9" ht="15" x14ac:dyDescent="0.25">
      <c r="A6" s="11"/>
      <c r="B6" s="3" t="s">
        <v>11</v>
      </c>
      <c r="C6" s="186">
        <v>3.2603544388352863</v>
      </c>
      <c r="D6" s="387">
        <v>16.971299999999999</v>
      </c>
      <c r="E6" s="186">
        <v>3.4368476276660958</v>
      </c>
      <c r="F6" s="387">
        <v>17.2622</v>
      </c>
      <c r="G6" s="388">
        <f t="shared" si="0"/>
        <v>0.2909000000000006</v>
      </c>
      <c r="H6" s="389">
        <v>0.16185465205425709</v>
      </c>
      <c r="I6" s="389">
        <v>0.1820786093392259</v>
      </c>
    </row>
    <row r="7" spans="1:9" ht="15" x14ac:dyDescent="0.25">
      <c r="A7" s="399"/>
      <c r="B7" s="10" t="s">
        <v>12</v>
      </c>
      <c r="C7" s="186">
        <v>0</v>
      </c>
      <c r="D7" s="387">
        <v>0</v>
      </c>
      <c r="E7" s="186">
        <v>0</v>
      </c>
      <c r="F7" s="387">
        <v>0</v>
      </c>
      <c r="G7" s="388">
        <f t="shared" si="0"/>
        <v>0</v>
      </c>
      <c r="H7" s="389"/>
      <c r="I7" s="389"/>
    </row>
    <row r="8" spans="1:9" ht="15" x14ac:dyDescent="0.25">
      <c r="A8" s="399"/>
      <c r="B8" s="10" t="s">
        <v>13</v>
      </c>
      <c r="C8" s="186">
        <v>3.4060612267719759E-3</v>
      </c>
      <c r="D8" s="387">
        <v>3.8789999999999998E-2</v>
      </c>
      <c r="E8" s="186">
        <v>9.4872256843026234E-3</v>
      </c>
      <c r="F8" s="387">
        <v>0.1033</v>
      </c>
      <c r="G8" s="388">
        <f t="shared" si="0"/>
        <v>6.4510000000000012E-2</v>
      </c>
      <c r="H8" s="389">
        <v>0.16185465205425706</v>
      </c>
      <c r="I8" s="389">
        <v>0.18207860933922593</v>
      </c>
    </row>
    <row r="9" spans="1:9" ht="15" x14ac:dyDescent="0.25">
      <c r="A9" s="392" t="s">
        <v>14</v>
      </c>
      <c r="B9" s="391"/>
      <c r="C9" s="400">
        <f>SUM(C3:C8)</f>
        <v>6.6639504412492263</v>
      </c>
      <c r="D9" s="383">
        <f>SUM(D3:D8)</f>
        <v>73.624670000000009</v>
      </c>
      <c r="E9" s="400">
        <f>SUM(E3:E8)</f>
        <v>6.7497580821044219</v>
      </c>
      <c r="F9" s="383">
        <f>SUM(F3:F8)</f>
        <v>72.279299999999992</v>
      </c>
      <c r="G9" s="388">
        <f t="shared" si="0"/>
        <v>-1.3453700000000168</v>
      </c>
      <c r="H9" s="389">
        <v>9.7936323138922574E-2</v>
      </c>
      <c r="I9" s="389">
        <v>0.10816890228565076</v>
      </c>
    </row>
    <row r="10" spans="1:9" ht="15" x14ac:dyDescent="0.25">
      <c r="A10" s="401" t="s">
        <v>15</v>
      </c>
      <c r="B10" s="10"/>
      <c r="C10" s="186"/>
      <c r="D10" s="383">
        <f>SUM(D9)</f>
        <v>73.624670000000009</v>
      </c>
      <c r="E10" s="186"/>
      <c r="F10" s="383">
        <f>SUM(F9)</f>
        <v>72.279299999999992</v>
      </c>
      <c r="G10" s="388">
        <f t="shared" si="0"/>
        <v>-1.3453700000000168</v>
      </c>
      <c r="H10" s="389"/>
      <c r="I10" s="389"/>
    </row>
    <row r="11" spans="1:9" ht="15.75" x14ac:dyDescent="0.25">
      <c r="A11" s="11"/>
      <c r="B11" s="3"/>
      <c r="C11" s="186"/>
      <c r="D11" s="402"/>
      <c r="E11" s="186"/>
      <c r="F11" s="402"/>
      <c r="G11" s="388">
        <f t="shared" si="0"/>
        <v>0</v>
      </c>
      <c r="H11" s="389"/>
      <c r="I11" s="389"/>
    </row>
    <row r="12" spans="1:9" ht="15" x14ac:dyDescent="0.25">
      <c r="A12" s="11" t="s">
        <v>16</v>
      </c>
      <c r="B12" s="3" t="s">
        <v>8</v>
      </c>
      <c r="C12" s="186">
        <v>6.6014744483922287</v>
      </c>
      <c r="D12" s="387">
        <v>16.384799999999998</v>
      </c>
      <c r="E12" s="186">
        <v>6.3101220473782051</v>
      </c>
      <c r="F12" s="387">
        <v>16.384799999999998</v>
      </c>
      <c r="G12" s="388">
        <f t="shared" si="0"/>
        <v>0</v>
      </c>
      <c r="H12" s="389">
        <v>0.16113854059108379</v>
      </c>
      <c r="I12" s="389">
        <v>0.16566232051008997</v>
      </c>
    </row>
    <row r="13" spans="1:9" ht="15" x14ac:dyDescent="0.25">
      <c r="A13" s="11"/>
      <c r="B13" s="3" t="s">
        <v>9</v>
      </c>
      <c r="C13" s="186">
        <v>0.941010848349218</v>
      </c>
      <c r="D13" s="387">
        <v>2.0095999999999998</v>
      </c>
      <c r="E13" s="186">
        <v>0.91718577047431527</v>
      </c>
      <c r="F13" s="387">
        <v>2.0095999999999998</v>
      </c>
      <c r="G13" s="388">
        <f t="shared" si="0"/>
        <v>0</v>
      </c>
      <c r="H13" s="389">
        <v>0.18727708118216763</v>
      </c>
      <c r="I13" s="389">
        <v>0.19632464102018002</v>
      </c>
    </row>
    <row r="14" spans="1:9" ht="15" x14ac:dyDescent="0.25">
      <c r="A14" s="11"/>
      <c r="B14" s="3" t="s">
        <v>10</v>
      </c>
      <c r="C14" s="186">
        <v>0</v>
      </c>
      <c r="D14" s="387">
        <v>0</v>
      </c>
      <c r="E14" s="186">
        <v>0</v>
      </c>
      <c r="F14" s="387">
        <v>0</v>
      </c>
      <c r="G14" s="388">
        <f t="shared" si="0"/>
        <v>0</v>
      </c>
      <c r="H14" s="389"/>
      <c r="I14" s="389"/>
    </row>
    <row r="15" spans="1:9" ht="15" x14ac:dyDescent="0.25">
      <c r="A15" s="11"/>
      <c r="B15" s="3" t="s">
        <v>11</v>
      </c>
      <c r="C15" s="186">
        <v>0.37944664449501359</v>
      </c>
      <c r="D15" s="387">
        <v>0.63349999999999995</v>
      </c>
      <c r="E15" s="186">
        <v>0.37944464669931438</v>
      </c>
      <c r="F15" s="387">
        <v>0.63349999999999995</v>
      </c>
      <c r="G15" s="388">
        <f t="shared" si="0"/>
        <v>0</v>
      </c>
      <c r="H15" s="389">
        <v>0.23955416236433524</v>
      </c>
      <c r="I15" s="389">
        <v>0.25764928204036003</v>
      </c>
    </row>
    <row r="16" spans="1:9" ht="15" x14ac:dyDescent="0.25">
      <c r="A16" s="11"/>
      <c r="B16" s="3" t="s">
        <v>12</v>
      </c>
      <c r="C16" s="186">
        <v>0</v>
      </c>
      <c r="D16" s="387">
        <v>0</v>
      </c>
      <c r="E16" s="186">
        <v>0</v>
      </c>
      <c r="F16" s="387">
        <v>0</v>
      </c>
      <c r="G16" s="388">
        <f t="shared" si="0"/>
        <v>0</v>
      </c>
      <c r="H16" s="389"/>
      <c r="I16" s="389"/>
    </row>
    <row r="17" spans="1:9" ht="15" x14ac:dyDescent="0.25">
      <c r="A17" s="11"/>
      <c r="B17" s="3" t="s">
        <v>13</v>
      </c>
      <c r="C17" s="186">
        <v>2.1263387339499579E-2</v>
      </c>
      <c r="D17" s="387">
        <v>3.5499999999999997E-2</v>
      </c>
      <c r="E17" s="186">
        <v>2.1263275387254404E-2</v>
      </c>
      <c r="F17" s="387">
        <v>3.5499999999999997E-2</v>
      </c>
      <c r="G17" s="388">
        <f t="shared" si="0"/>
        <v>0</v>
      </c>
      <c r="H17" s="389">
        <v>0.23955416236433527</v>
      </c>
      <c r="I17" s="389">
        <v>0.25764928204036003</v>
      </c>
    </row>
    <row r="18" spans="1:9" ht="15" x14ac:dyDescent="0.25">
      <c r="A18" s="392" t="s">
        <v>14</v>
      </c>
      <c r="B18" s="391"/>
      <c r="C18" s="400">
        <f>SUM(C12:C17)</f>
        <v>7.9431953285759596</v>
      </c>
      <c r="D18" s="383">
        <f>SUM(D12:D17)</f>
        <v>19.063399999999998</v>
      </c>
      <c r="E18" s="400">
        <f>SUM(E12:E17)</f>
        <v>7.6280157399390891</v>
      </c>
      <c r="F18" s="383">
        <f>SUM(F12:F17)</f>
        <v>19.063399999999998</v>
      </c>
      <c r="G18" s="388">
        <f t="shared" si="0"/>
        <v>0</v>
      </c>
      <c r="H18" s="389">
        <v>0.16664585104662413</v>
      </c>
      <c r="I18" s="389">
        <v>0.17212277754088345</v>
      </c>
    </row>
    <row r="19" spans="1:9" ht="15" x14ac:dyDescent="0.25">
      <c r="A19" s="401" t="s">
        <v>15</v>
      </c>
      <c r="B19" s="10"/>
      <c r="C19" s="186"/>
      <c r="D19" s="383">
        <f>SUM(D18)</f>
        <v>19.063399999999998</v>
      </c>
      <c r="E19" s="186"/>
      <c r="F19" s="383">
        <f>SUM(F18)</f>
        <v>19.063399999999998</v>
      </c>
      <c r="G19" s="388">
        <f t="shared" si="0"/>
        <v>0</v>
      </c>
      <c r="H19" s="389"/>
      <c r="I19" s="389"/>
    </row>
    <row r="20" spans="1:9" ht="15.75" x14ac:dyDescent="0.25">
      <c r="A20" s="11"/>
      <c r="B20" s="3"/>
      <c r="C20" s="186"/>
      <c r="D20" s="402"/>
      <c r="E20" s="186"/>
      <c r="F20" s="402"/>
      <c r="G20" s="388">
        <f t="shared" si="0"/>
        <v>0</v>
      </c>
      <c r="H20" s="389"/>
      <c r="I20" s="389"/>
    </row>
    <row r="21" spans="1:9" ht="15" x14ac:dyDescent="0.25">
      <c r="A21" s="11" t="s">
        <v>17</v>
      </c>
      <c r="B21" s="3" t="s">
        <v>8</v>
      </c>
      <c r="C21" s="186">
        <v>21.206784270384947</v>
      </c>
      <c r="D21" s="387">
        <v>23.123049999999999</v>
      </c>
      <c r="E21" s="186">
        <v>20.306156683469084</v>
      </c>
      <c r="F21" s="387">
        <v>23.8947</v>
      </c>
      <c r="G21" s="388">
        <f t="shared" si="0"/>
        <v>0.77165000000000106</v>
      </c>
      <c r="H21" s="389">
        <v>0.24806341816860339</v>
      </c>
      <c r="I21" s="389">
        <v>0.25205498868537357</v>
      </c>
    </row>
    <row r="22" spans="1:9" ht="15" x14ac:dyDescent="0.25">
      <c r="A22" s="11"/>
      <c r="B22" s="3" t="s">
        <v>9</v>
      </c>
      <c r="C22" s="186">
        <v>1.2263909401251165</v>
      </c>
      <c r="D22" s="387">
        <v>3.0118</v>
      </c>
      <c r="E22" s="186">
        <v>1.3465225760158626</v>
      </c>
      <c r="F22" s="387">
        <v>3.4548999999999999</v>
      </c>
      <c r="G22" s="388">
        <f t="shared" si="0"/>
        <v>0.44309999999999983</v>
      </c>
      <c r="H22" s="389">
        <v>0.27112683633720674</v>
      </c>
      <c r="I22" s="389">
        <v>0.27910997737074705</v>
      </c>
    </row>
    <row r="23" spans="1:9" ht="15" x14ac:dyDescent="0.25">
      <c r="A23" s="11"/>
      <c r="B23" s="3" t="s">
        <v>10</v>
      </c>
      <c r="C23" s="186">
        <v>1.4360847960470249</v>
      </c>
      <c r="D23" s="387">
        <v>1.19706</v>
      </c>
      <c r="E23" s="186">
        <v>1.3895850682473234</v>
      </c>
      <c r="F23" s="387">
        <v>1.1971000000000001</v>
      </c>
      <c r="G23" s="388">
        <f t="shared" si="0"/>
        <v>4.0000000000040004E-5</v>
      </c>
      <c r="H23" s="389">
        <v>0.29419025450581016</v>
      </c>
      <c r="I23" s="389">
        <v>0.30616496605612065</v>
      </c>
    </row>
    <row r="24" spans="1:9" ht="15" x14ac:dyDescent="0.25">
      <c r="A24" s="11"/>
      <c r="B24" s="3" t="s">
        <v>11</v>
      </c>
      <c r="C24" s="186">
        <v>3.1674903035878388</v>
      </c>
      <c r="D24" s="387">
        <v>6.4028799999999997</v>
      </c>
      <c r="E24" s="186">
        <v>4.5372532419708964</v>
      </c>
      <c r="F24" s="387">
        <v>9.5062999999999995</v>
      </c>
      <c r="G24" s="388">
        <f t="shared" si="0"/>
        <v>3.1034199999999998</v>
      </c>
      <c r="H24" s="389">
        <v>0.31725367267441346</v>
      </c>
      <c r="I24" s="389">
        <v>0.33321995474149413</v>
      </c>
    </row>
    <row r="25" spans="1:9" ht="15" x14ac:dyDescent="0.25">
      <c r="A25" s="11"/>
      <c r="B25" s="3" t="s">
        <v>12</v>
      </c>
      <c r="C25" s="186">
        <v>0</v>
      </c>
      <c r="D25" s="387">
        <v>0</v>
      </c>
      <c r="E25" s="186">
        <v>0</v>
      </c>
      <c r="F25" s="387">
        <v>0</v>
      </c>
      <c r="G25" s="388">
        <f t="shared" si="0"/>
        <v>0</v>
      </c>
      <c r="H25" s="389"/>
      <c r="I25" s="389"/>
    </row>
    <row r="26" spans="1:9" ht="15" x14ac:dyDescent="0.25">
      <c r="A26" s="11"/>
      <c r="B26" s="3" t="s">
        <v>13</v>
      </c>
      <c r="C26" s="186">
        <v>6.2708616806311901E-2</v>
      </c>
      <c r="D26" s="387">
        <v>4.8399999999999999E-2</v>
      </c>
      <c r="E26" s="186">
        <v>6.1238432018635741E-2</v>
      </c>
      <c r="F26" s="387">
        <v>4.8399999999999999E-2</v>
      </c>
      <c r="G26" s="388">
        <f t="shared" si="0"/>
        <v>0</v>
      </c>
      <c r="H26" s="389">
        <v>0.31725367267441346</v>
      </c>
      <c r="I26" s="389">
        <v>0.33321995474149418</v>
      </c>
    </row>
    <row r="27" spans="1:9" ht="15" x14ac:dyDescent="0.25">
      <c r="A27" s="392" t="s">
        <v>14</v>
      </c>
      <c r="B27" s="391"/>
      <c r="C27" s="400">
        <f>SUM(C21:C26)</f>
        <v>27.099458926951243</v>
      </c>
      <c r="D27" s="383">
        <f>SUM(D21:D26)</f>
        <v>33.783190000000005</v>
      </c>
      <c r="E27" s="400">
        <f>SUM(E21:E26)</f>
        <v>27.640756001721801</v>
      </c>
      <c r="F27" s="383">
        <f>SUM(F21:F26)</f>
        <v>38.101399999999998</v>
      </c>
      <c r="G27" s="388">
        <f t="shared" si="0"/>
        <v>4.3182099999999934</v>
      </c>
      <c r="H27" s="389">
        <v>0.26496663833917511</v>
      </c>
      <c r="I27" s="389">
        <v>0.27656207334620059</v>
      </c>
    </row>
    <row r="28" spans="1:9" ht="15" x14ac:dyDescent="0.25">
      <c r="A28" s="401" t="s">
        <v>15</v>
      </c>
      <c r="B28" s="10"/>
      <c r="C28" s="186"/>
      <c r="D28" s="383">
        <f>SUM(D27)</f>
        <v>33.783190000000005</v>
      </c>
      <c r="E28" s="186"/>
      <c r="F28" s="383">
        <f>SUM(F27)</f>
        <v>38.101399999999998</v>
      </c>
      <c r="G28" s="388">
        <f t="shared" si="0"/>
        <v>4.3182099999999934</v>
      </c>
      <c r="H28" s="389"/>
      <c r="I28" s="389"/>
    </row>
    <row r="29" spans="1:9" ht="15.75" x14ac:dyDescent="0.25">
      <c r="A29" s="11"/>
      <c r="B29" s="3"/>
      <c r="C29" s="186"/>
      <c r="D29" s="402"/>
      <c r="E29" s="186"/>
      <c r="F29" s="402"/>
      <c r="G29" s="388">
        <f t="shared" si="0"/>
        <v>0</v>
      </c>
      <c r="H29" s="389"/>
      <c r="I29" s="389"/>
    </row>
    <row r="30" spans="1:9" ht="15" x14ac:dyDescent="0.25">
      <c r="A30" s="11" t="s">
        <v>18</v>
      </c>
      <c r="B30" s="3" t="s">
        <v>8</v>
      </c>
      <c r="C30" s="186">
        <v>9.8854849963817077</v>
      </c>
      <c r="D30" s="387">
        <v>45.117100000000001</v>
      </c>
      <c r="E30" s="186">
        <v>18.871466012342118</v>
      </c>
      <c r="F30" s="387">
        <v>96.525899999999993</v>
      </c>
      <c r="G30" s="388">
        <f t="shared" si="0"/>
        <v>51.408799999999992</v>
      </c>
      <c r="H30" s="389">
        <v>0.3784507345348827</v>
      </c>
      <c r="I30" s="389">
        <v>0.38164399094829882</v>
      </c>
    </row>
    <row r="31" spans="1:9" ht="15" x14ac:dyDescent="0.25">
      <c r="A31" s="11"/>
      <c r="B31" s="3" t="s">
        <v>9</v>
      </c>
      <c r="C31" s="186">
        <v>5.4671969501545119</v>
      </c>
      <c r="D31" s="387">
        <v>26.16705</v>
      </c>
      <c r="E31" s="186">
        <v>5.7905178424437169</v>
      </c>
      <c r="F31" s="387">
        <v>29.336099999999998</v>
      </c>
      <c r="G31" s="388">
        <f t="shared" si="0"/>
        <v>3.1690499999999986</v>
      </c>
      <c r="H31" s="389">
        <v>0.39690146906976542</v>
      </c>
      <c r="I31" s="389">
        <v>0.40328798189659765</v>
      </c>
    </row>
    <row r="32" spans="1:9" ht="15" x14ac:dyDescent="0.25">
      <c r="A32" s="11"/>
      <c r="B32" s="3" t="s">
        <v>10</v>
      </c>
      <c r="C32" s="186">
        <v>0</v>
      </c>
      <c r="D32" s="387">
        <v>0</v>
      </c>
      <c r="E32" s="186">
        <v>0</v>
      </c>
      <c r="F32" s="387">
        <v>0</v>
      </c>
      <c r="G32" s="388">
        <f t="shared" si="0"/>
        <v>0</v>
      </c>
      <c r="H32" s="389"/>
      <c r="I32" s="389"/>
    </row>
    <row r="33" spans="1:9" ht="15" x14ac:dyDescent="0.25">
      <c r="A33" s="11"/>
      <c r="B33" s="3" t="s">
        <v>11</v>
      </c>
      <c r="C33" s="186">
        <v>0.84617167402941762</v>
      </c>
      <c r="D33" s="387">
        <v>3.6983999999999999</v>
      </c>
      <c r="E33" s="186">
        <v>2.27440442089231</v>
      </c>
      <c r="F33" s="387">
        <v>10.3987</v>
      </c>
      <c r="G33" s="388">
        <f t="shared" si="0"/>
        <v>6.7003000000000004</v>
      </c>
      <c r="H33" s="389">
        <v>0.43380293813953075</v>
      </c>
      <c r="I33" s="389">
        <v>0.44657596379319542</v>
      </c>
    </row>
    <row r="34" spans="1:9" ht="15" x14ac:dyDescent="0.25">
      <c r="A34" s="11"/>
      <c r="B34" s="3" t="s">
        <v>12</v>
      </c>
      <c r="C34" s="186">
        <v>0</v>
      </c>
      <c r="D34" s="387">
        <v>0</v>
      </c>
      <c r="E34" s="186">
        <v>0</v>
      </c>
      <c r="F34" s="387">
        <v>0</v>
      </c>
      <c r="G34" s="388">
        <f t="shared" si="0"/>
        <v>0</v>
      </c>
      <c r="H34" s="389"/>
      <c r="I34" s="389"/>
    </row>
    <row r="35" spans="1:9" ht="15" x14ac:dyDescent="0.25">
      <c r="A35" s="11"/>
      <c r="B35" s="3" t="s">
        <v>13</v>
      </c>
      <c r="C35" s="186">
        <v>6.2684777185146364E-3</v>
      </c>
      <c r="D35" s="387">
        <v>2.7449999999999999E-2</v>
      </c>
      <c r="E35" s="186">
        <v>5.9998092009381316E-3</v>
      </c>
      <c r="F35" s="387">
        <v>2.7449999999999999E-2</v>
      </c>
      <c r="G35" s="388">
        <f t="shared" si="0"/>
        <v>0</v>
      </c>
      <c r="H35" s="389">
        <v>0.4338029381395308</v>
      </c>
      <c r="I35" s="389">
        <v>0.44657596379319531</v>
      </c>
    </row>
    <row r="36" spans="1:9" ht="15" x14ac:dyDescent="0.25">
      <c r="A36" s="392" t="s">
        <v>14</v>
      </c>
      <c r="B36" s="391"/>
      <c r="C36" s="400">
        <f>SUM(C30:C35)</f>
        <v>16.20512209828415</v>
      </c>
      <c r="D36" s="383">
        <f>SUM(D30:D35)</f>
        <v>75.010000000000005</v>
      </c>
      <c r="E36" s="400">
        <f>SUM(E30:E35)</f>
        <v>26.942388084879081</v>
      </c>
      <c r="F36" s="383">
        <f>SUM(F30:F35)</f>
        <v>136.28814999999997</v>
      </c>
      <c r="G36" s="388">
        <f t="shared" si="0"/>
        <v>61.278149999999968</v>
      </c>
      <c r="H36" s="389">
        <v>0.38763664709202683</v>
      </c>
      <c r="I36" s="389">
        <v>0.39127021869836531</v>
      </c>
    </row>
    <row r="37" spans="1:9" ht="15" x14ac:dyDescent="0.25">
      <c r="A37" s="401" t="s">
        <v>15</v>
      </c>
      <c r="B37" s="10"/>
      <c r="C37" s="186"/>
      <c r="D37" s="383">
        <f>SUM(D36)</f>
        <v>75.010000000000005</v>
      </c>
      <c r="E37" s="186"/>
      <c r="F37" s="383">
        <f>SUM(F36)</f>
        <v>136.28814999999997</v>
      </c>
      <c r="G37" s="388">
        <f t="shared" si="0"/>
        <v>61.278149999999968</v>
      </c>
      <c r="H37" s="389"/>
      <c r="I37" s="389"/>
    </row>
    <row r="38" spans="1:9" ht="15.75" x14ac:dyDescent="0.25">
      <c r="A38" s="11"/>
      <c r="B38" s="3"/>
      <c r="C38" s="186"/>
      <c r="D38" s="402"/>
      <c r="E38" s="186"/>
      <c r="F38" s="402"/>
      <c r="G38" s="388">
        <f t="shared" si="0"/>
        <v>0</v>
      </c>
      <c r="H38" s="389"/>
      <c r="I38" s="389"/>
    </row>
    <row r="39" spans="1:9" ht="15" x14ac:dyDescent="0.25">
      <c r="A39" s="11" t="s">
        <v>19</v>
      </c>
      <c r="B39" s="3" t="s">
        <v>8</v>
      </c>
      <c r="C39" s="186">
        <v>44.560315223677158</v>
      </c>
      <c r="D39" s="387">
        <v>38.547699999999999</v>
      </c>
      <c r="E39" s="186">
        <v>35.615146332069777</v>
      </c>
      <c r="F39" s="387">
        <v>29.9802</v>
      </c>
      <c r="G39" s="388">
        <f t="shared" si="0"/>
        <v>-8.567499999999999</v>
      </c>
      <c r="H39" s="389">
        <v>0.42191317332364248</v>
      </c>
      <c r="I39" s="389">
        <v>0.42484032503594055</v>
      </c>
    </row>
    <row r="40" spans="1:9" ht="15" x14ac:dyDescent="0.25">
      <c r="A40" s="11"/>
      <c r="B40" s="3" t="s">
        <v>9</v>
      </c>
      <c r="C40" s="186">
        <v>27.504264207754165</v>
      </c>
      <c r="D40" s="387">
        <v>14.5405</v>
      </c>
      <c r="E40" s="186">
        <v>26.303264850016994</v>
      </c>
      <c r="F40" s="387">
        <v>15.0631</v>
      </c>
      <c r="G40" s="388">
        <f t="shared" si="0"/>
        <v>0.52260000000000062</v>
      </c>
      <c r="H40" s="389">
        <v>0.43882634664728493</v>
      </c>
      <c r="I40" s="389">
        <v>0.44468065007188118</v>
      </c>
    </row>
    <row r="41" spans="1:9" ht="15" x14ac:dyDescent="0.25">
      <c r="A41" s="11"/>
      <c r="B41" s="3" t="s">
        <v>10</v>
      </c>
      <c r="C41" s="186">
        <v>3.2451466463749763</v>
      </c>
      <c r="D41" s="387">
        <v>1.9340999999999999</v>
      </c>
      <c r="E41" s="186">
        <v>3.808728504209058</v>
      </c>
      <c r="F41" s="387">
        <v>2.8757000000000001</v>
      </c>
      <c r="G41" s="388">
        <f t="shared" si="0"/>
        <v>0.94160000000000021</v>
      </c>
      <c r="H41" s="389">
        <v>0.45573951997092749</v>
      </c>
      <c r="I41" s="389">
        <v>0.46452097510782175</v>
      </c>
    </row>
    <row r="42" spans="1:9" ht="15" x14ac:dyDescent="0.25">
      <c r="A42" s="11"/>
      <c r="B42" s="3" t="s">
        <v>11</v>
      </c>
      <c r="C42" s="186">
        <v>37.609421252413746</v>
      </c>
      <c r="D42" s="387">
        <v>31.224499999999999</v>
      </c>
      <c r="E42" s="186">
        <v>33.138089695839383</v>
      </c>
      <c r="F42" s="387">
        <v>27.904800000000002</v>
      </c>
      <c r="G42" s="388">
        <f t="shared" si="0"/>
        <v>-3.3196999999999974</v>
      </c>
      <c r="H42" s="389">
        <v>0.47265269329456983</v>
      </c>
      <c r="I42" s="389">
        <v>0.48436130014376244</v>
      </c>
    </row>
    <row r="43" spans="1:9" ht="15" x14ac:dyDescent="0.25">
      <c r="A43" s="11"/>
      <c r="B43" s="3" t="s">
        <v>12</v>
      </c>
      <c r="C43" s="186">
        <v>0</v>
      </c>
      <c r="D43" s="387">
        <v>0</v>
      </c>
      <c r="E43" s="186">
        <v>0</v>
      </c>
      <c r="F43" s="387">
        <v>0</v>
      </c>
      <c r="G43" s="388">
        <f t="shared" si="0"/>
        <v>0</v>
      </c>
      <c r="H43" s="389"/>
      <c r="I43" s="389"/>
    </row>
    <row r="44" spans="1:9" ht="15" x14ac:dyDescent="0.25">
      <c r="A44" s="11"/>
      <c r="B44" s="3" t="s">
        <v>13</v>
      </c>
      <c r="C44" s="186">
        <v>9.1062118371083217E-2</v>
      </c>
      <c r="D44" s="387">
        <v>7.3499999999999996E-2</v>
      </c>
      <c r="E44" s="186">
        <v>8.676359660958699E-2</v>
      </c>
      <c r="F44" s="387">
        <v>7.3499999999999996E-2</v>
      </c>
      <c r="G44" s="388">
        <f t="shared" si="0"/>
        <v>0</v>
      </c>
      <c r="H44" s="389">
        <v>0.47265269329456994</v>
      </c>
      <c r="I44" s="389">
        <v>0.48436130014376244</v>
      </c>
    </row>
    <row r="45" spans="1:9" ht="15" x14ac:dyDescent="0.25">
      <c r="A45" s="392" t="s">
        <v>14</v>
      </c>
      <c r="B45" s="391"/>
      <c r="C45" s="400">
        <f>SUM(C39:C44)</f>
        <v>113.01020944859114</v>
      </c>
      <c r="D45" s="383">
        <f>SUM(D39:D44)</f>
        <v>86.320300000000003</v>
      </c>
      <c r="E45" s="400">
        <f>SUM(E39:E44)</f>
        <v>98.951992978744798</v>
      </c>
      <c r="F45" s="383">
        <f>SUM(F39:F44)</f>
        <v>75.897300000000001</v>
      </c>
      <c r="G45" s="388">
        <f t="shared" si="0"/>
        <v>-10.423000000000002</v>
      </c>
      <c r="H45" s="389">
        <v>0.44391720979957006</v>
      </c>
      <c r="I45" s="389">
        <v>0.45222288203493471</v>
      </c>
    </row>
    <row r="46" spans="1:9" ht="15" x14ac:dyDescent="0.25">
      <c r="A46" s="401" t="s">
        <v>15</v>
      </c>
      <c r="B46" s="10"/>
      <c r="C46" s="186"/>
      <c r="D46" s="383">
        <f>SUM(D45)</f>
        <v>86.320300000000003</v>
      </c>
      <c r="E46" s="186"/>
      <c r="F46" s="383">
        <f>SUM(F45)</f>
        <v>75.897300000000001</v>
      </c>
      <c r="G46" s="388">
        <f t="shared" si="0"/>
        <v>-10.423000000000002</v>
      </c>
      <c r="H46" s="389"/>
      <c r="I46" s="389"/>
    </row>
    <row r="47" spans="1:9" ht="15.75" x14ac:dyDescent="0.25">
      <c r="A47" s="11"/>
      <c r="B47" s="3"/>
      <c r="C47" s="186"/>
      <c r="D47" s="402"/>
      <c r="E47" s="186"/>
      <c r="F47" s="402"/>
      <c r="G47" s="388">
        <f t="shared" si="0"/>
        <v>0</v>
      </c>
      <c r="H47" s="389"/>
      <c r="I47" s="389"/>
    </row>
    <row r="48" spans="1:9" ht="15" x14ac:dyDescent="0.25">
      <c r="A48" s="11" t="s">
        <v>20</v>
      </c>
      <c r="B48" s="3" t="s">
        <v>8</v>
      </c>
      <c r="C48" s="186">
        <v>7.9910308121887477</v>
      </c>
      <c r="D48" s="387">
        <v>11.9978</v>
      </c>
      <c r="E48" s="186">
        <v>7.4722527508918244</v>
      </c>
      <c r="F48" s="387">
        <v>11.9978</v>
      </c>
      <c r="G48" s="388">
        <f t="shared" si="0"/>
        <v>0</v>
      </c>
      <c r="H48" s="389">
        <v>0.46537561211240219</v>
      </c>
      <c r="I48" s="389">
        <v>0.46803665912358233</v>
      </c>
    </row>
    <row r="49" spans="1:9" ht="15" x14ac:dyDescent="0.25">
      <c r="A49" s="11"/>
      <c r="B49" s="3" t="s">
        <v>9</v>
      </c>
      <c r="C49" s="186">
        <v>4.3624932080705472</v>
      </c>
      <c r="D49" s="387">
        <v>3.8092000000000001</v>
      </c>
      <c r="E49" s="186">
        <v>4.100989386994212</v>
      </c>
      <c r="F49" s="387">
        <v>3.8092000000000001</v>
      </c>
      <c r="G49" s="388">
        <f t="shared" si="0"/>
        <v>0</v>
      </c>
      <c r="H49" s="389">
        <v>0.48075122422480449</v>
      </c>
      <c r="I49" s="389">
        <v>0.48607331824716465</v>
      </c>
    </row>
    <row r="50" spans="1:9" ht="15" x14ac:dyDescent="0.25">
      <c r="A50" s="11"/>
      <c r="B50" s="3" t="s">
        <v>10</v>
      </c>
      <c r="C50" s="186">
        <v>0.26385069448857895</v>
      </c>
      <c r="D50" s="387">
        <v>0.1384</v>
      </c>
      <c r="E50" s="186">
        <v>0.24926615434716939</v>
      </c>
      <c r="F50" s="387">
        <v>0.1384</v>
      </c>
      <c r="G50" s="388">
        <f t="shared" si="0"/>
        <v>0</v>
      </c>
      <c r="H50" s="389">
        <v>0.49612683633720672</v>
      </c>
      <c r="I50" s="389">
        <v>0.50410997737074714</v>
      </c>
    </row>
    <row r="51" spans="1:9" ht="15" x14ac:dyDescent="0.25">
      <c r="A51" s="11"/>
      <c r="B51" s="3" t="s">
        <v>11</v>
      </c>
      <c r="C51" s="186">
        <v>2.5116489841063077</v>
      </c>
      <c r="D51" s="387">
        <v>2.6183000000000001</v>
      </c>
      <c r="E51" s="186">
        <v>2.3838351015424291</v>
      </c>
      <c r="F51" s="387">
        <v>2.6183000000000001</v>
      </c>
      <c r="G51" s="388">
        <f t="shared" si="0"/>
        <v>0</v>
      </c>
      <c r="H51" s="389">
        <v>0.51150244844960902</v>
      </c>
      <c r="I51" s="389">
        <v>0.52214663649432946</v>
      </c>
    </row>
    <row r="52" spans="1:9" ht="15" x14ac:dyDescent="0.25">
      <c r="A52" s="11"/>
      <c r="B52" s="3" t="s">
        <v>12</v>
      </c>
      <c r="C52" s="186">
        <v>0</v>
      </c>
      <c r="D52" s="387">
        <v>0</v>
      </c>
      <c r="E52" s="186">
        <v>0</v>
      </c>
      <c r="F52" s="387">
        <v>0</v>
      </c>
      <c r="G52" s="388">
        <f t="shared" si="0"/>
        <v>0</v>
      </c>
      <c r="H52" s="389"/>
      <c r="I52" s="389"/>
    </row>
    <row r="53" spans="1:9" ht="15" x14ac:dyDescent="0.25">
      <c r="A53" s="11"/>
      <c r="B53" s="3" t="s">
        <v>13</v>
      </c>
      <c r="C53" s="186">
        <v>1.0119528582450308E-3</v>
      </c>
      <c r="D53" s="387">
        <v>1.4E-3</v>
      </c>
      <c r="E53" s="186">
        <v>9.6045616240799921E-4</v>
      </c>
      <c r="F53" s="387">
        <v>1.4E-3</v>
      </c>
      <c r="G53" s="388">
        <f t="shared" si="0"/>
        <v>0</v>
      </c>
      <c r="H53" s="389">
        <v>0.51150244844960902</v>
      </c>
      <c r="I53" s="389">
        <v>0.52214663649432946</v>
      </c>
    </row>
    <row r="54" spans="1:9" ht="15" x14ac:dyDescent="0.25">
      <c r="A54" s="392" t="s">
        <v>14</v>
      </c>
      <c r="B54" s="391"/>
      <c r="C54" s="400">
        <f>SUM(C48:C53)</f>
        <v>15.130035651712426</v>
      </c>
      <c r="D54" s="383">
        <f>SUM(D48:D53)</f>
        <v>18.565100000000001</v>
      </c>
      <c r="E54" s="400">
        <f>SUM(E48:E53)</f>
        <v>14.207303849938045</v>
      </c>
      <c r="F54" s="383">
        <f>SUM(F48:F53)</f>
        <v>18.565100000000001</v>
      </c>
      <c r="G54" s="388">
        <f t="shared" si="0"/>
        <v>0</v>
      </c>
      <c r="H54" s="389">
        <v>0.47526854154687087</v>
      </c>
      <c r="I54" s="389">
        <v>0.47964175130714731</v>
      </c>
    </row>
    <row r="55" spans="1:9" ht="15" x14ac:dyDescent="0.25">
      <c r="A55" s="401" t="s">
        <v>15</v>
      </c>
      <c r="B55" s="10"/>
      <c r="C55" s="186"/>
      <c r="D55" s="383">
        <f>SUM(D54)</f>
        <v>18.565100000000001</v>
      </c>
      <c r="E55" s="186"/>
      <c r="F55" s="383">
        <f>SUM(F54)</f>
        <v>18.565100000000001</v>
      </c>
      <c r="G55" s="388">
        <f t="shared" si="0"/>
        <v>0</v>
      </c>
      <c r="H55" s="389"/>
      <c r="I55" s="389"/>
    </row>
    <row r="56" spans="1:9" ht="15.75" x14ac:dyDescent="0.25">
      <c r="A56" s="11"/>
      <c r="B56" s="3"/>
      <c r="C56" s="186"/>
      <c r="D56" s="402"/>
      <c r="E56" s="186"/>
      <c r="F56" s="402"/>
      <c r="G56" s="388">
        <f t="shared" si="0"/>
        <v>0</v>
      </c>
      <c r="H56" s="389"/>
      <c r="I56" s="389"/>
    </row>
    <row r="57" spans="1:9" ht="15" x14ac:dyDescent="0.25">
      <c r="A57" s="11" t="s">
        <v>21</v>
      </c>
      <c r="B57" s="3" t="s">
        <v>8</v>
      </c>
      <c r="C57" s="186">
        <v>0.15845340123176307</v>
      </c>
      <c r="D57" s="387">
        <v>3.6787999999999998</v>
      </c>
      <c r="E57" s="186">
        <v>0.21331366664169088</v>
      </c>
      <c r="F57" s="387">
        <v>6.2215999999999996</v>
      </c>
      <c r="G57" s="388">
        <f t="shared" si="0"/>
        <v>2.5427999999999997</v>
      </c>
      <c r="H57" s="389">
        <v>3.9443711982556445E-2</v>
      </c>
      <c r="I57" s="389">
        <v>4.4712585064693063E-2</v>
      </c>
    </row>
    <row r="58" spans="1:9" ht="15" x14ac:dyDescent="0.25">
      <c r="A58" s="11"/>
      <c r="B58" s="3" t="s">
        <v>9</v>
      </c>
      <c r="C58" s="186">
        <v>0.35090641093590108</v>
      </c>
      <c r="D58" s="387">
        <v>4.2149000000000001</v>
      </c>
      <c r="E58" s="186">
        <v>0.34591581958275086</v>
      </c>
      <c r="F58" s="387">
        <v>3.8833000000000002</v>
      </c>
      <c r="G58" s="388">
        <f t="shared" si="0"/>
        <v>-0.33159999999999989</v>
      </c>
      <c r="H58" s="389">
        <v>6.9887423965112883E-2</v>
      </c>
      <c r="I58" s="389">
        <v>8.0425170129386117E-2</v>
      </c>
    </row>
    <row r="59" spans="1:9" ht="15" x14ac:dyDescent="0.25">
      <c r="A59" s="11"/>
      <c r="B59" s="3" t="s">
        <v>10</v>
      </c>
      <c r="C59" s="186">
        <v>0</v>
      </c>
      <c r="D59" s="387">
        <v>0</v>
      </c>
      <c r="E59" s="186">
        <v>0</v>
      </c>
      <c r="F59" s="387">
        <v>0</v>
      </c>
      <c r="G59" s="388">
        <f t="shared" si="0"/>
        <v>0</v>
      </c>
      <c r="H59" s="389"/>
      <c r="I59" s="389"/>
    </row>
    <row r="60" spans="1:9" ht="15" x14ac:dyDescent="0.25">
      <c r="A60" s="11"/>
      <c r="B60" s="3" t="s">
        <v>11</v>
      </c>
      <c r="C60" s="186">
        <v>2.8923281499996571E-2</v>
      </c>
      <c r="D60" s="387">
        <v>0.18565999999999999</v>
      </c>
      <c r="E60" s="186">
        <v>2.3092119667049354E-2</v>
      </c>
      <c r="F60" s="387">
        <v>0.13730000000000001</v>
      </c>
      <c r="G60" s="388">
        <f t="shared" si="0"/>
        <v>-4.8359999999999986E-2</v>
      </c>
      <c r="H60" s="389">
        <v>0.13077484793022578</v>
      </c>
      <c r="I60" s="389">
        <v>0.15185034025877223</v>
      </c>
    </row>
    <row r="61" spans="1:9" ht="15" x14ac:dyDescent="0.25">
      <c r="A61" s="12"/>
      <c r="B61" s="3" t="s">
        <v>12</v>
      </c>
      <c r="C61" s="186">
        <v>0</v>
      </c>
      <c r="D61" s="387">
        <v>0</v>
      </c>
      <c r="E61" s="186">
        <v>0</v>
      </c>
      <c r="F61" s="387">
        <v>0</v>
      </c>
      <c r="G61" s="388">
        <f t="shared" si="0"/>
        <v>0</v>
      </c>
      <c r="H61" s="389"/>
      <c r="I61" s="389"/>
    </row>
    <row r="62" spans="1:9" ht="15" x14ac:dyDescent="0.25">
      <c r="A62" s="12"/>
      <c r="B62" s="3" t="s">
        <v>13</v>
      </c>
      <c r="C62" s="186">
        <v>0</v>
      </c>
      <c r="D62" s="387">
        <v>0</v>
      </c>
      <c r="E62" s="186">
        <v>0</v>
      </c>
      <c r="F62" s="387">
        <v>0</v>
      </c>
      <c r="G62" s="388">
        <f t="shared" si="0"/>
        <v>0</v>
      </c>
      <c r="H62" s="389"/>
      <c r="I62" s="389"/>
    </row>
    <row r="63" spans="1:9" ht="15" x14ac:dyDescent="0.25">
      <c r="A63" s="392" t="s">
        <v>14</v>
      </c>
      <c r="B63" s="391"/>
      <c r="C63" s="400">
        <f>SUM(C57:C62)</f>
        <v>0.53828309366766069</v>
      </c>
      <c r="D63" s="383">
        <f>SUM(D57:D62)</f>
        <v>8.0793599999999994</v>
      </c>
      <c r="E63" s="400">
        <f>SUM(E57:E62)</f>
        <v>0.58232160589149118</v>
      </c>
      <c r="F63" s="383">
        <f>SUM(F57:F62)</f>
        <v>10.2422</v>
      </c>
      <c r="G63" s="388">
        <f t="shared" si="0"/>
        <v>2.162840000000001</v>
      </c>
      <c r="H63" s="389">
        <v>5.7424559516930637E-2</v>
      </c>
      <c r="I63" s="389">
        <v>5.9689122856365719E-2</v>
      </c>
    </row>
    <row r="64" spans="1:9" ht="15" x14ac:dyDescent="0.25">
      <c r="A64" s="401" t="s">
        <v>15</v>
      </c>
      <c r="B64" s="10"/>
      <c r="C64" s="186"/>
      <c r="D64" s="383">
        <f>SUM(D63)</f>
        <v>8.0793599999999994</v>
      </c>
      <c r="E64" s="186"/>
      <c r="F64" s="383">
        <f>SUM(F63)</f>
        <v>10.2422</v>
      </c>
      <c r="G64" s="388">
        <f t="shared" si="0"/>
        <v>2.162840000000001</v>
      </c>
      <c r="H64" s="389"/>
      <c r="I64" s="389"/>
    </row>
    <row r="65" spans="1:9" ht="15.75" x14ac:dyDescent="0.25">
      <c r="A65" s="11"/>
      <c r="B65" s="3"/>
      <c r="C65" s="186"/>
      <c r="D65" s="402"/>
      <c r="E65" s="186"/>
      <c r="F65" s="402"/>
      <c r="G65" s="388">
        <f t="shared" si="0"/>
        <v>0</v>
      </c>
      <c r="H65" s="389"/>
      <c r="I65" s="389"/>
    </row>
    <row r="66" spans="1:9" ht="15" x14ac:dyDescent="0.25">
      <c r="A66" s="11" t="s">
        <v>22</v>
      </c>
      <c r="B66" s="3" t="s">
        <v>8</v>
      </c>
      <c r="C66" s="186">
        <v>0</v>
      </c>
      <c r="D66" s="387">
        <v>0</v>
      </c>
      <c r="E66" s="186">
        <v>0.1455612798543372</v>
      </c>
      <c r="F66" s="387">
        <v>7.4356</v>
      </c>
      <c r="G66" s="388">
        <f t="shared" si="0"/>
        <v>7.4356</v>
      </c>
      <c r="H66" s="389"/>
      <c r="I66" s="389">
        <v>4.4712585064693063E-2</v>
      </c>
    </row>
    <row r="67" spans="1:9" ht="15" x14ac:dyDescent="0.25">
      <c r="A67" s="11"/>
      <c r="B67" s="3" t="s">
        <v>9</v>
      </c>
      <c r="C67" s="186">
        <v>0</v>
      </c>
      <c r="D67" s="387">
        <v>0</v>
      </c>
      <c r="E67" s="186">
        <v>0</v>
      </c>
      <c r="F67" s="387">
        <v>0</v>
      </c>
      <c r="G67" s="388">
        <f t="shared" si="0"/>
        <v>0</v>
      </c>
      <c r="H67" s="389"/>
      <c r="I67" s="389"/>
    </row>
    <row r="68" spans="1:9" ht="15" x14ac:dyDescent="0.25">
      <c r="A68" s="11"/>
      <c r="B68" s="3" t="s">
        <v>10</v>
      </c>
      <c r="C68" s="186">
        <v>0</v>
      </c>
      <c r="D68" s="387">
        <v>0</v>
      </c>
      <c r="E68" s="186">
        <v>0</v>
      </c>
      <c r="F68" s="387">
        <v>0</v>
      </c>
      <c r="G68" s="388">
        <f t="shared" ref="G68:G131" si="1">F68-D68</f>
        <v>0</v>
      </c>
      <c r="H68" s="389"/>
      <c r="I68" s="389"/>
    </row>
    <row r="69" spans="1:9" ht="15" x14ac:dyDescent="0.25">
      <c r="A69" s="11"/>
      <c r="B69" s="3" t="s">
        <v>11</v>
      </c>
      <c r="C69" s="186">
        <v>0</v>
      </c>
      <c r="D69" s="387">
        <v>0</v>
      </c>
      <c r="E69" s="186">
        <v>2.1098994709993199E-2</v>
      </c>
      <c r="F69" s="387">
        <v>0.4214</v>
      </c>
      <c r="G69" s="388">
        <f t="shared" si="1"/>
        <v>0.4214</v>
      </c>
      <c r="H69" s="389"/>
      <c r="I69" s="389">
        <v>0.15185034025877225</v>
      </c>
    </row>
    <row r="70" spans="1:9" ht="15" x14ac:dyDescent="0.25">
      <c r="A70" s="12"/>
      <c r="B70" s="3" t="s">
        <v>12</v>
      </c>
      <c r="C70" s="186">
        <v>0</v>
      </c>
      <c r="D70" s="387">
        <v>0</v>
      </c>
      <c r="E70" s="186">
        <v>0</v>
      </c>
      <c r="F70" s="387">
        <v>0</v>
      </c>
      <c r="G70" s="388">
        <f t="shared" si="1"/>
        <v>0</v>
      </c>
      <c r="H70" s="389"/>
      <c r="I70" s="389"/>
    </row>
    <row r="71" spans="1:9" ht="15" x14ac:dyDescent="0.25">
      <c r="A71" s="12"/>
      <c r="B71" s="3" t="s">
        <v>13</v>
      </c>
      <c r="C71" s="186">
        <v>0</v>
      </c>
      <c r="D71" s="387">
        <v>0</v>
      </c>
      <c r="E71" s="186">
        <v>0</v>
      </c>
      <c r="F71" s="387">
        <v>0</v>
      </c>
      <c r="G71" s="388">
        <f t="shared" si="1"/>
        <v>0</v>
      </c>
      <c r="H71" s="389"/>
      <c r="I71" s="389"/>
    </row>
    <row r="72" spans="1:9" ht="15" x14ac:dyDescent="0.25">
      <c r="A72" s="392" t="s">
        <v>14</v>
      </c>
      <c r="B72" s="391"/>
      <c r="C72" s="400">
        <f>SUM(C66:C71)</f>
        <v>0</v>
      </c>
      <c r="D72" s="383">
        <f>SUM(D66:D71)</f>
        <v>0</v>
      </c>
      <c r="E72" s="400">
        <f>SUM(E66:E71)</f>
        <v>0.16666027456433041</v>
      </c>
      <c r="F72" s="383">
        <f>SUM(F66:F71)</f>
        <v>7.8570000000000002</v>
      </c>
      <c r="G72" s="388">
        <f t="shared" si="1"/>
        <v>7.8570000000000002</v>
      </c>
      <c r="H72" s="389"/>
      <c r="I72" s="389">
        <v>5.0458779545892618E-2</v>
      </c>
    </row>
    <row r="73" spans="1:9" ht="15" x14ac:dyDescent="0.25">
      <c r="A73" s="401" t="s">
        <v>15</v>
      </c>
      <c r="B73" s="10"/>
      <c r="C73" s="186"/>
      <c r="D73" s="383">
        <f>SUM(D72)</f>
        <v>0</v>
      </c>
      <c r="E73" s="186"/>
      <c r="F73" s="383">
        <f>SUM(F72)</f>
        <v>7.8570000000000002</v>
      </c>
      <c r="G73" s="388">
        <f t="shared" si="1"/>
        <v>7.8570000000000002</v>
      </c>
      <c r="H73" s="389"/>
      <c r="I73" s="389"/>
    </row>
    <row r="74" spans="1:9" ht="15.75" x14ac:dyDescent="0.25">
      <c r="A74" s="11"/>
      <c r="B74" s="3"/>
      <c r="C74" s="186"/>
      <c r="D74" s="402"/>
      <c r="E74" s="186"/>
      <c r="F74" s="402"/>
      <c r="G74" s="388">
        <f t="shared" si="1"/>
        <v>0</v>
      </c>
      <c r="H74" s="389"/>
      <c r="I74" s="389"/>
    </row>
    <row r="75" spans="1:9" ht="15" x14ac:dyDescent="0.25">
      <c r="A75" s="11" t="s">
        <v>23</v>
      </c>
      <c r="B75" s="3" t="s">
        <v>8</v>
      </c>
      <c r="C75" s="186">
        <v>13.553541817570173</v>
      </c>
      <c r="D75" s="387">
        <v>81.6173</v>
      </c>
      <c r="E75" s="186">
        <v>19.708042652462716</v>
      </c>
      <c r="F75" s="387">
        <v>112.6026</v>
      </c>
      <c r="G75" s="388">
        <f t="shared" si="1"/>
        <v>30.985299999999995</v>
      </c>
      <c r="H75" s="389">
        <v>3.9443711982556445E-2</v>
      </c>
      <c r="I75" s="389">
        <v>4.4712585064693063E-2</v>
      </c>
    </row>
    <row r="76" spans="1:9" ht="15" x14ac:dyDescent="0.25">
      <c r="A76" s="11"/>
      <c r="B76" s="3" t="s">
        <v>9</v>
      </c>
      <c r="C76" s="186">
        <v>2.151551620379526</v>
      </c>
      <c r="D76" s="387">
        <v>7.3124000000000002</v>
      </c>
      <c r="E76" s="186">
        <v>5.1177176018997255</v>
      </c>
      <c r="F76" s="387">
        <v>16.2562</v>
      </c>
      <c r="G76" s="388">
        <f t="shared" si="1"/>
        <v>8.9437999999999995</v>
      </c>
      <c r="H76" s="389">
        <v>6.9887423965112896E-2</v>
      </c>
      <c r="I76" s="389">
        <v>8.0425170129386117E-2</v>
      </c>
    </row>
    <row r="77" spans="1:9" ht="15" x14ac:dyDescent="0.25">
      <c r="A77" s="11"/>
      <c r="B77" s="3" t="s">
        <v>10</v>
      </c>
      <c r="C77" s="186">
        <v>0.28799538185958018</v>
      </c>
      <c r="D77" s="387">
        <v>0.68179999999999996</v>
      </c>
      <c r="E77" s="186">
        <v>0.42092314542112275</v>
      </c>
      <c r="F77" s="387">
        <v>0.92589999999999995</v>
      </c>
      <c r="G77" s="388">
        <f t="shared" si="1"/>
        <v>0.24409999999999998</v>
      </c>
      <c r="H77" s="389">
        <v>0.10033113594766935</v>
      </c>
      <c r="I77" s="389">
        <v>0.11613775519407918</v>
      </c>
    </row>
    <row r="78" spans="1:9" ht="15" x14ac:dyDescent="0.25">
      <c r="A78" s="11"/>
      <c r="B78" s="3" t="s">
        <v>11</v>
      </c>
      <c r="C78" s="186">
        <v>19.004000397949213</v>
      </c>
      <c r="D78" s="387">
        <v>34.516599999999997</v>
      </c>
      <c r="E78" s="186">
        <v>60.418162437368537</v>
      </c>
      <c r="F78" s="387">
        <v>101.6451</v>
      </c>
      <c r="G78" s="388">
        <f t="shared" si="1"/>
        <v>67.128500000000003</v>
      </c>
      <c r="H78" s="389">
        <v>0.13077484793022578</v>
      </c>
      <c r="I78" s="389">
        <v>0.15185034025877225</v>
      </c>
    </row>
    <row r="79" spans="1:9" ht="15" x14ac:dyDescent="0.25">
      <c r="A79" s="11"/>
      <c r="B79" s="3" t="s">
        <v>12</v>
      </c>
      <c r="C79" s="186">
        <v>0</v>
      </c>
      <c r="D79" s="387">
        <v>0</v>
      </c>
      <c r="E79" s="186">
        <v>0</v>
      </c>
      <c r="F79" s="387">
        <v>0</v>
      </c>
      <c r="G79" s="388">
        <f t="shared" si="1"/>
        <v>0</v>
      </c>
      <c r="H79" s="389"/>
      <c r="I79" s="389"/>
    </row>
    <row r="80" spans="1:9" ht="15" x14ac:dyDescent="0.25">
      <c r="A80" s="11"/>
      <c r="B80" s="3" t="s">
        <v>13</v>
      </c>
      <c r="C80" s="186">
        <v>0.10664650855190728</v>
      </c>
      <c r="D80" s="387">
        <v>0.19370000000000001</v>
      </c>
      <c r="E80" s="186">
        <v>0.1662311213043482</v>
      </c>
      <c r="F80" s="387">
        <v>0.3357</v>
      </c>
      <c r="G80" s="388">
        <f t="shared" si="1"/>
        <v>0.14199999999999999</v>
      </c>
      <c r="H80" s="389">
        <v>0.13077484793022578</v>
      </c>
      <c r="I80" s="389">
        <v>0.15185034025877225</v>
      </c>
    </row>
    <row r="81" spans="1:9" ht="15" x14ac:dyDescent="0.25">
      <c r="A81" s="392" t="s">
        <v>14</v>
      </c>
      <c r="B81" s="391"/>
      <c r="C81" s="400">
        <f>SUM(C75:C80)</f>
        <v>35.103735726310397</v>
      </c>
      <c r="D81" s="383">
        <f>SUM(D75:D80)</f>
        <v>124.3218</v>
      </c>
      <c r="E81" s="400">
        <f>SUM(E75:E80)</f>
        <v>85.83107695845645</v>
      </c>
      <c r="F81" s="383">
        <f>SUM(F75:F80)</f>
        <v>231.7655</v>
      </c>
      <c r="G81" s="388">
        <f t="shared" si="1"/>
        <v>107.44370000000001</v>
      </c>
      <c r="H81" s="389">
        <v>6.7067674740858271E-2</v>
      </c>
      <c r="I81" s="389">
        <v>9.4645286330618375E-2</v>
      </c>
    </row>
    <row r="82" spans="1:9" ht="15" x14ac:dyDescent="0.25">
      <c r="A82" s="401" t="s">
        <v>15</v>
      </c>
      <c r="B82" s="10"/>
      <c r="C82" s="186"/>
      <c r="D82" s="383">
        <f>SUM(D81)</f>
        <v>124.3218</v>
      </c>
      <c r="E82" s="186"/>
      <c r="F82" s="383">
        <f>SUM(F81)</f>
        <v>231.7655</v>
      </c>
      <c r="G82" s="388">
        <f t="shared" si="1"/>
        <v>107.44370000000001</v>
      </c>
      <c r="H82" s="389"/>
      <c r="I82" s="389"/>
    </row>
    <row r="83" spans="1:9" ht="15.75" x14ac:dyDescent="0.25">
      <c r="A83" s="11"/>
      <c r="B83" s="3"/>
      <c r="C83" s="186"/>
      <c r="D83" s="402"/>
      <c r="E83" s="186"/>
      <c r="F83" s="402"/>
      <c r="G83" s="388">
        <f t="shared" si="1"/>
        <v>0</v>
      </c>
      <c r="H83" s="389"/>
      <c r="I83" s="389"/>
    </row>
    <row r="84" spans="1:9" ht="15" x14ac:dyDescent="0.25">
      <c r="A84" s="11" t="s">
        <v>24</v>
      </c>
      <c r="B84" s="3" t="s">
        <v>8</v>
      </c>
      <c r="C84" s="186">
        <v>20.405202922891704</v>
      </c>
      <c r="D84" s="387">
        <v>148.16669999999999</v>
      </c>
      <c r="E84" s="186">
        <v>19.361992185831859</v>
      </c>
      <c r="F84" s="387">
        <v>125.95440000000001</v>
      </c>
      <c r="G84" s="388">
        <f>F84-D84</f>
        <v>-22.212299999999985</v>
      </c>
      <c r="H84" s="389">
        <v>3.9443711982556452E-2</v>
      </c>
      <c r="I84" s="389">
        <v>4.4712585064693063E-2</v>
      </c>
    </row>
    <row r="85" spans="1:9" ht="15" x14ac:dyDescent="0.25">
      <c r="A85" s="11"/>
      <c r="B85" s="3" t="s">
        <v>9</v>
      </c>
      <c r="C85" s="186">
        <v>2.8034410147950881</v>
      </c>
      <c r="D85" s="387">
        <v>16.532399999999999</v>
      </c>
      <c r="E85" s="186">
        <v>1.127910739473917</v>
      </c>
      <c r="F85" s="387">
        <v>5.7535999999999996</v>
      </c>
      <c r="G85" s="388">
        <f t="shared" si="1"/>
        <v>-10.7788</v>
      </c>
      <c r="H85" s="389">
        <v>6.9887423965112883E-2</v>
      </c>
      <c r="I85" s="389">
        <v>8.0425170129386131E-2</v>
      </c>
    </row>
    <row r="86" spans="1:9" ht="15" x14ac:dyDescent="0.25">
      <c r="A86" s="11"/>
      <c r="B86" s="3" t="s">
        <v>10</v>
      </c>
      <c r="C86" s="186">
        <v>0</v>
      </c>
      <c r="D86" s="387"/>
      <c r="E86" s="186">
        <v>0</v>
      </c>
      <c r="F86" s="387"/>
      <c r="G86" s="388">
        <f t="shared" si="1"/>
        <v>0</v>
      </c>
      <c r="H86" s="389"/>
      <c r="I86" s="389"/>
    </row>
    <row r="87" spans="1:9" ht="15" x14ac:dyDescent="0.25">
      <c r="A87" s="11"/>
      <c r="B87" s="3" t="s">
        <v>11</v>
      </c>
      <c r="C87" s="186">
        <v>37.673163880638171</v>
      </c>
      <c r="D87" s="387">
        <v>104.04470000000001</v>
      </c>
      <c r="E87" s="186">
        <v>24.860778311374894</v>
      </c>
      <c r="F87" s="387">
        <v>55.817700000000002</v>
      </c>
      <c r="G87" s="388">
        <f t="shared" si="1"/>
        <v>-48.227000000000004</v>
      </c>
      <c r="H87" s="389">
        <v>0.13077484793022578</v>
      </c>
      <c r="I87" s="389">
        <v>0.15185034025877225</v>
      </c>
    </row>
    <row r="88" spans="1:9" ht="15" x14ac:dyDescent="0.25">
      <c r="A88" s="11"/>
      <c r="B88" s="3" t="s">
        <v>12</v>
      </c>
      <c r="C88" s="186">
        <v>0</v>
      </c>
      <c r="D88" s="387">
        <v>0</v>
      </c>
      <c r="E88" s="186">
        <v>0</v>
      </c>
      <c r="F88" s="387">
        <v>0</v>
      </c>
      <c r="G88" s="388">
        <f t="shared" si="1"/>
        <v>0</v>
      </c>
      <c r="H88" s="389"/>
      <c r="I88" s="389"/>
    </row>
    <row r="89" spans="1:9" ht="15" x14ac:dyDescent="0.25">
      <c r="A89" s="11"/>
      <c r="B89" s="3" t="s">
        <v>13</v>
      </c>
      <c r="C89" s="186">
        <v>0.44798514092851976</v>
      </c>
      <c r="D89" s="387">
        <v>1.4752000000000001</v>
      </c>
      <c r="E89" s="186">
        <v>7.4323862215572412E-2</v>
      </c>
      <c r="F89" s="387">
        <v>0.22670000000000001</v>
      </c>
      <c r="G89" s="388">
        <f t="shared" si="1"/>
        <v>-1.2484999999999999</v>
      </c>
      <c r="H89" s="389">
        <v>0.13077484793022578</v>
      </c>
      <c r="I89" s="389">
        <v>0.15185034025877228</v>
      </c>
    </row>
    <row r="90" spans="1:9" ht="15" x14ac:dyDescent="0.25">
      <c r="A90" s="392" t="s">
        <v>14</v>
      </c>
      <c r="B90" s="391"/>
      <c r="C90" s="400">
        <f>SUM(C84:C89)</f>
        <v>61.329792959253481</v>
      </c>
      <c r="D90" s="383">
        <f>SUM(D84:D89)</f>
        <v>270.21899999999994</v>
      </c>
      <c r="E90" s="400">
        <f>SUM(E84:E89)</f>
        <v>45.425005098896243</v>
      </c>
      <c r="F90" s="383">
        <f>SUM(F84:F89)</f>
        <v>187.75239999999999</v>
      </c>
      <c r="G90" s="388">
        <f t="shared" si="1"/>
        <v>-82.466599999999943</v>
      </c>
      <c r="H90" s="389">
        <v>7.6970902728080978E-2</v>
      </c>
      <c r="I90" s="389">
        <v>7.7787779504962656E-2</v>
      </c>
    </row>
    <row r="91" spans="1:9" ht="15" x14ac:dyDescent="0.25">
      <c r="A91" s="401" t="s">
        <v>15</v>
      </c>
      <c r="B91" s="10"/>
      <c r="C91" s="186"/>
      <c r="D91" s="383">
        <f>SUM(D90)</f>
        <v>270.21899999999994</v>
      </c>
      <c r="E91" s="186"/>
      <c r="F91" s="383">
        <f>SUM(F90)</f>
        <v>187.75239999999999</v>
      </c>
      <c r="G91" s="388">
        <f t="shared" si="1"/>
        <v>-82.466599999999943</v>
      </c>
      <c r="H91" s="389"/>
      <c r="I91" s="389"/>
    </row>
    <row r="92" spans="1:9" ht="15.75" x14ac:dyDescent="0.25">
      <c r="A92" s="11"/>
      <c r="B92" s="3"/>
      <c r="C92" s="186"/>
      <c r="D92" s="402"/>
      <c r="E92" s="186"/>
      <c r="F92" s="402"/>
      <c r="G92" s="388">
        <f t="shared" si="1"/>
        <v>0</v>
      </c>
      <c r="H92" s="389"/>
      <c r="I92" s="389"/>
    </row>
    <row r="93" spans="1:9" ht="15" x14ac:dyDescent="0.25">
      <c r="A93" s="11" t="s">
        <v>25</v>
      </c>
      <c r="B93" s="3" t="s">
        <v>8</v>
      </c>
      <c r="C93" s="186">
        <v>0.49732118803410763</v>
      </c>
      <c r="D93" s="387">
        <v>9.1846999999999994</v>
      </c>
      <c r="E93" s="186">
        <v>0.52415708567204378</v>
      </c>
      <c r="F93" s="387">
        <v>9.1846999999999994</v>
      </c>
      <c r="G93" s="388">
        <f t="shared" si="1"/>
        <v>0</v>
      </c>
      <c r="H93" s="389">
        <v>3.9443711982556445E-2</v>
      </c>
      <c r="I93" s="389">
        <v>4.4712585064693063E-2</v>
      </c>
    </row>
    <row r="94" spans="1:9" ht="15" x14ac:dyDescent="0.25">
      <c r="A94" s="11"/>
      <c r="B94" s="3" t="s">
        <v>9</v>
      </c>
      <c r="C94" s="186">
        <v>0</v>
      </c>
      <c r="D94" s="387">
        <v>0</v>
      </c>
      <c r="E94" s="186">
        <v>0</v>
      </c>
      <c r="F94" s="387">
        <v>0</v>
      </c>
      <c r="G94" s="388">
        <f t="shared" si="1"/>
        <v>0</v>
      </c>
      <c r="H94" s="389"/>
      <c r="I94" s="389"/>
    </row>
    <row r="95" spans="1:9" ht="15" x14ac:dyDescent="0.25">
      <c r="A95" s="11"/>
      <c r="B95" s="3" t="s">
        <v>10</v>
      </c>
      <c r="C95" s="186">
        <v>0</v>
      </c>
      <c r="D95" s="387">
        <v>0</v>
      </c>
      <c r="E95" s="186">
        <v>0</v>
      </c>
      <c r="F95" s="387">
        <v>0</v>
      </c>
      <c r="G95" s="388">
        <f t="shared" si="1"/>
        <v>0</v>
      </c>
      <c r="H95" s="389"/>
      <c r="I95" s="389"/>
    </row>
    <row r="96" spans="1:9" ht="15" x14ac:dyDescent="0.25">
      <c r="A96" s="11"/>
      <c r="B96" s="3" t="s">
        <v>11</v>
      </c>
      <c r="C96" s="186">
        <v>1.1331937111299447E-2</v>
      </c>
      <c r="D96" s="387">
        <v>6.8169999999999994E-2</v>
      </c>
      <c r="E96" s="186">
        <v>1.2236130458706147E-2</v>
      </c>
      <c r="F96" s="387">
        <v>6.8199999999999997E-2</v>
      </c>
      <c r="G96" s="388">
        <f t="shared" si="1"/>
        <v>3.0000000000002247E-5</v>
      </c>
      <c r="H96" s="389">
        <v>0.13077484793022576</v>
      </c>
      <c r="I96" s="389">
        <v>0.15185034025877225</v>
      </c>
    </row>
    <row r="97" spans="1:9" ht="15" x14ac:dyDescent="0.25">
      <c r="A97" s="11"/>
      <c r="B97" s="3" t="s">
        <v>12</v>
      </c>
      <c r="C97" s="186">
        <v>0</v>
      </c>
      <c r="D97" s="387">
        <v>0</v>
      </c>
      <c r="E97" s="186">
        <v>0</v>
      </c>
      <c r="F97" s="387">
        <v>0</v>
      </c>
      <c r="G97" s="388">
        <f t="shared" si="1"/>
        <v>0</v>
      </c>
      <c r="H97" s="389"/>
      <c r="I97" s="389"/>
    </row>
    <row r="98" spans="1:9" ht="15" x14ac:dyDescent="0.25">
      <c r="A98" s="11"/>
      <c r="B98" s="3" t="s">
        <v>13</v>
      </c>
      <c r="C98" s="186">
        <v>4.613723407514635E-3</v>
      </c>
      <c r="D98" s="387">
        <v>2.5700000000000001E-2</v>
      </c>
      <c r="E98" s="186">
        <v>4.9809891864393916E-3</v>
      </c>
      <c r="F98" s="387">
        <v>2.5700000000000001E-2</v>
      </c>
      <c r="G98" s="388">
        <f t="shared" si="1"/>
        <v>0</v>
      </c>
      <c r="H98" s="389">
        <v>0.13077484793022578</v>
      </c>
      <c r="I98" s="389">
        <v>0.15185034025877225</v>
      </c>
    </row>
    <row r="99" spans="1:9" ht="15" x14ac:dyDescent="0.25">
      <c r="A99" s="392" t="s">
        <v>14</v>
      </c>
      <c r="B99" s="391"/>
      <c r="C99" s="400">
        <f>SUM(C93:C98)</f>
        <v>0.51326684855292171</v>
      </c>
      <c r="D99" s="383">
        <f>SUM(D93:D98)</f>
        <v>9.2785700000000002</v>
      </c>
      <c r="E99" s="400">
        <f>SUM(E93:E98)</f>
        <v>0.54137420531718938</v>
      </c>
      <c r="F99" s="383">
        <f>SUM(F93:F98)</f>
        <v>9.2785999999999991</v>
      </c>
      <c r="G99" s="388">
        <f t="shared" si="1"/>
        <v>2.9999999998864268E-5</v>
      </c>
      <c r="H99" s="389">
        <v>4.0367696360688814E-2</v>
      </c>
      <c r="I99" s="389">
        <v>4.5796825705816092E-2</v>
      </c>
    </row>
    <row r="100" spans="1:9" ht="15" x14ac:dyDescent="0.25">
      <c r="A100" s="401" t="s">
        <v>15</v>
      </c>
      <c r="B100" s="10"/>
      <c r="C100" s="186"/>
      <c r="D100" s="383">
        <f>SUM(D99)</f>
        <v>9.2785700000000002</v>
      </c>
      <c r="E100" s="186"/>
      <c r="F100" s="383">
        <f>SUM(F99)</f>
        <v>9.2785999999999991</v>
      </c>
      <c r="G100" s="388">
        <f t="shared" si="1"/>
        <v>2.9999999998864268E-5</v>
      </c>
      <c r="H100" s="389"/>
      <c r="I100" s="389"/>
    </row>
    <row r="101" spans="1:9" ht="15.75" x14ac:dyDescent="0.25">
      <c r="A101" s="11"/>
      <c r="B101" s="3"/>
      <c r="C101" s="186"/>
      <c r="D101" s="402"/>
      <c r="E101" s="186"/>
      <c r="F101" s="402"/>
      <c r="G101" s="388">
        <f t="shared" si="1"/>
        <v>0</v>
      </c>
      <c r="H101" s="389"/>
      <c r="I101" s="389"/>
    </row>
    <row r="102" spans="1:9" ht="15" x14ac:dyDescent="0.25">
      <c r="A102" s="11" t="s">
        <v>26</v>
      </c>
      <c r="B102" s="3" t="s">
        <v>8</v>
      </c>
      <c r="C102" s="186">
        <v>0</v>
      </c>
      <c r="D102" s="387"/>
      <c r="E102" s="186">
        <v>0</v>
      </c>
      <c r="F102" s="387"/>
      <c r="G102" s="388">
        <f t="shared" si="1"/>
        <v>0</v>
      </c>
      <c r="H102" s="389"/>
      <c r="I102" s="389"/>
    </row>
    <row r="103" spans="1:9" ht="15" x14ac:dyDescent="0.25">
      <c r="A103" s="11"/>
      <c r="B103" s="3" t="s">
        <v>9</v>
      </c>
      <c r="C103" s="186">
        <v>0</v>
      </c>
      <c r="D103" s="387"/>
      <c r="E103" s="186">
        <v>0</v>
      </c>
      <c r="F103" s="387"/>
      <c r="G103" s="388">
        <f t="shared" si="1"/>
        <v>0</v>
      </c>
      <c r="H103" s="389"/>
      <c r="I103" s="389"/>
    </row>
    <row r="104" spans="1:9" ht="15" x14ac:dyDescent="0.25">
      <c r="A104" s="11"/>
      <c r="B104" s="3" t="s">
        <v>10</v>
      </c>
      <c r="C104" s="186">
        <v>0</v>
      </c>
      <c r="D104" s="387"/>
      <c r="E104" s="186">
        <v>0</v>
      </c>
      <c r="F104" s="387"/>
      <c r="G104" s="388">
        <f t="shared" si="1"/>
        <v>0</v>
      </c>
      <c r="H104" s="389"/>
      <c r="I104" s="389"/>
    </row>
    <row r="105" spans="1:9" ht="15" x14ac:dyDescent="0.25">
      <c r="A105" s="11"/>
      <c r="B105" s="3" t="s">
        <v>11</v>
      </c>
      <c r="C105" s="186">
        <v>0</v>
      </c>
      <c r="D105" s="387"/>
      <c r="E105" s="186">
        <v>0</v>
      </c>
      <c r="F105" s="387"/>
      <c r="G105" s="388">
        <f t="shared" si="1"/>
        <v>0</v>
      </c>
      <c r="H105" s="389"/>
      <c r="I105" s="389"/>
    </row>
    <row r="106" spans="1:9" ht="15" x14ac:dyDescent="0.25">
      <c r="A106" s="11"/>
      <c r="B106" s="3" t="s">
        <v>12</v>
      </c>
      <c r="C106" s="186">
        <v>0</v>
      </c>
      <c r="D106" s="387"/>
      <c r="E106" s="186">
        <v>0</v>
      </c>
      <c r="F106" s="387"/>
      <c r="G106" s="388">
        <f t="shared" si="1"/>
        <v>0</v>
      </c>
      <c r="H106" s="389"/>
      <c r="I106" s="389"/>
    </row>
    <row r="107" spans="1:9" ht="15" x14ac:dyDescent="0.25">
      <c r="A107" s="11"/>
      <c r="B107" s="3" t="s">
        <v>13</v>
      </c>
      <c r="C107" s="186">
        <v>0</v>
      </c>
      <c r="D107" s="387"/>
      <c r="E107" s="186">
        <v>0</v>
      </c>
      <c r="F107" s="387"/>
      <c r="G107" s="388">
        <f t="shared" si="1"/>
        <v>0</v>
      </c>
      <c r="H107" s="389"/>
      <c r="I107" s="389"/>
    </row>
    <row r="108" spans="1:9" ht="15" x14ac:dyDescent="0.25">
      <c r="A108" s="392" t="s">
        <v>14</v>
      </c>
      <c r="B108" s="391"/>
      <c r="C108" s="186"/>
      <c r="D108" s="383">
        <f>SUM(D102:D107)</f>
        <v>0</v>
      </c>
      <c r="E108" s="186"/>
      <c r="F108" s="383">
        <f>SUM(F102:F107)</f>
        <v>0</v>
      </c>
      <c r="G108" s="388">
        <f t="shared" si="1"/>
        <v>0</v>
      </c>
      <c r="H108" s="389"/>
      <c r="I108" s="389"/>
    </row>
    <row r="109" spans="1:9" ht="15" x14ac:dyDescent="0.25">
      <c r="A109" s="401" t="s">
        <v>15</v>
      </c>
      <c r="B109" s="10"/>
      <c r="C109" s="186"/>
      <c r="D109" s="383">
        <f>SUM(D108)</f>
        <v>0</v>
      </c>
      <c r="E109" s="186"/>
      <c r="F109" s="383">
        <f>SUM(F108)</f>
        <v>0</v>
      </c>
      <c r="G109" s="388">
        <f t="shared" si="1"/>
        <v>0</v>
      </c>
      <c r="H109" s="389"/>
      <c r="I109" s="389"/>
    </row>
    <row r="110" spans="1:9" ht="15.75" x14ac:dyDescent="0.25">
      <c r="A110" s="11"/>
      <c r="B110" s="3"/>
      <c r="C110" s="186"/>
      <c r="D110" s="402"/>
      <c r="E110" s="186"/>
      <c r="F110" s="402"/>
      <c r="G110" s="388">
        <f t="shared" si="1"/>
        <v>0</v>
      </c>
      <c r="H110" s="389"/>
      <c r="I110" s="389"/>
    </row>
    <row r="111" spans="1:9" ht="15" x14ac:dyDescent="0.25">
      <c r="A111" s="11" t="s">
        <v>27</v>
      </c>
      <c r="B111" s="3" t="s">
        <v>8</v>
      </c>
      <c r="C111" s="186">
        <v>1.0624984177477332</v>
      </c>
      <c r="D111" s="387">
        <v>6.2455999999999996</v>
      </c>
      <c r="E111" s="186">
        <v>1.119831785931499</v>
      </c>
      <c r="F111" s="387">
        <v>6.2455999999999996</v>
      </c>
      <c r="G111" s="388">
        <f t="shared" si="1"/>
        <v>0</v>
      </c>
      <c r="H111" s="389">
        <v>3.9443711982556445E-2</v>
      </c>
      <c r="I111" s="389">
        <v>4.4712585064693063E-2</v>
      </c>
    </row>
    <row r="112" spans="1:9" ht="15" x14ac:dyDescent="0.25">
      <c r="A112" s="11"/>
      <c r="B112" s="3" t="s">
        <v>9</v>
      </c>
      <c r="C112" s="186">
        <v>0.1102563162792652</v>
      </c>
      <c r="D112" s="387">
        <v>0.30580000000000002</v>
      </c>
      <c r="E112" s="186">
        <v>0.11796928087618755</v>
      </c>
      <c r="F112" s="387">
        <v>0.30580000000000002</v>
      </c>
      <c r="G112" s="388">
        <f t="shared" si="1"/>
        <v>0</v>
      </c>
      <c r="H112" s="389">
        <v>6.9887423965112883E-2</v>
      </c>
      <c r="I112" s="389">
        <v>8.0425170129386131E-2</v>
      </c>
    </row>
    <row r="113" spans="1:9" ht="15" x14ac:dyDescent="0.25">
      <c r="A113" s="11"/>
      <c r="B113" s="3" t="s">
        <v>10</v>
      </c>
      <c r="C113" s="186">
        <v>0</v>
      </c>
      <c r="D113" s="387"/>
      <c r="E113" s="186">
        <v>0</v>
      </c>
      <c r="F113" s="387"/>
      <c r="G113" s="388">
        <f t="shared" si="1"/>
        <v>0</v>
      </c>
      <c r="H113" s="389"/>
      <c r="I113" s="389"/>
    </row>
    <row r="114" spans="1:9" ht="15" x14ac:dyDescent="0.25">
      <c r="A114" s="11"/>
      <c r="B114" s="3" t="s">
        <v>11</v>
      </c>
      <c r="C114" s="186">
        <v>1.1687977402905669</v>
      </c>
      <c r="D114" s="387">
        <v>1.7323999999999999</v>
      </c>
      <c r="E114" s="186">
        <v>1.2618374339562408</v>
      </c>
      <c r="F114" s="387">
        <v>1.7323999999999999</v>
      </c>
      <c r="G114" s="388">
        <f t="shared" si="1"/>
        <v>0</v>
      </c>
      <c r="H114" s="389">
        <v>0.13077484793022578</v>
      </c>
      <c r="I114" s="389">
        <v>0.15185034025877223</v>
      </c>
    </row>
    <row r="115" spans="1:9" ht="15" x14ac:dyDescent="0.25">
      <c r="A115" s="11"/>
      <c r="B115" s="3" t="s">
        <v>12</v>
      </c>
      <c r="C115" s="186">
        <v>0</v>
      </c>
      <c r="D115" s="387"/>
      <c r="E115" s="186">
        <v>0</v>
      </c>
      <c r="F115" s="387"/>
      <c r="G115" s="388">
        <f t="shared" si="1"/>
        <v>0</v>
      </c>
      <c r="H115" s="389"/>
      <c r="I115" s="389"/>
    </row>
    <row r="116" spans="1:9" ht="15" x14ac:dyDescent="0.25">
      <c r="A116" s="11"/>
      <c r="B116" s="3" t="s">
        <v>13</v>
      </c>
      <c r="C116" s="186">
        <v>0</v>
      </c>
      <c r="D116" s="387"/>
      <c r="E116" s="186">
        <v>0</v>
      </c>
      <c r="F116" s="387"/>
      <c r="G116" s="388">
        <f t="shared" si="1"/>
        <v>0</v>
      </c>
      <c r="H116" s="389"/>
      <c r="I116" s="389"/>
    </row>
    <row r="117" spans="1:9" ht="15" x14ac:dyDescent="0.25">
      <c r="A117" s="392" t="s">
        <v>14</v>
      </c>
      <c r="B117" s="391"/>
      <c r="C117" s="400">
        <f>SUM(C111:C116)</f>
        <v>2.3415524743175653</v>
      </c>
      <c r="D117" s="383">
        <f>SUM(D111:D116)</f>
        <v>8.2837999999999994</v>
      </c>
      <c r="E117" s="400">
        <f>SUM(E111:E116)</f>
        <v>2.4996385007639272</v>
      </c>
      <c r="F117" s="383">
        <f>SUM(F111:F116)</f>
        <v>8.2837999999999994</v>
      </c>
      <c r="G117" s="388">
        <f t="shared" si="1"/>
        <v>0</v>
      </c>
      <c r="H117" s="389">
        <v>5.966773320953056E-2</v>
      </c>
      <c r="I117" s="389">
        <v>6.8436764259145605E-2</v>
      </c>
    </row>
    <row r="118" spans="1:9" ht="15" x14ac:dyDescent="0.25">
      <c r="A118" s="401" t="s">
        <v>15</v>
      </c>
      <c r="B118" s="10"/>
      <c r="C118" s="186"/>
      <c r="D118" s="383">
        <f>SUM(D117)</f>
        <v>8.2837999999999994</v>
      </c>
      <c r="E118" s="186"/>
      <c r="F118" s="383">
        <f>SUM(F117)</f>
        <v>8.2837999999999994</v>
      </c>
      <c r="G118" s="388">
        <f t="shared" si="1"/>
        <v>0</v>
      </c>
      <c r="H118" s="389"/>
      <c r="I118" s="389"/>
    </row>
    <row r="119" spans="1:9" ht="15.75" x14ac:dyDescent="0.25">
      <c r="A119" s="11"/>
      <c r="B119" s="3"/>
      <c r="C119" s="186"/>
      <c r="D119" s="402"/>
      <c r="E119" s="186"/>
      <c r="F119" s="402"/>
      <c r="G119" s="388">
        <f t="shared" si="1"/>
        <v>0</v>
      </c>
      <c r="H119" s="389"/>
      <c r="I119" s="389"/>
    </row>
    <row r="120" spans="1:9" ht="15" x14ac:dyDescent="0.25">
      <c r="A120" s="11" t="s">
        <v>28</v>
      </c>
      <c r="B120" s="3" t="s">
        <v>8</v>
      </c>
      <c r="C120" s="186">
        <v>5.2338214610175395</v>
      </c>
      <c r="D120" s="387">
        <v>281.78219999999999</v>
      </c>
      <c r="E120" s="186">
        <v>4.2350176965399093</v>
      </c>
      <c r="F120" s="387">
        <v>216.33430000000001</v>
      </c>
      <c r="G120" s="388">
        <f t="shared" si="1"/>
        <v>-65.447899999999976</v>
      </c>
      <c r="H120" s="389">
        <v>3.9443711982556445E-2</v>
      </c>
      <c r="I120" s="389">
        <v>4.4712585064693063E-2</v>
      </c>
    </row>
    <row r="121" spans="1:9" ht="15" x14ac:dyDescent="0.25">
      <c r="A121" s="11"/>
      <c r="B121" s="3" t="s">
        <v>9</v>
      </c>
      <c r="C121" s="186">
        <v>0.11410192462084259</v>
      </c>
      <c r="D121" s="387">
        <v>3.4670999999999998</v>
      </c>
      <c r="E121" s="186">
        <v>0.14459853162185149</v>
      </c>
      <c r="F121" s="387">
        <v>4.1064999999999996</v>
      </c>
      <c r="G121" s="388">
        <f t="shared" si="1"/>
        <v>0.63939999999999975</v>
      </c>
      <c r="H121" s="389">
        <v>6.9887423965112896E-2</v>
      </c>
      <c r="I121" s="389">
        <v>8.0425170129386145E-2</v>
      </c>
    </row>
    <row r="122" spans="1:9" ht="15" x14ac:dyDescent="0.25">
      <c r="A122" s="11"/>
      <c r="B122" s="3" t="s">
        <v>10</v>
      </c>
      <c r="C122" s="186">
        <v>4.8786023344439766E-2</v>
      </c>
      <c r="D122" s="387">
        <v>1.0326</v>
      </c>
      <c r="E122" s="186">
        <v>4.6220791472152351E-3</v>
      </c>
      <c r="F122" s="387">
        <v>9.0899999999999995E-2</v>
      </c>
      <c r="G122" s="388">
        <f t="shared" si="1"/>
        <v>-0.94169999999999998</v>
      </c>
      <c r="H122" s="389">
        <v>0.10033113594766933</v>
      </c>
      <c r="I122" s="389">
        <v>0.11613775519407919</v>
      </c>
    </row>
    <row r="123" spans="1:9" ht="15" x14ac:dyDescent="0.25">
      <c r="A123" s="11"/>
      <c r="B123" s="3" t="s">
        <v>11</v>
      </c>
      <c r="C123" s="186">
        <v>6.9610617987218353</v>
      </c>
      <c r="D123" s="387">
        <v>113.0378</v>
      </c>
      <c r="E123" s="186">
        <v>6.5220674642325056</v>
      </c>
      <c r="F123" s="387">
        <v>98.100099999999998</v>
      </c>
      <c r="G123" s="388">
        <f t="shared" si="1"/>
        <v>-14.937700000000007</v>
      </c>
      <c r="H123" s="389">
        <v>0.13077484793022578</v>
      </c>
      <c r="I123" s="389">
        <v>0.15185034025877225</v>
      </c>
    </row>
    <row r="124" spans="1:9" ht="15" x14ac:dyDescent="0.25">
      <c r="A124" s="11"/>
      <c r="B124" s="3" t="s">
        <v>12</v>
      </c>
      <c r="C124" s="186">
        <v>0</v>
      </c>
      <c r="D124" s="387">
        <v>0</v>
      </c>
      <c r="E124" s="186">
        <v>0</v>
      </c>
      <c r="F124" s="387">
        <v>0</v>
      </c>
      <c r="G124" s="388">
        <f t="shared" si="1"/>
        <v>0</v>
      </c>
      <c r="H124" s="389"/>
      <c r="I124" s="389"/>
    </row>
    <row r="125" spans="1:9" ht="15" x14ac:dyDescent="0.25">
      <c r="A125" s="11"/>
      <c r="B125" s="3" t="s">
        <v>13</v>
      </c>
      <c r="C125" s="186">
        <v>4.8618765493409176E-2</v>
      </c>
      <c r="D125" s="387">
        <v>0.78949999999999998</v>
      </c>
      <c r="E125" s="186">
        <v>4.7702126762223719E-2</v>
      </c>
      <c r="F125" s="387">
        <v>0.71750000000000003</v>
      </c>
      <c r="G125" s="388">
        <f t="shared" si="1"/>
        <v>-7.1999999999999953E-2</v>
      </c>
      <c r="H125" s="389">
        <v>0.13077484793022578</v>
      </c>
      <c r="I125" s="389">
        <v>0.15185034025877225</v>
      </c>
    </row>
    <row r="126" spans="1:9" ht="15" x14ac:dyDescent="0.25">
      <c r="A126" s="392" t="s">
        <v>14</v>
      </c>
      <c r="B126" s="391"/>
      <c r="C126" s="400">
        <f>SUM(C120:C125)</f>
        <v>12.406389973198067</v>
      </c>
      <c r="D126" s="383">
        <f>SUM(D120:D125)</f>
        <v>400.10919999999999</v>
      </c>
      <c r="E126" s="400">
        <f>SUM(E120:E125)</f>
        <v>10.954007898303706</v>
      </c>
      <c r="F126" s="383">
        <f>SUM(F120:F125)</f>
        <v>319.34929999999997</v>
      </c>
      <c r="G126" s="388">
        <f t="shared" si="1"/>
        <v>-80.759900000000016</v>
      </c>
      <c r="H126" s="389">
        <v>6.5847504643803026E-2</v>
      </c>
      <c r="I126" s="389">
        <v>7.8344229524848027E-2</v>
      </c>
    </row>
    <row r="127" spans="1:9" ht="15" x14ac:dyDescent="0.25">
      <c r="A127" s="401" t="s">
        <v>15</v>
      </c>
      <c r="B127" s="10"/>
      <c r="C127" s="186"/>
      <c r="D127" s="383">
        <f>SUM(D126)</f>
        <v>400.10919999999999</v>
      </c>
      <c r="E127" s="186"/>
      <c r="F127" s="383">
        <f>SUM(F126)</f>
        <v>319.34929999999997</v>
      </c>
      <c r="G127" s="388">
        <f t="shared" si="1"/>
        <v>-80.759900000000016</v>
      </c>
      <c r="H127" s="389"/>
      <c r="I127" s="389"/>
    </row>
    <row r="128" spans="1:9" ht="15.75" x14ac:dyDescent="0.25">
      <c r="A128" s="11"/>
      <c r="B128" s="3"/>
      <c r="C128" s="186"/>
      <c r="D128" s="402"/>
      <c r="E128" s="186"/>
      <c r="F128" s="402"/>
      <c r="G128" s="388">
        <f t="shared" si="1"/>
        <v>0</v>
      </c>
      <c r="H128" s="389"/>
      <c r="I128" s="389"/>
    </row>
    <row r="129" spans="1:9" ht="15" x14ac:dyDescent="0.25">
      <c r="A129" s="11" t="s">
        <v>29</v>
      </c>
      <c r="B129" s="3" t="s">
        <v>8</v>
      </c>
      <c r="C129" s="186">
        <v>4.7827750853339936E-2</v>
      </c>
      <c r="D129" s="387">
        <v>0.63266</v>
      </c>
      <c r="E129" s="186">
        <v>0.2033504822310557</v>
      </c>
      <c r="F129" s="387">
        <v>2.8900999999999999</v>
      </c>
      <c r="G129" s="388">
        <f t="shared" si="1"/>
        <v>2.2574399999999999</v>
      </c>
      <c r="H129" s="389">
        <v>0.7696126836337206</v>
      </c>
      <c r="I129" s="389">
        <v>0.77041099773707478</v>
      </c>
    </row>
    <row r="130" spans="1:9" ht="15" x14ac:dyDescent="0.25">
      <c r="A130" s="11"/>
      <c r="B130" s="3" t="s">
        <v>9</v>
      </c>
      <c r="C130" s="186">
        <v>0.11981830428147554</v>
      </c>
      <c r="D130" s="387">
        <v>1.5754999999999999</v>
      </c>
      <c r="E130" s="186">
        <v>2.3205089906439883E-2</v>
      </c>
      <c r="F130" s="387">
        <v>0.32750000000000001</v>
      </c>
      <c r="G130" s="388">
        <f t="shared" si="1"/>
        <v>-1.2479999999999998</v>
      </c>
      <c r="H130" s="389">
        <v>0.7742253672674414</v>
      </c>
      <c r="I130" s="389">
        <v>0.77582199547414932</v>
      </c>
    </row>
    <row r="131" spans="1:9" ht="15" x14ac:dyDescent="0.25">
      <c r="A131" s="11"/>
      <c r="B131" s="3" t="s">
        <v>10</v>
      </c>
      <c r="C131" s="186">
        <v>0</v>
      </c>
      <c r="D131" s="387">
        <v>0</v>
      </c>
      <c r="E131" s="186">
        <v>0</v>
      </c>
      <c r="F131" s="387">
        <v>0</v>
      </c>
      <c r="G131" s="388">
        <f t="shared" si="1"/>
        <v>0</v>
      </c>
      <c r="H131" s="389"/>
      <c r="I131" s="389"/>
    </row>
    <row r="132" spans="1:9" ht="15" x14ac:dyDescent="0.25">
      <c r="A132" s="11"/>
      <c r="B132" s="3" t="s">
        <v>11</v>
      </c>
      <c r="C132" s="186">
        <v>0.8098587189860208</v>
      </c>
      <c r="D132" s="387">
        <v>10.5235</v>
      </c>
      <c r="E132" s="186">
        <v>0.74750393118507352</v>
      </c>
      <c r="F132" s="387">
        <v>10.4046</v>
      </c>
      <c r="G132" s="388">
        <f t="shared" ref="G132:G172" si="2">F132-D132</f>
        <v>-0.11890000000000001</v>
      </c>
      <c r="H132" s="389">
        <v>0.78345073453488256</v>
      </c>
      <c r="I132" s="389">
        <v>0.78664399094829884</v>
      </c>
    </row>
    <row r="133" spans="1:9" ht="15" x14ac:dyDescent="0.25">
      <c r="A133" s="11"/>
      <c r="B133" s="3" t="s">
        <v>12</v>
      </c>
      <c r="C133" s="186">
        <v>0</v>
      </c>
      <c r="D133" s="387">
        <v>0</v>
      </c>
      <c r="E133" s="186">
        <v>0</v>
      </c>
      <c r="F133" s="387">
        <v>0</v>
      </c>
      <c r="G133" s="388">
        <f t="shared" si="2"/>
        <v>0</v>
      </c>
      <c r="H133" s="389"/>
      <c r="I133" s="389"/>
    </row>
    <row r="134" spans="1:9" ht="15" x14ac:dyDescent="0.25">
      <c r="A134" s="11"/>
      <c r="B134" s="3" t="s">
        <v>13</v>
      </c>
      <c r="C134" s="186">
        <v>0.99580261947673421</v>
      </c>
      <c r="D134" s="387">
        <v>12.9397</v>
      </c>
      <c r="E134" s="186">
        <v>0.71204911408111615</v>
      </c>
      <c r="F134" s="387">
        <v>9.9110999999999994</v>
      </c>
      <c r="G134" s="388">
        <f t="shared" si="2"/>
        <v>-3.0286000000000008</v>
      </c>
      <c r="H134" s="389">
        <v>0.78345073453488268</v>
      </c>
      <c r="I134" s="389">
        <v>0.78664399094829884</v>
      </c>
    </row>
    <row r="135" spans="1:9" ht="15" x14ac:dyDescent="0.25">
      <c r="A135" s="392" t="s">
        <v>14</v>
      </c>
      <c r="B135" s="391"/>
      <c r="C135" s="400">
        <f>SUM(C129:C134)</f>
        <v>1.9733073935975705</v>
      </c>
      <c r="D135" s="383">
        <f>SUM(D129:D134)</f>
        <v>25.67136</v>
      </c>
      <c r="E135" s="400">
        <f>SUM(E129:E134)</f>
        <v>1.6861086174036852</v>
      </c>
      <c r="F135" s="383">
        <f>SUM(F129:F134)</f>
        <v>23.533299999999997</v>
      </c>
      <c r="G135" s="388">
        <f t="shared" si="2"/>
        <v>-2.138060000000003</v>
      </c>
      <c r="H135" s="389">
        <v>0.78254352325301124</v>
      </c>
      <c r="I135" s="389">
        <v>0.78449983023996051</v>
      </c>
    </row>
    <row r="136" spans="1:9" ht="15" x14ac:dyDescent="0.25">
      <c r="A136" s="401" t="s">
        <v>15</v>
      </c>
      <c r="B136" s="10"/>
      <c r="C136" s="186"/>
      <c r="D136" s="383">
        <f>SUM(D135)</f>
        <v>25.67136</v>
      </c>
      <c r="E136" s="186"/>
      <c r="F136" s="383">
        <f>SUM(F135)</f>
        <v>23.533299999999997</v>
      </c>
      <c r="G136" s="388">
        <f t="shared" si="2"/>
        <v>-2.138060000000003</v>
      </c>
      <c r="H136" s="389"/>
      <c r="I136" s="389"/>
    </row>
    <row r="137" spans="1:9" ht="15.75" x14ac:dyDescent="0.25">
      <c r="A137" s="11"/>
      <c r="B137" s="3"/>
      <c r="C137" s="186"/>
      <c r="D137" s="402"/>
      <c r="E137" s="186"/>
      <c r="F137" s="402"/>
      <c r="G137" s="388">
        <f t="shared" si="2"/>
        <v>0</v>
      </c>
      <c r="H137" s="389"/>
      <c r="I137" s="389"/>
    </row>
    <row r="138" spans="1:9" ht="15" x14ac:dyDescent="0.25">
      <c r="A138" s="11" t="s">
        <v>30</v>
      </c>
      <c r="B138" s="3" t="s">
        <v>8</v>
      </c>
      <c r="C138" s="186">
        <v>22.540131230355705</v>
      </c>
      <c r="D138" s="387">
        <v>69.565200000000004</v>
      </c>
      <c r="E138" s="186">
        <v>21.865486126602285</v>
      </c>
      <c r="F138" s="387">
        <v>72.439700000000002</v>
      </c>
      <c r="G138" s="388">
        <f t="shared" si="2"/>
        <v>2.8744999999999976</v>
      </c>
      <c r="H138" s="389">
        <v>0.68268780605620116</v>
      </c>
      <c r="I138" s="389">
        <v>0.68401832956179121</v>
      </c>
    </row>
    <row r="139" spans="1:9" ht="15" x14ac:dyDescent="0.25">
      <c r="A139" s="11"/>
      <c r="B139" s="3" t="s">
        <v>9</v>
      </c>
      <c r="C139" s="186">
        <v>2.7297950705085765</v>
      </c>
      <c r="D139" s="387">
        <v>8.3310999999999993</v>
      </c>
      <c r="E139" s="186">
        <v>1.9521330512441644</v>
      </c>
      <c r="F139" s="387">
        <v>6.3832000000000004</v>
      </c>
      <c r="G139" s="388">
        <f t="shared" si="2"/>
        <v>-1.9478999999999989</v>
      </c>
      <c r="H139" s="389">
        <v>0.69037561211240217</v>
      </c>
      <c r="I139" s="389">
        <v>0.69303665912358225</v>
      </c>
    </row>
    <row r="140" spans="1:9" ht="15" x14ac:dyDescent="0.25">
      <c r="A140" s="11"/>
      <c r="B140" s="3" t="s">
        <v>10</v>
      </c>
      <c r="C140" s="186">
        <v>0</v>
      </c>
      <c r="D140" s="387">
        <v>0</v>
      </c>
      <c r="E140" s="186">
        <v>0</v>
      </c>
      <c r="F140" s="387">
        <v>0</v>
      </c>
      <c r="G140" s="388">
        <f t="shared" si="2"/>
        <v>0</v>
      </c>
      <c r="H140" s="389"/>
      <c r="I140" s="389"/>
    </row>
    <row r="141" spans="1:9" ht="15" x14ac:dyDescent="0.25">
      <c r="A141" s="11"/>
      <c r="B141" s="3" t="s">
        <v>11</v>
      </c>
      <c r="C141" s="186">
        <v>433.28550687979185</v>
      </c>
      <c r="D141" s="387">
        <v>1293.5411999999999</v>
      </c>
      <c r="E141" s="186">
        <v>402.44674586491163</v>
      </c>
      <c r="F141" s="387">
        <v>1282.5646999999999</v>
      </c>
      <c r="G141" s="388">
        <f t="shared" si="2"/>
        <v>-10.976499999999987</v>
      </c>
      <c r="H141" s="389">
        <v>0.70575122422480452</v>
      </c>
      <c r="I141" s="389">
        <v>0.71107331824716469</v>
      </c>
    </row>
    <row r="142" spans="1:9" ht="15" x14ac:dyDescent="0.25">
      <c r="A142" s="11"/>
      <c r="B142" s="3" t="s">
        <v>12</v>
      </c>
      <c r="C142" s="186">
        <v>0</v>
      </c>
      <c r="D142" s="387">
        <v>0</v>
      </c>
      <c r="E142" s="186">
        <v>0</v>
      </c>
      <c r="F142" s="387">
        <v>0</v>
      </c>
      <c r="G142" s="388">
        <f t="shared" si="2"/>
        <v>0</v>
      </c>
      <c r="H142" s="389"/>
      <c r="I142" s="389"/>
    </row>
    <row r="143" spans="1:9" ht="15" x14ac:dyDescent="0.25">
      <c r="A143" s="11"/>
      <c r="B143" s="3" t="s">
        <v>13</v>
      </c>
      <c r="C143" s="186">
        <v>8.6525381417811378</v>
      </c>
      <c r="D143" s="387">
        <v>25.831499999999998</v>
      </c>
      <c r="E143" s="186">
        <v>9.4045412630569061</v>
      </c>
      <c r="F143" s="387">
        <v>29.971499999999999</v>
      </c>
      <c r="G143" s="388">
        <f t="shared" si="2"/>
        <v>4.1400000000000006</v>
      </c>
      <c r="H143" s="389">
        <v>0.70575122422480452</v>
      </c>
      <c r="I143" s="389">
        <v>0.71107331824716469</v>
      </c>
    </row>
    <row r="144" spans="1:9" ht="15" x14ac:dyDescent="0.25">
      <c r="A144" s="392" t="s">
        <v>14</v>
      </c>
      <c r="B144" s="391"/>
      <c r="C144" s="400">
        <f>SUM(C138:C143)</f>
        <v>467.20797132243723</v>
      </c>
      <c r="D144" s="383">
        <f>SUM(D138:D143)</f>
        <v>1397.269</v>
      </c>
      <c r="E144" s="400">
        <f>SUM(E138:E143)</f>
        <v>435.66890630581497</v>
      </c>
      <c r="F144" s="383">
        <f>SUM(F138:F143)</f>
        <v>1391.3591000000001</v>
      </c>
      <c r="G144" s="388">
        <f t="shared" si="2"/>
        <v>-5.9098999999998796</v>
      </c>
      <c r="H144" s="389">
        <v>0.70451130044516563</v>
      </c>
      <c r="I144" s="389">
        <v>0.70958198012576268</v>
      </c>
    </row>
    <row r="145" spans="1:9" ht="15" x14ac:dyDescent="0.25">
      <c r="A145" s="401" t="s">
        <v>15</v>
      </c>
      <c r="B145" s="10"/>
      <c r="C145" s="186"/>
      <c r="D145" s="383">
        <f>SUM(D144)</f>
        <v>1397.269</v>
      </c>
      <c r="E145" s="186"/>
      <c r="F145" s="383">
        <f>SUM(F144)</f>
        <v>1391.3591000000001</v>
      </c>
      <c r="G145" s="388">
        <f t="shared" si="2"/>
        <v>-5.9098999999998796</v>
      </c>
      <c r="H145" s="389"/>
      <c r="I145" s="389"/>
    </row>
    <row r="146" spans="1:9" ht="15.75" x14ac:dyDescent="0.25">
      <c r="A146" s="11"/>
      <c r="B146" s="3"/>
      <c r="C146" s="186"/>
      <c r="D146" s="402"/>
      <c r="E146" s="186"/>
      <c r="F146" s="402"/>
      <c r="G146" s="388">
        <f t="shared" si="2"/>
        <v>0</v>
      </c>
      <c r="H146" s="389"/>
      <c r="I146" s="389"/>
    </row>
    <row r="147" spans="1:9" ht="15" x14ac:dyDescent="0.25">
      <c r="A147" s="11" t="s">
        <v>31</v>
      </c>
      <c r="B147" s="3" t="s">
        <v>8</v>
      </c>
      <c r="C147" s="186">
        <v>0</v>
      </c>
      <c r="D147" s="387"/>
      <c r="E147" s="186">
        <v>0</v>
      </c>
      <c r="F147" s="387"/>
      <c r="G147" s="388">
        <f t="shared" si="2"/>
        <v>0</v>
      </c>
      <c r="H147" s="389"/>
      <c r="I147" s="389"/>
    </row>
    <row r="148" spans="1:9" ht="15" x14ac:dyDescent="0.25">
      <c r="A148" s="11"/>
      <c r="B148" s="3" t="s">
        <v>9</v>
      </c>
      <c r="C148" s="186">
        <v>0</v>
      </c>
      <c r="D148" s="387"/>
      <c r="E148" s="186">
        <v>0</v>
      </c>
      <c r="F148" s="387"/>
      <c r="G148" s="388">
        <f t="shared" si="2"/>
        <v>0</v>
      </c>
      <c r="H148" s="389"/>
      <c r="I148" s="389"/>
    </row>
    <row r="149" spans="1:9" ht="15" x14ac:dyDescent="0.25">
      <c r="A149" s="11"/>
      <c r="B149" s="3" t="s">
        <v>10</v>
      </c>
      <c r="C149" s="186">
        <v>0</v>
      </c>
      <c r="D149" s="387"/>
      <c r="E149" s="186">
        <v>0</v>
      </c>
      <c r="F149" s="387"/>
      <c r="G149" s="388">
        <f t="shared" si="2"/>
        <v>0</v>
      </c>
      <c r="H149" s="389"/>
      <c r="I149" s="389"/>
    </row>
    <row r="150" spans="1:9" ht="15" x14ac:dyDescent="0.25">
      <c r="A150" s="11"/>
      <c r="B150" s="3" t="s">
        <v>11</v>
      </c>
      <c r="C150" s="186">
        <v>0</v>
      </c>
      <c r="D150" s="387"/>
      <c r="E150" s="186">
        <v>0</v>
      </c>
      <c r="F150" s="387"/>
      <c r="G150" s="388">
        <f t="shared" si="2"/>
        <v>0</v>
      </c>
      <c r="H150" s="389"/>
      <c r="I150" s="389"/>
    </row>
    <row r="151" spans="1:9" ht="15" x14ac:dyDescent="0.25">
      <c r="A151" s="11"/>
      <c r="B151" s="3" t="s">
        <v>12</v>
      </c>
      <c r="C151" s="186">
        <v>0</v>
      </c>
      <c r="D151" s="387"/>
      <c r="E151" s="186">
        <v>0</v>
      </c>
      <c r="F151" s="387"/>
      <c r="G151" s="388">
        <f t="shared" si="2"/>
        <v>0</v>
      </c>
      <c r="H151" s="389"/>
      <c r="I151" s="389"/>
    </row>
    <row r="152" spans="1:9" ht="15" x14ac:dyDescent="0.25">
      <c r="A152" s="11"/>
      <c r="B152" s="3" t="s">
        <v>13</v>
      </c>
      <c r="C152" s="186">
        <v>0</v>
      </c>
      <c r="D152" s="387"/>
      <c r="E152" s="186">
        <v>0</v>
      </c>
      <c r="F152" s="387"/>
      <c r="G152" s="388">
        <f t="shared" si="2"/>
        <v>0</v>
      </c>
      <c r="H152" s="389"/>
      <c r="I152" s="389"/>
    </row>
    <row r="153" spans="1:9" ht="15" x14ac:dyDescent="0.25">
      <c r="A153" s="392" t="s">
        <v>14</v>
      </c>
      <c r="B153" s="391"/>
      <c r="C153" s="186"/>
      <c r="D153" s="383">
        <f>SUM(D147:D152)</f>
        <v>0</v>
      </c>
      <c r="E153" s="186"/>
      <c r="F153" s="383">
        <f>SUM(F147:F152)</f>
        <v>0</v>
      </c>
      <c r="G153" s="388">
        <f t="shared" si="2"/>
        <v>0</v>
      </c>
      <c r="H153" s="389"/>
      <c r="I153" s="389"/>
    </row>
    <row r="154" spans="1:9" ht="15" x14ac:dyDescent="0.25">
      <c r="A154" s="401" t="s">
        <v>15</v>
      </c>
      <c r="B154" s="10"/>
      <c r="C154" s="186"/>
      <c r="D154" s="383">
        <f>SUM(D153)</f>
        <v>0</v>
      </c>
      <c r="E154" s="186"/>
      <c r="F154" s="383">
        <f>SUM(F153)</f>
        <v>0</v>
      </c>
      <c r="G154" s="388">
        <f t="shared" si="2"/>
        <v>0</v>
      </c>
      <c r="H154" s="389"/>
      <c r="I154" s="389"/>
    </row>
    <row r="155" spans="1:9" ht="15.75" x14ac:dyDescent="0.25">
      <c r="A155" s="11"/>
      <c r="B155" s="3"/>
      <c r="C155" s="186"/>
      <c r="D155" s="402"/>
      <c r="E155" s="186"/>
      <c r="F155" s="402"/>
      <c r="G155" s="388">
        <f t="shared" si="2"/>
        <v>0</v>
      </c>
      <c r="H155" s="389"/>
      <c r="I155" s="389"/>
    </row>
    <row r="156" spans="1:9" ht="15" x14ac:dyDescent="0.25">
      <c r="A156" s="11" t="s">
        <v>709</v>
      </c>
      <c r="B156" s="3" t="s">
        <v>8</v>
      </c>
      <c r="C156" s="186">
        <v>0</v>
      </c>
      <c r="D156" s="387"/>
      <c r="E156" s="186">
        <v>0</v>
      </c>
      <c r="F156" s="387"/>
      <c r="G156" s="388">
        <f t="shared" si="2"/>
        <v>0</v>
      </c>
      <c r="H156" s="389"/>
      <c r="I156" s="389"/>
    </row>
    <row r="157" spans="1:9" ht="15" x14ac:dyDescent="0.25">
      <c r="A157" s="11"/>
      <c r="B157" s="3" t="s">
        <v>9</v>
      </c>
      <c r="C157" s="186">
        <v>0</v>
      </c>
      <c r="D157" s="387"/>
      <c r="E157" s="186">
        <v>0</v>
      </c>
      <c r="F157" s="387"/>
      <c r="G157" s="388">
        <f t="shared" si="2"/>
        <v>0</v>
      </c>
      <c r="H157" s="389"/>
      <c r="I157" s="389"/>
    </row>
    <row r="158" spans="1:9" ht="15" x14ac:dyDescent="0.25">
      <c r="A158" s="11"/>
      <c r="B158" s="3" t="s">
        <v>10</v>
      </c>
      <c r="C158" s="186">
        <v>0</v>
      </c>
      <c r="D158" s="387"/>
      <c r="E158" s="186">
        <v>0</v>
      </c>
      <c r="F158" s="387"/>
      <c r="G158" s="388">
        <f t="shared" si="2"/>
        <v>0</v>
      </c>
      <c r="H158" s="389"/>
      <c r="I158" s="389"/>
    </row>
    <row r="159" spans="1:9" ht="15" x14ac:dyDescent="0.25">
      <c r="A159" s="11"/>
      <c r="B159" s="3" t="s">
        <v>11</v>
      </c>
      <c r="C159" s="186">
        <v>120.61883298107428</v>
      </c>
      <c r="D159" s="387">
        <v>137.87690000000001</v>
      </c>
      <c r="E159" s="186">
        <v>129.03513074788148</v>
      </c>
      <c r="F159" s="387">
        <v>137.8776</v>
      </c>
      <c r="G159" s="388">
        <f t="shared" si="2"/>
        <v>6.9999999999481588E-4</v>
      </c>
      <c r="H159" s="389">
        <v>0.13854479896123359</v>
      </c>
      <c r="I159" s="389">
        <v>0.15940740752888566</v>
      </c>
    </row>
    <row r="160" spans="1:9" ht="15" x14ac:dyDescent="0.25">
      <c r="A160" s="11"/>
      <c r="B160" s="3" t="s">
        <v>12</v>
      </c>
      <c r="C160" s="186">
        <v>0</v>
      </c>
      <c r="D160" s="387"/>
      <c r="E160" s="186">
        <v>0</v>
      </c>
      <c r="F160" s="387"/>
      <c r="G160" s="388">
        <f t="shared" si="2"/>
        <v>0</v>
      </c>
      <c r="H160" s="389"/>
      <c r="I160" s="389"/>
    </row>
    <row r="161" spans="1:9" ht="15" x14ac:dyDescent="0.25">
      <c r="A161" s="11"/>
      <c r="B161" s="3" t="s">
        <v>13</v>
      </c>
      <c r="C161" s="186">
        <v>0</v>
      </c>
      <c r="D161" s="387"/>
      <c r="E161" s="186">
        <v>0</v>
      </c>
      <c r="F161" s="387"/>
      <c r="G161" s="388">
        <f t="shared" si="2"/>
        <v>0</v>
      </c>
      <c r="H161" s="389"/>
      <c r="I161" s="389"/>
    </row>
    <row r="162" spans="1:9" ht="15" x14ac:dyDescent="0.25">
      <c r="A162" s="392" t="s">
        <v>14</v>
      </c>
      <c r="B162" s="391"/>
      <c r="C162" s="400">
        <f>SUM(C156:C161)</f>
        <v>120.61883298107428</v>
      </c>
      <c r="D162" s="383">
        <f>SUM(D156:D161)</f>
        <v>137.87690000000001</v>
      </c>
      <c r="E162" s="400">
        <f>SUM(E156:E161)</f>
        <v>129.03513074788148</v>
      </c>
      <c r="F162" s="383">
        <f>SUM(F156:F161)</f>
        <v>137.8776</v>
      </c>
      <c r="G162" s="388">
        <f t="shared" si="2"/>
        <v>6.9999999999481588E-4</v>
      </c>
      <c r="H162" s="389">
        <v>0.13854479896123359</v>
      </c>
      <c r="I162" s="389">
        <v>0.15940740752888566</v>
      </c>
    </row>
    <row r="163" spans="1:9" ht="15" x14ac:dyDescent="0.25">
      <c r="A163" s="401" t="s">
        <v>15</v>
      </c>
      <c r="B163" s="10"/>
      <c r="C163" s="186"/>
      <c r="D163" s="383">
        <f>SUM(D162)</f>
        <v>137.87690000000001</v>
      </c>
      <c r="E163" s="186"/>
      <c r="F163" s="383">
        <f>SUM(F162)</f>
        <v>137.8776</v>
      </c>
      <c r="G163" s="388">
        <f t="shared" si="2"/>
        <v>6.9999999999481588E-4</v>
      </c>
      <c r="H163" s="389"/>
      <c r="I163" s="389"/>
    </row>
    <row r="164" spans="1:9" ht="15.75" x14ac:dyDescent="0.25">
      <c r="A164" s="11"/>
      <c r="B164" s="3"/>
      <c r="C164" s="186"/>
      <c r="D164" s="402"/>
      <c r="E164" s="186"/>
      <c r="F164" s="402"/>
      <c r="G164" s="388">
        <f t="shared" si="2"/>
        <v>0</v>
      </c>
      <c r="H164" s="389"/>
      <c r="I164" s="389"/>
    </row>
    <row r="165" spans="1:9" ht="15" x14ac:dyDescent="0.25">
      <c r="A165" s="225" t="s">
        <v>865</v>
      </c>
      <c r="B165" s="3" t="s">
        <v>8</v>
      </c>
      <c r="C165" s="186"/>
      <c r="D165" s="387">
        <v>0</v>
      </c>
      <c r="E165" s="186"/>
      <c r="F165" s="387">
        <v>0</v>
      </c>
      <c r="G165" s="388">
        <f t="shared" si="2"/>
        <v>0</v>
      </c>
      <c r="H165" s="403"/>
      <c r="I165" s="403"/>
    </row>
    <row r="166" spans="1:9" ht="15" x14ac:dyDescent="0.25">
      <c r="A166" s="11"/>
      <c r="B166" s="3" t="s">
        <v>9</v>
      </c>
      <c r="C166" s="186"/>
      <c r="D166" s="387">
        <v>0</v>
      </c>
      <c r="E166" s="186"/>
      <c r="F166" s="387">
        <v>0</v>
      </c>
      <c r="G166" s="388">
        <f t="shared" si="2"/>
        <v>0</v>
      </c>
      <c r="H166" s="389"/>
      <c r="I166" s="389"/>
    </row>
    <row r="167" spans="1:9" ht="15" x14ac:dyDescent="0.25">
      <c r="A167" s="11"/>
      <c r="B167" s="3" t="s">
        <v>10</v>
      </c>
      <c r="C167" s="186"/>
      <c r="D167" s="387">
        <v>0</v>
      </c>
      <c r="E167" s="186"/>
      <c r="F167" s="387">
        <v>0</v>
      </c>
      <c r="G167" s="388">
        <f t="shared" si="2"/>
        <v>0</v>
      </c>
      <c r="H167" s="403"/>
      <c r="I167" s="403"/>
    </row>
    <row r="168" spans="1:9" ht="15" x14ac:dyDescent="0.25">
      <c r="A168" s="11"/>
      <c r="B168" s="3" t="s">
        <v>11</v>
      </c>
      <c r="C168" s="186"/>
      <c r="D168" s="387">
        <v>1.3947290000000001</v>
      </c>
      <c r="E168" s="186"/>
      <c r="F168" s="387">
        <v>1.3947290000000001</v>
      </c>
      <c r="G168" s="388">
        <f t="shared" si="2"/>
        <v>0</v>
      </c>
      <c r="H168" s="403">
        <v>0.90000000000000013</v>
      </c>
      <c r="I168" s="403">
        <v>0.90000000000000013</v>
      </c>
    </row>
    <row r="169" spans="1:9" ht="15" x14ac:dyDescent="0.25">
      <c r="A169" s="11"/>
      <c r="B169" s="3" t="s">
        <v>12</v>
      </c>
      <c r="C169" s="186"/>
      <c r="D169" s="387">
        <v>0</v>
      </c>
      <c r="E169" s="186"/>
      <c r="F169" s="387">
        <v>0</v>
      </c>
      <c r="G169" s="388">
        <f t="shared" si="2"/>
        <v>0</v>
      </c>
      <c r="H169" s="403"/>
      <c r="I169" s="403"/>
    </row>
    <row r="170" spans="1:9" ht="15" x14ac:dyDescent="0.25">
      <c r="A170" s="11"/>
      <c r="B170" s="3" t="s">
        <v>13</v>
      </c>
      <c r="C170" s="186"/>
      <c r="D170" s="387">
        <v>99.678190000000001</v>
      </c>
      <c r="E170" s="186"/>
      <c r="F170" s="387">
        <v>99.678190000000001</v>
      </c>
      <c r="G170" s="388">
        <f t="shared" si="2"/>
        <v>0</v>
      </c>
      <c r="H170" s="403">
        <v>0.90000000000000013</v>
      </c>
      <c r="I170" s="403">
        <v>0.90000000000000013</v>
      </c>
    </row>
    <row r="171" spans="1:9" ht="15" x14ac:dyDescent="0.25">
      <c r="A171" s="392" t="s">
        <v>14</v>
      </c>
      <c r="B171" s="391"/>
      <c r="C171" s="186"/>
      <c r="D171" s="383">
        <f>SUM(D165:D170)</f>
        <v>101.072919</v>
      </c>
      <c r="E171" s="186"/>
      <c r="F171" s="383">
        <f>SUM(F165:F170)</f>
        <v>101.072919</v>
      </c>
      <c r="G171" s="388">
        <f t="shared" si="2"/>
        <v>0</v>
      </c>
      <c r="H171" s="186">
        <v>0.9</v>
      </c>
      <c r="I171" s="186">
        <v>0.9</v>
      </c>
    </row>
    <row r="172" spans="1:9" ht="15" x14ac:dyDescent="0.25">
      <c r="A172" s="401" t="s">
        <v>15</v>
      </c>
      <c r="B172" s="10"/>
      <c r="C172" s="186"/>
      <c r="D172" s="383">
        <f>SUM(D171)</f>
        <v>101.072919</v>
      </c>
      <c r="E172" s="186"/>
      <c r="F172" s="383">
        <f>SUM(F171)</f>
        <v>101.072919</v>
      </c>
      <c r="G172" s="388">
        <f t="shared" si="2"/>
        <v>0</v>
      </c>
      <c r="H172" s="186"/>
      <c r="I172" s="186"/>
    </row>
  </sheetData>
  <printOptions gridLines="1"/>
  <pageMargins left="0.7" right="0.7" top="0.75" bottom="0.75" header="0.3" footer="0.3"/>
  <pageSetup scale="2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A183"/>
  <sheetViews>
    <sheetView defaultGridColor="0" topLeftCell="B139" colorId="11" zoomScale="75" workbookViewId="0">
      <pane xSplit="2" topLeftCell="D1" activePane="topRight" state="frozen"/>
      <selection activeCell="B1" sqref="B1"/>
      <selection pane="topRight" activeCell="Q12" sqref="Q12:Q180"/>
    </sheetView>
  </sheetViews>
  <sheetFormatPr defaultRowHeight="12.75" x14ac:dyDescent="0.2"/>
  <cols>
    <col min="2" max="2" width="26.42578125" bestFit="1" customWidth="1"/>
    <col min="4" max="8" width="13.7109375" customWidth="1"/>
    <col min="10" max="14" width="13.5703125" customWidth="1"/>
    <col min="15" max="15" width="12" bestFit="1" customWidth="1"/>
    <col min="17" max="17" width="15.7109375" style="108" bestFit="1" customWidth="1"/>
    <col min="18" max="19" width="12" bestFit="1" customWidth="1"/>
    <col min="20" max="21" width="12" customWidth="1"/>
    <col min="22" max="25" width="11.5703125" customWidth="1"/>
    <col min="26" max="29" width="10.7109375" customWidth="1"/>
    <col min="30" max="30" width="11.42578125" customWidth="1"/>
    <col min="31" max="34" width="13.42578125" customWidth="1"/>
    <col min="35" max="39" width="10.85546875" customWidth="1"/>
    <col min="45" max="45" width="28.140625" customWidth="1"/>
    <col min="51" max="51" width="28.42578125" customWidth="1"/>
  </cols>
  <sheetData>
    <row r="1" spans="1:53" ht="15" x14ac:dyDescent="0.25">
      <c r="A1" s="15"/>
      <c r="B1" s="16"/>
    </row>
    <row r="2" spans="1:53" ht="15" x14ac:dyDescent="0.25">
      <c r="A2" s="15"/>
      <c r="B2" s="16"/>
      <c r="V2" s="99"/>
      <c r="W2" s="99"/>
      <c r="X2" s="99"/>
      <c r="Y2" s="99"/>
      <c r="Z2" s="26"/>
      <c r="AA2" s="26"/>
      <c r="AB2" s="26"/>
      <c r="AC2" s="26"/>
      <c r="AD2" s="26"/>
      <c r="AE2" s="28"/>
      <c r="AF2" s="28"/>
      <c r="AG2" s="28"/>
      <c r="AH2" s="28"/>
      <c r="AI2" s="124"/>
      <c r="AJ2" s="124"/>
      <c r="AK2" s="124"/>
      <c r="AL2" s="124"/>
      <c r="AM2" s="124"/>
    </row>
    <row r="3" spans="1:53" ht="81" x14ac:dyDescent="0.25">
      <c r="B3" s="16"/>
      <c r="D3" s="179" t="s">
        <v>788</v>
      </c>
      <c r="E3" s="179"/>
      <c r="F3" s="179"/>
      <c r="G3" s="179"/>
      <c r="H3" s="179"/>
      <c r="J3" s="181" t="s">
        <v>789</v>
      </c>
      <c r="K3" s="181"/>
      <c r="L3" s="181"/>
      <c r="M3" s="181"/>
      <c r="N3" s="181"/>
      <c r="V3" s="99" t="s">
        <v>534</v>
      </c>
      <c r="W3" s="99"/>
      <c r="X3" s="99"/>
      <c r="Y3" s="99"/>
      <c r="Z3" s="26" t="s">
        <v>535</v>
      </c>
      <c r="AA3" s="26"/>
      <c r="AB3" s="26"/>
      <c r="AC3" s="26"/>
      <c r="AD3" s="125"/>
      <c r="AE3" s="28" t="s">
        <v>536</v>
      </c>
      <c r="AF3" s="28"/>
      <c r="AG3" s="28"/>
      <c r="AH3" s="28"/>
      <c r="AI3" s="124" t="s">
        <v>537</v>
      </c>
      <c r="AJ3" s="131"/>
      <c r="AK3" s="131"/>
      <c r="AL3" s="131"/>
      <c r="AM3" s="131"/>
    </row>
    <row r="4" spans="1:53" ht="15.75" x14ac:dyDescent="0.25">
      <c r="D4" s="180"/>
      <c r="E4" s="180"/>
      <c r="F4" s="180"/>
      <c r="G4" s="180"/>
      <c r="H4" s="180"/>
      <c r="J4" s="314" t="s">
        <v>793</v>
      </c>
      <c r="K4" s="182"/>
      <c r="L4" s="182"/>
      <c r="M4" s="182"/>
      <c r="N4" s="182"/>
      <c r="V4" s="101" t="s">
        <v>40</v>
      </c>
      <c r="W4" s="101"/>
      <c r="X4" s="101"/>
      <c r="Y4" s="101"/>
      <c r="Z4" s="27" t="s">
        <v>40</v>
      </c>
      <c r="AA4" s="27"/>
      <c r="AB4" s="27"/>
      <c r="AC4" s="27"/>
      <c r="AD4" s="126"/>
      <c r="AE4" s="30" t="s">
        <v>40</v>
      </c>
      <c r="AF4" s="30"/>
      <c r="AG4" s="30"/>
      <c r="AH4" s="30"/>
      <c r="AI4" s="132" t="s">
        <v>40</v>
      </c>
      <c r="AJ4" s="133"/>
      <c r="AK4" s="133"/>
      <c r="AL4" s="133"/>
      <c r="AM4" s="133"/>
    </row>
    <row r="5" spans="1:53" ht="94.5" x14ac:dyDescent="0.25">
      <c r="A5" s="1"/>
      <c r="B5" s="2"/>
      <c r="C5" s="3"/>
      <c r="D5" s="103"/>
      <c r="E5" s="229"/>
      <c r="F5" s="229"/>
      <c r="G5" s="229"/>
      <c r="H5" s="229"/>
      <c r="J5" s="115"/>
      <c r="K5" s="232"/>
      <c r="L5" s="232"/>
      <c r="M5" s="232"/>
      <c r="N5" s="232"/>
      <c r="V5" s="103"/>
      <c r="W5" s="103"/>
      <c r="X5" s="103"/>
      <c r="Y5" s="103"/>
      <c r="Z5" s="93"/>
      <c r="AA5" s="236"/>
      <c r="AB5" s="236"/>
      <c r="AC5" s="236"/>
      <c r="AD5" s="127"/>
      <c r="AE5" s="90"/>
      <c r="AF5" s="90"/>
      <c r="AG5" s="90"/>
      <c r="AH5" s="90"/>
      <c r="AI5" s="134"/>
      <c r="AJ5" s="135"/>
      <c r="AK5" s="135"/>
      <c r="AL5" s="135"/>
      <c r="AM5" s="135"/>
      <c r="AO5" s="240" t="s">
        <v>727</v>
      </c>
      <c r="AP5" s="241"/>
      <c r="AQ5" s="241"/>
      <c r="AR5" s="241"/>
      <c r="AS5" s="242" t="s">
        <v>727</v>
      </c>
      <c r="AU5" s="244" t="s">
        <v>728</v>
      </c>
      <c r="AV5" s="245"/>
      <c r="AW5" s="245"/>
      <c r="AX5" s="245"/>
      <c r="AY5" s="246" t="s">
        <v>728</v>
      </c>
    </row>
    <row r="6" spans="1:53" ht="39" x14ac:dyDescent="0.25">
      <c r="A6" s="1"/>
      <c r="B6" s="2" t="s">
        <v>0</v>
      </c>
      <c r="C6" s="3"/>
      <c r="D6" s="234"/>
      <c r="E6" s="234" t="s">
        <v>862</v>
      </c>
      <c r="F6" s="234"/>
      <c r="G6" s="234"/>
      <c r="H6" s="234"/>
      <c r="J6" s="117" t="s">
        <v>862</v>
      </c>
      <c r="K6" s="117"/>
      <c r="L6" s="117"/>
      <c r="M6" s="117"/>
      <c r="N6" s="117"/>
      <c r="O6" s="17" t="s">
        <v>35</v>
      </c>
      <c r="P6" s="18"/>
      <c r="Q6" s="146">
        <v>2011</v>
      </c>
      <c r="R6" s="22" t="s">
        <v>38</v>
      </c>
      <c r="S6" s="22" t="s">
        <v>39</v>
      </c>
      <c r="T6" s="196" t="s">
        <v>659</v>
      </c>
      <c r="U6" s="196" t="s">
        <v>660</v>
      </c>
      <c r="V6" s="105" t="s">
        <v>862</v>
      </c>
      <c r="W6" s="105"/>
      <c r="X6" s="105"/>
      <c r="Y6" s="105"/>
      <c r="Z6" s="78" t="s">
        <v>862</v>
      </c>
      <c r="AA6" s="78"/>
      <c r="AB6" s="78"/>
      <c r="AC6" s="78"/>
      <c r="AD6" s="128" t="s">
        <v>42</v>
      </c>
      <c r="AE6" s="72" t="s">
        <v>862</v>
      </c>
      <c r="AF6" s="72"/>
      <c r="AG6" s="72"/>
      <c r="AH6" s="72"/>
      <c r="AI6" s="137" t="s">
        <v>862</v>
      </c>
      <c r="AJ6" s="137"/>
      <c r="AK6" s="137"/>
      <c r="AL6" s="137"/>
      <c r="AM6" s="137"/>
      <c r="AO6" s="118" t="s">
        <v>862</v>
      </c>
      <c r="AP6" s="118"/>
      <c r="AQ6" s="118"/>
      <c r="AR6" s="118"/>
      <c r="AS6" s="129"/>
      <c r="AU6" s="118" t="s">
        <v>862</v>
      </c>
      <c r="AV6" s="118"/>
      <c r="AW6" s="118"/>
      <c r="AX6" s="118"/>
      <c r="AY6" s="247"/>
    </row>
    <row r="7" spans="1:53" ht="26.25" x14ac:dyDescent="0.25">
      <c r="A7" s="1"/>
      <c r="B7" s="2" t="s">
        <v>1</v>
      </c>
      <c r="C7" s="2"/>
      <c r="D7" s="107"/>
      <c r="E7" s="107"/>
      <c r="F7" s="107"/>
      <c r="G7" s="107"/>
      <c r="H7" s="107"/>
      <c r="J7" s="119"/>
      <c r="K7" s="233"/>
      <c r="L7" s="233"/>
      <c r="M7" s="233"/>
      <c r="N7" s="233"/>
      <c r="O7" s="21" t="s">
        <v>36</v>
      </c>
      <c r="P7" s="21" t="s">
        <v>37</v>
      </c>
      <c r="Q7" s="148" t="s">
        <v>538</v>
      </c>
      <c r="R7" s="22"/>
      <c r="S7" s="22"/>
      <c r="T7" s="22"/>
      <c r="U7" s="22"/>
      <c r="V7" s="107"/>
      <c r="W7" s="107"/>
      <c r="X7" s="107"/>
      <c r="Y7" s="107"/>
      <c r="Z7" s="237"/>
      <c r="AA7" s="237"/>
      <c r="AB7" s="237"/>
      <c r="AC7" s="237"/>
      <c r="AD7" s="129"/>
      <c r="AE7" s="91"/>
      <c r="AF7" s="91"/>
      <c r="AG7" s="91"/>
      <c r="AH7" s="91"/>
      <c r="AI7" s="139"/>
      <c r="AJ7" s="139"/>
      <c r="AK7" s="139"/>
      <c r="AL7" s="139"/>
      <c r="AM7" s="139"/>
      <c r="AS7" s="129"/>
      <c r="AY7" s="247"/>
      <c r="BA7" t="s">
        <v>864</v>
      </c>
    </row>
    <row r="8" spans="1:53" ht="15.75" x14ac:dyDescent="0.25">
      <c r="A8" s="1"/>
      <c r="B8" s="2" t="s">
        <v>4</v>
      </c>
      <c r="C8" s="2"/>
      <c r="D8" s="107"/>
      <c r="E8" s="230"/>
      <c r="F8" s="230"/>
      <c r="G8" s="230"/>
      <c r="H8" s="230"/>
      <c r="J8" s="183"/>
      <c r="K8" s="183"/>
      <c r="L8" s="183"/>
      <c r="M8" s="183"/>
      <c r="N8" s="183"/>
      <c r="O8" s="20"/>
      <c r="P8" s="20"/>
      <c r="Q8" s="145"/>
      <c r="R8" s="20"/>
      <c r="S8" s="20"/>
      <c r="T8" s="20"/>
      <c r="U8" s="20"/>
      <c r="V8" s="107"/>
      <c r="W8" s="107"/>
      <c r="X8" s="107"/>
      <c r="Y8" s="107"/>
      <c r="Z8" s="237">
        <v>2903</v>
      </c>
      <c r="AA8" s="237">
        <v>2903</v>
      </c>
      <c r="AB8" s="237">
        <v>2903</v>
      </c>
      <c r="AC8" s="237">
        <v>2903</v>
      </c>
      <c r="AD8" s="129"/>
      <c r="AE8" s="91"/>
      <c r="AF8" s="91"/>
      <c r="AG8" s="91"/>
      <c r="AH8" s="91"/>
      <c r="AI8" s="237">
        <v>2903</v>
      </c>
      <c r="AJ8" s="237">
        <v>2903</v>
      </c>
      <c r="AK8" s="237">
        <v>2903</v>
      </c>
      <c r="AL8" s="237">
        <v>2903</v>
      </c>
      <c r="AM8" s="139"/>
      <c r="AS8" s="129"/>
      <c r="AY8" s="247"/>
    </row>
    <row r="9" spans="1:53" ht="15.75" x14ac:dyDescent="0.25">
      <c r="A9" s="1"/>
      <c r="B9" s="15" t="s">
        <v>558</v>
      </c>
      <c r="C9" s="2"/>
      <c r="D9" s="109"/>
      <c r="E9" s="231"/>
      <c r="F9" s="231"/>
      <c r="G9" s="231"/>
      <c r="H9" s="231"/>
      <c r="J9" s="119"/>
      <c r="K9" s="233"/>
      <c r="L9" s="233"/>
      <c r="M9" s="233"/>
      <c r="N9" s="233"/>
      <c r="O9" s="21"/>
      <c r="P9" s="21"/>
      <c r="Q9" s="145"/>
      <c r="R9" s="20"/>
      <c r="S9" s="20"/>
      <c r="T9" s="20"/>
      <c r="U9" s="20"/>
      <c r="V9" s="109"/>
      <c r="W9" s="109"/>
      <c r="X9" s="109"/>
      <c r="Y9" s="109"/>
      <c r="Z9" s="238"/>
      <c r="AA9" s="238"/>
      <c r="AB9" s="238"/>
      <c r="AC9" s="238"/>
      <c r="AD9" s="129"/>
      <c r="AE9" s="92"/>
      <c r="AF9" s="92"/>
      <c r="AG9" s="92"/>
      <c r="AH9" s="92"/>
      <c r="AI9" s="139"/>
      <c r="AJ9" s="139"/>
      <c r="AK9" s="139"/>
      <c r="AL9" s="139"/>
      <c r="AM9" s="139"/>
      <c r="AO9" s="239">
        <v>2011</v>
      </c>
      <c r="AP9" s="239">
        <v>2011</v>
      </c>
      <c r="AQ9" s="239">
        <v>2011</v>
      </c>
      <c r="AR9" s="239">
        <v>2011</v>
      </c>
      <c r="AS9" s="243">
        <v>2011</v>
      </c>
      <c r="AU9" s="239">
        <v>2011</v>
      </c>
      <c r="AV9" s="239">
        <v>2011</v>
      </c>
      <c r="AW9" s="239">
        <v>2011</v>
      </c>
      <c r="AX9" s="239">
        <v>2011</v>
      </c>
      <c r="AY9" s="248">
        <v>2011</v>
      </c>
    </row>
    <row r="10" spans="1:53" ht="15" x14ac:dyDescent="0.2">
      <c r="B10" s="15" t="s">
        <v>726</v>
      </c>
      <c r="AO10" s="239">
        <v>1.0684</v>
      </c>
      <c r="AP10" s="239">
        <v>1.0684</v>
      </c>
      <c r="AQ10" s="239">
        <v>1.0684</v>
      </c>
      <c r="AR10" s="239">
        <v>1.0684</v>
      </c>
      <c r="AU10" s="239">
        <v>1.0684</v>
      </c>
      <c r="AV10" s="239">
        <v>1.0684</v>
      </c>
      <c r="AW10" s="239">
        <v>1.0684</v>
      </c>
      <c r="AX10" s="239">
        <v>1.0684</v>
      </c>
    </row>
    <row r="11" spans="1:53" ht="27" x14ac:dyDescent="0.25">
      <c r="A11" s="1"/>
      <c r="B11" s="2" t="s">
        <v>5</v>
      </c>
      <c r="C11" s="4" t="s">
        <v>6</v>
      </c>
      <c r="D11" s="107"/>
      <c r="E11" s="230"/>
      <c r="F11" s="230"/>
      <c r="G11" s="230"/>
      <c r="H11" s="230"/>
      <c r="J11" s="183"/>
      <c r="K11" s="183"/>
      <c r="L11" s="183"/>
      <c r="M11" s="183"/>
      <c r="N11" s="183"/>
      <c r="O11" s="20"/>
      <c r="P11" s="20"/>
      <c r="Q11" s="147"/>
      <c r="R11" s="20"/>
      <c r="S11" s="20"/>
      <c r="T11" s="20"/>
      <c r="U11" s="20"/>
      <c r="V11" s="230"/>
      <c r="W11" s="230"/>
      <c r="X11" s="230"/>
      <c r="Y11" s="230"/>
      <c r="Z11" s="130"/>
      <c r="AA11" s="130"/>
      <c r="AB11" s="130"/>
      <c r="AC11" s="130"/>
      <c r="AD11" s="129"/>
      <c r="AE11" s="91"/>
      <c r="AF11" s="91"/>
      <c r="AG11" s="91"/>
      <c r="AH11" s="91"/>
      <c r="AI11" s="139"/>
      <c r="AJ11" s="139"/>
      <c r="AK11" s="139"/>
      <c r="AL11" s="139"/>
      <c r="AM11" s="139"/>
    </row>
    <row r="12" spans="1:53" ht="15" x14ac:dyDescent="0.25">
      <c r="A12" s="1">
        <v>1</v>
      </c>
      <c r="B12" s="2" t="s">
        <v>7</v>
      </c>
      <c r="C12" s="3" t="s">
        <v>8</v>
      </c>
      <c r="D12">
        <v>0</v>
      </c>
      <c r="E12" s="360">
        <v>47.0105</v>
      </c>
      <c r="F12">
        <v>0</v>
      </c>
      <c r="G12">
        <v>0</v>
      </c>
      <c r="H12">
        <v>0</v>
      </c>
      <c r="J12">
        <v>0</v>
      </c>
      <c r="K12" s="14">
        <v>37.234618939624283</v>
      </c>
      <c r="L12">
        <v>0</v>
      </c>
      <c r="M12">
        <v>0</v>
      </c>
      <c r="N12">
        <v>0</v>
      </c>
      <c r="O12" s="20">
        <v>0.36775204520040022</v>
      </c>
      <c r="P12" s="20">
        <v>0.57913019816794442</v>
      </c>
      <c r="Q12" s="438">
        <v>8.0453752260768854E-2</v>
      </c>
      <c r="R12" s="197">
        <v>0.17699999999999999</v>
      </c>
      <c r="S12" s="197">
        <v>1.77</v>
      </c>
      <c r="T12" s="197">
        <v>0.50078889239507718</v>
      </c>
      <c r="U12" s="197">
        <v>0.75268470790377973</v>
      </c>
      <c r="V12" s="20">
        <f t="shared" ref="V12:Y17" si="0">IF(K12&gt;0,((E12-K12)*$Q12*$R12*10)+(K12*$O$12*$Q12*$R12*10),(E12*$Q12*$R12*10))</f>
        <v>3.3420576657251102</v>
      </c>
      <c r="W12" s="20">
        <f t="shared" si="0"/>
        <v>0</v>
      </c>
      <c r="X12" s="20">
        <f t="shared" si="0"/>
        <v>0</v>
      </c>
      <c r="Y12" s="20">
        <f t="shared" si="0"/>
        <v>0</v>
      </c>
      <c r="Z12" s="20">
        <f t="shared" ref="Z12:AC17" si="1">V12*(EXP(1.01-0.34*LN(Z$8))*(1-$T12)+(1*$T12))</f>
        <v>1.978151556374721</v>
      </c>
      <c r="AA12" s="20">
        <f t="shared" si="1"/>
        <v>0</v>
      </c>
      <c r="AB12" s="20">
        <f t="shared" si="1"/>
        <v>0</v>
      </c>
      <c r="AC12" s="20">
        <f t="shared" si="1"/>
        <v>0</v>
      </c>
      <c r="AD12" s="20">
        <f t="shared" ref="AD12:AD17" si="2">SUM(Z12:AC12)</f>
        <v>1.978151556374721</v>
      </c>
      <c r="AE12" s="20">
        <f t="shared" ref="AE12:AH17" si="3">IF(K12&gt;0,((E12-K12)*$Q12*$S12*10)+(K12*$P$12*$Q12*$S12)*10,(E12*$Q12*$S12*10))</f>
        <v>44.628536920342199</v>
      </c>
      <c r="AF12" s="20">
        <f t="shared" si="3"/>
        <v>0</v>
      </c>
      <c r="AG12" s="20">
        <f t="shared" si="3"/>
        <v>0</v>
      </c>
      <c r="AH12" s="20">
        <f t="shared" si="3"/>
        <v>0</v>
      </c>
      <c r="AI12" s="20">
        <f t="shared" ref="AI12:AL17" si="4">AE12*(EXP(1.01-0.34*LN(AI$8))*(1-$U12)+(1*$U12))</f>
        <v>35.60555856410874</v>
      </c>
      <c r="AJ12" s="20">
        <f t="shared" si="4"/>
        <v>0</v>
      </c>
      <c r="AK12" s="20">
        <f t="shared" si="4"/>
        <v>0</v>
      </c>
      <c r="AL12" s="20">
        <f t="shared" si="4"/>
        <v>0</v>
      </c>
      <c r="AM12" s="20">
        <f t="shared" ref="AM12:AM17" si="5">SUM(AI12:AL12)</f>
        <v>35.60555856410874</v>
      </c>
      <c r="AO12">
        <f t="shared" ref="AO12:AR17" si="6">Z12*AO$10</f>
        <v>2.1134571228307517</v>
      </c>
      <c r="AP12">
        <f t="shared" si="6"/>
        <v>0</v>
      </c>
      <c r="AQ12">
        <f t="shared" si="6"/>
        <v>0</v>
      </c>
      <c r="AR12">
        <f t="shared" si="6"/>
        <v>0</v>
      </c>
      <c r="AS12">
        <f t="shared" ref="AS12:AS17" si="7">SUM(AO12:AR12)</f>
        <v>2.1134571228307517</v>
      </c>
      <c r="AU12">
        <f t="shared" ref="AU12:AU17" si="8">AI12*AU$10</f>
        <v>38.040978769893776</v>
      </c>
      <c r="AV12">
        <f t="shared" ref="AV12:AX17" si="9">AJ12*AV$10</f>
        <v>0</v>
      </c>
      <c r="AW12">
        <f t="shared" si="9"/>
        <v>0</v>
      </c>
      <c r="AX12">
        <f t="shared" si="9"/>
        <v>0</v>
      </c>
      <c r="AY12">
        <f t="shared" ref="AY12:AY17" si="10">SUM(AU12:AX12)</f>
        <v>38.040978769893776</v>
      </c>
    </row>
    <row r="13" spans="1:53" ht="15" x14ac:dyDescent="0.25">
      <c r="A13" s="1"/>
      <c r="B13" s="2"/>
      <c r="C13" s="1" t="s">
        <v>9</v>
      </c>
      <c r="D13">
        <v>0</v>
      </c>
      <c r="E13" s="360">
        <v>6.9507000000000003</v>
      </c>
      <c r="F13">
        <v>0</v>
      </c>
      <c r="G13">
        <v>0</v>
      </c>
      <c r="H13">
        <v>0</v>
      </c>
      <c r="J13">
        <v>0</v>
      </c>
      <c r="K13" s="14">
        <v>5.320047699801</v>
      </c>
      <c r="L13">
        <v>0</v>
      </c>
      <c r="M13">
        <v>0</v>
      </c>
      <c r="N13">
        <v>0</v>
      </c>
      <c r="O13" s="20"/>
      <c r="P13" s="20"/>
      <c r="Q13" s="438">
        <v>0.11590750452153771</v>
      </c>
      <c r="R13" s="197">
        <v>0.17699999999999999</v>
      </c>
      <c r="S13" s="197">
        <v>1.77</v>
      </c>
      <c r="T13" s="197">
        <v>0.50078889239507718</v>
      </c>
      <c r="U13" s="197">
        <v>0.75268470790377973</v>
      </c>
      <c r="V13" s="20">
        <f t="shared" si="0"/>
        <v>0.73591830252094437</v>
      </c>
      <c r="W13" s="20">
        <f t="shared" si="0"/>
        <v>0</v>
      </c>
      <c r="X13" s="20">
        <f t="shared" si="0"/>
        <v>0</v>
      </c>
      <c r="Y13" s="20">
        <f t="shared" si="0"/>
        <v>0</v>
      </c>
      <c r="Z13" s="20">
        <f t="shared" si="1"/>
        <v>0.43558731808435147</v>
      </c>
      <c r="AA13" s="20">
        <f t="shared" si="1"/>
        <v>0</v>
      </c>
      <c r="AB13" s="20">
        <f t="shared" si="1"/>
        <v>0</v>
      </c>
      <c r="AC13" s="20">
        <f t="shared" si="1"/>
        <v>0</v>
      </c>
      <c r="AD13" s="20">
        <f t="shared" si="2"/>
        <v>0.43558731808435147</v>
      </c>
      <c r="AE13" s="20">
        <f t="shared" si="3"/>
        <v>9.6662512987846103</v>
      </c>
      <c r="AF13" s="20">
        <f t="shared" si="3"/>
        <v>0</v>
      </c>
      <c r="AG13" s="20">
        <f t="shared" si="3"/>
        <v>0</v>
      </c>
      <c r="AH13" s="20">
        <f t="shared" si="3"/>
        <v>0</v>
      </c>
      <c r="AI13" s="20">
        <f t="shared" si="4"/>
        <v>7.7119327780918114</v>
      </c>
      <c r="AJ13" s="20">
        <f t="shared" si="4"/>
        <v>0</v>
      </c>
      <c r="AK13" s="20">
        <f t="shared" si="4"/>
        <v>0</v>
      </c>
      <c r="AL13" s="20">
        <f t="shared" si="4"/>
        <v>0</v>
      </c>
      <c r="AM13" s="20">
        <f t="shared" si="5"/>
        <v>7.7119327780918114</v>
      </c>
      <c r="AO13">
        <f t="shared" si="6"/>
        <v>0.46538149064132112</v>
      </c>
      <c r="AP13">
        <f t="shared" si="6"/>
        <v>0</v>
      </c>
      <c r="AQ13">
        <f t="shared" si="6"/>
        <v>0</v>
      </c>
      <c r="AR13">
        <f t="shared" si="6"/>
        <v>0</v>
      </c>
      <c r="AS13">
        <f t="shared" si="7"/>
        <v>0.46538149064132112</v>
      </c>
      <c r="AU13">
        <f t="shared" si="8"/>
        <v>8.2394289801132921</v>
      </c>
      <c r="AV13">
        <f t="shared" si="9"/>
        <v>0</v>
      </c>
      <c r="AW13">
        <f t="shared" si="9"/>
        <v>0</v>
      </c>
      <c r="AX13">
        <f t="shared" si="9"/>
        <v>0</v>
      </c>
      <c r="AY13">
        <f t="shared" si="10"/>
        <v>8.2394289801132921</v>
      </c>
    </row>
    <row r="14" spans="1:53" ht="15" x14ac:dyDescent="0.25">
      <c r="A14" s="1"/>
      <c r="B14" s="2"/>
      <c r="C14" s="1" t="s">
        <v>10</v>
      </c>
      <c r="D14">
        <v>0</v>
      </c>
      <c r="E14" s="360">
        <v>0.9526</v>
      </c>
      <c r="F14">
        <v>0</v>
      </c>
      <c r="G14">
        <v>0</v>
      </c>
      <c r="H14">
        <v>0</v>
      </c>
      <c r="J14">
        <v>0</v>
      </c>
      <c r="K14" s="14">
        <v>-1.1364075421309998</v>
      </c>
      <c r="L14">
        <v>0</v>
      </c>
      <c r="M14">
        <v>0</v>
      </c>
      <c r="N14">
        <v>0</v>
      </c>
      <c r="O14" s="20"/>
      <c r="P14" s="20"/>
      <c r="Q14" s="438">
        <v>0.15136125678230655</v>
      </c>
      <c r="R14" s="197">
        <v>0.17699999999999999</v>
      </c>
      <c r="S14" s="197">
        <v>1.77</v>
      </c>
      <c r="T14" s="197">
        <v>0.50078889239507718</v>
      </c>
      <c r="U14" s="197">
        <v>0.75268470790377973</v>
      </c>
      <c r="V14" s="20">
        <f t="shared" si="0"/>
        <v>0.25521051778316062</v>
      </c>
      <c r="W14" s="20">
        <f t="shared" si="0"/>
        <v>0</v>
      </c>
      <c r="X14" s="20">
        <f t="shared" si="0"/>
        <v>0</v>
      </c>
      <c r="Y14" s="20">
        <f t="shared" si="0"/>
        <v>0</v>
      </c>
      <c r="Z14" s="20">
        <f t="shared" si="1"/>
        <v>0.15105816040622499</v>
      </c>
      <c r="AA14" s="20">
        <f t="shared" si="1"/>
        <v>0</v>
      </c>
      <c r="AB14" s="20">
        <f t="shared" si="1"/>
        <v>0</v>
      </c>
      <c r="AC14" s="20">
        <f t="shared" si="1"/>
        <v>0</v>
      </c>
      <c r="AD14" s="20">
        <f t="shared" si="2"/>
        <v>0.15105816040622499</v>
      </c>
      <c r="AE14" s="20">
        <f t="shared" si="3"/>
        <v>2.5521051778316068</v>
      </c>
      <c r="AF14" s="20">
        <f t="shared" si="3"/>
        <v>0</v>
      </c>
      <c r="AG14" s="20">
        <f t="shared" si="3"/>
        <v>0</v>
      </c>
      <c r="AH14" s="20">
        <f t="shared" si="3"/>
        <v>0</v>
      </c>
      <c r="AI14" s="20">
        <f t="shared" si="4"/>
        <v>2.0361216531306279</v>
      </c>
      <c r="AJ14" s="20">
        <f t="shared" si="4"/>
        <v>0</v>
      </c>
      <c r="AK14" s="20">
        <f t="shared" si="4"/>
        <v>0</v>
      </c>
      <c r="AL14" s="20">
        <f t="shared" si="4"/>
        <v>0</v>
      </c>
      <c r="AM14" s="20">
        <f t="shared" si="5"/>
        <v>2.0361216531306279</v>
      </c>
      <c r="AO14">
        <f t="shared" si="6"/>
        <v>0.16139053857801078</v>
      </c>
      <c r="AP14">
        <f t="shared" si="6"/>
        <v>0</v>
      </c>
      <c r="AQ14">
        <f t="shared" si="6"/>
        <v>0</v>
      </c>
      <c r="AR14">
        <f t="shared" si="6"/>
        <v>0</v>
      </c>
      <c r="AS14">
        <f t="shared" si="7"/>
        <v>0.16139053857801078</v>
      </c>
      <c r="AU14">
        <f t="shared" si="8"/>
        <v>2.1753923742047627</v>
      </c>
      <c r="AV14">
        <f t="shared" si="9"/>
        <v>0</v>
      </c>
      <c r="AW14">
        <f t="shared" si="9"/>
        <v>0</v>
      </c>
      <c r="AX14">
        <f t="shared" si="9"/>
        <v>0</v>
      </c>
      <c r="AY14">
        <f t="shared" si="10"/>
        <v>2.1753923742047627</v>
      </c>
    </row>
    <row r="15" spans="1:53" ht="15" x14ac:dyDescent="0.25">
      <c r="A15" s="1"/>
      <c r="B15" s="2"/>
      <c r="C15" s="1" t="s">
        <v>11</v>
      </c>
      <c r="D15">
        <v>0</v>
      </c>
      <c r="E15" s="360">
        <v>17.2622</v>
      </c>
      <c r="F15">
        <v>0</v>
      </c>
      <c r="G15">
        <v>0</v>
      </c>
      <c r="H15">
        <v>0</v>
      </c>
      <c r="J15">
        <v>0</v>
      </c>
      <c r="K15" s="14">
        <v>5.5363741905186252</v>
      </c>
      <c r="L15">
        <v>0</v>
      </c>
      <c r="M15">
        <v>0</v>
      </c>
      <c r="N15">
        <v>0</v>
      </c>
      <c r="O15" s="20"/>
      <c r="P15" s="20"/>
      <c r="Q15" s="438">
        <v>0.18681500904307541</v>
      </c>
      <c r="R15" s="197">
        <v>0.17699999999999999</v>
      </c>
      <c r="S15" s="197">
        <v>1.77</v>
      </c>
      <c r="T15" s="197">
        <v>0.50078889239507718</v>
      </c>
      <c r="U15" s="197">
        <v>0.75268470790377973</v>
      </c>
      <c r="V15" s="20">
        <f t="shared" si="0"/>
        <v>4.5505249110761889</v>
      </c>
      <c r="W15" s="20">
        <f t="shared" si="0"/>
        <v>0</v>
      </c>
      <c r="X15" s="20">
        <f t="shared" si="0"/>
        <v>0</v>
      </c>
      <c r="Y15" s="20">
        <f t="shared" si="0"/>
        <v>0</v>
      </c>
      <c r="Z15" s="20">
        <f t="shared" si="1"/>
        <v>2.6934388438250547</v>
      </c>
      <c r="AA15" s="20">
        <f t="shared" si="1"/>
        <v>0</v>
      </c>
      <c r="AB15" s="20">
        <f t="shared" si="1"/>
        <v>0</v>
      </c>
      <c r="AC15" s="20">
        <f t="shared" si="1"/>
        <v>0</v>
      </c>
      <c r="AD15" s="20">
        <f t="shared" si="2"/>
        <v>2.6934388438250547</v>
      </c>
      <c r="AE15" s="20">
        <f t="shared" si="3"/>
        <v>49.374889129105185</v>
      </c>
      <c r="AF15" s="20">
        <f t="shared" si="3"/>
        <v>0</v>
      </c>
      <c r="AG15" s="20">
        <f t="shared" si="3"/>
        <v>0</v>
      </c>
      <c r="AH15" s="20">
        <f t="shared" si="3"/>
        <v>0</v>
      </c>
      <c r="AI15" s="20">
        <f t="shared" si="4"/>
        <v>39.392295329345757</v>
      </c>
      <c r="AJ15" s="20">
        <f t="shared" si="4"/>
        <v>0</v>
      </c>
      <c r="AK15" s="20">
        <f t="shared" si="4"/>
        <v>0</v>
      </c>
      <c r="AL15" s="20">
        <f t="shared" si="4"/>
        <v>0</v>
      </c>
      <c r="AM15" s="20">
        <f t="shared" si="5"/>
        <v>39.392295329345757</v>
      </c>
      <c r="AO15">
        <f t="shared" si="6"/>
        <v>2.8776700607426884</v>
      </c>
      <c r="AP15">
        <f t="shared" si="6"/>
        <v>0</v>
      </c>
      <c r="AQ15">
        <f t="shared" si="6"/>
        <v>0</v>
      </c>
      <c r="AR15">
        <f t="shared" si="6"/>
        <v>0</v>
      </c>
      <c r="AS15">
        <f t="shared" si="7"/>
        <v>2.8776700607426884</v>
      </c>
      <c r="AU15">
        <f t="shared" si="8"/>
        <v>42.086728329873004</v>
      </c>
      <c r="AV15">
        <f t="shared" si="9"/>
        <v>0</v>
      </c>
      <c r="AW15">
        <f t="shared" si="9"/>
        <v>0</v>
      </c>
      <c r="AX15">
        <f t="shared" si="9"/>
        <v>0</v>
      </c>
      <c r="AY15">
        <f t="shared" si="10"/>
        <v>42.086728329873004</v>
      </c>
    </row>
    <row r="16" spans="1:53" ht="15" x14ac:dyDescent="0.25">
      <c r="A16" s="5"/>
      <c r="B16" s="6"/>
      <c r="C16" s="5" t="s">
        <v>12</v>
      </c>
      <c r="D16">
        <v>0</v>
      </c>
      <c r="E16" s="360">
        <v>0</v>
      </c>
      <c r="F16">
        <v>0</v>
      </c>
      <c r="G16">
        <v>0</v>
      </c>
      <c r="H16">
        <v>0</v>
      </c>
      <c r="J16">
        <v>0</v>
      </c>
      <c r="K16" s="14">
        <v>0</v>
      </c>
      <c r="L16">
        <v>0</v>
      </c>
      <c r="M16">
        <v>0</v>
      </c>
      <c r="N16">
        <v>0</v>
      </c>
      <c r="O16" s="20"/>
      <c r="P16" s="20"/>
      <c r="Q16" s="438"/>
      <c r="R16" s="197">
        <v>0.17699999999999999</v>
      </c>
      <c r="S16" s="197">
        <v>1.77</v>
      </c>
      <c r="T16" s="197">
        <v>0.50078889239507718</v>
      </c>
      <c r="U16" s="197">
        <v>0.75268470790377973</v>
      </c>
      <c r="V16" s="20">
        <f t="shared" si="0"/>
        <v>0</v>
      </c>
      <c r="W16" s="20">
        <f t="shared" si="0"/>
        <v>0</v>
      </c>
      <c r="X16" s="20">
        <f t="shared" si="0"/>
        <v>0</v>
      </c>
      <c r="Y16" s="20">
        <f t="shared" si="0"/>
        <v>0</v>
      </c>
      <c r="Z16" s="20">
        <f t="shared" si="1"/>
        <v>0</v>
      </c>
      <c r="AA16" s="20">
        <f t="shared" si="1"/>
        <v>0</v>
      </c>
      <c r="AB16" s="20">
        <f t="shared" si="1"/>
        <v>0</v>
      </c>
      <c r="AC16" s="20">
        <f t="shared" si="1"/>
        <v>0</v>
      </c>
      <c r="AD16" s="20">
        <f t="shared" si="2"/>
        <v>0</v>
      </c>
      <c r="AE16" s="20">
        <f t="shared" si="3"/>
        <v>0</v>
      </c>
      <c r="AF16" s="20">
        <f t="shared" si="3"/>
        <v>0</v>
      </c>
      <c r="AG16" s="20">
        <f t="shared" si="3"/>
        <v>0</v>
      </c>
      <c r="AH16" s="20">
        <f t="shared" si="3"/>
        <v>0</v>
      </c>
      <c r="AI16" s="20">
        <f t="shared" si="4"/>
        <v>0</v>
      </c>
      <c r="AJ16" s="20">
        <f t="shared" si="4"/>
        <v>0</v>
      </c>
      <c r="AK16" s="20">
        <f t="shared" si="4"/>
        <v>0</v>
      </c>
      <c r="AL16" s="20">
        <f t="shared" si="4"/>
        <v>0</v>
      </c>
      <c r="AM16" s="20">
        <f t="shared" si="5"/>
        <v>0</v>
      </c>
      <c r="AO16">
        <f t="shared" si="6"/>
        <v>0</v>
      </c>
      <c r="AP16">
        <f t="shared" si="6"/>
        <v>0</v>
      </c>
      <c r="AQ16">
        <f t="shared" si="6"/>
        <v>0</v>
      </c>
      <c r="AR16">
        <f t="shared" si="6"/>
        <v>0</v>
      </c>
      <c r="AS16">
        <f t="shared" si="7"/>
        <v>0</v>
      </c>
      <c r="AU16">
        <f t="shared" si="8"/>
        <v>0</v>
      </c>
      <c r="AV16">
        <f t="shared" si="9"/>
        <v>0</v>
      </c>
      <c r="AW16">
        <f t="shared" si="9"/>
        <v>0</v>
      </c>
      <c r="AX16">
        <f t="shared" si="9"/>
        <v>0</v>
      </c>
      <c r="AY16">
        <f t="shared" si="10"/>
        <v>0</v>
      </c>
    </row>
    <row r="17" spans="1:53" ht="15" x14ac:dyDescent="0.25">
      <c r="A17" s="5"/>
      <c r="B17" s="6"/>
      <c r="C17" s="5" t="s">
        <v>13</v>
      </c>
      <c r="D17">
        <v>0</v>
      </c>
      <c r="E17" s="360">
        <v>0.1033</v>
      </c>
      <c r="F17">
        <v>0</v>
      </c>
      <c r="G17">
        <v>0</v>
      </c>
      <c r="H17">
        <v>0</v>
      </c>
      <c r="J17">
        <v>0</v>
      </c>
      <c r="K17" s="14">
        <v>0.1033</v>
      </c>
      <c r="L17">
        <v>0</v>
      </c>
      <c r="M17">
        <v>0</v>
      </c>
      <c r="N17">
        <v>0</v>
      </c>
      <c r="O17" s="20"/>
      <c r="P17" s="20"/>
      <c r="Q17" s="438">
        <v>0.18681500904307541</v>
      </c>
      <c r="R17" s="197">
        <v>0.17699999999999999</v>
      </c>
      <c r="S17" s="197">
        <v>1.77</v>
      </c>
      <c r="T17" s="197">
        <v>0.50078889239507718</v>
      </c>
      <c r="U17" s="197">
        <v>0.75268470790377973</v>
      </c>
      <c r="V17" s="20">
        <f t="shared" si="0"/>
        <v>1.2561469547236866E-2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1"/>
        <v>7.4350873086533077E-3</v>
      </c>
      <c r="AA17" s="20">
        <f t="shared" si="1"/>
        <v>0</v>
      </c>
      <c r="AB17" s="20">
        <f t="shared" si="1"/>
        <v>0</v>
      </c>
      <c r="AC17" s="20">
        <f t="shared" si="1"/>
        <v>0</v>
      </c>
      <c r="AD17" s="20">
        <f t="shared" si="2"/>
        <v>7.4350873086533077E-3</v>
      </c>
      <c r="AE17" s="20">
        <f t="shared" si="3"/>
        <v>0.19781606773138805</v>
      </c>
      <c r="AF17" s="20">
        <f t="shared" si="3"/>
        <v>0</v>
      </c>
      <c r="AG17" s="20">
        <f t="shared" si="3"/>
        <v>0</v>
      </c>
      <c r="AH17" s="20">
        <f t="shared" si="3"/>
        <v>0</v>
      </c>
      <c r="AI17" s="20">
        <f t="shared" si="4"/>
        <v>0.15782170043134883</v>
      </c>
      <c r="AJ17" s="20">
        <f t="shared" si="4"/>
        <v>0</v>
      </c>
      <c r="AK17" s="20">
        <f t="shared" si="4"/>
        <v>0</v>
      </c>
      <c r="AL17" s="20">
        <f t="shared" si="4"/>
        <v>0</v>
      </c>
      <c r="AM17" s="20">
        <f t="shared" si="5"/>
        <v>0.15782170043134883</v>
      </c>
      <c r="AO17">
        <f t="shared" si="6"/>
        <v>7.9436472805651942E-3</v>
      </c>
      <c r="AP17">
        <f t="shared" si="6"/>
        <v>0</v>
      </c>
      <c r="AQ17">
        <f t="shared" si="6"/>
        <v>0</v>
      </c>
      <c r="AR17">
        <f t="shared" si="6"/>
        <v>0</v>
      </c>
      <c r="AS17">
        <f t="shared" si="7"/>
        <v>7.9436472805651942E-3</v>
      </c>
      <c r="AU17">
        <f t="shared" si="8"/>
        <v>0.16861670474085308</v>
      </c>
      <c r="AV17">
        <f t="shared" si="9"/>
        <v>0</v>
      </c>
      <c r="AW17">
        <f t="shared" si="9"/>
        <v>0</v>
      </c>
      <c r="AX17">
        <f t="shared" si="9"/>
        <v>0</v>
      </c>
      <c r="AY17">
        <f t="shared" si="10"/>
        <v>0.16861670474085308</v>
      </c>
    </row>
    <row r="18" spans="1:53" s="319" customFormat="1" ht="15" x14ac:dyDescent="0.25">
      <c r="A18" s="368"/>
      <c r="B18" s="369" t="s">
        <v>14</v>
      </c>
      <c r="C18" s="368"/>
      <c r="D18" s="370">
        <f t="shared" ref="D18:H18" si="11">SUM(D12:D17)</f>
        <v>0</v>
      </c>
      <c r="E18" s="371">
        <f>SUM(E12:E17)</f>
        <v>72.279299999999992</v>
      </c>
      <c r="F18" s="370">
        <f t="shared" si="11"/>
        <v>0</v>
      </c>
      <c r="G18" s="370">
        <f t="shared" si="11"/>
        <v>0</v>
      </c>
      <c r="H18" s="370">
        <f t="shared" si="11"/>
        <v>0</v>
      </c>
      <c r="J18" s="319">
        <v>0</v>
      </c>
      <c r="K18" s="14">
        <v>47.057933287812901</v>
      </c>
      <c r="L18" s="319">
        <v>0</v>
      </c>
      <c r="M18" s="319">
        <v>0</v>
      </c>
      <c r="N18" s="319">
        <v>0</v>
      </c>
      <c r="O18" s="372"/>
      <c r="P18" s="372"/>
      <c r="Q18" s="438">
        <v>0.11035154165966021</v>
      </c>
      <c r="R18" s="373"/>
      <c r="S18" s="373"/>
      <c r="T18" s="373"/>
      <c r="U18" s="373"/>
      <c r="BA18" s="319">
        <f>(E18*10000*Q18*AU$10)</f>
        <v>85216.996265406226</v>
      </c>
    </row>
    <row r="19" spans="1:53" ht="15" x14ac:dyDescent="0.25">
      <c r="A19" s="5"/>
      <c r="B19" s="9" t="s">
        <v>15</v>
      </c>
      <c r="C19" s="5"/>
      <c r="E19" s="363">
        <f>SUM(E18)</f>
        <v>72.279299999999992</v>
      </c>
      <c r="H19" s="358">
        <f>SUM(D18:H18)</f>
        <v>72.279299999999992</v>
      </c>
      <c r="K19" s="14"/>
      <c r="N19">
        <v>0</v>
      </c>
      <c r="O19" s="20"/>
      <c r="P19" s="20"/>
      <c r="Q19" s="438"/>
      <c r="R19" s="197"/>
      <c r="S19" s="197"/>
      <c r="T19" s="197"/>
      <c r="U19" s="197"/>
    </row>
    <row r="20" spans="1:53" ht="15.75" x14ac:dyDescent="0.25">
      <c r="A20" s="1"/>
      <c r="B20" s="2"/>
      <c r="C20" s="1"/>
      <c r="E20" s="361"/>
      <c r="K20" s="14"/>
      <c r="O20" s="20"/>
      <c r="P20" s="20"/>
      <c r="Q20" s="439"/>
      <c r="R20" s="197"/>
      <c r="S20" s="197"/>
      <c r="T20" s="197"/>
      <c r="U20" s="197"/>
    </row>
    <row r="21" spans="1:53" ht="15" x14ac:dyDescent="0.25">
      <c r="A21" s="1">
        <v>2</v>
      </c>
      <c r="B21" s="2" t="s">
        <v>16</v>
      </c>
      <c r="C21" s="1" t="s">
        <v>8</v>
      </c>
      <c r="D21">
        <v>0</v>
      </c>
      <c r="E21" s="360">
        <v>16.384799999999998</v>
      </c>
      <c r="F21">
        <v>0</v>
      </c>
      <c r="G21">
        <v>0</v>
      </c>
      <c r="H21">
        <v>0</v>
      </c>
      <c r="J21">
        <v>0</v>
      </c>
      <c r="K21" s="14">
        <v>-39.910024524594213</v>
      </c>
      <c r="L21">
        <v>0</v>
      </c>
      <c r="M21">
        <v>0</v>
      </c>
      <c r="N21">
        <v>0</v>
      </c>
      <c r="O21" s="20"/>
      <c r="P21" s="20"/>
      <c r="Q21" s="438">
        <v>0.16672177833858265</v>
      </c>
      <c r="R21" s="197">
        <v>0.3</v>
      </c>
      <c r="S21" s="197">
        <v>2.29</v>
      </c>
      <c r="T21" s="197">
        <v>0.50078889239507718</v>
      </c>
      <c r="U21" s="197">
        <v>0.75268470790377973</v>
      </c>
      <c r="V21" s="20">
        <f t="shared" ref="V21:Y26" si="12">IF(K21&gt;0,((E21-K21)*$Q21*$R21*10)+(K21*$O$12*$Q21*$R21*10),(E21*$Q21*$R21*10))</f>
        <v>8.1951089811660243</v>
      </c>
      <c r="W21" s="20">
        <f t="shared" si="12"/>
        <v>0</v>
      </c>
      <c r="X21" s="20">
        <f t="shared" si="12"/>
        <v>0</v>
      </c>
      <c r="Y21" s="20">
        <f t="shared" si="12"/>
        <v>0</v>
      </c>
      <c r="Z21" s="20">
        <f t="shared" ref="Z21:AC26" si="13">V21*(EXP(1.01-0.34*LN(Z$8))*(1-$T21)+(1*$T21))</f>
        <v>4.8506546586582502</v>
      </c>
      <c r="AA21" s="20">
        <f t="shared" si="13"/>
        <v>0</v>
      </c>
      <c r="AB21" s="20">
        <f t="shared" si="13"/>
        <v>0</v>
      </c>
      <c r="AC21" s="20">
        <f t="shared" si="13"/>
        <v>0</v>
      </c>
      <c r="AD21" s="20">
        <f t="shared" ref="AD21:AD26" si="14">SUM(Z21:AC21)</f>
        <v>4.8506546586582502</v>
      </c>
      <c r="AE21" s="20">
        <f t="shared" ref="AE21:AH26" si="15">IF(K21&gt;0,((E21-K21)*$Q21*$S21*10)+(K21*$P$12*$Q21*$S21)*10,(E21*$Q21*$S21*10))</f>
        <v>62.555998556234002</v>
      </c>
      <c r="AF21" s="20">
        <f t="shared" si="15"/>
        <v>0</v>
      </c>
      <c r="AG21" s="20">
        <f t="shared" si="15"/>
        <v>0</v>
      </c>
      <c r="AH21" s="20">
        <f t="shared" si="15"/>
        <v>0</v>
      </c>
      <c r="AI21" s="20">
        <f t="shared" ref="AI21:AL26" si="16">AE21*(EXP(1.01-0.34*LN(AI$8))*(1-$U21)+(1*$U21))</f>
        <v>49.9084537345665</v>
      </c>
      <c r="AJ21" s="20">
        <f t="shared" si="16"/>
        <v>0</v>
      </c>
      <c r="AK21" s="20">
        <f t="shared" si="16"/>
        <v>0</v>
      </c>
      <c r="AL21" s="20">
        <f t="shared" si="16"/>
        <v>0</v>
      </c>
      <c r="AM21" s="20">
        <f t="shared" ref="AM21:AM26" si="17">SUM(AI21:AL21)</f>
        <v>49.9084537345665</v>
      </c>
      <c r="AO21">
        <f t="shared" ref="AO21:AR26" si="18">Z21*AO$10</f>
        <v>5.1824394373104745</v>
      </c>
      <c r="AP21">
        <f t="shared" si="18"/>
        <v>0</v>
      </c>
      <c r="AQ21">
        <f t="shared" si="18"/>
        <v>0</v>
      </c>
      <c r="AR21">
        <f t="shared" si="18"/>
        <v>0</v>
      </c>
      <c r="AS21">
        <f t="shared" ref="AS21:AS26" si="19">SUM(AO21:AR21)</f>
        <v>5.1824394373104745</v>
      </c>
      <c r="AU21">
        <f t="shared" ref="AU21:AU26" si="20">AI21*AU$10</f>
        <v>53.322191970010849</v>
      </c>
      <c r="AV21">
        <f t="shared" ref="AV21:AX26" si="21">AJ21*AV$10</f>
        <v>0</v>
      </c>
      <c r="AW21">
        <f t="shared" si="21"/>
        <v>0</v>
      </c>
      <c r="AX21">
        <f t="shared" si="21"/>
        <v>0</v>
      </c>
      <c r="AY21">
        <f t="shared" ref="AY21:AY26" si="22">SUM(AU21:AX21)</f>
        <v>53.322191970010849</v>
      </c>
    </row>
    <row r="22" spans="1:53" ht="15" x14ac:dyDescent="0.25">
      <c r="A22" s="1"/>
      <c r="B22" s="2"/>
      <c r="C22" s="1" t="s">
        <v>9</v>
      </c>
      <c r="D22">
        <v>0</v>
      </c>
      <c r="E22" s="360">
        <v>2.0095999999999998</v>
      </c>
      <c r="F22">
        <v>0</v>
      </c>
      <c r="G22">
        <v>0</v>
      </c>
      <c r="H22">
        <v>0</v>
      </c>
      <c r="J22">
        <v>0</v>
      </c>
      <c r="K22" s="14">
        <v>-0.49104187160940027</v>
      </c>
      <c r="L22">
        <v>0</v>
      </c>
      <c r="M22">
        <v>0</v>
      </c>
      <c r="N22">
        <v>0</v>
      </c>
      <c r="O22" s="20"/>
      <c r="P22" s="20"/>
      <c r="Q22" s="438">
        <v>0.19844355667716532</v>
      </c>
      <c r="R22" s="197">
        <v>0.3</v>
      </c>
      <c r="S22" s="197">
        <v>2.29</v>
      </c>
      <c r="T22" s="197">
        <v>0.50078889239507718</v>
      </c>
      <c r="U22" s="197">
        <v>0.75268470790377973</v>
      </c>
      <c r="V22" s="20">
        <f t="shared" si="12"/>
        <v>1.196376514495294</v>
      </c>
      <c r="W22" s="20">
        <f t="shared" si="12"/>
        <v>0</v>
      </c>
      <c r="X22" s="20">
        <f t="shared" si="12"/>
        <v>0</v>
      </c>
      <c r="Y22" s="20">
        <f t="shared" si="12"/>
        <v>0</v>
      </c>
      <c r="Z22" s="20">
        <f t="shared" si="13"/>
        <v>0.70813082862995924</v>
      </c>
      <c r="AA22" s="20">
        <f t="shared" si="13"/>
        <v>0</v>
      </c>
      <c r="AB22" s="20">
        <f t="shared" si="13"/>
        <v>0</v>
      </c>
      <c r="AC22" s="20">
        <f t="shared" si="13"/>
        <v>0</v>
      </c>
      <c r="AD22" s="20">
        <f t="shared" si="14"/>
        <v>0.70813082862995924</v>
      </c>
      <c r="AE22" s="20">
        <f t="shared" si="15"/>
        <v>9.1323407273140784</v>
      </c>
      <c r="AF22" s="20">
        <f t="shared" si="15"/>
        <v>0</v>
      </c>
      <c r="AG22" s="20">
        <f t="shared" si="15"/>
        <v>0</v>
      </c>
      <c r="AH22" s="20">
        <f t="shared" si="15"/>
        <v>0</v>
      </c>
      <c r="AI22" s="20">
        <f t="shared" si="16"/>
        <v>7.2859680158047979</v>
      </c>
      <c r="AJ22" s="20">
        <f t="shared" si="16"/>
        <v>0</v>
      </c>
      <c r="AK22" s="20">
        <f t="shared" si="16"/>
        <v>0</v>
      </c>
      <c r="AL22" s="20">
        <f t="shared" si="16"/>
        <v>0</v>
      </c>
      <c r="AM22" s="20">
        <f t="shared" si="17"/>
        <v>7.2859680158047979</v>
      </c>
      <c r="AO22">
        <f t="shared" si="18"/>
        <v>0.75656697730824851</v>
      </c>
      <c r="AP22">
        <f t="shared" si="18"/>
        <v>0</v>
      </c>
      <c r="AQ22">
        <f t="shared" si="18"/>
        <v>0</v>
      </c>
      <c r="AR22">
        <f t="shared" si="18"/>
        <v>0</v>
      </c>
      <c r="AS22">
        <f t="shared" si="19"/>
        <v>0.75656697730824851</v>
      </c>
      <c r="AU22">
        <f t="shared" si="20"/>
        <v>7.7843282280858466</v>
      </c>
      <c r="AV22">
        <f t="shared" si="21"/>
        <v>0</v>
      </c>
      <c r="AW22">
        <f t="shared" si="21"/>
        <v>0</v>
      </c>
      <c r="AX22">
        <f t="shared" si="21"/>
        <v>0</v>
      </c>
      <c r="AY22">
        <f t="shared" si="22"/>
        <v>7.7843282280858466</v>
      </c>
    </row>
    <row r="23" spans="1:53" ht="15" x14ac:dyDescent="0.25">
      <c r="A23" s="1"/>
      <c r="B23" s="2"/>
      <c r="C23" s="1" t="s">
        <v>10</v>
      </c>
      <c r="D23">
        <v>0</v>
      </c>
      <c r="E23" s="360">
        <v>0</v>
      </c>
      <c r="F23">
        <v>0</v>
      </c>
      <c r="G23">
        <v>0</v>
      </c>
      <c r="H23">
        <v>0</v>
      </c>
      <c r="J23">
        <v>0</v>
      </c>
      <c r="K23" s="14">
        <v>0</v>
      </c>
      <c r="L23">
        <v>0</v>
      </c>
      <c r="M23">
        <v>0</v>
      </c>
      <c r="N23">
        <v>0</v>
      </c>
      <c r="O23" s="20"/>
      <c r="P23" s="20"/>
      <c r="Q23" s="438"/>
      <c r="R23" s="197">
        <v>0.3</v>
      </c>
      <c r="S23" s="197">
        <v>2.29</v>
      </c>
      <c r="T23" s="197">
        <v>0.50078889239507718</v>
      </c>
      <c r="U23" s="197">
        <v>0.75268470790377973</v>
      </c>
      <c r="V23" s="20">
        <f t="shared" si="12"/>
        <v>0</v>
      </c>
      <c r="W23" s="20">
        <f t="shared" si="12"/>
        <v>0</v>
      </c>
      <c r="X23" s="20">
        <f t="shared" si="12"/>
        <v>0</v>
      </c>
      <c r="Y23" s="20">
        <f t="shared" si="12"/>
        <v>0</v>
      </c>
      <c r="Z23" s="20">
        <f t="shared" si="13"/>
        <v>0</v>
      </c>
      <c r="AA23" s="20">
        <f t="shared" si="13"/>
        <v>0</v>
      </c>
      <c r="AB23" s="20">
        <f t="shared" si="13"/>
        <v>0</v>
      </c>
      <c r="AC23" s="20">
        <f t="shared" si="13"/>
        <v>0</v>
      </c>
      <c r="AD23" s="20">
        <f t="shared" si="14"/>
        <v>0</v>
      </c>
      <c r="AE23" s="20">
        <f t="shared" si="15"/>
        <v>0</v>
      </c>
      <c r="AF23" s="20">
        <f t="shared" si="15"/>
        <v>0</v>
      </c>
      <c r="AG23" s="20">
        <f t="shared" si="15"/>
        <v>0</v>
      </c>
      <c r="AH23" s="20">
        <f t="shared" si="15"/>
        <v>0</v>
      </c>
      <c r="AI23" s="20">
        <f t="shared" si="16"/>
        <v>0</v>
      </c>
      <c r="AJ23" s="20">
        <f t="shared" si="16"/>
        <v>0</v>
      </c>
      <c r="AK23" s="20">
        <f t="shared" si="16"/>
        <v>0</v>
      </c>
      <c r="AL23" s="20">
        <f t="shared" si="16"/>
        <v>0</v>
      </c>
      <c r="AM23" s="20">
        <f t="shared" si="17"/>
        <v>0</v>
      </c>
      <c r="AO23">
        <f t="shared" si="18"/>
        <v>0</v>
      </c>
      <c r="AP23">
        <f t="shared" si="18"/>
        <v>0</v>
      </c>
      <c r="AQ23">
        <f t="shared" si="18"/>
        <v>0</v>
      </c>
      <c r="AR23">
        <f t="shared" si="18"/>
        <v>0</v>
      </c>
      <c r="AS23">
        <f t="shared" si="19"/>
        <v>0</v>
      </c>
      <c r="AU23">
        <f t="shared" si="20"/>
        <v>0</v>
      </c>
      <c r="AV23">
        <f t="shared" si="21"/>
        <v>0</v>
      </c>
      <c r="AW23">
        <f t="shared" si="21"/>
        <v>0</v>
      </c>
      <c r="AX23">
        <f t="shared" si="21"/>
        <v>0</v>
      </c>
      <c r="AY23">
        <f t="shared" si="22"/>
        <v>0</v>
      </c>
    </row>
    <row r="24" spans="1:53" ht="15" x14ac:dyDescent="0.25">
      <c r="A24" s="1"/>
      <c r="B24" s="2"/>
      <c r="C24" s="1" t="s">
        <v>11</v>
      </c>
      <c r="D24">
        <v>0</v>
      </c>
      <c r="E24" s="360">
        <v>0.63349999999999995</v>
      </c>
      <c r="F24">
        <v>0</v>
      </c>
      <c r="G24">
        <v>0</v>
      </c>
      <c r="H24">
        <v>0</v>
      </c>
      <c r="J24">
        <v>0</v>
      </c>
      <c r="K24" s="14">
        <v>-9.2556332118376989</v>
      </c>
      <c r="L24">
        <v>0</v>
      </c>
      <c r="M24">
        <v>0</v>
      </c>
      <c r="N24">
        <v>0</v>
      </c>
      <c r="O24" s="20"/>
      <c r="P24" s="20"/>
      <c r="Q24" s="438">
        <v>0.26188711335433063</v>
      </c>
      <c r="R24" s="197">
        <v>0.3</v>
      </c>
      <c r="S24" s="197">
        <v>2.29</v>
      </c>
      <c r="T24" s="197">
        <v>0.50078889239507718</v>
      </c>
      <c r="U24" s="197">
        <v>0.75268470790377973</v>
      </c>
      <c r="V24" s="20">
        <f t="shared" si="12"/>
        <v>0.49771645892990524</v>
      </c>
      <c r="W24" s="20">
        <f t="shared" si="12"/>
        <v>0</v>
      </c>
      <c r="X24" s="20">
        <f t="shared" si="12"/>
        <v>0</v>
      </c>
      <c r="Y24" s="20">
        <f t="shared" si="12"/>
        <v>0</v>
      </c>
      <c r="Z24" s="20">
        <f t="shared" si="13"/>
        <v>0.29459652894765115</v>
      </c>
      <c r="AA24" s="20">
        <f t="shared" si="13"/>
        <v>0</v>
      </c>
      <c r="AB24" s="20">
        <f t="shared" si="13"/>
        <v>0</v>
      </c>
      <c r="AC24" s="20">
        <f t="shared" si="13"/>
        <v>0</v>
      </c>
      <c r="AD24" s="20">
        <f t="shared" si="14"/>
        <v>0.29459652894765115</v>
      </c>
      <c r="AE24" s="20">
        <f t="shared" si="15"/>
        <v>3.7992356364982771</v>
      </c>
      <c r="AF24" s="20">
        <f t="shared" si="15"/>
        <v>0</v>
      </c>
      <c r="AG24" s="20">
        <f t="shared" si="15"/>
        <v>0</v>
      </c>
      <c r="AH24" s="20">
        <f t="shared" si="15"/>
        <v>0</v>
      </c>
      <c r="AI24" s="20">
        <f t="shared" si="16"/>
        <v>3.0311078132729228</v>
      </c>
      <c r="AJ24" s="20">
        <f t="shared" si="16"/>
        <v>0</v>
      </c>
      <c r="AK24" s="20">
        <f t="shared" si="16"/>
        <v>0</v>
      </c>
      <c r="AL24" s="20">
        <f t="shared" si="16"/>
        <v>0</v>
      </c>
      <c r="AM24" s="20">
        <f t="shared" si="17"/>
        <v>3.0311078132729228</v>
      </c>
      <c r="AO24">
        <f t="shared" si="18"/>
        <v>0.31474693152767047</v>
      </c>
      <c r="AP24">
        <f t="shared" si="18"/>
        <v>0</v>
      </c>
      <c r="AQ24">
        <f t="shared" si="18"/>
        <v>0</v>
      </c>
      <c r="AR24">
        <f t="shared" si="18"/>
        <v>0</v>
      </c>
      <c r="AS24">
        <f t="shared" si="19"/>
        <v>0.31474693152767047</v>
      </c>
      <c r="AU24">
        <f t="shared" si="20"/>
        <v>3.2384355877007907</v>
      </c>
      <c r="AV24">
        <f t="shared" si="21"/>
        <v>0</v>
      </c>
      <c r="AW24">
        <f t="shared" si="21"/>
        <v>0</v>
      </c>
      <c r="AX24">
        <f t="shared" si="21"/>
        <v>0</v>
      </c>
      <c r="AY24">
        <f t="shared" si="22"/>
        <v>3.2384355877007907</v>
      </c>
    </row>
    <row r="25" spans="1:53" ht="15" x14ac:dyDescent="0.25">
      <c r="A25" s="1"/>
      <c r="B25" s="2"/>
      <c r="C25" s="1" t="s">
        <v>12</v>
      </c>
      <c r="D25">
        <v>0</v>
      </c>
      <c r="E25" s="360">
        <v>0</v>
      </c>
      <c r="F25">
        <v>0</v>
      </c>
      <c r="G25">
        <v>0</v>
      </c>
      <c r="H25">
        <v>0</v>
      </c>
      <c r="J25">
        <v>0</v>
      </c>
      <c r="K25" s="14">
        <v>0</v>
      </c>
      <c r="L25">
        <v>0</v>
      </c>
      <c r="M25">
        <v>0</v>
      </c>
      <c r="N25">
        <v>0</v>
      </c>
      <c r="O25" s="20"/>
      <c r="P25" s="20"/>
      <c r="Q25" s="438"/>
      <c r="R25" s="197">
        <v>0.3</v>
      </c>
      <c r="S25" s="197">
        <v>2.29</v>
      </c>
      <c r="T25" s="197">
        <v>0.50078889239507718</v>
      </c>
      <c r="U25" s="197">
        <v>0.75268470790377973</v>
      </c>
      <c r="V25" s="20">
        <f t="shared" si="12"/>
        <v>0</v>
      </c>
      <c r="W25" s="20">
        <f t="shared" si="12"/>
        <v>0</v>
      </c>
      <c r="X25" s="20">
        <f t="shared" si="12"/>
        <v>0</v>
      </c>
      <c r="Y25" s="20">
        <f t="shared" si="12"/>
        <v>0</v>
      </c>
      <c r="Z25" s="20">
        <f t="shared" si="13"/>
        <v>0</v>
      </c>
      <c r="AA25" s="20">
        <f t="shared" si="13"/>
        <v>0</v>
      </c>
      <c r="AB25" s="20">
        <f t="shared" si="13"/>
        <v>0</v>
      </c>
      <c r="AC25" s="20">
        <f t="shared" si="13"/>
        <v>0</v>
      </c>
      <c r="AD25" s="20">
        <f t="shared" si="14"/>
        <v>0</v>
      </c>
      <c r="AE25" s="20">
        <f t="shared" si="15"/>
        <v>0</v>
      </c>
      <c r="AF25" s="20">
        <f t="shared" si="15"/>
        <v>0</v>
      </c>
      <c r="AG25" s="20">
        <f t="shared" si="15"/>
        <v>0</v>
      </c>
      <c r="AH25" s="20">
        <f t="shared" si="15"/>
        <v>0</v>
      </c>
      <c r="AI25" s="20">
        <f t="shared" si="16"/>
        <v>0</v>
      </c>
      <c r="AJ25" s="20">
        <f t="shared" si="16"/>
        <v>0</v>
      </c>
      <c r="AK25" s="20">
        <f t="shared" si="16"/>
        <v>0</v>
      </c>
      <c r="AL25" s="20">
        <f t="shared" si="16"/>
        <v>0</v>
      </c>
      <c r="AM25" s="20">
        <f t="shared" si="17"/>
        <v>0</v>
      </c>
      <c r="AO25">
        <f t="shared" si="18"/>
        <v>0</v>
      </c>
      <c r="AP25">
        <f t="shared" si="18"/>
        <v>0</v>
      </c>
      <c r="AQ25">
        <f t="shared" si="18"/>
        <v>0</v>
      </c>
      <c r="AR25">
        <f t="shared" si="18"/>
        <v>0</v>
      </c>
      <c r="AS25">
        <f t="shared" si="19"/>
        <v>0</v>
      </c>
      <c r="AU25">
        <f t="shared" si="20"/>
        <v>0</v>
      </c>
      <c r="AV25">
        <f t="shared" si="21"/>
        <v>0</v>
      </c>
      <c r="AW25">
        <f t="shared" si="21"/>
        <v>0</v>
      </c>
      <c r="AX25">
        <f t="shared" si="21"/>
        <v>0</v>
      </c>
      <c r="AY25">
        <f t="shared" si="22"/>
        <v>0</v>
      </c>
    </row>
    <row r="26" spans="1:53" ht="15" x14ac:dyDescent="0.25">
      <c r="A26" s="1"/>
      <c r="B26" s="2"/>
      <c r="C26" s="1" t="s">
        <v>13</v>
      </c>
      <c r="D26">
        <v>0</v>
      </c>
      <c r="E26" s="360">
        <v>3.5499999999999997E-2</v>
      </c>
      <c r="F26">
        <v>0</v>
      </c>
      <c r="G26">
        <v>0</v>
      </c>
      <c r="H26">
        <v>0</v>
      </c>
      <c r="J26">
        <v>0</v>
      </c>
      <c r="K26" s="14">
        <v>-1.4578033836145998</v>
      </c>
      <c r="L26">
        <v>0</v>
      </c>
      <c r="M26">
        <v>0</v>
      </c>
      <c r="N26">
        <v>0</v>
      </c>
      <c r="O26" s="20"/>
      <c r="P26" s="20"/>
      <c r="Q26" s="438">
        <v>0.26188711335433063</v>
      </c>
      <c r="R26" s="197">
        <v>0.3</v>
      </c>
      <c r="S26" s="197">
        <v>2.29</v>
      </c>
      <c r="T26" s="197">
        <v>0.50078889239507718</v>
      </c>
      <c r="U26" s="197">
        <v>0.75268470790377973</v>
      </c>
      <c r="V26" s="20">
        <f t="shared" si="12"/>
        <v>2.7890977572236207E-2</v>
      </c>
      <c r="W26" s="20">
        <f t="shared" si="12"/>
        <v>0</v>
      </c>
      <c r="X26" s="20">
        <f t="shared" si="12"/>
        <v>0</v>
      </c>
      <c r="Y26" s="20">
        <f t="shared" si="12"/>
        <v>0</v>
      </c>
      <c r="Z26" s="20">
        <f t="shared" si="13"/>
        <v>1.6508566341975717E-2</v>
      </c>
      <c r="AA26" s="20">
        <f t="shared" si="13"/>
        <v>0</v>
      </c>
      <c r="AB26" s="20">
        <f t="shared" si="13"/>
        <v>0</v>
      </c>
      <c r="AC26" s="20">
        <f t="shared" si="13"/>
        <v>0</v>
      </c>
      <c r="AD26" s="20">
        <f t="shared" si="14"/>
        <v>1.6508566341975717E-2</v>
      </c>
      <c r="AE26" s="20">
        <f t="shared" si="15"/>
        <v>0.21290112880140305</v>
      </c>
      <c r="AF26" s="20">
        <f t="shared" si="15"/>
        <v>0</v>
      </c>
      <c r="AG26" s="20">
        <f t="shared" si="15"/>
        <v>0</v>
      </c>
      <c r="AH26" s="20">
        <f t="shared" si="15"/>
        <v>0</v>
      </c>
      <c r="AI26" s="20">
        <f t="shared" si="16"/>
        <v>0.16985687035704619</v>
      </c>
      <c r="AJ26" s="20">
        <f t="shared" si="16"/>
        <v>0</v>
      </c>
      <c r="AK26" s="20">
        <f t="shared" si="16"/>
        <v>0</v>
      </c>
      <c r="AL26" s="20">
        <f t="shared" si="16"/>
        <v>0</v>
      </c>
      <c r="AM26" s="20">
        <f t="shared" si="17"/>
        <v>0.16985687035704619</v>
      </c>
      <c r="AO26">
        <f t="shared" si="18"/>
        <v>1.7637752279766855E-2</v>
      </c>
      <c r="AP26">
        <f t="shared" si="18"/>
        <v>0</v>
      </c>
      <c r="AQ26">
        <f t="shared" si="18"/>
        <v>0</v>
      </c>
      <c r="AR26">
        <f t="shared" si="18"/>
        <v>0</v>
      </c>
      <c r="AS26">
        <f t="shared" si="19"/>
        <v>1.7637752279766855E-2</v>
      </c>
      <c r="AU26">
        <f t="shared" si="20"/>
        <v>0.18147508028946815</v>
      </c>
      <c r="AV26">
        <f t="shared" si="21"/>
        <v>0</v>
      </c>
      <c r="AW26">
        <f t="shared" si="21"/>
        <v>0</v>
      </c>
      <c r="AX26">
        <f t="shared" si="21"/>
        <v>0</v>
      </c>
      <c r="AY26">
        <f t="shared" si="22"/>
        <v>0.18147508028946815</v>
      </c>
    </row>
    <row r="27" spans="1:53" ht="15" x14ac:dyDescent="0.25">
      <c r="A27" s="7"/>
      <c r="B27" s="8" t="s">
        <v>14</v>
      </c>
      <c r="C27" s="7"/>
      <c r="D27" s="357">
        <f t="shared" ref="D27:H27" si="23">SUM(D21:D26)</f>
        <v>0</v>
      </c>
      <c r="E27" s="363">
        <f>SUM(E21:E26)</f>
        <v>19.063399999999998</v>
      </c>
      <c r="F27" s="357">
        <f t="shared" si="23"/>
        <v>0</v>
      </c>
      <c r="G27" s="357">
        <f t="shared" si="23"/>
        <v>0</v>
      </c>
      <c r="H27" s="357">
        <f t="shared" si="23"/>
        <v>0</v>
      </c>
      <c r="J27">
        <v>0</v>
      </c>
      <c r="K27" s="14">
        <v>-51.114502991655911</v>
      </c>
      <c r="L27">
        <v>0</v>
      </c>
      <c r="M27">
        <v>0</v>
      </c>
      <c r="N27">
        <v>0</v>
      </c>
      <c r="O27" s="20"/>
      <c r="P27" s="20"/>
      <c r="Q27" s="438">
        <v>0.17340545988934228</v>
      </c>
      <c r="R27" s="197"/>
      <c r="S27" s="197"/>
      <c r="T27" s="197"/>
      <c r="U27" s="197"/>
      <c r="BA27" s="319">
        <f>(E27*10000*Q27*AU$10)</f>
        <v>35318.073629078142</v>
      </c>
    </row>
    <row r="28" spans="1:53" ht="15" x14ac:dyDescent="0.25">
      <c r="A28" s="5"/>
      <c r="B28" s="9" t="s">
        <v>15</v>
      </c>
      <c r="C28" s="5"/>
      <c r="E28" s="363">
        <f>SUM(E27)</f>
        <v>19.063399999999998</v>
      </c>
      <c r="H28" s="358">
        <f>SUM(D27:H27)</f>
        <v>19.063399999999998</v>
      </c>
      <c r="K28" s="14"/>
      <c r="N28">
        <v>0</v>
      </c>
      <c r="O28" s="20"/>
      <c r="P28" s="20"/>
      <c r="Q28" s="438"/>
      <c r="R28" s="197"/>
      <c r="S28" s="197"/>
      <c r="T28" s="197"/>
      <c r="U28" s="197"/>
    </row>
    <row r="29" spans="1:53" ht="15.75" x14ac:dyDescent="0.25">
      <c r="A29" s="1"/>
      <c r="B29" s="2"/>
      <c r="C29" s="1"/>
      <c r="E29" s="361"/>
      <c r="K29" s="14"/>
      <c r="O29" s="20"/>
      <c r="P29" s="20"/>
      <c r="Q29" s="439"/>
      <c r="R29" s="197"/>
      <c r="S29" s="197"/>
      <c r="T29" s="197"/>
      <c r="U29" s="197"/>
    </row>
    <row r="30" spans="1:53" ht="15" x14ac:dyDescent="0.25">
      <c r="A30" s="1">
        <v>3</v>
      </c>
      <c r="B30" s="2" t="s">
        <v>17</v>
      </c>
      <c r="C30" s="1" t="s">
        <v>8</v>
      </c>
      <c r="D30">
        <v>0</v>
      </c>
      <c r="E30" s="360">
        <v>23.8947</v>
      </c>
      <c r="F30">
        <v>0</v>
      </c>
      <c r="G30">
        <v>0</v>
      </c>
      <c r="H30">
        <v>0</v>
      </c>
      <c r="J30">
        <v>0</v>
      </c>
      <c r="K30" s="14">
        <v>4.2351467865730008</v>
      </c>
      <c r="L30">
        <v>0</v>
      </c>
      <c r="M30">
        <v>0</v>
      </c>
      <c r="N30">
        <v>0</v>
      </c>
      <c r="O30" s="20"/>
      <c r="P30" s="20"/>
      <c r="Q30" s="438">
        <v>0.25298980441639646</v>
      </c>
      <c r="R30" s="197">
        <v>0.49</v>
      </c>
      <c r="S30" s="197">
        <v>2.42</v>
      </c>
      <c r="T30" s="197">
        <v>0.50078889239507718</v>
      </c>
      <c r="U30" s="197">
        <v>0.75268470790377973</v>
      </c>
      <c r="V30" s="20">
        <f t="shared" ref="V30:Y35" si="24">IF(K30&gt;0,((E30-K30)*$Q30*$R30*10)+(K30*$O$12*$Q30*$R30*10),(E30*$Q30*$R30*10))</f>
        <v>26.301700931829899</v>
      </c>
      <c r="W30" s="20">
        <f t="shared" si="24"/>
        <v>0</v>
      </c>
      <c r="X30" s="20">
        <f t="shared" si="24"/>
        <v>0</v>
      </c>
      <c r="Y30" s="20">
        <f t="shared" si="24"/>
        <v>0</v>
      </c>
      <c r="Z30" s="20">
        <f t="shared" ref="Z30:AC35" si="25">V30*(EXP(1.01-0.34*LN(Z$8))*(1-$T30)+(1*$T30))</f>
        <v>15.567879383766806</v>
      </c>
      <c r="AA30" s="20">
        <f t="shared" si="25"/>
        <v>0</v>
      </c>
      <c r="AB30" s="20">
        <f t="shared" si="25"/>
        <v>0</v>
      </c>
      <c r="AC30" s="20">
        <f t="shared" si="25"/>
        <v>0</v>
      </c>
      <c r="AD30" s="20">
        <f t="shared" ref="AD30:AD35" si="26">SUM(Z30:AC30)</f>
        <v>15.567879383766806</v>
      </c>
      <c r="AE30" s="20">
        <f t="shared" ref="AE30:AH35" si="27">IF(K30&gt;0,((E30-K30)*$Q30*$S30*10)+(K30*$P$12*$Q30*$S30)*10,(E30*$Q30*$S30*10))</f>
        <v>135.37903425692457</v>
      </c>
      <c r="AF30" s="20">
        <f t="shared" si="27"/>
        <v>0</v>
      </c>
      <c r="AG30" s="20">
        <f t="shared" si="27"/>
        <v>0</v>
      </c>
      <c r="AH30" s="20">
        <f t="shared" si="27"/>
        <v>0</v>
      </c>
      <c r="AI30" s="20">
        <f t="shared" ref="AI30:AL35" si="28">AE30*(EXP(1.01-0.34*LN(AI$8))*(1-$U30)+(1*$U30))</f>
        <v>108.00815946960357</v>
      </c>
      <c r="AJ30" s="20">
        <f t="shared" si="28"/>
        <v>0</v>
      </c>
      <c r="AK30" s="20">
        <f t="shared" si="28"/>
        <v>0</v>
      </c>
      <c r="AL30" s="20">
        <f t="shared" si="28"/>
        <v>0</v>
      </c>
      <c r="AM30" s="20">
        <f t="shared" ref="AM30:AM35" si="29">SUM(AI30:AL30)</f>
        <v>108.00815946960357</v>
      </c>
      <c r="AO30">
        <f t="shared" ref="AO30:AR35" si="30">Z30*AO$10</f>
        <v>16.632722333616456</v>
      </c>
      <c r="AP30">
        <f t="shared" si="30"/>
        <v>0</v>
      </c>
      <c r="AQ30">
        <f t="shared" si="30"/>
        <v>0</v>
      </c>
      <c r="AR30">
        <f t="shared" si="30"/>
        <v>0</v>
      </c>
      <c r="AS30">
        <f t="shared" ref="AS30:AS35" si="31">SUM(AO30:AR30)</f>
        <v>16.632722333616456</v>
      </c>
      <c r="AU30">
        <f t="shared" ref="AU30:AU35" si="32">AI30*AU$10</f>
        <v>115.39591757732445</v>
      </c>
      <c r="AV30">
        <f t="shared" ref="AV30:AX35" si="33">AJ30*AV$10</f>
        <v>0</v>
      </c>
      <c r="AW30">
        <f t="shared" si="33"/>
        <v>0</v>
      </c>
      <c r="AX30">
        <f t="shared" si="33"/>
        <v>0</v>
      </c>
      <c r="AY30">
        <f t="shared" ref="AY30:AY35" si="34">SUM(AU30:AX30)</f>
        <v>115.39591757732445</v>
      </c>
    </row>
    <row r="31" spans="1:53" ht="15" x14ac:dyDescent="0.25">
      <c r="A31" s="1"/>
      <c r="B31" s="2"/>
      <c r="C31" s="1" t="s">
        <v>9</v>
      </c>
      <c r="D31">
        <v>0</v>
      </c>
      <c r="E31" s="360">
        <v>3.4548999999999999</v>
      </c>
      <c r="F31">
        <v>0</v>
      </c>
      <c r="G31">
        <v>0</v>
      </c>
      <c r="H31">
        <v>0</v>
      </c>
      <c r="J31">
        <v>0</v>
      </c>
      <c r="K31" s="14">
        <v>3.4548999999999999</v>
      </c>
      <c r="L31">
        <v>0</v>
      </c>
      <c r="M31">
        <v>0</v>
      </c>
      <c r="N31">
        <v>0</v>
      </c>
      <c r="O31" s="20"/>
      <c r="P31" s="20"/>
      <c r="Q31" s="438">
        <v>0.28097960883279294</v>
      </c>
      <c r="R31" s="197">
        <v>0.49</v>
      </c>
      <c r="S31" s="197">
        <v>2.42</v>
      </c>
      <c r="T31" s="197">
        <v>0.50078889239507718</v>
      </c>
      <c r="U31" s="197">
        <v>0.75268470790377973</v>
      </c>
      <c r="V31" s="20">
        <f t="shared" si="24"/>
        <v>1.7492885834096561</v>
      </c>
      <c r="W31" s="20">
        <f t="shared" si="24"/>
        <v>0</v>
      </c>
      <c r="X31" s="20">
        <f t="shared" si="24"/>
        <v>0</v>
      </c>
      <c r="Y31" s="20">
        <f t="shared" si="24"/>
        <v>0</v>
      </c>
      <c r="Z31" s="20">
        <f t="shared" si="25"/>
        <v>1.0353974347326425</v>
      </c>
      <c r="AA31" s="20">
        <f t="shared" si="25"/>
        <v>0</v>
      </c>
      <c r="AB31" s="20">
        <f t="shared" si="25"/>
        <v>0</v>
      </c>
      <c r="AC31" s="20">
        <f t="shared" si="25"/>
        <v>0</v>
      </c>
      <c r="AD31" s="20">
        <f t="shared" si="26"/>
        <v>1.0353974347326425</v>
      </c>
      <c r="AE31" s="20">
        <f t="shared" si="27"/>
        <v>13.605103889121853</v>
      </c>
      <c r="AF31" s="20">
        <f t="shared" si="27"/>
        <v>0</v>
      </c>
      <c r="AG31" s="20">
        <f t="shared" si="27"/>
        <v>0</v>
      </c>
      <c r="AH31" s="20">
        <f t="shared" si="27"/>
        <v>0</v>
      </c>
      <c r="AI31" s="20">
        <f t="shared" si="28"/>
        <v>10.85442984966215</v>
      </c>
      <c r="AJ31" s="20">
        <f t="shared" si="28"/>
        <v>0</v>
      </c>
      <c r="AK31" s="20">
        <f t="shared" si="28"/>
        <v>0</v>
      </c>
      <c r="AL31" s="20">
        <f t="shared" si="28"/>
        <v>0</v>
      </c>
      <c r="AM31" s="20">
        <f t="shared" si="29"/>
        <v>10.85442984966215</v>
      </c>
      <c r="AO31">
        <f t="shared" si="30"/>
        <v>1.1062186192683552</v>
      </c>
      <c r="AP31">
        <f t="shared" si="30"/>
        <v>0</v>
      </c>
      <c r="AQ31">
        <f t="shared" si="30"/>
        <v>0</v>
      </c>
      <c r="AR31">
        <f t="shared" si="30"/>
        <v>0</v>
      </c>
      <c r="AS31">
        <f t="shared" si="31"/>
        <v>1.1062186192683552</v>
      </c>
      <c r="AU31">
        <f t="shared" si="32"/>
        <v>11.596872851379041</v>
      </c>
      <c r="AV31">
        <f t="shared" si="33"/>
        <v>0</v>
      </c>
      <c r="AW31">
        <f t="shared" si="33"/>
        <v>0</v>
      </c>
      <c r="AX31">
        <f t="shared" si="33"/>
        <v>0</v>
      </c>
      <c r="AY31">
        <f t="shared" si="34"/>
        <v>11.596872851379041</v>
      </c>
    </row>
    <row r="32" spans="1:53" ht="15" x14ac:dyDescent="0.25">
      <c r="A32" s="1"/>
      <c r="B32" s="2"/>
      <c r="C32" s="1" t="s">
        <v>10</v>
      </c>
      <c r="D32">
        <v>0</v>
      </c>
      <c r="E32" s="360">
        <v>1.1971000000000001</v>
      </c>
      <c r="F32">
        <v>0</v>
      </c>
      <c r="G32">
        <v>0</v>
      </c>
      <c r="H32">
        <v>0</v>
      </c>
      <c r="J32">
        <v>0</v>
      </c>
      <c r="K32" s="14">
        <v>2.8251047800000872E-3</v>
      </c>
      <c r="L32">
        <v>0</v>
      </c>
      <c r="M32">
        <v>0</v>
      </c>
      <c r="N32">
        <v>0</v>
      </c>
      <c r="O32" s="20"/>
      <c r="P32" s="20"/>
      <c r="Q32" s="438">
        <v>0.30896941324918942</v>
      </c>
      <c r="R32" s="197">
        <v>0.49</v>
      </c>
      <c r="S32" s="197">
        <v>2.42</v>
      </c>
      <c r="T32" s="197">
        <v>0.50078889239507718</v>
      </c>
      <c r="U32" s="197">
        <v>0.75268470790377973</v>
      </c>
      <c r="V32" s="20">
        <f t="shared" si="24"/>
        <v>1.8096455272152252</v>
      </c>
      <c r="W32" s="20">
        <f t="shared" si="24"/>
        <v>0</v>
      </c>
      <c r="X32" s="20">
        <f t="shared" si="24"/>
        <v>0</v>
      </c>
      <c r="Y32" s="20">
        <f t="shared" si="24"/>
        <v>0</v>
      </c>
      <c r="Z32" s="20">
        <f t="shared" si="25"/>
        <v>1.0711224862634643</v>
      </c>
      <c r="AA32" s="20">
        <f t="shared" si="25"/>
        <v>0</v>
      </c>
      <c r="AB32" s="20">
        <f t="shared" si="25"/>
        <v>0</v>
      </c>
      <c r="AC32" s="20">
        <f t="shared" si="25"/>
        <v>0</v>
      </c>
      <c r="AD32" s="20">
        <f t="shared" si="26"/>
        <v>1.0711224862634643</v>
      </c>
      <c r="AE32" s="20">
        <f t="shared" si="27"/>
        <v>8.9418980535944019</v>
      </c>
      <c r="AF32" s="20">
        <f t="shared" si="27"/>
        <v>0</v>
      </c>
      <c r="AG32" s="20">
        <f t="shared" si="27"/>
        <v>0</v>
      </c>
      <c r="AH32" s="20">
        <f t="shared" si="27"/>
        <v>0</v>
      </c>
      <c r="AI32" s="20">
        <f t="shared" si="28"/>
        <v>7.1340289597623707</v>
      </c>
      <c r="AJ32" s="20">
        <f t="shared" si="28"/>
        <v>0</v>
      </c>
      <c r="AK32" s="20">
        <f t="shared" si="28"/>
        <v>0</v>
      </c>
      <c r="AL32" s="20">
        <f t="shared" si="28"/>
        <v>0</v>
      </c>
      <c r="AM32" s="20">
        <f t="shared" si="29"/>
        <v>7.1340289597623707</v>
      </c>
      <c r="AO32">
        <f t="shared" si="30"/>
        <v>1.1443872643238853</v>
      </c>
      <c r="AP32">
        <f t="shared" si="30"/>
        <v>0</v>
      </c>
      <c r="AQ32">
        <f t="shared" si="30"/>
        <v>0</v>
      </c>
      <c r="AR32">
        <f t="shared" si="30"/>
        <v>0</v>
      </c>
      <c r="AS32">
        <f t="shared" si="31"/>
        <v>1.1443872643238853</v>
      </c>
      <c r="AU32">
        <f t="shared" si="32"/>
        <v>7.6219965406101169</v>
      </c>
      <c r="AV32">
        <f t="shared" si="33"/>
        <v>0</v>
      </c>
      <c r="AW32">
        <f t="shared" si="33"/>
        <v>0</v>
      </c>
      <c r="AX32">
        <f t="shared" si="33"/>
        <v>0</v>
      </c>
      <c r="AY32">
        <f t="shared" si="34"/>
        <v>7.6219965406101169</v>
      </c>
    </row>
    <row r="33" spans="1:53" ht="15" x14ac:dyDescent="0.25">
      <c r="A33" s="1"/>
      <c r="B33" s="2"/>
      <c r="C33" s="1" t="s">
        <v>11</v>
      </c>
      <c r="D33">
        <v>0</v>
      </c>
      <c r="E33" s="360">
        <v>9.5062999999999995</v>
      </c>
      <c r="F33">
        <v>0</v>
      </c>
      <c r="G33">
        <v>0</v>
      </c>
      <c r="H33">
        <v>0</v>
      </c>
      <c r="J33">
        <v>0</v>
      </c>
      <c r="K33" s="14">
        <v>9.3638368422762763</v>
      </c>
      <c r="L33">
        <v>0</v>
      </c>
      <c r="M33">
        <v>0</v>
      </c>
      <c r="N33">
        <v>0</v>
      </c>
      <c r="O33" s="20"/>
      <c r="P33" s="20"/>
      <c r="Q33" s="438">
        <v>0.3369592176655859</v>
      </c>
      <c r="R33" s="197">
        <v>0.49</v>
      </c>
      <c r="S33" s="197">
        <v>2.42</v>
      </c>
      <c r="T33" s="197">
        <v>0.50078889239507718</v>
      </c>
      <c r="U33" s="197">
        <v>0.75268470790377973</v>
      </c>
      <c r="V33" s="20">
        <f t="shared" si="24"/>
        <v>5.9209001911323309</v>
      </c>
      <c r="W33" s="20">
        <f t="shared" si="24"/>
        <v>0</v>
      </c>
      <c r="X33" s="20">
        <f t="shared" si="24"/>
        <v>0</v>
      </c>
      <c r="Y33" s="20">
        <f t="shared" si="24"/>
        <v>0</v>
      </c>
      <c r="Z33" s="20">
        <f t="shared" si="25"/>
        <v>3.5045588974559516</v>
      </c>
      <c r="AA33" s="20">
        <f t="shared" si="25"/>
        <v>0</v>
      </c>
      <c r="AB33" s="20">
        <f t="shared" si="25"/>
        <v>0</v>
      </c>
      <c r="AC33" s="20">
        <f t="shared" si="25"/>
        <v>0</v>
      </c>
      <c r="AD33" s="20">
        <f t="shared" si="26"/>
        <v>3.5045588974559516</v>
      </c>
      <c r="AE33" s="20">
        <f t="shared" si="27"/>
        <v>45.382112565081741</v>
      </c>
      <c r="AF33" s="20">
        <f t="shared" si="27"/>
        <v>0</v>
      </c>
      <c r="AG33" s="20">
        <f t="shared" si="27"/>
        <v>0</v>
      </c>
      <c r="AH33" s="20">
        <f t="shared" si="27"/>
        <v>0</v>
      </c>
      <c r="AI33" s="20">
        <f t="shared" si="28"/>
        <v>36.206776609843722</v>
      </c>
      <c r="AJ33" s="20">
        <f t="shared" si="28"/>
        <v>0</v>
      </c>
      <c r="AK33" s="20">
        <f t="shared" si="28"/>
        <v>0</v>
      </c>
      <c r="AL33" s="20">
        <f t="shared" si="28"/>
        <v>0</v>
      </c>
      <c r="AM33" s="20">
        <f t="shared" si="29"/>
        <v>36.206776609843722</v>
      </c>
      <c r="AO33">
        <f t="shared" si="30"/>
        <v>3.7442707260419388</v>
      </c>
      <c r="AP33">
        <f t="shared" si="30"/>
        <v>0</v>
      </c>
      <c r="AQ33">
        <f t="shared" si="30"/>
        <v>0</v>
      </c>
      <c r="AR33">
        <f t="shared" si="30"/>
        <v>0</v>
      </c>
      <c r="AS33">
        <f t="shared" si="31"/>
        <v>3.7442707260419388</v>
      </c>
      <c r="AU33">
        <f t="shared" si="32"/>
        <v>38.683320129957032</v>
      </c>
      <c r="AV33">
        <f t="shared" si="33"/>
        <v>0</v>
      </c>
      <c r="AW33">
        <f t="shared" si="33"/>
        <v>0</v>
      </c>
      <c r="AX33">
        <f t="shared" si="33"/>
        <v>0</v>
      </c>
      <c r="AY33">
        <f t="shared" si="34"/>
        <v>38.683320129957032</v>
      </c>
    </row>
    <row r="34" spans="1:53" ht="15" x14ac:dyDescent="0.25">
      <c r="A34" s="1"/>
      <c r="B34" s="2"/>
      <c r="C34" s="1" t="s">
        <v>12</v>
      </c>
      <c r="D34">
        <v>0</v>
      </c>
      <c r="E34" s="360">
        <v>0</v>
      </c>
      <c r="F34">
        <v>0</v>
      </c>
      <c r="G34">
        <v>0</v>
      </c>
      <c r="H34">
        <v>0</v>
      </c>
      <c r="J34">
        <v>0</v>
      </c>
      <c r="K34" s="14">
        <v>0</v>
      </c>
      <c r="L34">
        <v>0</v>
      </c>
      <c r="M34">
        <v>0</v>
      </c>
      <c r="N34">
        <v>0</v>
      </c>
      <c r="O34" s="20"/>
      <c r="P34" s="20"/>
      <c r="Q34" s="438"/>
      <c r="R34" s="197">
        <v>0.49</v>
      </c>
      <c r="S34" s="197">
        <v>2.42</v>
      </c>
      <c r="T34" s="197">
        <v>0.50078889239507718</v>
      </c>
      <c r="U34" s="197">
        <v>0.75268470790377973</v>
      </c>
      <c r="V34" s="20">
        <f t="shared" si="24"/>
        <v>0</v>
      </c>
      <c r="W34" s="20">
        <f t="shared" si="24"/>
        <v>0</v>
      </c>
      <c r="X34" s="20">
        <f t="shared" si="24"/>
        <v>0</v>
      </c>
      <c r="Y34" s="20">
        <f t="shared" si="24"/>
        <v>0</v>
      </c>
      <c r="Z34" s="20">
        <f t="shared" si="25"/>
        <v>0</v>
      </c>
      <c r="AA34" s="20">
        <f t="shared" si="25"/>
        <v>0</v>
      </c>
      <c r="AB34" s="20">
        <f t="shared" si="25"/>
        <v>0</v>
      </c>
      <c r="AC34" s="20">
        <f t="shared" si="25"/>
        <v>0</v>
      </c>
      <c r="AD34" s="20">
        <f t="shared" si="26"/>
        <v>0</v>
      </c>
      <c r="AE34" s="20">
        <f t="shared" si="27"/>
        <v>0</v>
      </c>
      <c r="AF34" s="20">
        <f t="shared" si="27"/>
        <v>0</v>
      </c>
      <c r="AG34" s="20">
        <f t="shared" si="27"/>
        <v>0</v>
      </c>
      <c r="AH34" s="20">
        <f t="shared" si="27"/>
        <v>0</v>
      </c>
      <c r="AI34" s="20">
        <f t="shared" si="28"/>
        <v>0</v>
      </c>
      <c r="AJ34" s="20">
        <f t="shared" si="28"/>
        <v>0</v>
      </c>
      <c r="AK34" s="20">
        <f t="shared" si="28"/>
        <v>0</v>
      </c>
      <c r="AL34" s="20">
        <f t="shared" si="28"/>
        <v>0</v>
      </c>
      <c r="AM34" s="20">
        <f t="shared" si="29"/>
        <v>0</v>
      </c>
      <c r="AO34">
        <f t="shared" si="30"/>
        <v>0</v>
      </c>
      <c r="AP34">
        <f t="shared" si="30"/>
        <v>0</v>
      </c>
      <c r="AQ34">
        <f t="shared" si="30"/>
        <v>0</v>
      </c>
      <c r="AR34">
        <f t="shared" si="30"/>
        <v>0</v>
      </c>
      <c r="AS34">
        <f t="shared" si="31"/>
        <v>0</v>
      </c>
      <c r="AU34">
        <f t="shared" si="32"/>
        <v>0</v>
      </c>
      <c r="AV34">
        <f t="shared" si="33"/>
        <v>0</v>
      </c>
      <c r="AW34">
        <f t="shared" si="33"/>
        <v>0</v>
      </c>
      <c r="AX34">
        <f t="shared" si="33"/>
        <v>0</v>
      </c>
      <c r="AY34">
        <f t="shared" si="34"/>
        <v>0</v>
      </c>
    </row>
    <row r="35" spans="1:53" ht="15" x14ac:dyDescent="0.25">
      <c r="A35" s="1"/>
      <c r="B35" s="2"/>
      <c r="C35" s="1" t="s">
        <v>13</v>
      </c>
      <c r="D35">
        <v>0</v>
      </c>
      <c r="E35" s="360">
        <v>4.8399999999999999E-2</v>
      </c>
      <c r="F35">
        <v>0</v>
      </c>
      <c r="G35">
        <v>0</v>
      </c>
      <c r="H35">
        <v>0</v>
      </c>
      <c r="J35">
        <v>0</v>
      </c>
      <c r="K35" s="14">
        <v>-0.1467011429</v>
      </c>
      <c r="L35">
        <v>0</v>
      </c>
      <c r="M35">
        <v>0</v>
      </c>
      <c r="N35">
        <v>0</v>
      </c>
      <c r="O35" s="20"/>
      <c r="P35" s="20"/>
      <c r="Q35" s="438">
        <v>0.3369592176655859</v>
      </c>
      <c r="R35" s="197">
        <v>0.49</v>
      </c>
      <c r="S35" s="197">
        <v>2.42</v>
      </c>
      <c r="T35" s="197">
        <v>0.50078889239507718</v>
      </c>
      <c r="U35" s="197">
        <v>0.75268470790377973</v>
      </c>
      <c r="V35" s="20">
        <f t="shared" si="24"/>
        <v>7.9913248061570352E-2</v>
      </c>
      <c r="W35" s="20">
        <f t="shared" si="24"/>
        <v>0</v>
      </c>
      <c r="X35" s="20">
        <f t="shared" si="24"/>
        <v>0</v>
      </c>
      <c r="Y35" s="20">
        <f t="shared" si="24"/>
        <v>0</v>
      </c>
      <c r="Z35" s="20">
        <f t="shared" si="25"/>
        <v>4.7300355601032566E-2</v>
      </c>
      <c r="AA35" s="20">
        <f t="shared" si="25"/>
        <v>0</v>
      </c>
      <c r="AB35" s="20">
        <f t="shared" si="25"/>
        <v>0</v>
      </c>
      <c r="AC35" s="20">
        <f t="shared" si="25"/>
        <v>0</v>
      </c>
      <c r="AD35" s="20">
        <f t="shared" si="26"/>
        <v>4.7300355601032566E-2</v>
      </c>
      <c r="AE35" s="20">
        <f t="shared" si="27"/>
        <v>0.39467359246734735</v>
      </c>
      <c r="AF35" s="20">
        <f t="shared" si="27"/>
        <v>0</v>
      </c>
      <c r="AG35" s="20">
        <f t="shared" si="27"/>
        <v>0</v>
      </c>
      <c r="AH35" s="20">
        <f t="shared" si="27"/>
        <v>0</v>
      </c>
      <c r="AI35" s="20">
        <f t="shared" si="28"/>
        <v>0.31487865567687917</v>
      </c>
      <c r="AJ35" s="20">
        <f t="shared" si="28"/>
        <v>0</v>
      </c>
      <c r="AK35" s="20">
        <f t="shared" si="28"/>
        <v>0</v>
      </c>
      <c r="AL35" s="20">
        <f t="shared" si="28"/>
        <v>0</v>
      </c>
      <c r="AM35" s="20">
        <f t="shared" si="29"/>
        <v>0.31487865567687917</v>
      </c>
      <c r="AO35">
        <f t="shared" si="30"/>
        <v>5.0535699924143196E-2</v>
      </c>
      <c r="AP35">
        <f t="shared" si="30"/>
        <v>0</v>
      </c>
      <c r="AQ35">
        <f t="shared" si="30"/>
        <v>0</v>
      </c>
      <c r="AR35">
        <f t="shared" si="30"/>
        <v>0</v>
      </c>
      <c r="AS35">
        <f t="shared" si="31"/>
        <v>5.0535699924143196E-2</v>
      </c>
      <c r="AU35">
        <f t="shared" si="32"/>
        <v>0.3364163557251777</v>
      </c>
      <c r="AV35">
        <f t="shared" si="33"/>
        <v>0</v>
      </c>
      <c r="AW35">
        <f t="shared" si="33"/>
        <v>0</v>
      </c>
      <c r="AX35">
        <f t="shared" si="33"/>
        <v>0</v>
      </c>
      <c r="AY35">
        <f t="shared" si="34"/>
        <v>0.3364163557251777</v>
      </c>
    </row>
    <row r="36" spans="1:53" ht="15" x14ac:dyDescent="0.25">
      <c r="A36" s="7"/>
      <c r="B36" s="8" t="s">
        <v>14</v>
      </c>
      <c r="C36" s="7"/>
      <c r="D36" s="357">
        <f t="shared" ref="D36:H36" si="35">SUM(D30:D35)</f>
        <v>0</v>
      </c>
      <c r="E36" s="363">
        <f>SUM(E30:E35)</f>
        <v>38.101399999999998</v>
      </c>
      <c r="F36" s="357">
        <f t="shared" si="35"/>
        <v>0</v>
      </c>
      <c r="G36" s="357">
        <f t="shared" si="35"/>
        <v>0</v>
      </c>
      <c r="H36" s="357">
        <f t="shared" si="35"/>
        <v>0</v>
      </c>
      <c r="J36">
        <v>0</v>
      </c>
      <c r="K36" s="14">
        <v>16.910007590729276</v>
      </c>
      <c r="L36">
        <v>0</v>
      </c>
      <c r="M36">
        <v>0</v>
      </c>
      <c r="N36">
        <v>0</v>
      </c>
      <c r="O36" s="20"/>
      <c r="P36" s="20"/>
      <c r="Q36" s="438">
        <v>0.27834366852070697</v>
      </c>
      <c r="R36" s="197"/>
      <c r="S36" s="197"/>
      <c r="T36" s="197"/>
      <c r="U36" s="197"/>
      <c r="BA36" s="319">
        <f>(E36*10000*Q36*AU$10)</f>
        <v>113306.84839876265</v>
      </c>
    </row>
    <row r="37" spans="1:53" ht="15" x14ac:dyDescent="0.25">
      <c r="A37" s="5"/>
      <c r="B37" s="9" t="s">
        <v>15</v>
      </c>
      <c r="C37" s="5"/>
      <c r="E37" s="363">
        <f>SUM(E36)</f>
        <v>38.101399999999998</v>
      </c>
      <c r="H37" s="358">
        <f>SUM(D36:H36)</f>
        <v>38.101399999999998</v>
      </c>
      <c r="K37" s="14"/>
      <c r="N37">
        <v>0</v>
      </c>
      <c r="O37" s="20"/>
      <c r="P37" s="20"/>
      <c r="Q37" s="438"/>
      <c r="R37" s="197"/>
      <c r="S37" s="197"/>
      <c r="T37" s="197"/>
      <c r="U37" s="197"/>
    </row>
    <row r="38" spans="1:53" ht="15.75" x14ac:dyDescent="0.25">
      <c r="A38" s="1"/>
      <c r="B38" s="2"/>
      <c r="C38" s="1"/>
      <c r="E38" s="362"/>
      <c r="K38" s="14"/>
      <c r="O38" s="20"/>
      <c r="P38" s="20"/>
      <c r="Q38" s="439"/>
      <c r="R38" s="197"/>
      <c r="S38" s="197"/>
      <c r="T38" s="197"/>
      <c r="U38" s="197"/>
    </row>
    <row r="39" spans="1:53" ht="15" x14ac:dyDescent="0.25">
      <c r="A39" s="1">
        <v>4</v>
      </c>
      <c r="B39" s="2" t="s">
        <v>18</v>
      </c>
      <c r="C39" s="1" t="s">
        <v>8</v>
      </c>
      <c r="D39">
        <v>0</v>
      </c>
      <c r="E39" s="360">
        <v>96.525899999999993</v>
      </c>
      <c r="F39">
        <v>0</v>
      </c>
      <c r="G39">
        <v>0</v>
      </c>
      <c r="H39">
        <v>0</v>
      </c>
      <c r="J39">
        <v>0</v>
      </c>
      <c r="K39" s="14">
        <v>93.906445392392087</v>
      </c>
      <c r="L39">
        <v>0</v>
      </c>
      <c r="M39">
        <v>0</v>
      </c>
      <c r="N39">
        <v>0</v>
      </c>
      <c r="O39" s="20"/>
      <c r="P39" s="20"/>
      <c r="Q39" s="438">
        <v>0.38239184353311723</v>
      </c>
      <c r="R39" s="197">
        <v>0.19500000000000001</v>
      </c>
      <c r="S39" s="197">
        <v>1.22</v>
      </c>
      <c r="T39" s="197">
        <v>0.4144562334217507</v>
      </c>
      <c r="U39" s="197">
        <v>0.6566321730950142</v>
      </c>
      <c r="V39" s="20">
        <f t="shared" ref="V39:Y44" si="36">IF(K39&gt;0,((E39-K39)*$Q39*$R39*10)+(K39*$O$12*$Q39*$R39*10),(E39*$Q39*$R39*10))</f>
        <v>27.704211368992187</v>
      </c>
      <c r="W39" s="20">
        <f t="shared" si="36"/>
        <v>0</v>
      </c>
      <c r="X39" s="20">
        <f t="shared" si="36"/>
        <v>0</v>
      </c>
      <c r="Y39" s="20">
        <f t="shared" si="36"/>
        <v>0</v>
      </c>
      <c r="Z39" s="20">
        <f t="shared" ref="Z39:AC44" si="37">V39*(EXP(1.01-0.34*LN(Z$8))*(1-$T39)+(1*$T39))</f>
        <v>14.44274801216279</v>
      </c>
      <c r="AA39" s="20">
        <f t="shared" si="37"/>
        <v>0</v>
      </c>
      <c r="AB39" s="20">
        <f t="shared" si="37"/>
        <v>0</v>
      </c>
      <c r="AC39" s="20">
        <f t="shared" si="37"/>
        <v>0</v>
      </c>
      <c r="AD39" s="20">
        <f t="shared" ref="AD39:AD44" si="38">SUM(Z39:AC39)</f>
        <v>14.44274801216279</v>
      </c>
      <c r="AE39" s="20">
        <f t="shared" ref="AE39:AH44" si="39">IF(K39&gt;0,((E39-K39)*$Q39*$S39*10)+(K39*$P$12*$Q39*$S39)*10,(E39*$Q39*$S39*10))</f>
        <v>265.93167647786089</v>
      </c>
      <c r="AF39" s="20">
        <f t="shared" si="39"/>
        <v>0</v>
      </c>
      <c r="AG39" s="20">
        <f t="shared" si="39"/>
        <v>0</v>
      </c>
      <c r="AH39" s="20">
        <f t="shared" si="39"/>
        <v>0</v>
      </c>
      <c r="AI39" s="20">
        <f t="shared" ref="AI39:AL44" si="40">AE39*(EXP(1.01-0.34*LN(AI$8))*(1-$U39)+(1*$U39))</f>
        <v>191.28405624858252</v>
      </c>
      <c r="AJ39" s="20">
        <f t="shared" si="40"/>
        <v>0</v>
      </c>
      <c r="AK39" s="20">
        <f t="shared" si="40"/>
        <v>0</v>
      </c>
      <c r="AL39" s="20">
        <f t="shared" si="40"/>
        <v>0</v>
      </c>
      <c r="AM39" s="20">
        <f t="shared" ref="AM39:AM44" si="41">SUM(AI39:AL39)</f>
        <v>191.28405624858252</v>
      </c>
      <c r="AO39">
        <f t="shared" ref="AO39:AR44" si="42">Z39*AO$10</f>
        <v>15.430631976194725</v>
      </c>
      <c r="AP39">
        <f t="shared" si="42"/>
        <v>0</v>
      </c>
      <c r="AQ39">
        <f t="shared" si="42"/>
        <v>0</v>
      </c>
      <c r="AR39">
        <f t="shared" si="42"/>
        <v>0</v>
      </c>
      <c r="AS39">
        <f t="shared" ref="AS39:AS44" si="43">SUM(AO39:AR39)</f>
        <v>15.430631976194725</v>
      </c>
      <c r="AU39">
        <f t="shared" ref="AU39:AU44" si="44">AI39*AU$10</f>
        <v>204.36788569598556</v>
      </c>
      <c r="AV39">
        <f t="shared" ref="AV39:AX44" si="45">AJ39*AV$10</f>
        <v>0</v>
      </c>
      <c r="AW39">
        <f t="shared" si="45"/>
        <v>0</v>
      </c>
      <c r="AX39">
        <f t="shared" si="45"/>
        <v>0</v>
      </c>
      <c r="AY39">
        <f t="shared" ref="AY39:AY44" si="46">SUM(AU39:AX39)</f>
        <v>204.36788569598556</v>
      </c>
    </row>
    <row r="40" spans="1:53" ht="15" x14ac:dyDescent="0.25">
      <c r="A40" s="1"/>
      <c r="B40" s="2"/>
      <c r="C40" s="1" t="s">
        <v>9</v>
      </c>
      <c r="D40">
        <v>0</v>
      </c>
      <c r="E40" s="360">
        <v>29.336099999999998</v>
      </c>
      <c r="F40">
        <v>0</v>
      </c>
      <c r="G40">
        <v>0</v>
      </c>
      <c r="H40">
        <v>0</v>
      </c>
      <c r="J40">
        <v>0</v>
      </c>
      <c r="K40" s="14">
        <v>29.336099999999998</v>
      </c>
      <c r="L40">
        <v>0</v>
      </c>
      <c r="M40">
        <v>0</v>
      </c>
      <c r="N40">
        <v>0</v>
      </c>
      <c r="O40" s="20"/>
      <c r="P40" s="20"/>
      <c r="Q40" s="438">
        <v>0.40478368706623435</v>
      </c>
      <c r="R40" s="197">
        <v>0.19500000000000001</v>
      </c>
      <c r="S40" s="197">
        <v>1.22</v>
      </c>
      <c r="T40" s="197">
        <v>0.4144562334217507</v>
      </c>
      <c r="U40" s="197">
        <v>0.6566321730950142</v>
      </c>
      <c r="V40" s="20">
        <f t="shared" si="36"/>
        <v>8.5155967462066435</v>
      </c>
      <c r="W40" s="20">
        <f t="shared" si="36"/>
        <v>0</v>
      </c>
      <c r="X40" s="20">
        <f t="shared" si="36"/>
        <v>0</v>
      </c>
      <c r="Y40" s="20">
        <f t="shared" si="36"/>
        <v>0</v>
      </c>
      <c r="Z40" s="20">
        <f t="shared" si="37"/>
        <v>4.4393473736022093</v>
      </c>
      <c r="AA40" s="20">
        <f t="shared" si="37"/>
        <v>0</v>
      </c>
      <c r="AB40" s="20">
        <f t="shared" si="37"/>
        <v>0</v>
      </c>
      <c r="AC40" s="20">
        <f t="shared" si="37"/>
        <v>0</v>
      </c>
      <c r="AD40" s="20">
        <f t="shared" si="38"/>
        <v>4.4393473736022093</v>
      </c>
      <c r="AE40" s="20">
        <f t="shared" si="39"/>
        <v>83.899895784024693</v>
      </c>
      <c r="AF40" s="20">
        <f t="shared" si="39"/>
        <v>0</v>
      </c>
      <c r="AG40" s="20">
        <f t="shared" si="39"/>
        <v>0</v>
      </c>
      <c r="AH40" s="20">
        <f t="shared" si="39"/>
        <v>0</v>
      </c>
      <c r="AI40" s="20">
        <f t="shared" si="40"/>
        <v>60.349006169401044</v>
      </c>
      <c r="AJ40" s="20">
        <f t="shared" si="40"/>
        <v>0</v>
      </c>
      <c r="AK40" s="20">
        <f t="shared" si="40"/>
        <v>0</v>
      </c>
      <c r="AL40" s="20">
        <f t="shared" si="40"/>
        <v>0</v>
      </c>
      <c r="AM40" s="20">
        <f t="shared" si="41"/>
        <v>60.349006169401044</v>
      </c>
      <c r="AO40">
        <f t="shared" si="42"/>
        <v>4.7429987339566004</v>
      </c>
      <c r="AP40">
        <f t="shared" si="42"/>
        <v>0</v>
      </c>
      <c r="AQ40">
        <f t="shared" si="42"/>
        <v>0</v>
      </c>
      <c r="AR40">
        <f t="shared" si="42"/>
        <v>0</v>
      </c>
      <c r="AS40">
        <f t="shared" si="43"/>
        <v>4.7429987339566004</v>
      </c>
      <c r="AU40">
        <f t="shared" si="44"/>
        <v>64.476878191388082</v>
      </c>
      <c r="AV40">
        <f t="shared" si="45"/>
        <v>0</v>
      </c>
      <c r="AW40">
        <f t="shared" si="45"/>
        <v>0</v>
      </c>
      <c r="AX40">
        <f t="shared" si="45"/>
        <v>0</v>
      </c>
      <c r="AY40">
        <f t="shared" si="46"/>
        <v>64.476878191388082</v>
      </c>
    </row>
    <row r="41" spans="1:53" ht="15" x14ac:dyDescent="0.25">
      <c r="A41" s="1"/>
      <c r="B41" s="2"/>
      <c r="C41" s="1" t="s">
        <v>10</v>
      </c>
      <c r="D41">
        <v>0</v>
      </c>
      <c r="E41" s="360">
        <v>0</v>
      </c>
      <c r="F41">
        <v>0</v>
      </c>
      <c r="G41">
        <v>0</v>
      </c>
      <c r="H41">
        <v>0</v>
      </c>
      <c r="J41">
        <v>0</v>
      </c>
      <c r="K41" s="14">
        <v>0</v>
      </c>
      <c r="L41">
        <v>0</v>
      </c>
      <c r="M41">
        <v>0</v>
      </c>
      <c r="N41">
        <v>0</v>
      </c>
      <c r="O41" s="20"/>
      <c r="P41" s="20"/>
      <c r="Q41" s="438"/>
      <c r="R41" s="197">
        <v>0.19500000000000001</v>
      </c>
      <c r="S41" s="197">
        <v>1.22</v>
      </c>
      <c r="T41" s="197">
        <v>0.4144562334217507</v>
      </c>
      <c r="U41" s="197">
        <v>0.6566321730950142</v>
      </c>
      <c r="V41" s="20">
        <f t="shared" si="36"/>
        <v>0</v>
      </c>
      <c r="W41" s="20">
        <f t="shared" si="36"/>
        <v>0</v>
      </c>
      <c r="X41" s="20">
        <f t="shared" si="36"/>
        <v>0</v>
      </c>
      <c r="Y41" s="20">
        <f t="shared" si="36"/>
        <v>0</v>
      </c>
      <c r="Z41" s="20">
        <f t="shared" si="37"/>
        <v>0</v>
      </c>
      <c r="AA41" s="20">
        <f t="shared" si="37"/>
        <v>0</v>
      </c>
      <c r="AB41" s="20">
        <f t="shared" si="37"/>
        <v>0</v>
      </c>
      <c r="AC41" s="20">
        <f t="shared" si="37"/>
        <v>0</v>
      </c>
      <c r="AD41" s="20">
        <f t="shared" si="38"/>
        <v>0</v>
      </c>
      <c r="AE41" s="20">
        <f t="shared" si="39"/>
        <v>0</v>
      </c>
      <c r="AF41" s="20">
        <f t="shared" si="39"/>
        <v>0</v>
      </c>
      <c r="AG41" s="20">
        <f t="shared" si="39"/>
        <v>0</v>
      </c>
      <c r="AH41" s="20">
        <f t="shared" si="39"/>
        <v>0</v>
      </c>
      <c r="AI41" s="20">
        <f t="shared" si="40"/>
        <v>0</v>
      </c>
      <c r="AJ41" s="20">
        <f t="shared" si="40"/>
        <v>0</v>
      </c>
      <c r="AK41" s="20">
        <f t="shared" si="40"/>
        <v>0</v>
      </c>
      <c r="AL41" s="20">
        <f t="shared" si="40"/>
        <v>0</v>
      </c>
      <c r="AM41" s="20">
        <f t="shared" si="41"/>
        <v>0</v>
      </c>
      <c r="AO41">
        <f t="shared" si="42"/>
        <v>0</v>
      </c>
      <c r="AP41">
        <f t="shared" si="42"/>
        <v>0</v>
      </c>
      <c r="AQ41">
        <f t="shared" si="42"/>
        <v>0</v>
      </c>
      <c r="AR41">
        <f t="shared" si="42"/>
        <v>0</v>
      </c>
      <c r="AS41">
        <f t="shared" si="43"/>
        <v>0</v>
      </c>
      <c r="AU41">
        <f t="shared" si="44"/>
        <v>0</v>
      </c>
      <c r="AV41">
        <f t="shared" si="45"/>
        <v>0</v>
      </c>
      <c r="AW41">
        <f t="shared" si="45"/>
        <v>0</v>
      </c>
      <c r="AX41">
        <f t="shared" si="45"/>
        <v>0</v>
      </c>
      <c r="AY41">
        <f t="shared" si="46"/>
        <v>0</v>
      </c>
    </row>
    <row r="42" spans="1:53" ht="15" x14ac:dyDescent="0.25">
      <c r="A42" s="1"/>
      <c r="B42" s="2"/>
      <c r="C42" s="1" t="s">
        <v>11</v>
      </c>
      <c r="D42">
        <v>0</v>
      </c>
      <c r="E42" s="360">
        <v>10.3987</v>
      </c>
      <c r="F42">
        <v>0</v>
      </c>
      <c r="G42">
        <v>0</v>
      </c>
      <c r="H42">
        <v>0</v>
      </c>
      <c r="J42">
        <v>0</v>
      </c>
      <c r="K42" s="14">
        <v>10.3946102895907</v>
      </c>
      <c r="L42">
        <v>0</v>
      </c>
      <c r="M42">
        <v>0</v>
      </c>
      <c r="N42">
        <v>0</v>
      </c>
      <c r="O42" s="20"/>
      <c r="P42" s="20"/>
      <c r="Q42" s="438">
        <v>0.44956737413246872</v>
      </c>
      <c r="R42" s="197">
        <v>0.19500000000000001</v>
      </c>
      <c r="S42" s="197">
        <v>1.22</v>
      </c>
      <c r="T42" s="197">
        <v>0.4144562334217507</v>
      </c>
      <c r="U42" s="197">
        <v>0.6566321730950142</v>
      </c>
      <c r="V42" s="20">
        <f t="shared" si="36"/>
        <v>3.3547263060648915</v>
      </c>
      <c r="W42" s="20">
        <f t="shared" si="36"/>
        <v>0</v>
      </c>
      <c r="X42" s="20">
        <f t="shared" si="36"/>
        <v>0</v>
      </c>
      <c r="Y42" s="20">
        <f t="shared" si="36"/>
        <v>0</v>
      </c>
      <c r="Z42" s="20">
        <f t="shared" si="37"/>
        <v>1.7488845303316598</v>
      </c>
      <c r="AA42" s="20">
        <f t="shared" si="37"/>
        <v>0</v>
      </c>
      <c r="AB42" s="20">
        <f t="shared" si="37"/>
        <v>0</v>
      </c>
      <c r="AC42" s="20">
        <f t="shared" si="37"/>
        <v>0</v>
      </c>
      <c r="AD42" s="20">
        <f t="shared" si="38"/>
        <v>1.7488845303316598</v>
      </c>
      <c r="AE42" s="20">
        <f t="shared" si="39"/>
        <v>33.039539648943034</v>
      </c>
      <c r="AF42" s="20">
        <f t="shared" si="39"/>
        <v>0</v>
      </c>
      <c r="AG42" s="20">
        <f t="shared" si="39"/>
        <v>0</v>
      </c>
      <c r="AH42" s="20">
        <f t="shared" si="39"/>
        <v>0</v>
      </c>
      <c r="AI42" s="20">
        <f t="shared" si="40"/>
        <v>23.765266493786172</v>
      </c>
      <c r="AJ42" s="20">
        <f t="shared" si="40"/>
        <v>0</v>
      </c>
      <c r="AK42" s="20">
        <f t="shared" si="40"/>
        <v>0</v>
      </c>
      <c r="AL42" s="20">
        <f t="shared" si="40"/>
        <v>0</v>
      </c>
      <c r="AM42" s="20">
        <f t="shared" si="41"/>
        <v>23.765266493786172</v>
      </c>
      <c r="AO42">
        <f t="shared" si="42"/>
        <v>1.8685082322063453</v>
      </c>
      <c r="AP42">
        <f t="shared" si="42"/>
        <v>0</v>
      </c>
      <c r="AQ42">
        <f t="shared" si="42"/>
        <v>0</v>
      </c>
      <c r="AR42">
        <f t="shared" si="42"/>
        <v>0</v>
      </c>
      <c r="AS42">
        <f t="shared" si="43"/>
        <v>1.8685082322063453</v>
      </c>
      <c r="AU42">
        <f t="shared" si="44"/>
        <v>25.390810721961145</v>
      </c>
      <c r="AV42">
        <f t="shared" si="45"/>
        <v>0</v>
      </c>
      <c r="AW42">
        <f t="shared" si="45"/>
        <v>0</v>
      </c>
      <c r="AX42">
        <f t="shared" si="45"/>
        <v>0</v>
      </c>
      <c r="AY42">
        <f t="shared" si="46"/>
        <v>25.390810721961145</v>
      </c>
    </row>
    <row r="43" spans="1:53" ht="15" x14ac:dyDescent="0.25">
      <c r="A43" s="1"/>
      <c r="B43" s="2"/>
      <c r="C43" s="1" t="s">
        <v>12</v>
      </c>
      <c r="D43">
        <v>0</v>
      </c>
      <c r="E43" s="360">
        <v>0</v>
      </c>
      <c r="F43">
        <v>0</v>
      </c>
      <c r="G43">
        <v>0</v>
      </c>
      <c r="H43">
        <v>0</v>
      </c>
      <c r="J43">
        <v>0</v>
      </c>
      <c r="K43" s="14">
        <v>0</v>
      </c>
      <c r="L43">
        <v>0</v>
      </c>
      <c r="M43">
        <v>0</v>
      </c>
      <c r="N43">
        <v>0</v>
      </c>
      <c r="O43" s="20"/>
      <c r="P43" s="20"/>
      <c r="Q43" s="438"/>
      <c r="R43" s="197">
        <v>0.19500000000000001</v>
      </c>
      <c r="S43" s="197">
        <v>1.22</v>
      </c>
      <c r="T43" s="197">
        <v>0.4144562334217507</v>
      </c>
      <c r="U43" s="197">
        <v>0.6566321730950142</v>
      </c>
      <c r="V43" s="20">
        <f t="shared" si="36"/>
        <v>0</v>
      </c>
      <c r="W43" s="20">
        <f t="shared" si="36"/>
        <v>0</v>
      </c>
      <c r="X43" s="20">
        <f t="shared" si="36"/>
        <v>0</v>
      </c>
      <c r="Y43" s="20">
        <f t="shared" si="36"/>
        <v>0</v>
      </c>
      <c r="Z43" s="20">
        <f t="shared" si="37"/>
        <v>0</v>
      </c>
      <c r="AA43" s="20">
        <f t="shared" si="37"/>
        <v>0</v>
      </c>
      <c r="AB43" s="20">
        <f t="shared" si="37"/>
        <v>0</v>
      </c>
      <c r="AC43" s="20">
        <f t="shared" si="37"/>
        <v>0</v>
      </c>
      <c r="AD43" s="20">
        <f t="shared" si="38"/>
        <v>0</v>
      </c>
      <c r="AE43" s="20">
        <f t="shared" si="39"/>
        <v>0</v>
      </c>
      <c r="AF43" s="20">
        <f t="shared" si="39"/>
        <v>0</v>
      </c>
      <c r="AG43" s="20">
        <f t="shared" si="39"/>
        <v>0</v>
      </c>
      <c r="AH43" s="20">
        <f t="shared" si="39"/>
        <v>0</v>
      </c>
      <c r="AI43" s="20">
        <f t="shared" si="40"/>
        <v>0</v>
      </c>
      <c r="AJ43" s="20">
        <f t="shared" si="40"/>
        <v>0</v>
      </c>
      <c r="AK43" s="20">
        <f t="shared" si="40"/>
        <v>0</v>
      </c>
      <c r="AL43" s="20">
        <f t="shared" si="40"/>
        <v>0</v>
      </c>
      <c r="AM43" s="20">
        <f t="shared" si="41"/>
        <v>0</v>
      </c>
      <c r="AO43">
        <f t="shared" si="42"/>
        <v>0</v>
      </c>
      <c r="AP43">
        <f t="shared" si="42"/>
        <v>0</v>
      </c>
      <c r="AQ43">
        <f t="shared" si="42"/>
        <v>0</v>
      </c>
      <c r="AR43">
        <f t="shared" si="42"/>
        <v>0</v>
      </c>
      <c r="AS43">
        <f t="shared" si="43"/>
        <v>0</v>
      </c>
      <c r="AU43">
        <f t="shared" si="44"/>
        <v>0</v>
      </c>
      <c r="AV43">
        <f t="shared" si="45"/>
        <v>0</v>
      </c>
      <c r="AW43">
        <f t="shared" si="45"/>
        <v>0</v>
      </c>
      <c r="AX43">
        <f t="shared" si="45"/>
        <v>0</v>
      </c>
      <c r="AY43">
        <f t="shared" si="46"/>
        <v>0</v>
      </c>
    </row>
    <row r="44" spans="1:53" ht="15" x14ac:dyDescent="0.25">
      <c r="A44" s="1"/>
      <c r="B44" s="2"/>
      <c r="C44" s="1" t="s">
        <v>13</v>
      </c>
      <c r="D44">
        <v>0</v>
      </c>
      <c r="E44" s="360">
        <v>2.7449999999999999E-2</v>
      </c>
      <c r="F44">
        <v>0</v>
      </c>
      <c r="G44">
        <v>0</v>
      </c>
      <c r="H44">
        <v>0</v>
      </c>
      <c r="J44">
        <v>0</v>
      </c>
      <c r="K44" s="14">
        <v>2.7449999999999999E-2</v>
      </c>
      <c r="L44">
        <v>0</v>
      </c>
      <c r="M44">
        <v>0</v>
      </c>
      <c r="N44">
        <v>0</v>
      </c>
      <c r="O44" s="20"/>
      <c r="P44" s="20"/>
      <c r="Q44" s="438">
        <v>0.44956737413246867</v>
      </c>
      <c r="R44" s="197">
        <v>0.19500000000000001</v>
      </c>
      <c r="S44" s="197">
        <v>1.22</v>
      </c>
      <c r="T44" s="197">
        <v>0.4144562334217507</v>
      </c>
      <c r="U44" s="197">
        <v>0.6566321730950142</v>
      </c>
      <c r="V44" s="20">
        <f t="shared" si="36"/>
        <v>8.8496652454890506E-3</v>
      </c>
      <c r="W44" s="20">
        <f t="shared" si="36"/>
        <v>0</v>
      </c>
      <c r="X44" s="20">
        <f t="shared" si="36"/>
        <v>0</v>
      </c>
      <c r="Y44" s="20">
        <f t="shared" si="36"/>
        <v>0</v>
      </c>
      <c r="Z44" s="20">
        <f t="shared" si="37"/>
        <v>4.6135038254742668E-3</v>
      </c>
      <c r="AA44" s="20">
        <f t="shared" si="37"/>
        <v>0</v>
      </c>
      <c r="AB44" s="20">
        <f t="shared" si="37"/>
        <v>0</v>
      </c>
      <c r="AC44" s="20">
        <f t="shared" si="37"/>
        <v>0</v>
      </c>
      <c r="AD44" s="20">
        <f t="shared" si="38"/>
        <v>4.6135038254742668E-3</v>
      </c>
      <c r="AE44" s="20">
        <f t="shared" si="39"/>
        <v>8.7191304843173126E-2</v>
      </c>
      <c r="AF44" s="20">
        <f t="shared" si="39"/>
        <v>0</v>
      </c>
      <c r="AG44" s="20">
        <f t="shared" si="39"/>
        <v>0</v>
      </c>
      <c r="AH44" s="20">
        <f t="shared" si="39"/>
        <v>0</v>
      </c>
      <c r="AI44" s="20">
        <f t="shared" si="40"/>
        <v>6.2716509296316642E-2</v>
      </c>
      <c r="AJ44" s="20">
        <f t="shared" si="40"/>
        <v>0</v>
      </c>
      <c r="AK44" s="20">
        <f t="shared" si="40"/>
        <v>0</v>
      </c>
      <c r="AL44" s="20">
        <f t="shared" si="40"/>
        <v>0</v>
      </c>
      <c r="AM44" s="20">
        <f t="shared" si="41"/>
        <v>6.2716509296316642E-2</v>
      </c>
      <c r="AO44">
        <f t="shared" si="42"/>
        <v>4.9290674871367065E-3</v>
      </c>
      <c r="AP44">
        <f t="shared" si="42"/>
        <v>0</v>
      </c>
      <c r="AQ44">
        <f t="shared" si="42"/>
        <v>0</v>
      </c>
      <c r="AR44">
        <f t="shared" si="42"/>
        <v>0</v>
      </c>
      <c r="AS44">
        <f t="shared" si="43"/>
        <v>4.9290674871367065E-3</v>
      </c>
      <c r="AU44">
        <f t="shared" si="44"/>
        <v>6.7006318532184694E-2</v>
      </c>
      <c r="AV44">
        <f t="shared" si="45"/>
        <v>0</v>
      </c>
      <c r="AW44">
        <f t="shared" si="45"/>
        <v>0</v>
      </c>
      <c r="AX44">
        <f t="shared" si="45"/>
        <v>0</v>
      </c>
      <c r="AY44">
        <f t="shared" si="46"/>
        <v>6.7006318532184694E-2</v>
      </c>
    </row>
    <row r="45" spans="1:53" ht="15" x14ac:dyDescent="0.25">
      <c r="A45" s="7"/>
      <c r="B45" s="8" t="s">
        <v>14</v>
      </c>
      <c r="C45" s="7"/>
      <c r="D45" s="357">
        <f t="shared" ref="D45:H45" si="47">SUM(D39:D44)</f>
        <v>0</v>
      </c>
      <c r="E45" s="363">
        <f>SUM(E39:E44)</f>
        <v>136.28814999999997</v>
      </c>
      <c r="F45" s="357">
        <f t="shared" si="47"/>
        <v>0</v>
      </c>
      <c r="G45" s="357">
        <f t="shared" si="47"/>
        <v>0</v>
      </c>
      <c r="H45" s="357">
        <f t="shared" si="47"/>
        <v>0</v>
      </c>
      <c r="J45">
        <v>0</v>
      </c>
      <c r="K45" s="14">
        <v>133.66460568198278</v>
      </c>
      <c r="L45">
        <v>0</v>
      </c>
      <c r="M45">
        <v>0</v>
      </c>
      <c r="N45">
        <v>0</v>
      </c>
      <c r="O45" s="20"/>
      <c r="P45" s="20"/>
      <c r="Q45" s="438">
        <v>0.39235068088933867</v>
      </c>
      <c r="R45" s="197"/>
      <c r="S45" s="197"/>
      <c r="T45" s="197"/>
      <c r="U45" s="197"/>
      <c r="BA45" s="319">
        <f>(E45*10000*Q45*AU$10)</f>
        <v>571302.84443604259</v>
      </c>
    </row>
    <row r="46" spans="1:53" ht="15" x14ac:dyDescent="0.25">
      <c r="A46" s="10"/>
      <c r="B46" s="9" t="s">
        <v>15</v>
      </c>
      <c r="C46" s="5"/>
      <c r="E46" s="363">
        <f>SUM(E45)</f>
        <v>136.28814999999997</v>
      </c>
      <c r="H46" s="358">
        <f>SUM(D45:H45)</f>
        <v>136.28814999999997</v>
      </c>
      <c r="K46" s="14"/>
      <c r="N46">
        <v>0</v>
      </c>
      <c r="O46" s="20"/>
      <c r="P46" s="20"/>
      <c r="Q46" s="438"/>
      <c r="R46" s="197"/>
      <c r="S46" s="197"/>
      <c r="T46" s="197"/>
      <c r="U46" s="197"/>
    </row>
    <row r="47" spans="1:53" ht="15.75" x14ac:dyDescent="0.25">
      <c r="A47" s="1"/>
      <c r="B47" s="2"/>
      <c r="C47" s="1"/>
      <c r="E47" s="361"/>
      <c r="K47" s="14"/>
      <c r="O47" s="20"/>
      <c r="P47" s="20"/>
      <c r="Q47" s="439"/>
      <c r="R47" s="197"/>
      <c r="S47" s="197"/>
      <c r="T47" s="197"/>
      <c r="U47" s="197"/>
    </row>
    <row r="48" spans="1:53" ht="15" x14ac:dyDescent="0.25">
      <c r="A48" s="1">
        <v>5</v>
      </c>
      <c r="B48" s="2" t="s">
        <v>19</v>
      </c>
      <c r="C48" s="1" t="s">
        <v>8</v>
      </c>
      <c r="D48">
        <v>0</v>
      </c>
      <c r="E48" s="360">
        <v>29.9802</v>
      </c>
      <c r="F48">
        <v>0</v>
      </c>
      <c r="G48">
        <v>0</v>
      </c>
      <c r="H48">
        <v>0</v>
      </c>
      <c r="J48">
        <v>0</v>
      </c>
      <c r="K48" s="14">
        <v>18.336432758681401</v>
      </c>
      <c r="L48">
        <v>0</v>
      </c>
      <c r="M48">
        <v>0</v>
      </c>
      <c r="N48">
        <v>0</v>
      </c>
      <c r="O48" s="20"/>
      <c r="P48" s="20"/>
      <c r="Q48" s="438">
        <v>0.42552585657202407</v>
      </c>
      <c r="R48" s="197">
        <v>0.43</v>
      </c>
      <c r="S48" s="197">
        <v>2.83</v>
      </c>
      <c r="T48" s="197">
        <v>0.76744186046511631</v>
      </c>
      <c r="U48" s="197">
        <v>0.76744186046511631</v>
      </c>
      <c r="V48" s="20">
        <f t="shared" ref="V48:Y53" si="48">IF(K48&gt;0,((E48-K48)*$Q48*$R48*10)+(K48*$O$12*$Q48*$R48*10),(E48*$Q48*$R48*10))</f>
        <v>33.643869908641612</v>
      </c>
      <c r="W48" s="20">
        <f t="shared" si="48"/>
        <v>0</v>
      </c>
      <c r="X48" s="20">
        <f t="shared" si="48"/>
        <v>0</v>
      </c>
      <c r="Y48" s="20">
        <f t="shared" si="48"/>
        <v>0</v>
      </c>
      <c r="Z48" s="20">
        <f t="shared" ref="Z48:AC53" si="49">V48*(EXP(1.01-0.34*LN(Z$8))*(1-$T48)+(1*$T48))</f>
        <v>27.24764413565925</v>
      </c>
      <c r="AA48" s="20">
        <f t="shared" si="49"/>
        <v>0</v>
      </c>
      <c r="AB48" s="20">
        <f t="shared" si="49"/>
        <v>0</v>
      </c>
      <c r="AC48" s="20">
        <f t="shared" si="49"/>
        <v>0</v>
      </c>
      <c r="AD48" s="20">
        <f t="shared" ref="AD48:AD53" si="50">SUM(Z48:AC48)</f>
        <v>27.24764413565925</v>
      </c>
      <c r="AE48" s="20">
        <f t="shared" ref="AE48:AH53" si="51">IF(K48&gt;0,((E48-K48)*$Q48*$S48*10)+(K48*$P$12*$Q48*$S48)*10,(E48*$Q48*$S48*10))</f>
        <v>268.09893268828381</v>
      </c>
      <c r="AF48" s="20">
        <f t="shared" si="51"/>
        <v>0</v>
      </c>
      <c r="AG48" s="20">
        <f t="shared" si="51"/>
        <v>0</v>
      </c>
      <c r="AH48" s="20">
        <f t="shared" si="51"/>
        <v>0</v>
      </c>
      <c r="AI48" s="20">
        <f t="shared" ref="AI48:AL53" si="52">AE48*(EXP(1.01-0.34*LN(AI$8))*(1-$U48)+(1*$U48))</f>
        <v>217.12913320842662</v>
      </c>
      <c r="AJ48" s="20">
        <f t="shared" si="52"/>
        <v>0</v>
      </c>
      <c r="AK48" s="20">
        <f t="shared" si="52"/>
        <v>0</v>
      </c>
      <c r="AL48" s="20">
        <f t="shared" si="52"/>
        <v>0</v>
      </c>
      <c r="AM48" s="20">
        <f t="shared" ref="AM48:AM53" si="53">SUM(AI48:AL48)</f>
        <v>217.12913320842662</v>
      </c>
      <c r="AO48">
        <f t="shared" ref="AO48:AR53" si="54">Z48*AO$10</f>
        <v>29.111382994538342</v>
      </c>
      <c r="AP48">
        <f t="shared" si="54"/>
        <v>0</v>
      </c>
      <c r="AQ48">
        <f t="shared" si="54"/>
        <v>0</v>
      </c>
      <c r="AR48">
        <f t="shared" si="54"/>
        <v>0</v>
      </c>
      <c r="AS48">
        <f t="shared" ref="AS48:AS53" si="55">SUM(AO48:AR48)</f>
        <v>29.111382994538342</v>
      </c>
      <c r="AU48">
        <f t="shared" ref="AU48:AU53" si="56">AI48*AU$10</f>
        <v>231.980765919883</v>
      </c>
      <c r="AV48">
        <f t="shared" ref="AV48:AX53" si="57">AJ48*AV$10</f>
        <v>0</v>
      </c>
      <c r="AW48">
        <f t="shared" si="57"/>
        <v>0</v>
      </c>
      <c r="AX48">
        <f t="shared" si="57"/>
        <v>0</v>
      </c>
      <c r="AY48">
        <f t="shared" ref="AY48:AY53" si="58">SUM(AU48:AX48)</f>
        <v>231.980765919883</v>
      </c>
    </row>
    <row r="49" spans="1:53" ht="15" x14ac:dyDescent="0.25">
      <c r="A49" s="1"/>
      <c r="B49" s="2"/>
      <c r="C49" s="1" t="s">
        <v>9</v>
      </c>
      <c r="D49">
        <v>0</v>
      </c>
      <c r="E49" s="360">
        <v>15.0631</v>
      </c>
      <c r="F49">
        <v>0</v>
      </c>
      <c r="G49">
        <v>0</v>
      </c>
      <c r="H49">
        <v>0</v>
      </c>
      <c r="J49">
        <v>0</v>
      </c>
      <c r="K49" s="14">
        <v>3.3047109557028964</v>
      </c>
      <c r="L49">
        <v>0</v>
      </c>
      <c r="M49">
        <v>0</v>
      </c>
      <c r="N49">
        <v>0</v>
      </c>
      <c r="O49" s="20"/>
      <c r="P49" s="20"/>
      <c r="Q49" s="438">
        <v>0.44605171314404818</v>
      </c>
      <c r="R49" s="197">
        <v>0.43</v>
      </c>
      <c r="S49" s="197">
        <v>2.83</v>
      </c>
      <c r="T49" s="197">
        <v>0.76744186046511631</v>
      </c>
      <c r="U49" s="197">
        <v>0.76744186046511631</v>
      </c>
      <c r="V49" s="20">
        <f t="shared" si="48"/>
        <v>24.883853023613359</v>
      </c>
      <c r="W49" s="20">
        <f t="shared" si="48"/>
        <v>0</v>
      </c>
      <c r="X49" s="20">
        <f t="shared" si="48"/>
        <v>0</v>
      </c>
      <c r="Y49" s="20">
        <f t="shared" si="48"/>
        <v>0</v>
      </c>
      <c r="Z49" s="20">
        <f t="shared" si="49"/>
        <v>20.153043444544721</v>
      </c>
      <c r="AA49" s="20">
        <f t="shared" si="49"/>
        <v>0</v>
      </c>
      <c r="AB49" s="20">
        <f t="shared" si="49"/>
        <v>0</v>
      </c>
      <c r="AC49" s="20">
        <f t="shared" si="49"/>
        <v>0</v>
      </c>
      <c r="AD49" s="20">
        <f t="shared" si="50"/>
        <v>20.153043444544721</v>
      </c>
      <c r="AE49" s="20">
        <f t="shared" si="51"/>
        <v>172.58837570312571</v>
      </c>
      <c r="AF49" s="20">
        <f t="shared" si="51"/>
        <v>0</v>
      </c>
      <c r="AG49" s="20">
        <f t="shared" si="51"/>
        <v>0</v>
      </c>
      <c r="AH49" s="20">
        <f t="shared" si="51"/>
        <v>0</v>
      </c>
      <c r="AI49" s="20">
        <f t="shared" si="52"/>
        <v>139.77662664491319</v>
      </c>
      <c r="AJ49" s="20">
        <f t="shared" si="52"/>
        <v>0</v>
      </c>
      <c r="AK49" s="20">
        <f t="shared" si="52"/>
        <v>0</v>
      </c>
      <c r="AL49" s="20">
        <f t="shared" si="52"/>
        <v>0</v>
      </c>
      <c r="AM49" s="20">
        <f t="shared" si="53"/>
        <v>139.77662664491319</v>
      </c>
      <c r="AO49">
        <f t="shared" si="54"/>
        <v>21.53151161615158</v>
      </c>
      <c r="AP49">
        <f t="shared" si="54"/>
        <v>0</v>
      </c>
      <c r="AQ49">
        <f t="shared" si="54"/>
        <v>0</v>
      </c>
      <c r="AR49">
        <f t="shared" si="54"/>
        <v>0</v>
      </c>
      <c r="AS49">
        <f t="shared" si="55"/>
        <v>21.53151161615158</v>
      </c>
      <c r="AU49">
        <f t="shared" si="56"/>
        <v>149.33734790742525</v>
      </c>
      <c r="AV49">
        <f t="shared" si="57"/>
        <v>0</v>
      </c>
      <c r="AW49">
        <f t="shared" si="57"/>
        <v>0</v>
      </c>
      <c r="AX49">
        <f t="shared" si="57"/>
        <v>0</v>
      </c>
      <c r="AY49">
        <f t="shared" si="58"/>
        <v>149.33734790742525</v>
      </c>
    </row>
    <row r="50" spans="1:53" ht="15" x14ac:dyDescent="0.25">
      <c r="A50" s="1"/>
      <c r="B50" s="2"/>
      <c r="C50" s="1" t="s">
        <v>10</v>
      </c>
      <c r="D50">
        <v>0</v>
      </c>
      <c r="E50" s="360">
        <v>2.8757000000000001</v>
      </c>
      <c r="F50">
        <v>0</v>
      </c>
      <c r="G50">
        <v>0</v>
      </c>
      <c r="H50">
        <v>0</v>
      </c>
      <c r="J50">
        <v>0</v>
      </c>
      <c r="K50" s="14">
        <v>1.7039795236300002</v>
      </c>
      <c r="L50">
        <v>0</v>
      </c>
      <c r="M50">
        <v>0</v>
      </c>
      <c r="N50">
        <v>0</v>
      </c>
      <c r="O50" s="20"/>
      <c r="P50" s="20"/>
      <c r="Q50" s="438">
        <v>0.46657756971607223</v>
      </c>
      <c r="R50" s="197">
        <v>0.43</v>
      </c>
      <c r="S50" s="197">
        <v>2.83</v>
      </c>
      <c r="T50" s="197">
        <v>0.76744186046511631</v>
      </c>
      <c r="U50" s="197">
        <v>0.76744186046511631</v>
      </c>
      <c r="V50" s="20">
        <f t="shared" si="48"/>
        <v>3.6080249621861773</v>
      </c>
      <c r="W50" s="20">
        <f t="shared" si="48"/>
        <v>0</v>
      </c>
      <c r="X50" s="20">
        <f t="shared" si="48"/>
        <v>0</v>
      </c>
      <c r="Y50" s="20">
        <f t="shared" si="48"/>
        <v>0</v>
      </c>
      <c r="Z50" s="20">
        <f t="shared" si="49"/>
        <v>2.9220829966701563</v>
      </c>
      <c r="AA50" s="20">
        <f t="shared" si="49"/>
        <v>0</v>
      </c>
      <c r="AB50" s="20">
        <f t="shared" si="49"/>
        <v>0</v>
      </c>
      <c r="AC50" s="20">
        <f t="shared" si="49"/>
        <v>0</v>
      </c>
      <c r="AD50" s="20">
        <f t="shared" si="50"/>
        <v>2.9220829966701563</v>
      </c>
      <c r="AE50" s="20">
        <f t="shared" si="51"/>
        <v>28.501761133865486</v>
      </c>
      <c r="AF50" s="20">
        <f t="shared" si="51"/>
        <v>0</v>
      </c>
      <c r="AG50" s="20">
        <f t="shared" si="51"/>
        <v>0</v>
      </c>
      <c r="AH50" s="20">
        <f t="shared" si="51"/>
        <v>0</v>
      </c>
      <c r="AI50" s="20">
        <f t="shared" si="52"/>
        <v>23.083130648286545</v>
      </c>
      <c r="AJ50" s="20">
        <f t="shared" si="52"/>
        <v>0</v>
      </c>
      <c r="AK50" s="20">
        <f t="shared" si="52"/>
        <v>0</v>
      </c>
      <c r="AL50" s="20">
        <f t="shared" si="52"/>
        <v>0</v>
      </c>
      <c r="AM50" s="20">
        <f t="shared" si="53"/>
        <v>23.083130648286545</v>
      </c>
      <c r="AO50">
        <f t="shared" si="54"/>
        <v>3.1219534736423951</v>
      </c>
      <c r="AP50">
        <f t="shared" si="54"/>
        <v>0</v>
      </c>
      <c r="AQ50">
        <f t="shared" si="54"/>
        <v>0</v>
      </c>
      <c r="AR50">
        <f t="shared" si="54"/>
        <v>0</v>
      </c>
      <c r="AS50">
        <f t="shared" si="55"/>
        <v>3.1219534736423951</v>
      </c>
      <c r="AU50">
        <f t="shared" si="56"/>
        <v>24.662016784629344</v>
      </c>
      <c r="AV50">
        <f t="shared" si="57"/>
        <v>0</v>
      </c>
      <c r="AW50">
        <f t="shared" si="57"/>
        <v>0</v>
      </c>
      <c r="AX50">
        <f t="shared" si="57"/>
        <v>0</v>
      </c>
      <c r="AY50">
        <f t="shared" si="58"/>
        <v>24.662016784629344</v>
      </c>
    </row>
    <row r="51" spans="1:53" ht="15" x14ac:dyDescent="0.25">
      <c r="A51" s="1"/>
      <c r="B51" s="2"/>
      <c r="C51" s="1" t="s">
        <v>11</v>
      </c>
      <c r="D51">
        <v>0</v>
      </c>
      <c r="E51" s="360">
        <v>27.904800000000002</v>
      </c>
      <c r="F51">
        <v>0</v>
      </c>
      <c r="G51">
        <v>0</v>
      </c>
      <c r="H51">
        <v>0</v>
      </c>
      <c r="J51">
        <v>0</v>
      </c>
      <c r="K51" s="14">
        <v>20.401728580574702</v>
      </c>
      <c r="L51">
        <v>0</v>
      </c>
      <c r="M51">
        <v>0</v>
      </c>
      <c r="N51">
        <v>0</v>
      </c>
      <c r="O51" s="20"/>
      <c r="P51" s="20"/>
      <c r="Q51" s="438">
        <v>0.48710342628809633</v>
      </c>
      <c r="R51" s="197">
        <v>0.43</v>
      </c>
      <c r="S51" s="197">
        <v>2.83</v>
      </c>
      <c r="T51" s="197">
        <v>0.76744186046511631</v>
      </c>
      <c r="U51" s="197">
        <v>0.76744186046511631</v>
      </c>
      <c r="V51" s="20">
        <f t="shared" si="48"/>
        <v>31.430421632815843</v>
      </c>
      <c r="W51" s="20">
        <f t="shared" si="48"/>
        <v>0</v>
      </c>
      <c r="X51" s="20">
        <f t="shared" si="48"/>
        <v>0</v>
      </c>
      <c r="Y51" s="20">
        <f t="shared" si="48"/>
        <v>0</v>
      </c>
      <c r="Z51" s="20">
        <f t="shared" si="49"/>
        <v>25.45500698968997</v>
      </c>
      <c r="AA51" s="20">
        <f t="shared" si="49"/>
        <v>0</v>
      </c>
      <c r="AB51" s="20">
        <f t="shared" si="49"/>
        <v>0</v>
      </c>
      <c r="AC51" s="20">
        <f t="shared" si="49"/>
        <v>0</v>
      </c>
      <c r="AD51" s="20">
        <f t="shared" si="50"/>
        <v>25.45500698968997</v>
      </c>
      <c r="AE51" s="20">
        <f t="shared" si="51"/>
        <v>266.30367975709373</v>
      </c>
      <c r="AF51" s="20">
        <f t="shared" si="51"/>
        <v>0</v>
      </c>
      <c r="AG51" s="20">
        <f t="shared" si="51"/>
        <v>0</v>
      </c>
      <c r="AH51" s="20">
        <f t="shared" si="51"/>
        <v>0</v>
      </c>
      <c r="AI51" s="20">
        <f t="shared" si="52"/>
        <v>215.67518593258123</v>
      </c>
      <c r="AJ51" s="20">
        <f t="shared" si="52"/>
        <v>0</v>
      </c>
      <c r="AK51" s="20">
        <f t="shared" si="52"/>
        <v>0</v>
      </c>
      <c r="AL51" s="20">
        <f t="shared" si="52"/>
        <v>0</v>
      </c>
      <c r="AM51" s="20">
        <f t="shared" si="53"/>
        <v>215.67518593258123</v>
      </c>
      <c r="AO51">
        <f t="shared" si="54"/>
        <v>27.196129467784765</v>
      </c>
      <c r="AP51">
        <f t="shared" si="54"/>
        <v>0</v>
      </c>
      <c r="AQ51">
        <f t="shared" si="54"/>
        <v>0</v>
      </c>
      <c r="AR51">
        <f t="shared" si="54"/>
        <v>0</v>
      </c>
      <c r="AS51">
        <f t="shared" si="55"/>
        <v>27.196129467784765</v>
      </c>
      <c r="AU51">
        <f t="shared" si="56"/>
        <v>230.4273686503698</v>
      </c>
      <c r="AV51">
        <f t="shared" si="57"/>
        <v>0</v>
      </c>
      <c r="AW51">
        <f t="shared" si="57"/>
        <v>0</v>
      </c>
      <c r="AX51">
        <f t="shared" si="57"/>
        <v>0</v>
      </c>
      <c r="AY51">
        <f t="shared" si="58"/>
        <v>230.4273686503698</v>
      </c>
    </row>
    <row r="52" spans="1:53" ht="15" x14ac:dyDescent="0.25">
      <c r="A52" s="1"/>
      <c r="B52" s="2"/>
      <c r="C52" s="1" t="s">
        <v>12</v>
      </c>
      <c r="D52">
        <v>0</v>
      </c>
      <c r="E52" s="360">
        <v>0</v>
      </c>
      <c r="F52">
        <v>0</v>
      </c>
      <c r="G52">
        <v>0</v>
      </c>
      <c r="H52">
        <v>0</v>
      </c>
      <c r="J52">
        <v>0</v>
      </c>
      <c r="K52" s="14">
        <v>0</v>
      </c>
      <c r="L52">
        <v>0</v>
      </c>
      <c r="M52">
        <v>0</v>
      </c>
      <c r="N52">
        <v>0</v>
      </c>
      <c r="O52" s="20"/>
      <c r="P52" s="20"/>
      <c r="Q52" s="438"/>
      <c r="R52" s="197">
        <v>0.43</v>
      </c>
      <c r="S52" s="197">
        <v>2.83</v>
      </c>
      <c r="T52" s="197">
        <v>0.76744186046511631</v>
      </c>
      <c r="U52" s="197">
        <v>0.76744186046511631</v>
      </c>
      <c r="V52" s="20">
        <f t="shared" si="48"/>
        <v>0</v>
      </c>
      <c r="W52" s="20">
        <f t="shared" si="48"/>
        <v>0</v>
      </c>
      <c r="X52" s="20">
        <f t="shared" si="48"/>
        <v>0</v>
      </c>
      <c r="Y52" s="20">
        <f t="shared" si="48"/>
        <v>0</v>
      </c>
      <c r="Z52" s="20">
        <f t="shared" si="49"/>
        <v>0</v>
      </c>
      <c r="AA52" s="20">
        <f t="shared" si="49"/>
        <v>0</v>
      </c>
      <c r="AB52" s="20">
        <f t="shared" si="49"/>
        <v>0</v>
      </c>
      <c r="AC52" s="20">
        <f t="shared" si="49"/>
        <v>0</v>
      </c>
      <c r="AD52" s="20">
        <f t="shared" si="50"/>
        <v>0</v>
      </c>
      <c r="AE52" s="20">
        <f t="shared" si="51"/>
        <v>0</v>
      </c>
      <c r="AF52" s="20">
        <f t="shared" si="51"/>
        <v>0</v>
      </c>
      <c r="AG52" s="20">
        <f t="shared" si="51"/>
        <v>0</v>
      </c>
      <c r="AH52" s="20">
        <f t="shared" si="51"/>
        <v>0</v>
      </c>
      <c r="AI52" s="20">
        <f t="shared" si="52"/>
        <v>0</v>
      </c>
      <c r="AJ52" s="20">
        <f t="shared" si="52"/>
        <v>0</v>
      </c>
      <c r="AK52" s="20">
        <f t="shared" si="52"/>
        <v>0</v>
      </c>
      <c r="AL52" s="20">
        <f t="shared" si="52"/>
        <v>0</v>
      </c>
      <c r="AM52" s="20">
        <f t="shared" si="53"/>
        <v>0</v>
      </c>
      <c r="AO52">
        <f t="shared" si="54"/>
        <v>0</v>
      </c>
      <c r="AP52">
        <f t="shared" si="54"/>
        <v>0</v>
      </c>
      <c r="AQ52">
        <f t="shared" si="54"/>
        <v>0</v>
      </c>
      <c r="AR52">
        <f t="shared" si="54"/>
        <v>0</v>
      </c>
      <c r="AS52">
        <f t="shared" si="55"/>
        <v>0</v>
      </c>
      <c r="AU52">
        <f t="shared" si="56"/>
        <v>0</v>
      </c>
      <c r="AV52">
        <f t="shared" si="57"/>
        <v>0</v>
      </c>
      <c r="AW52">
        <f t="shared" si="57"/>
        <v>0</v>
      </c>
      <c r="AX52">
        <f t="shared" si="57"/>
        <v>0</v>
      </c>
      <c r="AY52">
        <f t="shared" si="58"/>
        <v>0</v>
      </c>
    </row>
    <row r="53" spans="1:53" ht="15" x14ac:dyDescent="0.25">
      <c r="A53" s="1"/>
      <c r="B53" s="2"/>
      <c r="C53" s="1" t="s">
        <v>13</v>
      </c>
      <c r="D53">
        <v>0</v>
      </c>
      <c r="E53" s="360">
        <v>7.3499999999999996E-2</v>
      </c>
      <c r="F53">
        <v>0</v>
      </c>
      <c r="G53">
        <v>0</v>
      </c>
      <c r="H53">
        <v>0</v>
      </c>
      <c r="J53">
        <v>0</v>
      </c>
      <c r="K53" s="14">
        <v>5.4110147222699995E-2</v>
      </c>
      <c r="L53">
        <v>0</v>
      </c>
      <c r="M53">
        <v>0</v>
      </c>
      <c r="N53">
        <v>0</v>
      </c>
      <c r="O53" s="20"/>
      <c r="P53" s="20"/>
      <c r="Q53" s="438">
        <v>0.48710342628809639</v>
      </c>
      <c r="R53" s="197">
        <v>0.43</v>
      </c>
      <c r="S53" s="197">
        <v>2.83</v>
      </c>
      <c r="T53" s="197">
        <v>0.76744186046511631</v>
      </c>
      <c r="U53" s="197">
        <v>0.76744186046511631</v>
      </c>
      <c r="V53" s="20">
        <f t="shared" si="48"/>
        <v>8.2292505357098422E-2</v>
      </c>
      <c r="W53" s="20">
        <f t="shared" si="48"/>
        <v>0</v>
      </c>
      <c r="X53" s="20">
        <f t="shared" si="48"/>
        <v>0</v>
      </c>
      <c r="Y53" s="20">
        <f t="shared" si="48"/>
        <v>0</v>
      </c>
      <c r="Z53" s="20">
        <f t="shared" si="49"/>
        <v>6.6647413246182757E-2</v>
      </c>
      <c r="AA53" s="20">
        <f t="shared" si="49"/>
        <v>0</v>
      </c>
      <c r="AB53" s="20">
        <f t="shared" si="49"/>
        <v>0</v>
      </c>
      <c r="AC53" s="20">
        <f t="shared" si="49"/>
        <v>0</v>
      </c>
      <c r="AD53" s="20">
        <f t="shared" si="50"/>
        <v>6.6647413246182757E-2</v>
      </c>
      <c r="AE53" s="20">
        <f t="shared" si="51"/>
        <v>0.69926855594136439</v>
      </c>
      <c r="AF53" s="20">
        <f t="shared" si="51"/>
        <v>0</v>
      </c>
      <c r="AG53" s="20">
        <f t="shared" si="51"/>
        <v>0</v>
      </c>
      <c r="AH53" s="20">
        <f t="shared" si="51"/>
        <v>0</v>
      </c>
      <c r="AI53" s="20">
        <f t="shared" si="52"/>
        <v>0.56632666870028092</v>
      </c>
      <c r="AJ53" s="20">
        <f t="shared" si="52"/>
        <v>0</v>
      </c>
      <c r="AK53" s="20">
        <f t="shared" si="52"/>
        <v>0</v>
      </c>
      <c r="AL53" s="20">
        <f t="shared" si="52"/>
        <v>0</v>
      </c>
      <c r="AM53" s="20">
        <f t="shared" si="53"/>
        <v>0.56632666870028092</v>
      </c>
      <c r="AO53">
        <f t="shared" si="54"/>
        <v>7.1206096312221662E-2</v>
      </c>
      <c r="AP53">
        <f t="shared" si="54"/>
        <v>0</v>
      </c>
      <c r="AQ53">
        <f t="shared" si="54"/>
        <v>0</v>
      </c>
      <c r="AR53">
        <f t="shared" si="54"/>
        <v>0</v>
      </c>
      <c r="AS53">
        <f t="shared" si="55"/>
        <v>7.1206096312221662E-2</v>
      </c>
      <c r="AU53">
        <f t="shared" si="56"/>
        <v>0.60506341283938014</v>
      </c>
      <c r="AV53">
        <f t="shared" si="57"/>
        <v>0</v>
      </c>
      <c r="AW53">
        <f t="shared" si="57"/>
        <v>0</v>
      </c>
      <c r="AX53">
        <f t="shared" si="57"/>
        <v>0</v>
      </c>
      <c r="AY53">
        <f t="shared" si="58"/>
        <v>0.60506341283938014</v>
      </c>
    </row>
    <row r="54" spans="1:53" ht="15" x14ac:dyDescent="0.25">
      <c r="A54" s="7"/>
      <c r="B54" s="8" t="s">
        <v>14</v>
      </c>
      <c r="C54" s="7"/>
      <c r="D54" s="357">
        <f t="shared" ref="D54:H54" si="59">SUM(D48:D53)</f>
        <v>0</v>
      </c>
      <c r="E54" s="363">
        <f>SUM(E48:E53)</f>
        <v>75.897300000000001</v>
      </c>
      <c r="F54" s="357">
        <f t="shared" si="59"/>
        <v>0</v>
      </c>
      <c r="G54" s="357">
        <f t="shared" si="59"/>
        <v>0</v>
      </c>
      <c r="H54" s="357">
        <f t="shared" si="59"/>
        <v>0</v>
      </c>
      <c r="J54">
        <v>0</v>
      </c>
      <c r="K54" s="14">
        <v>43.800961965811702</v>
      </c>
      <c r="L54">
        <v>0</v>
      </c>
      <c r="M54">
        <v>0</v>
      </c>
      <c r="N54">
        <v>0</v>
      </c>
      <c r="O54" s="20"/>
      <c r="P54" s="20"/>
      <c r="Q54" s="438">
        <v>0.45385454758482136</v>
      </c>
      <c r="R54" s="197"/>
      <c r="S54" s="197"/>
      <c r="T54" s="197"/>
      <c r="U54" s="197"/>
      <c r="BA54" s="319">
        <f>(E54*10000*Q54*AU$10)</f>
        <v>368024.6405161107</v>
      </c>
    </row>
    <row r="55" spans="1:53" ht="15" x14ac:dyDescent="0.25">
      <c r="A55" s="10"/>
      <c r="B55" s="9" t="s">
        <v>15</v>
      </c>
      <c r="C55" s="5"/>
      <c r="E55" s="363">
        <f>SUM(E54)</f>
        <v>75.897300000000001</v>
      </c>
      <c r="H55" s="358">
        <f>SUM(D54:H54)</f>
        <v>75.897300000000001</v>
      </c>
      <c r="K55" s="14"/>
      <c r="N55">
        <v>0</v>
      </c>
      <c r="O55" s="20"/>
      <c r="P55" s="20"/>
      <c r="Q55" s="438"/>
      <c r="R55" s="197"/>
      <c r="S55" s="197"/>
      <c r="T55" s="197"/>
      <c r="U55" s="197"/>
    </row>
    <row r="56" spans="1:53" ht="15.75" x14ac:dyDescent="0.25">
      <c r="A56" s="1"/>
      <c r="B56" s="2"/>
      <c r="C56" s="1"/>
      <c r="E56" s="361"/>
      <c r="K56" s="14"/>
      <c r="O56" s="20"/>
      <c r="P56" s="20"/>
      <c r="Q56" s="439"/>
      <c r="R56" s="197"/>
      <c r="S56" s="197"/>
      <c r="T56" s="197"/>
      <c r="U56" s="197"/>
    </row>
    <row r="57" spans="1:53" ht="15" x14ac:dyDescent="0.25">
      <c r="A57" s="1">
        <v>6</v>
      </c>
      <c r="B57" s="2" t="s">
        <v>20</v>
      </c>
      <c r="C57" s="1" t="s">
        <v>8</v>
      </c>
      <c r="D57">
        <v>0</v>
      </c>
      <c r="E57" s="360">
        <v>11.9978</v>
      </c>
      <c r="F57">
        <v>0</v>
      </c>
      <c r="G57">
        <v>0</v>
      </c>
      <c r="H57">
        <v>0</v>
      </c>
      <c r="J57">
        <v>0</v>
      </c>
      <c r="K57" s="14">
        <v>11.908647118760999</v>
      </c>
      <c r="L57">
        <v>0</v>
      </c>
      <c r="M57">
        <v>0</v>
      </c>
      <c r="N57">
        <v>0</v>
      </c>
      <c r="O57" s="20"/>
      <c r="P57" s="20"/>
      <c r="Q57" s="438">
        <v>0.46865986961093098</v>
      </c>
      <c r="R57" s="197">
        <v>0.33900000000000002</v>
      </c>
      <c r="S57" s="197">
        <v>1.9830000000000001</v>
      </c>
      <c r="T57" s="197">
        <v>0.76146788990825687</v>
      </c>
      <c r="U57" s="197">
        <v>0.76146788990825687</v>
      </c>
      <c r="V57" s="20">
        <f t="shared" ref="V57:Y62" si="60">IF(K57&gt;0,((E57-K57)*$Q57*$R57*10)+(K57*$O$12*$Q57*$R57*10),(E57*$Q57*$R57*10))</f>
        <v>7.099491085967788</v>
      </c>
      <c r="W57" s="20">
        <f t="shared" si="60"/>
        <v>0</v>
      </c>
      <c r="X57" s="20">
        <f t="shared" si="60"/>
        <v>0</v>
      </c>
      <c r="Y57" s="20">
        <f t="shared" si="60"/>
        <v>0</v>
      </c>
      <c r="Z57" s="20">
        <f t="shared" ref="Z57:AC62" si="61">V57*(EXP(1.01-0.34*LN(Z$8))*(1-$T57)+(1*$T57))</f>
        <v>5.7150949966044857</v>
      </c>
      <c r="AA57" s="20">
        <f t="shared" si="61"/>
        <v>0</v>
      </c>
      <c r="AB57" s="20">
        <f t="shared" si="61"/>
        <v>0</v>
      </c>
      <c r="AC57" s="20">
        <f t="shared" si="61"/>
        <v>0</v>
      </c>
      <c r="AD57" s="20">
        <f t="shared" ref="AD57:AD62" si="62">SUM(Z57:AC57)</f>
        <v>5.7150949966044857</v>
      </c>
      <c r="AE57" s="20">
        <f t="shared" ref="AE57:AH62" si="63">IF(K57&gt;0,((E57-K57)*$Q57*$S57*10)+(K57*$P$12*$Q57*$S57)*10,(E57*$Q57*$S57*10))</f>
        <v>64.922801815061007</v>
      </c>
      <c r="AF57" s="20">
        <f t="shared" si="63"/>
        <v>0</v>
      </c>
      <c r="AG57" s="20">
        <f t="shared" si="63"/>
        <v>0</v>
      </c>
      <c r="AH57" s="20">
        <f t="shared" si="63"/>
        <v>0</v>
      </c>
      <c r="AI57" s="20">
        <f t="shared" ref="AI57:AL62" si="64">AE57*(EXP(1.01-0.34*LN(AI$8))*(1-$U57)+(1*$U57))</f>
        <v>52.262898188880584</v>
      </c>
      <c r="AJ57" s="20">
        <f t="shared" si="64"/>
        <v>0</v>
      </c>
      <c r="AK57" s="20">
        <f t="shared" si="64"/>
        <v>0</v>
      </c>
      <c r="AL57" s="20">
        <f t="shared" si="64"/>
        <v>0</v>
      </c>
      <c r="AM57" s="20">
        <f t="shared" ref="AM57:AM62" si="65">SUM(AI57:AL57)</f>
        <v>52.262898188880584</v>
      </c>
      <c r="AO57">
        <f t="shared" ref="AO57:AR62" si="66">Z57*AO$10</f>
        <v>6.1060074943722329</v>
      </c>
      <c r="AP57">
        <f t="shared" si="66"/>
        <v>0</v>
      </c>
      <c r="AQ57">
        <f t="shared" si="66"/>
        <v>0</v>
      </c>
      <c r="AR57">
        <f t="shared" si="66"/>
        <v>0</v>
      </c>
      <c r="AS57">
        <f t="shared" ref="AS57:AS62" si="67">SUM(AO57:AR57)</f>
        <v>6.1060074943722329</v>
      </c>
      <c r="AU57">
        <f t="shared" ref="AU57:AU62" si="68">AI57*AU$10</f>
        <v>55.837680425000016</v>
      </c>
      <c r="AV57">
        <f t="shared" ref="AV57:AX62" si="69">AJ57*AV$10</f>
        <v>0</v>
      </c>
      <c r="AW57">
        <f t="shared" si="69"/>
        <v>0</v>
      </c>
      <c r="AX57">
        <f t="shared" si="69"/>
        <v>0</v>
      </c>
      <c r="AY57">
        <f t="shared" ref="AY57:AY62" si="70">SUM(AU57:AX57)</f>
        <v>55.837680425000016</v>
      </c>
    </row>
    <row r="58" spans="1:53" ht="15" x14ac:dyDescent="0.25">
      <c r="A58" s="1"/>
      <c r="B58" s="2"/>
      <c r="C58" s="1" t="s">
        <v>9</v>
      </c>
      <c r="D58">
        <v>0</v>
      </c>
      <c r="E58" s="360">
        <v>3.8092000000000001</v>
      </c>
      <c r="F58">
        <v>0</v>
      </c>
      <c r="G58">
        <v>0</v>
      </c>
      <c r="H58">
        <v>0</v>
      </c>
      <c r="J58">
        <v>0</v>
      </c>
      <c r="K58" s="14">
        <v>2.2897921524700005</v>
      </c>
      <c r="L58">
        <v>0</v>
      </c>
      <c r="M58">
        <v>0</v>
      </c>
      <c r="N58">
        <v>0</v>
      </c>
      <c r="O58" s="20"/>
      <c r="P58" s="20"/>
      <c r="Q58" s="438">
        <v>0.48731973922186195</v>
      </c>
      <c r="R58" s="197">
        <v>0.33900000000000002</v>
      </c>
      <c r="S58" s="197">
        <v>1.9830000000000001</v>
      </c>
      <c r="T58" s="197">
        <v>0.76146788990825687</v>
      </c>
      <c r="U58" s="197">
        <v>0.76146788990825687</v>
      </c>
      <c r="V58" s="20">
        <f t="shared" si="60"/>
        <v>3.9012037607353056</v>
      </c>
      <c r="W58" s="20">
        <f t="shared" si="60"/>
        <v>0</v>
      </c>
      <c r="X58" s="20">
        <f t="shared" si="60"/>
        <v>0</v>
      </c>
      <c r="Y58" s="20">
        <f t="shared" si="60"/>
        <v>0</v>
      </c>
      <c r="Z58" s="20">
        <f t="shared" si="61"/>
        <v>3.1404715948979374</v>
      </c>
      <c r="AA58" s="20">
        <f t="shared" si="61"/>
        <v>0</v>
      </c>
      <c r="AB58" s="20">
        <f t="shared" si="61"/>
        <v>0</v>
      </c>
      <c r="AC58" s="20">
        <f t="shared" si="61"/>
        <v>0</v>
      </c>
      <c r="AD58" s="20">
        <f t="shared" si="62"/>
        <v>3.1404715948979374</v>
      </c>
      <c r="AE58" s="20">
        <f t="shared" si="63"/>
        <v>27.497590520695681</v>
      </c>
      <c r="AF58" s="20">
        <f t="shared" si="63"/>
        <v>0</v>
      </c>
      <c r="AG58" s="20">
        <f t="shared" si="63"/>
        <v>0</v>
      </c>
      <c r="AH58" s="20">
        <f t="shared" si="63"/>
        <v>0</v>
      </c>
      <c r="AI58" s="20">
        <f t="shared" si="64"/>
        <v>22.135578466197099</v>
      </c>
      <c r="AJ58" s="20">
        <f t="shared" si="64"/>
        <v>0</v>
      </c>
      <c r="AK58" s="20">
        <f t="shared" si="64"/>
        <v>0</v>
      </c>
      <c r="AL58" s="20">
        <f t="shared" si="64"/>
        <v>0</v>
      </c>
      <c r="AM58" s="20">
        <f t="shared" si="65"/>
        <v>22.135578466197099</v>
      </c>
      <c r="AO58">
        <f t="shared" si="66"/>
        <v>3.3552798519889562</v>
      </c>
      <c r="AP58">
        <f t="shared" si="66"/>
        <v>0</v>
      </c>
      <c r="AQ58">
        <f t="shared" si="66"/>
        <v>0</v>
      </c>
      <c r="AR58">
        <f t="shared" si="66"/>
        <v>0</v>
      </c>
      <c r="AS58">
        <f t="shared" si="67"/>
        <v>3.3552798519889562</v>
      </c>
      <c r="AU58">
        <f t="shared" si="68"/>
        <v>23.64965203328498</v>
      </c>
      <c r="AV58">
        <f t="shared" si="69"/>
        <v>0</v>
      </c>
      <c r="AW58">
        <f t="shared" si="69"/>
        <v>0</v>
      </c>
      <c r="AX58">
        <f t="shared" si="69"/>
        <v>0</v>
      </c>
      <c r="AY58">
        <f t="shared" si="70"/>
        <v>23.64965203328498</v>
      </c>
    </row>
    <row r="59" spans="1:53" ht="15" x14ac:dyDescent="0.25">
      <c r="A59" s="1"/>
      <c r="B59" s="2"/>
      <c r="C59" s="1" t="s">
        <v>10</v>
      </c>
      <c r="D59">
        <v>0</v>
      </c>
      <c r="E59" s="360">
        <v>0.1384</v>
      </c>
      <c r="F59">
        <v>0</v>
      </c>
      <c r="G59">
        <v>0</v>
      </c>
      <c r="H59">
        <v>0</v>
      </c>
      <c r="J59">
        <v>0</v>
      </c>
      <c r="K59" s="14">
        <v>-8.809080921500001E-2</v>
      </c>
      <c r="L59">
        <v>0</v>
      </c>
      <c r="M59">
        <v>0</v>
      </c>
      <c r="N59">
        <v>0</v>
      </c>
      <c r="O59" s="20"/>
      <c r="P59" s="20"/>
      <c r="Q59" s="438">
        <v>0.50597960883279292</v>
      </c>
      <c r="R59" s="197">
        <v>0.33900000000000002</v>
      </c>
      <c r="S59" s="197">
        <v>1.9830000000000001</v>
      </c>
      <c r="T59" s="197">
        <v>0.76146788990825687</v>
      </c>
      <c r="U59" s="197">
        <v>0.76146788990825687</v>
      </c>
      <c r="V59" s="20">
        <f t="shared" si="60"/>
        <v>0.23739348895373447</v>
      </c>
      <c r="W59" s="20">
        <f t="shared" si="60"/>
        <v>0</v>
      </c>
      <c r="X59" s="20">
        <f t="shared" si="60"/>
        <v>0</v>
      </c>
      <c r="Y59" s="20">
        <f t="shared" si="60"/>
        <v>0</v>
      </c>
      <c r="Z59" s="20">
        <f t="shared" si="61"/>
        <v>0.19110191484394601</v>
      </c>
      <c r="AA59" s="20">
        <f t="shared" si="61"/>
        <v>0</v>
      </c>
      <c r="AB59" s="20">
        <f t="shared" si="61"/>
        <v>0</v>
      </c>
      <c r="AC59" s="20">
        <f t="shared" si="61"/>
        <v>0</v>
      </c>
      <c r="AD59" s="20">
        <f t="shared" si="62"/>
        <v>0.19110191484394601</v>
      </c>
      <c r="AE59" s="20">
        <f t="shared" si="63"/>
        <v>1.3886468690125531</v>
      </c>
      <c r="AF59" s="20">
        <f t="shared" si="63"/>
        <v>0</v>
      </c>
      <c r="AG59" s="20">
        <f t="shared" si="63"/>
        <v>0</v>
      </c>
      <c r="AH59" s="20">
        <f t="shared" si="63"/>
        <v>0</v>
      </c>
      <c r="AI59" s="20">
        <f t="shared" si="64"/>
        <v>1.1178616434676845</v>
      </c>
      <c r="AJ59" s="20">
        <f t="shared" si="64"/>
        <v>0</v>
      </c>
      <c r="AK59" s="20">
        <f t="shared" si="64"/>
        <v>0</v>
      </c>
      <c r="AL59" s="20">
        <f t="shared" si="64"/>
        <v>0</v>
      </c>
      <c r="AM59" s="20">
        <f t="shared" si="65"/>
        <v>1.1178616434676845</v>
      </c>
      <c r="AO59">
        <f t="shared" si="66"/>
        <v>0.20417328581927191</v>
      </c>
      <c r="AP59">
        <f t="shared" si="66"/>
        <v>0</v>
      </c>
      <c r="AQ59">
        <f t="shared" si="66"/>
        <v>0</v>
      </c>
      <c r="AR59">
        <f t="shared" si="66"/>
        <v>0</v>
      </c>
      <c r="AS59">
        <f t="shared" si="67"/>
        <v>0.20417328581927191</v>
      </c>
      <c r="AU59">
        <f t="shared" si="68"/>
        <v>1.1943233798808741</v>
      </c>
      <c r="AV59">
        <f t="shared" si="69"/>
        <v>0</v>
      </c>
      <c r="AW59">
        <f t="shared" si="69"/>
        <v>0</v>
      </c>
      <c r="AX59">
        <f t="shared" si="69"/>
        <v>0</v>
      </c>
      <c r="AY59">
        <f t="shared" si="70"/>
        <v>1.1943233798808741</v>
      </c>
    </row>
    <row r="60" spans="1:53" ht="15" x14ac:dyDescent="0.25">
      <c r="A60" s="1"/>
      <c r="B60" s="2"/>
      <c r="C60" s="1" t="s">
        <v>11</v>
      </c>
      <c r="D60">
        <v>0</v>
      </c>
      <c r="E60" s="360">
        <v>2.6183000000000001</v>
      </c>
      <c r="F60">
        <v>0</v>
      </c>
      <c r="G60">
        <v>0</v>
      </c>
      <c r="H60">
        <v>0</v>
      </c>
      <c r="J60">
        <v>0</v>
      </c>
      <c r="K60" s="14">
        <v>2.1201244640930001</v>
      </c>
      <c r="L60">
        <v>0</v>
      </c>
      <c r="M60">
        <v>0</v>
      </c>
      <c r="N60">
        <v>0</v>
      </c>
      <c r="O60" s="20"/>
      <c r="P60" s="20"/>
      <c r="Q60" s="438">
        <v>0.52463947844372394</v>
      </c>
      <c r="R60" s="197">
        <v>0.33900000000000002</v>
      </c>
      <c r="S60" s="197">
        <v>1.9830000000000001</v>
      </c>
      <c r="T60" s="197">
        <v>0.76146788990825687</v>
      </c>
      <c r="U60" s="197">
        <v>0.76146788990825687</v>
      </c>
      <c r="V60" s="20">
        <f t="shared" si="60"/>
        <v>2.2727018274247128</v>
      </c>
      <c r="W60" s="20">
        <f t="shared" si="60"/>
        <v>0</v>
      </c>
      <c r="X60" s="20">
        <f t="shared" si="60"/>
        <v>0</v>
      </c>
      <c r="Y60" s="20">
        <f t="shared" si="60"/>
        <v>0</v>
      </c>
      <c r="Z60" s="20">
        <f t="shared" si="61"/>
        <v>1.8295264668141002</v>
      </c>
      <c r="AA60" s="20">
        <f t="shared" si="61"/>
        <v>0</v>
      </c>
      <c r="AB60" s="20">
        <f t="shared" si="61"/>
        <v>0</v>
      </c>
      <c r="AC60" s="20">
        <f t="shared" si="61"/>
        <v>0</v>
      </c>
      <c r="AD60" s="20">
        <f t="shared" si="62"/>
        <v>1.8295264668141002</v>
      </c>
      <c r="AE60" s="20">
        <f t="shared" si="63"/>
        <v>17.956652917362504</v>
      </c>
      <c r="AF60" s="20">
        <f t="shared" si="63"/>
        <v>0</v>
      </c>
      <c r="AG60" s="20">
        <f t="shared" si="63"/>
        <v>0</v>
      </c>
      <c r="AH60" s="20">
        <f t="shared" si="63"/>
        <v>0</v>
      </c>
      <c r="AI60" s="20">
        <f t="shared" si="64"/>
        <v>14.455117416320032</v>
      </c>
      <c r="AJ60" s="20">
        <f t="shared" si="64"/>
        <v>0</v>
      </c>
      <c r="AK60" s="20">
        <f t="shared" si="64"/>
        <v>0</v>
      </c>
      <c r="AL60" s="20">
        <f t="shared" si="64"/>
        <v>0</v>
      </c>
      <c r="AM60" s="20">
        <f t="shared" si="65"/>
        <v>14.455117416320032</v>
      </c>
      <c r="AO60">
        <f t="shared" si="66"/>
        <v>1.9546660771441848</v>
      </c>
      <c r="AP60">
        <f t="shared" si="66"/>
        <v>0</v>
      </c>
      <c r="AQ60">
        <f t="shared" si="66"/>
        <v>0</v>
      </c>
      <c r="AR60">
        <f t="shared" si="66"/>
        <v>0</v>
      </c>
      <c r="AS60">
        <f t="shared" si="67"/>
        <v>1.9546660771441848</v>
      </c>
      <c r="AU60">
        <f t="shared" si="68"/>
        <v>15.443847447596323</v>
      </c>
      <c r="AV60">
        <f t="shared" si="69"/>
        <v>0</v>
      </c>
      <c r="AW60">
        <f t="shared" si="69"/>
        <v>0</v>
      </c>
      <c r="AX60">
        <f t="shared" si="69"/>
        <v>0</v>
      </c>
      <c r="AY60">
        <f t="shared" si="70"/>
        <v>15.443847447596323</v>
      </c>
    </row>
    <row r="61" spans="1:53" ht="15" x14ac:dyDescent="0.25">
      <c r="A61" s="1"/>
      <c r="B61" s="2"/>
      <c r="C61" s="1" t="s">
        <v>12</v>
      </c>
      <c r="D61">
        <v>0</v>
      </c>
      <c r="E61" s="360">
        <v>0</v>
      </c>
      <c r="F61">
        <v>0</v>
      </c>
      <c r="G61">
        <v>0</v>
      </c>
      <c r="H61">
        <v>0</v>
      </c>
      <c r="J61">
        <v>0</v>
      </c>
      <c r="K61" s="14">
        <v>0</v>
      </c>
      <c r="L61">
        <v>0</v>
      </c>
      <c r="M61">
        <v>0</v>
      </c>
      <c r="N61">
        <v>0</v>
      </c>
      <c r="O61" s="20"/>
      <c r="P61" s="20"/>
      <c r="Q61" s="438"/>
      <c r="R61" s="197">
        <v>0.33900000000000002</v>
      </c>
      <c r="S61" s="197">
        <v>1.9830000000000001</v>
      </c>
      <c r="T61" s="197">
        <v>0.76146788990825687</v>
      </c>
      <c r="U61" s="197">
        <v>0.76146788990825687</v>
      </c>
      <c r="V61" s="20">
        <f t="shared" si="60"/>
        <v>0</v>
      </c>
      <c r="W61" s="20">
        <f t="shared" si="60"/>
        <v>0</v>
      </c>
      <c r="X61" s="20">
        <f t="shared" si="60"/>
        <v>0</v>
      </c>
      <c r="Y61" s="20">
        <f t="shared" si="60"/>
        <v>0</v>
      </c>
      <c r="Z61" s="20">
        <f t="shared" si="61"/>
        <v>0</v>
      </c>
      <c r="AA61" s="20">
        <f t="shared" si="61"/>
        <v>0</v>
      </c>
      <c r="AB61" s="20">
        <f t="shared" si="61"/>
        <v>0</v>
      </c>
      <c r="AC61" s="20">
        <f t="shared" si="61"/>
        <v>0</v>
      </c>
      <c r="AD61" s="20">
        <f t="shared" si="62"/>
        <v>0</v>
      </c>
      <c r="AE61" s="20">
        <f t="shared" si="63"/>
        <v>0</v>
      </c>
      <c r="AF61" s="20">
        <f t="shared" si="63"/>
        <v>0</v>
      </c>
      <c r="AG61" s="20">
        <f t="shared" si="63"/>
        <v>0</v>
      </c>
      <c r="AH61" s="20">
        <f t="shared" si="63"/>
        <v>0</v>
      </c>
      <c r="AI61" s="20">
        <f t="shared" si="64"/>
        <v>0</v>
      </c>
      <c r="AJ61" s="20">
        <f t="shared" si="64"/>
        <v>0</v>
      </c>
      <c r="AK61" s="20">
        <f t="shared" si="64"/>
        <v>0</v>
      </c>
      <c r="AL61" s="20">
        <f t="shared" si="64"/>
        <v>0</v>
      </c>
      <c r="AM61" s="20">
        <f t="shared" si="65"/>
        <v>0</v>
      </c>
      <c r="AO61">
        <f t="shared" si="66"/>
        <v>0</v>
      </c>
      <c r="AP61">
        <f t="shared" si="66"/>
        <v>0</v>
      </c>
      <c r="AQ61">
        <f t="shared" si="66"/>
        <v>0</v>
      </c>
      <c r="AR61">
        <f t="shared" si="66"/>
        <v>0</v>
      </c>
      <c r="AS61">
        <f t="shared" si="67"/>
        <v>0</v>
      </c>
      <c r="AU61">
        <f t="shared" si="68"/>
        <v>0</v>
      </c>
      <c r="AV61">
        <f t="shared" si="69"/>
        <v>0</v>
      </c>
      <c r="AW61">
        <f t="shared" si="69"/>
        <v>0</v>
      </c>
      <c r="AX61">
        <f t="shared" si="69"/>
        <v>0</v>
      </c>
      <c r="AY61">
        <f t="shared" si="70"/>
        <v>0</v>
      </c>
    </row>
    <row r="62" spans="1:53" ht="15" x14ac:dyDescent="0.25">
      <c r="A62" s="1"/>
      <c r="B62" s="2"/>
      <c r="C62" s="1" t="s">
        <v>13</v>
      </c>
      <c r="D62">
        <v>0</v>
      </c>
      <c r="E62" s="360">
        <v>1.4E-3</v>
      </c>
      <c r="F62">
        <v>0</v>
      </c>
      <c r="G62">
        <v>0</v>
      </c>
      <c r="H62">
        <v>0</v>
      </c>
      <c r="J62">
        <v>0</v>
      </c>
      <c r="K62" s="14">
        <v>1.4E-3</v>
      </c>
      <c r="L62">
        <v>0</v>
      </c>
      <c r="M62">
        <v>0</v>
      </c>
      <c r="N62">
        <v>0</v>
      </c>
      <c r="O62" s="20"/>
      <c r="P62" s="20"/>
      <c r="Q62" s="438">
        <v>0.52463947844372394</v>
      </c>
      <c r="R62" s="197">
        <v>0.33900000000000002</v>
      </c>
      <c r="S62" s="197">
        <v>1.9830000000000001</v>
      </c>
      <c r="T62" s="197">
        <v>0.76146788990825687</v>
      </c>
      <c r="U62" s="197">
        <v>0.76146788990825687</v>
      </c>
      <c r="V62" s="20">
        <f t="shared" si="60"/>
        <v>9.1568014669035397E-4</v>
      </c>
      <c r="W62" s="20">
        <f t="shared" si="60"/>
        <v>0</v>
      </c>
      <c r="X62" s="20">
        <f t="shared" si="60"/>
        <v>0</v>
      </c>
      <c r="Y62" s="20">
        <f t="shared" si="60"/>
        <v>0</v>
      </c>
      <c r="Z62" s="20">
        <f t="shared" si="61"/>
        <v>7.3712312072390246E-4</v>
      </c>
      <c r="AA62" s="20">
        <f t="shared" si="61"/>
        <v>0</v>
      </c>
      <c r="AB62" s="20">
        <f t="shared" si="61"/>
        <v>0</v>
      </c>
      <c r="AC62" s="20">
        <f t="shared" si="61"/>
        <v>0</v>
      </c>
      <c r="AD62" s="20">
        <f t="shared" si="62"/>
        <v>7.3712312072390246E-4</v>
      </c>
      <c r="AE62" s="20">
        <f t="shared" si="63"/>
        <v>8.4350551968014973E-3</v>
      </c>
      <c r="AF62" s="20">
        <f t="shared" si="63"/>
        <v>0</v>
      </c>
      <c r="AG62" s="20">
        <f t="shared" si="63"/>
        <v>0</v>
      </c>
      <c r="AH62" s="20">
        <f t="shared" si="63"/>
        <v>0</v>
      </c>
      <c r="AI62" s="20">
        <f t="shared" si="64"/>
        <v>6.7902249848027525E-3</v>
      </c>
      <c r="AJ62" s="20">
        <f t="shared" si="64"/>
        <v>0</v>
      </c>
      <c r="AK62" s="20">
        <f t="shared" si="64"/>
        <v>0</v>
      </c>
      <c r="AL62" s="20">
        <f t="shared" si="64"/>
        <v>0</v>
      </c>
      <c r="AM62" s="20">
        <f t="shared" si="65"/>
        <v>6.7902249848027525E-3</v>
      </c>
      <c r="AO62">
        <f t="shared" si="66"/>
        <v>7.8754234218141744E-4</v>
      </c>
      <c r="AP62">
        <f t="shared" si="66"/>
        <v>0</v>
      </c>
      <c r="AQ62">
        <f t="shared" si="66"/>
        <v>0</v>
      </c>
      <c r="AR62">
        <f t="shared" si="66"/>
        <v>0</v>
      </c>
      <c r="AS62">
        <f t="shared" si="67"/>
        <v>7.8754234218141744E-4</v>
      </c>
      <c r="AU62">
        <f t="shared" si="68"/>
        <v>7.2546763737632606E-3</v>
      </c>
      <c r="AV62">
        <f t="shared" si="69"/>
        <v>0</v>
      </c>
      <c r="AW62">
        <f t="shared" si="69"/>
        <v>0</v>
      </c>
      <c r="AX62">
        <f t="shared" si="69"/>
        <v>0</v>
      </c>
      <c r="AY62">
        <f t="shared" si="70"/>
        <v>7.2546763737632606E-3</v>
      </c>
    </row>
    <row r="63" spans="1:53" ht="15" x14ac:dyDescent="0.25">
      <c r="A63" s="7"/>
      <c r="B63" s="8" t="s">
        <v>14</v>
      </c>
      <c r="C63" s="7"/>
      <c r="D63" s="357">
        <f t="shared" ref="D63:H63" si="71">SUM(D57:D62)</f>
        <v>0</v>
      </c>
      <c r="E63" s="363">
        <f>SUM(E57:E62)</f>
        <v>18.565100000000001</v>
      </c>
      <c r="F63" s="357">
        <f t="shared" si="71"/>
        <v>0</v>
      </c>
      <c r="G63" s="357">
        <f t="shared" si="71"/>
        <v>0</v>
      </c>
      <c r="H63" s="357">
        <f t="shared" si="71"/>
        <v>0</v>
      </c>
      <c r="J63">
        <v>0</v>
      </c>
      <c r="K63" s="14">
        <v>16.231872926109002</v>
      </c>
      <c r="L63">
        <v>0</v>
      </c>
      <c r="M63">
        <v>0</v>
      </c>
      <c r="N63">
        <v>0</v>
      </c>
      <c r="O63" s="20"/>
      <c r="P63" s="20"/>
      <c r="Q63" s="438">
        <v>0.48066594598485463</v>
      </c>
      <c r="R63" s="197"/>
      <c r="S63" s="197"/>
      <c r="T63" s="197"/>
      <c r="U63" s="197"/>
      <c r="BA63" s="319">
        <f>(E63*10000*Q63*AU$10)</f>
        <v>95339.863704035786</v>
      </c>
    </row>
    <row r="64" spans="1:53" ht="15" x14ac:dyDescent="0.25">
      <c r="A64" s="10"/>
      <c r="B64" s="9" t="s">
        <v>15</v>
      </c>
      <c r="C64" s="5"/>
      <c r="E64" s="363">
        <f>SUM(E63)</f>
        <v>18.565100000000001</v>
      </c>
      <c r="H64" s="358">
        <f>SUM(D63:H63)</f>
        <v>18.565100000000001</v>
      </c>
      <c r="K64" s="14"/>
      <c r="N64">
        <v>0</v>
      </c>
      <c r="O64" s="20"/>
      <c r="P64" s="20"/>
      <c r="Q64" s="438"/>
      <c r="R64" s="197"/>
      <c r="S64" s="197"/>
      <c r="T64" s="197"/>
      <c r="U64" s="197"/>
    </row>
    <row r="65" spans="1:53" ht="15.75" x14ac:dyDescent="0.25">
      <c r="A65" s="3"/>
      <c r="B65" s="11"/>
      <c r="C65" s="3"/>
      <c r="E65" s="361"/>
      <c r="K65" s="14"/>
      <c r="O65" s="20"/>
      <c r="P65" s="20"/>
      <c r="Q65" s="439"/>
      <c r="R65" s="197"/>
      <c r="S65" s="197"/>
      <c r="T65" s="197"/>
      <c r="U65" s="197"/>
    </row>
    <row r="66" spans="1:53" ht="15" x14ac:dyDescent="0.25">
      <c r="A66" s="3">
        <v>7</v>
      </c>
      <c r="B66" s="11" t="s">
        <v>21</v>
      </c>
      <c r="C66" s="3" t="s">
        <v>8</v>
      </c>
      <c r="D66">
        <v>0</v>
      </c>
      <c r="E66" s="360">
        <v>6.2215999999999996</v>
      </c>
      <c r="F66">
        <v>0</v>
      </c>
      <c r="G66">
        <v>0</v>
      </c>
      <c r="H66">
        <v>0</v>
      </c>
      <c r="J66">
        <v>0</v>
      </c>
      <c r="K66" s="14">
        <v>3.0276691686005992</v>
      </c>
      <c r="L66">
        <v>0</v>
      </c>
      <c r="M66">
        <v>0</v>
      </c>
      <c r="N66">
        <v>0</v>
      </c>
      <c r="O66" s="20"/>
      <c r="P66" s="20"/>
      <c r="Q66" s="438">
        <v>4.5946541829643327E-2</v>
      </c>
      <c r="R66" s="197">
        <v>0.15</v>
      </c>
      <c r="S66" s="197">
        <v>1.18</v>
      </c>
      <c r="T66" s="197">
        <v>0.46666666666666673</v>
      </c>
      <c r="U66" s="197">
        <v>0.6566321730950142</v>
      </c>
      <c r="V66" s="20">
        <f t="shared" ref="V66:Y71" si="72">IF(K66&gt;0,((E66-K66)*$Q66*$R66*10)+(K66*$O$12*$Q66*$R66*10),(E66*$Q66*$R66*10))</f>
        <v>0.29686260729735947</v>
      </c>
      <c r="W66" s="20">
        <f t="shared" si="72"/>
        <v>0</v>
      </c>
      <c r="X66" s="20">
        <f t="shared" si="72"/>
        <v>0</v>
      </c>
      <c r="Y66" s="20">
        <f t="shared" si="72"/>
        <v>0</v>
      </c>
      <c r="Z66" s="20">
        <f t="shared" ref="Z66:AC71" si="73">V66*(EXP(1.01-0.34*LN(Z$8))*(1-$T66)+(1*$T66))</f>
        <v>0.16743094735351063</v>
      </c>
      <c r="AA66" s="20">
        <f t="shared" si="73"/>
        <v>0</v>
      </c>
      <c r="AB66" s="20">
        <f t="shared" si="73"/>
        <v>0</v>
      </c>
      <c r="AC66" s="20">
        <f t="shared" si="73"/>
        <v>0</v>
      </c>
      <c r="AD66" s="20">
        <f t="shared" ref="AD66:AD71" si="74">SUM(Z66:AC66)</f>
        <v>0.16743094735351063</v>
      </c>
      <c r="AE66" s="20">
        <f t="shared" ref="AE66:AH71" si="75">IF(K66&gt;0,((E66-K66)*$Q66*$S66*10)+(K66*$P$12*$Q66*$S66)*10,(E66*$Q66*$S66*10))</f>
        <v>2.6822983076741287</v>
      </c>
      <c r="AF66" s="20">
        <f t="shared" si="75"/>
        <v>0</v>
      </c>
      <c r="AG66" s="20">
        <f t="shared" si="75"/>
        <v>0</v>
      </c>
      <c r="AH66" s="20">
        <f t="shared" si="75"/>
        <v>0</v>
      </c>
      <c r="AI66" s="20">
        <f t="shared" ref="AI66:AL71" si="76">AE66*(EXP(1.01-0.34*LN(AI$8))*(1-$U66)+(1*$U66))</f>
        <v>1.9293711345565494</v>
      </c>
      <c r="AJ66" s="20">
        <f t="shared" si="76"/>
        <v>0</v>
      </c>
      <c r="AK66" s="20">
        <f t="shared" si="76"/>
        <v>0</v>
      </c>
      <c r="AL66" s="20">
        <f t="shared" si="76"/>
        <v>0</v>
      </c>
      <c r="AM66" s="20">
        <f t="shared" ref="AM66:AM71" si="77">SUM(AI66:AL66)</f>
        <v>1.9293711345565494</v>
      </c>
      <c r="AO66">
        <f t="shared" ref="AO66:AR71" si="78">Z66*AO$10</f>
        <v>0.17888322415249078</v>
      </c>
      <c r="AP66">
        <f t="shared" si="78"/>
        <v>0</v>
      </c>
      <c r="AQ66">
        <f t="shared" si="78"/>
        <v>0</v>
      </c>
      <c r="AR66">
        <f t="shared" si="78"/>
        <v>0</v>
      </c>
      <c r="AS66">
        <f t="shared" ref="AS66:AS71" si="79">SUM(AO66:AR66)</f>
        <v>0.17888322415249078</v>
      </c>
      <c r="AU66">
        <f t="shared" ref="AU66:AU71" si="80">AI66*AU$10</f>
        <v>2.0613401201602173</v>
      </c>
      <c r="AV66">
        <f t="shared" ref="AV66:AX71" si="81">AJ66*AV$10</f>
        <v>0</v>
      </c>
      <c r="AW66">
        <f t="shared" si="81"/>
        <v>0</v>
      </c>
      <c r="AX66">
        <f t="shared" si="81"/>
        <v>0</v>
      </c>
      <c r="AY66">
        <f t="shared" ref="AY66:AY71" si="82">SUM(AU66:AX66)</f>
        <v>2.0613401201602173</v>
      </c>
    </row>
    <row r="67" spans="1:53" ht="15" x14ac:dyDescent="0.25">
      <c r="A67" s="3"/>
      <c r="B67" s="11"/>
      <c r="C67" s="3" t="s">
        <v>9</v>
      </c>
      <c r="D67">
        <v>0</v>
      </c>
      <c r="E67" s="360">
        <v>3.8833000000000002</v>
      </c>
      <c r="F67">
        <v>0</v>
      </c>
      <c r="G67">
        <v>0</v>
      </c>
      <c r="H67">
        <v>0</v>
      </c>
      <c r="J67">
        <v>0</v>
      </c>
      <c r="K67" s="14">
        <v>-24.426011909499998</v>
      </c>
      <c r="L67">
        <v>0</v>
      </c>
      <c r="M67">
        <v>0</v>
      </c>
      <c r="N67">
        <v>0</v>
      </c>
      <c r="O67" s="20"/>
      <c r="P67" s="20"/>
      <c r="Q67" s="438">
        <v>8.2893083659286659E-2</v>
      </c>
      <c r="R67" s="197">
        <v>0.15</v>
      </c>
      <c r="S67" s="197">
        <v>1.18</v>
      </c>
      <c r="T67" s="197">
        <v>0.46666666666666673</v>
      </c>
      <c r="U67" s="197">
        <v>0.6566321730950142</v>
      </c>
      <c r="V67" s="20">
        <f t="shared" si="72"/>
        <v>0.48284806766116184</v>
      </c>
      <c r="W67" s="20">
        <f t="shared" si="72"/>
        <v>0</v>
      </c>
      <c r="X67" s="20">
        <f t="shared" si="72"/>
        <v>0</v>
      </c>
      <c r="Y67" s="20">
        <f t="shared" si="72"/>
        <v>0</v>
      </c>
      <c r="Z67" s="20">
        <f t="shared" si="73"/>
        <v>0.27232702067910258</v>
      </c>
      <c r="AA67" s="20">
        <f t="shared" si="73"/>
        <v>0</v>
      </c>
      <c r="AB67" s="20">
        <f t="shared" si="73"/>
        <v>0</v>
      </c>
      <c r="AC67" s="20">
        <f t="shared" si="73"/>
        <v>0</v>
      </c>
      <c r="AD67" s="20">
        <f t="shared" si="74"/>
        <v>0.27232702067910258</v>
      </c>
      <c r="AE67" s="20">
        <f t="shared" si="75"/>
        <v>3.7984047989344729</v>
      </c>
      <c r="AF67" s="20">
        <f t="shared" si="75"/>
        <v>0</v>
      </c>
      <c r="AG67" s="20">
        <f t="shared" si="75"/>
        <v>0</v>
      </c>
      <c r="AH67" s="20">
        <f t="shared" si="75"/>
        <v>0</v>
      </c>
      <c r="AI67" s="20">
        <f t="shared" si="76"/>
        <v>2.7321840212395894</v>
      </c>
      <c r="AJ67" s="20">
        <f t="shared" si="76"/>
        <v>0</v>
      </c>
      <c r="AK67" s="20">
        <f t="shared" si="76"/>
        <v>0</v>
      </c>
      <c r="AL67" s="20">
        <f t="shared" si="76"/>
        <v>0</v>
      </c>
      <c r="AM67" s="20">
        <f t="shared" si="77"/>
        <v>2.7321840212395894</v>
      </c>
      <c r="AO67">
        <f t="shared" si="78"/>
        <v>0.29095418889355318</v>
      </c>
      <c r="AP67">
        <f t="shared" si="78"/>
        <v>0</v>
      </c>
      <c r="AQ67">
        <f t="shared" si="78"/>
        <v>0</v>
      </c>
      <c r="AR67">
        <f t="shared" si="78"/>
        <v>0</v>
      </c>
      <c r="AS67">
        <f t="shared" si="79"/>
        <v>0.29095418889355318</v>
      </c>
      <c r="AU67">
        <f t="shared" si="80"/>
        <v>2.9190654082923775</v>
      </c>
      <c r="AV67">
        <f t="shared" si="81"/>
        <v>0</v>
      </c>
      <c r="AW67">
        <f t="shared" si="81"/>
        <v>0</v>
      </c>
      <c r="AX67">
        <f t="shared" si="81"/>
        <v>0</v>
      </c>
      <c r="AY67">
        <f t="shared" si="82"/>
        <v>2.9190654082923775</v>
      </c>
    </row>
    <row r="68" spans="1:53" ht="15" x14ac:dyDescent="0.25">
      <c r="A68" s="3"/>
      <c r="B68" s="11"/>
      <c r="C68" s="3" t="s">
        <v>10</v>
      </c>
      <c r="D68">
        <v>0</v>
      </c>
      <c r="E68" s="360">
        <v>0</v>
      </c>
      <c r="F68">
        <v>0</v>
      </c>
      <c r="G68">
        <v>0</v>
      </c>
      <c r="H68">
        <v>0</v>
      </c>
      <c r="J68">
        <v>0</v>
      </c>
      <c r="K68" s="14">
        <v>0</v>
      </c>
      <c r="L68">
        <v>0</v>
      </c>
      <c r="M68">
        <v>0</v>
      </c>
      <c r="N68">
        <v>0</v>
      </c>
      <c r="O68" s="20"/>
      <c r="P68" s="20"/>
      <c r="Q68" s="438"/>
      <c r="R68" s="197">
        <v>0.15</v>
      </c>
      <c r="S68" s="197">
        <v>1.18</v>
      </c>
      <c r="T68" s="197">
        <v>0.46666666666666673</v>
      </c>
      <c r="U68" s="197">
        <v>0.6566321730950142</v>
      </c>
      <c r="V68" s="20">
        <f t="shared" si="72"/>
        <v>0</v>
      </c>
      <c r="W68" s="20">
        <f t="shared" si="72"/>
        <v>0</v>
      </c>
      <c r="X68" s="20">
        <f t="shared" si="72"/>
        <v>0</v>
      </c>
      <c r="Y68" s="20">
        <f t="shared" si="72"/>
        <v>0</v>
      </c>
      <c r="Z68" s="20">
        <f t="shared" si="73"/>
        <v>0</v>
      </c>
      <c r="AA68" s="20">
        <f t="shared" si="73"/>
        <v>0</v>
      </c>
      <c r="AB68" s="20">
        <f t="shared" si="73"/>
        <v>0</v>
      </c>
      <c r="AC68" s="20">
        <f t="shared" si="73"/>
        <v>0</v>
      </c>
      <c r="AD68" s="20">
        <f t="shared" si="74"/>
        <v>0</v>
      </c>
      <c r="AE68" s="20">
        <f t="shared" si="75"/>
        <v>0</v>
      </c>
      <c r="AF68" s="20">
        <f t="shared" si="75"/>
        <v>0</v>
      </c>
      <c r="AG68" s="20">
        <f t="shared" si="75"/>
        <v>0</v>
      </c>
      <c r="AH68" s="20">
        <f t="shared" si="75"/>
        <v>0</v>
      </c>
      <c r="AI68" s="20">
        <f t="shared" si="76"/>
        <v>0</v>
      </c>
      <c r="AJ68" s="20">
        <f t="shared" si="76"/>
        <v>0</v>
      </c>
      <c r="AK68" s="20">
        <f t="shared" si="76"/>
        <v>0</v>
      </c>
      <c r="AL68" s="20">
        <f t="shared" si="76"/>
        <v>0</v>
      </c>
      <c r="AM68" s="20">
        <f t="shared" si="77"/>
        <v>0</v>
      </c>
      <c r="AO68">
        <f t="shared" si="78"/>
        <v>0</v>
      </c>
      <c r="AP68">
        <f t="shared" si="78"/>
        <v>0</v>
      </c>
      <c r="AQ68">
        <f t="shared" si="78"/>
        <v>0</v>
      </c>
      <c r="AR68">
        <f t="shared" si="78"/>
        <v>0</v>
      </c>
      <c r="AS68">
        <f t="shared" si="79"/>
        <v>0</v>
      </c>
      <c r="AU68">
        <f t="shared" si="80"/>
        <v>0</v>
      </c>
      <c r="AV68">
        <f t="shared" si="81"/>
        <v>0</v>
      </c>
      <c r="AW68">
        <f t="shared" si="81"/>
        <v>0</v>
      </c>
      <c r="AX68">
        <f t="shared" si="81"/>
        <v>0</v>
      </c>
      <c r="AY68">
        <f t="shared" si="82"/>
        <v>0</v>
      </c>
    </row>
    <row r="69" spans="1:53" ht="15" x14ac:dyDescent="0.25">
      <c r="A69" s="3"/>
      <c r="B69" s="11"/>
      <c r="C69" s="3" t="s">
        <v>11</v>
      </c>
      <c r="D69">
        <v>0</v>
      </c>
      <c r="E69" s="360">
        <v>0.13730000000000001</v>
      </c>
      <c r="F69">
        <v>0</v>
      </c>
      <c r="G69">
        <v>0</v>
      </c>
      <c r="H69">
        <v>0</v>
      </c>
      <c r="J69">
        <v>0</v>
      </c>
      <c r="K69" s="14">
        <v>-0.29315512371429997</v>
      </c>
      <c r="L69">
        <v>0</v>
      </c>
      <c r="M69">
        <v>0</v>
      </c>
      <c r="N69">
        <v>0</v>
      </c>
      <c r="O69" s="20"/>
      <c r="P69" s="20"/>
      <c r="Q69" s="438">
        <v>0.15678616731857328</v>
      </c>
      <c r="R69" s="197">
        <v>0.15</v>
      </c>
      <c r="S69" s="197">
        <v>1.18</v>
      </c>
      <c r="T69" s="197">
        <v>0.46666666666666673</v>
      </c>
      <c r="U69" s="197">
        <v>0.6566321730950142</v>
      </c>
      <c r="V69" s="20">
        <f t="shared" si="72"/>
        <v>3.2290111159260171E-2</v>
      </c>
      <c r="W69" s="20">
        <f t="shared" si="72"/>
        <v>0</v>
      </c>
      <c r="X69" s="20">
        <f t="shared" si="72"/>
        <v>0</v>
      </c>
      <c r="Y69" s="20">
        <f t="shared" si="72"/>
        <v>0</v>
      </c>
      <c r="Z69" s="20">
        <f t="shared" si="73"/>
        <v>1.8211670209207869E-2</v>
      </c>
      <c r="AA69" s="20">
        <f t="shared" si="73"/>
        <v>0</v>
      </c>
      <c r="AB69" s="20">
        <f t="shared" si="73"/>
        <v>0</v>
      </c>
      <c r="AC69" s="20">
        <f t="shared" si="73"/>
        <v>0</v>
      </c>
      <c r="AD69" s="20">
        <f t="shared" si="74"/>
        <v>1.8211670209207869E-2</v>
      </c>
      <c r="AE69" s="20">
        <f t="shared" si="75"/>
        <v>0.25401554111951336</v>
      </c>
      <c r="AF69" s="20">
        <f t="shared" si="75"/>
        <v>0</v>
      </c>
      <c r="AG69" s="20">
        <f t="shared" si="75"/>
        <v>0</v>
      </c>
      <c r="AH69" s="20">
        <f t="shared" si="75"/>
        <v>0</v>
      </c>
      <c r="AI69" s="20">
        <f t="shared" si="76"/>
        <v>0.1827128069098764</v>
      </c>
      <c r="AJ69" s="20">
        <f t="shared" si="76"/>
        <v>0</v>
      </c>
      <c r="AK69" s="20">
        <f t="shared" si="76"/>
        <v>0</v>
      </c>
      <c r="AL69" s="20">
        <f t="shared" si="76"/>
        <v>0</v>
      </c>
      <c r="AM69" s="20">
        <f t="shared" si="77"/>
        <v>0.1827128069098764</v>
      </c>
      <c r="AO69">
        <f t="shared" si="78"/>
        <v>1.9457348451517687E-2</v>
      </c>
      <c r="AP69">
        <f t="shared" si="78"/>
        <v>0</v>
      </c>
      <c r="AQ69">
        <f t="shared" si="78"/>
        <v>0</v>
      </c>
      <c r="AR69">
        <f t="shared" si="78"/>
        <v>0</v>
      </c>
      <c r="AS69">
        <f t="shared" si="79"/>
        <v>1.9457348451517687E-2</v>
      </c>
      <c r="AU69">
        <f t="shared" si="80"/>
        <v>0.19521036290251195</v>
      </c>
      <c r="AV69">
        <f t="shared" si="81"/>
        <v>0</v>
      </c>
      <c r="AW69">
        <f t="shared" si="81"/>
        <v>0</v>
      </c>
      <c r="AX69">
        <f t="shared" si="81"/>
        <v>0</v>
      </c>
      <c r="AY69">
        <f t="shared" si="82"/>
        <v>0.19521036290251195</v>
      </c>
    </row>
    <row r="70" spans="1:53" ht="15" x14ac:dyDescent="0.25">
      <c r="A70" s="3"/>
      <c r="B70" s="12"/>
      <c r="C70" s="3" t="s">
        <v>12</v>
      </c>
      <c r="D70">
        <v>0</v>
      </c>
      <c r="E70" s="360">
        <v>0</v>
      </c>
      <c r="F70">
        <v>0</v>
      </c>
      <c r="G70">
        <v>0</v>
      </c>
      <c r="H70">
        <v>0</v>
      </c>
      <c r="J70">
        <v>0</v>
      </c>
      <c r="K70" s="14">
        <v>0</v>
      </c>
      <c r="L70">
        <v>0</v>
      </c>
      <c r="M70">
        <v>0</v>
      </c>
      <c r="N70">
        <v>0</v>
      </c>
      <c r="O70" s="20"/>
      <c r="P70" s="20"/>
      <c r="Q70" s="438"/>
      <c r="R70" s="197">
        <v>0.15</v>
      </c>
      <c r="S70" s="197">
        <v>1.18</v>
      </c>
      <c r="T70" s="197">
        <v>0.46666666666666673</v>
      </c>
      <c r="U70" s="197">
        <v>0.6566321730950142</v>
      </c>
      <c r="V70" s="20">
        <f t="shared" si="72"/>
        <v>0</v>
      </c>
      <c r="W70" s="20">
        <f t="shared" si="72"/>
        <v>0</v>
      </c>
      <c r="X70" s="20">
        <f t="shared" si="72"/>
        <v>0</v>
      </c>
      <c r="Y70" s="20">
        <f t="shared" si="72"/>
        <v>0</v>
      </c>
      <c r="Z70" s="20">
        <f t="shared" si="73"/>
        <v>0</v>
      </c>
      <c r="AA70" s="20">
        <f t="shared" si="73"/>
        <v>0</v>
      </c>
      <c r="AB70" s="20">
        <f t="shared" si="73"/>
        <v>0</v>
      </c>
      <c r="AC70" s="20">
        <f t="shared" si="73"/>
        <v>0</v>
      </c>
      <c r="AD70" s="20">
        <f t="shared" si="74"/>
        <v>0</v>
      </c>
      <c r="AE70" s="20">
        <f t="shared" si="75"/>
        <v>0</v>
      </c>
      <c r="AF70" s="20">
        <f t="shared" si="75"/>
        <v>0</v>
      </c>
      <c r="AG70" s="20">
        <f t="shared" si="75"/>
        <v>0</v>
      </c>
      <c r="AH70" s="20">
        <f t="shared" si="75"/>
        <v>0</v>
      </c>
      <c r="AI70" s="20">
        <f t="shared" si="76"/>
        <v>0</v>
      </c>
      <c r="AJ70" s="20">
        <f t="shared" si="76"/>
        <v>0</v>
      </c>
      <c r="AK70" s="20">
        <f t="shared" si="76"/>
        <v>0</v>
      </c>
      <c r="AL70" s="20">
        <f t="shared" si="76"/>
        <v>0</v>
      </c>
      <c r="AM70" s="20">
        <f t="shared" si="77"/>
        <v>0</v>
      </c>
      <c r="AO70">
        <f t="shared" si="78"/>
        <v>0</v>
      </c>
      <c r="AP70">
        <f t="shared" si="78"/>
        <v>0</v>
      </c>
      <c r="AQ70">
        <f t="shared" si="78"/>
        <v>0</v>
      </c>
      <c r="AR70">
        <f t="shared" si="78"/>
        <v>0</v>
      </c>
      <c r="AS70">
        <f t="shared" si="79"/>
        <v>0</v>
      </c>
      <c r="AU70">
        <f t="shared" si="80"/>
        <v>0</v>
      </c>
      <c r="AV70">
        <f t="shared" si="81"/>
        <v>0</v>
      </c>
      <c r="AW70">
        <f t="shared" si="81"/>
        <v>0</v>
      </c>
      <c r="AX70">
        <f t="shared" si="81"/>
        <v>0</v>
      </c>
      <c r="AY70">
        <f t="shared" si="82"/>
        <v>0</v>
      </c>
    </row>
    <row r="71" spans="1:53" ht="15" x14ac:dyDescent="0.25">
      <c r="A71" s="3"/>
      <c r="B71" s="12"/>
      <c r="C71" s="3" t="s">
        <v>13</v>
      </c>
      <c r="D71">
        <v>0</v>
      </c>
      <c r="E71" s="360">
        <v>0</v>
      </c>
      <c r="F71">
        <v>0</v>
      </c>
      <c r="G71">
        <v>0</v>
      </c>
      <c r="H71">
        <v>0</v>
      </c>
      <c r="J71">
        <v>0</v>
      </c>
      <c r="K71" s="14">
        <v>-3.8476341248699999</v>
      </c>
      <c r="L71">
        <v>0</v>
      </c>
      <c r="M71">
        <v>0</v>
      </c>
      <c r="N71">
        <v>0</v>
      </c>
      <c r="O71" s="20"/>
      <c r="P71" s="20"/>
      <c r="Q71" s="438"/>
      <c r="R71" s="197">
        <v>0.15</v>
      </c>
      <c r="S71" s="197">
        <v>1.18</v>
      </c>
      <c r="T71" s="197">
        <v>0.46666666666666673</v>
      </c>
      <c r="U71" s="197">
        <v>0.6566321730950142</v>
      </c>
      <c r="V71" s="20">
        <f t="shared" si="72"/>
        <v>0</v>
      </c>
      <c r="W71" s="20">
        <f t="shared" si="72"/>
        <v>0</v>
      </c>
      <c r="X71" s="20">
        <f t="shared" si="72"/>
        <v>0</v>
      </c>
      <c r="Y71" s="20">
        <f t="shared" si="72"/>
        <v>0</v>
      </c>
      <c r="Z71" s="20">
        <f t="shared" si="73"/>
        <v>0</v>
      </c>
      <c r="AA71" s="20">
        <f t="shared" si="73"/>
        <v>0</v>
      </c>
      <c r="AB71" s="20">
        <f t="shared" si="73"/>
        <v>0</v>
      </c>
      <c r="AC71" s="20">
        <f t="shared" si="73"/>
        <v>0</v>
      </c>
      <c r="AD71" s="20">
        <f t="shared" si="74"/>
        <v>0</v>
      </c>
      <c r="AE71" s="20">
        <f t="shared" si="75"/>
        <v>0</v>
      </c>
      <c r="AF71" s="20">
        <f t="shared" si="75"/>
        <v>0</v>
      </c>
      <c r="AG71" s="20">
        <f t="shared" si="75"/>
        <v>0</v>
      </c>
      <c r="AH71" s="20">
        <f t="shared" si="75"/>
        <v>0</v>
      </c>
      <c r="AI71" s="20">
        <f t="shared" si="76"/>
        <v>0</v>
      </c>
      <c r="AJ71" s="20">
        <f t="shared" si="76"/>
        <v>0</v>
      </c>
      <c r="AK71" s="20">
        <f t="shared" si="76"/>
        <v>0</v>
      </c>
      <c r="AL71" s="20">
        <f t="shared" si="76"/>
        <v>0</v>
      </c>
      <c r="AM71" s="20">
        <f t="shared" si="77"/>
        <v>0</v>
      </c>
      <c r="AO71">
        <f t="shared" si="78"/>
        <v>0</v>
      </c>
      <c r="AP71">
        <f t="shared" si="78"/>
        <v>0</v>
      </c>
      <c r="AQ71">
        <f t="shared" si="78"/>
        <v>0</v>
      </c>
      <c r="AR71">
        <f t="shared" si="78"/>
        <v>0</v>
      </c>
      <c r="AS71">
        <f t="shared" si="79"/>
        <v>0</v>
      </c>
      <c r="AU71">
        <f t="shared" si="80"/>
        <v>0</v>
      </c>
      <c r="AV71">
        <f t="shared" si="81"/>
        <v>0</v>
      </c>
      <c r="AW71">
        <f t="shared" si="81"/>
        <v>0</v>
      </c>
      <c r="AX71">
        <f t="shared" si="81"/>
        <v>0</v>
      </c>
      <c r="AY71">
        <f t="shared" si="82"/>
        <v>0</v>
      </c>
    </row>
    <row r="72" spans="1:53" ht="15" x14ac:dyDescent="0.25">
      <c r="A72" s="7"/>
      <c r="B72" s="8" t="s">
        <v>14</v>
      </c>
      <c r="C72" s="7"/>
      <c r="D72" s="357">
        <f t="shared" ref="D72:H72" si="83">SUM(D66:D71)</f>
        <v>0</v>
      </c>
      <c r="E72" s="363">
        <f>SUM(E66:E71)</f>
        <v>10.2422</v>
      </c>
      <c r="F72" s="357">
        <f t="shared" si="83"/>
        <v>0</v>
      </c>
      <c r="G72" s="357">
        <f t="shared" si="83"/>
        <v>0</v>
      </c>
      <c r="H72" s="357">
        <f t="shared" si="83"/>
        <v>0</v>
      </c>
      <c r="J72">
        <v>0</v>
      </c>
      <c r="K72" s="14">
        <v>-25.539131989483696</v>
      </c>
      <c r="L72">
        <v>0</v>
      </c>
      <c r="M72">
        <v>0</v>
      </c>
      <c r="N72">
        <v>0</v>
      </c>
      <c r="O72" s="20"/>
      <c r="P72" s="20"/>
      <c r="Q72" s="438">
        <v>6.1440555466038251E-2</v>
      </c>
      <c r="R72" s="197"/>
      <c r="S72" s="197"/>
      <c r="T72" s="197"/>
      <c r="U72" s="197"/>
      <c r="BA72" s="319">
        <f>(E72*10000*Q72*AU$10)</f>
        <v>6723.2965086634413</v>
      </c>
    </row>
    <row r="73" spans="1:53" ht="15" x14ac:dyDescent="0.25">
      <c r="A73" s="10"/>
      <c r="B73" s="9" t="s">
        <v>15</v>
      </c>
      <c r="C73" s="5"/>
      <c r="E73" s="363">
        <f>SUM(E72)</f>
        <v>10.2422</v>
      </c>
      <c r="H73" s="358">
        <f>SUM(D72:H72)</f>
        <v>10.2422</v>
      </c>
      <c r="K73" s="14"/>
      <c r="N73">
        <v>0</v>
      </c>
      <c r="O73" s="20"/>
      <c r="P73" s="20"/>
      <c r="Q73" s="438"/>
      <c r="R73" s="197"/>
      <c r="S73" s="197"/>
      <c r="T73" s="197"/>
      <c r="U73" s="197"/>
    </row>
    <row r="74" spans="1:53" ht="15.75" x14ac:dyDescent="0.25">
      <c r="A74" s="1"/>
      <c r="B74" s="2"/>
      <c r="C74" s="1"/>
      <c r="E74" s="361"/>
      <c r="K74" s="14"/>
      <c r="O74" s="20"/>
      <c r="P74" s="20"/>
      <c r="Q74" s="439"/>
      <c r="R74" s="197"/>
      <c r="S74" s="197"/>
      <c r="T74" s="197"/>
      <c r="U74" s="197"/>
    </row>
    <row r="75" spans="1:53" ht="15" x14ac:dyDescent="0.25">
      <c r="A75" s="1">
        <v>8</v>
      </c>
      <c r="B75" s="2" t="s">
        <v>22</v>
      </c>
      <c r="C75" s="1" t="s">
        <v>8</v>
      </c>
      <c r="D75">
        <v>0</v>
      </c>
      <c r="E75" s="360">
        <v>7.4356</v>
      </c>
      <c r="F75">
        <v>0</v>
      </c>
      <c r="G75">
        <v>0</v>
      </c>
      <c r="H75">
        <v>0</v>
      </c>
      <c r="J75">
        <v>0</v>
      </c>
      <c r="K75">
        <v>0</v>
      </c>
      <c r="L75">
        <v>0</v>
      </c>
      <c r="M75">
        <v>0</v>
      </c>
      <c r="N75">
        <v>0</v>
      </c>
      <c r="O75" s="20"/>
      <c r="P75" s="20"/>
      <c r="Q75" s="438">
        <v>4.5946541829643334E-2</v>
      </c>
      <c r="R75" s="197">
        <v>5.6499999999999995E-2</v>
      </c>
      <c r="S75" s="197">
        <v>1.25</v>
      </c>
      <c r="T75" s="197">
        <v>0.50078889239507718</v>
      </c>
      <c r="U75" s="197">
        <v>0.75268470790377973</v>
      </c>
      <c r="V75" s="20">
        <f t="shared" ref="V75:Y80" si="84">IF(K75&gt;0,((E75-K75)*$Q75*$R75*10)+(K75*$O$12*$Q75*$R75*10),(E75*$Q75*$R75*10))</f>
        <v>0.19302666013210018</v>
      </c>
      <c r="W75" s="20">
        <f t="shared" si="84"/>
        <v>0</v>
      </c>
      <c r="X75" s="20">
        <f t="shared" si="84"/>
        <v>0</v>
      </c>
      <c r="Y75" s="20">
        <f t="shared" si="84"/>
        <v>0</v>
      </c>
      <c r="Z75" s="20">
        <f t="shared" ref="Z75:AC80" si="85">V75*(EXP(1.01-0.34*LN(Z$8))*(1-$T75)+(1*$T75))</f>
        <v>0.11425176533549823</v>
      </c>
      <c r="AA75" s="20">
        <f t="shared" si="85"/>
        <v>0</v>
      </c>
      <c r="AB75" s="20">
        <f t="shared" si="85"/>
        <v>0</v>
      </c>
      <c r="AC75" s="20">
        <f t="shared" si="85"/>
        <v>0</v>
      </c>
      <c r="AD75" s="20">
        <f t="shared" ref="AD75:AD80" si="86">SUM(Z75:AC75)</f>
        <v>0.11425176533549823</v>
      </c>
      <c r="AE75" s="20">
        <f t="shared" ref="AE75:AH80" si="87">IF(K75&gt;0,((E75-K75)*$Q75*$S75*10)+(K75*$P$12*$Q75*$S75)*10,(E75*$Q75*$S75*10))</f>
        <v>4.2705013303561996</v>
      </c>
      <c r="AF75" s="20">
        <f t="shared" si="87"/>
        <v>0</v>
      </c>
      <c r="AG75" s="20">
        <f t="shared" si="87"/>
        <v>0</v>
      </c>
      <c r="AH75" s="20">
        <f t="shared" si="87"/>
        <v>0</v>
      </c>
      <c r="AI75" s="20">
        <f t="shared" ref="AI75:AL80" si="88">AE75*(EXP(1.01-0.34*LN(AI$8))*(1-$U75)+(1*$U75))</f>
        <v>3.4070932122982991</v>
      </c>
      <c r="AJ75" s="20">
        <f t="shared" si="88"/>
        <v>0</v>
      </c>
      <c r="AK75" s="20">
        <f t="shared" si="88"/>
        <v>0</v>
      </c>
      <c r="AL75" s="20">
        <f t="shared" si="88"/>
        <v>0</v>
      </c>
      <c r="AM75" s="20">
        <f t="shared" ref="AM75:AM80" si="89">SUM(AI75:AL75)</f>
        <v>3.4070932122982991</v>
      </c>
      <c r="AO75">
        <f t="shared" ref="AO75:AR80" si="90">Z75*AO$10</f>
        <v>0.12206658608444632</v>
      </c>
      <c r="AP75">
        <f t="shared" si="90"/>
        <v>0</v>
      </c>
      <c r="AQ75">
        <f t="shared" si="90"/>
        <v>0</v>
      </c>
      <c r="AR75">
        <f t="shared" si="90"/>
        <v>0</v>
      </c>
      <c r="AS75">
        <f t="shared" ref="AS75:AS80" si="91">SUM(AO75:AR75)</f>
        <v>0.12206658608444632</v>
      </c>
      <c r="AU75">
        <f t="shared" ref="AU75:AU80" si="92">AI75*AU$10</f>
        <v>3.6401383880195026</v>
      </c>
      <c r="AV75">
        <f t="shared" ref="AV75:AX80" si="93">AJ75*AV$10</f>
        <v>0</v>
      </c>
      <c r="AW75">
        <f t="shared" si="93"/>
        <v>0</v>
      </c>
      <c r="AX75">
        <f t="shared" si="93"/>
        <v>0</v>
      </c>
      <c r="AY75">
        <f t="shared" ref="AY75:AY80" si="94">SUM(AU75:AX75)</f>
        <v>3.6401383880195026</v>
      </c>
    </row>
    <row r="76" spans="1:53" ht="15" x14ac:dyDescent="0.25">
      <c r="A76" s="1"/>
      <c r="B76" s="2"/>
      <c r="C76" s="1" t="s">
        <v>9</v>
      </c>
      <c r="D76">
        <v>0</v>
      </c>
      <c r="E76" s="360">
        <v>0</v>
      </c>
      <c r="F76">
        <v>0</v>
      </c>
      <c r="G76">
        <v>0</v>
      </c>
      <c r="H76">
        <v>0</v>
      </c>
      <c r="J76">
        <v>0</v>
      </c>
      <c r="K76">
        <v>0</v>
      </c>
      <c r="L76">
        <v>0</v>
      </c>
      <c r="M76">
        <v>0</v>
      </c>
      <c r="N76">
        <v>0</v>
      </c>
      <c r="O76" s="20"/>
      <c r="P76" s="20"/>
      <c r="Q76" s="438"/>
      <c r="R76" s="197">
        <v>5.6499999999999995E-2</v>
      </c>
      <c r="S76" s="197">
        <v>1.25</v>
      </c>
      <c r="T76" s="197">
        <v>0.50078889239507718</v>
      </c>
      <c r="U76" s="197">
        <v>0.75268470790377973</v>
      </c>
      <c r="V76" s="20">
        <f t="shared" si="84"/>
        <v>0</v>
      </c>
      <c r="W76" s="20">
        <f t="shared" si="84"/>
        <v>0</v>
      </c>
      <c r="X76" s="20">
        <f t="shared" si="84"/>
        <v>0</v>
      </c>
      <c r="Y76" s="20">
        <f t="shared" si="84"/>
        <v>0</v>
      </c>
      <c r="Z76" s="20">
        <f t="shared" si="85"/>
        <v>0</v>
      </c>
      <c r="AA76" s="20">
        <f t="shared" si="85"/>
        <v>0</v>
      </c>
      <c r="AB76" s="20">
        <f t="shared" si="85"/>
        <v>0</v>
      </c>
      <c r="AC76" s="20">
        <f t="shared" si="85"/>
        <v>0</v>
      </c>
      <c r="AD76" s="20">
        <f t="shared" si="86"/>
        <v>0</v>
      </c>
      <c r="AE76" s="20">
        <f t="shared" si="87"/>
        <v>0</v>
      </c>
      <c r="AF76" s="20">
        <f t="shared" si="87"/>
        <v>0</v>
      </c>
      <c r="AG76" s="20">
        <f t="shared" si="87"/>
        <v>0</v>
      </c>
      <c r="AH76" s="20">
        <f t="shared" si="87"/>
        <v>0</v>
      </c>
      <c r="AI76" s="20">
        <f t="shared" si="88"/>
        <v>0</v>
      </c>
      <c r="AJ76" s="20">
        <f t="shared" si="88"/>
        <v>0</v>
      </c>
      <c r="AK76" s="20">
        <f t="shared" si="88"/>
        <v>0</v>
      </c>
      <c r="AL76" s="20">
        <f t="shared" si="88"/>
        <v>0</v>
      </c>
      <c r="AM76" s="20">
        <f t="shared" si="89"/>
        <v>0</v>
      </c>
      <c r="AO76">
        <f t="shared" si="90"/>
        <v>0</v>
      </c>
      <c r="AP76">
        <f t="shared" si="90"/>
        <v>0</v>
      </c>
      <c r="AQ76">
        <f t="shared" si="90"/>
        <v>0</v>
      </c>
      <c r="AR76">
        <f t="shared" si="90"/>
        <v>0</v>
      </c>
      <c r="AS76">
        <f t="shared" si="91"/>
        <v>0</v>
      </c>
      <c r="AU76">
        <f t="shared" si="92"/>
        <v>0</v>
      </c>
      <c r="AV76">
        <f t="shared" si="93"/>
        <v>0</v>
      </c>
      <c r="AW76">
        <f t="shared" si="93"/>
        <v>0</v>
      </c>
      <c r="AX76">
        <f t="shared" si="93"/>
        <v>0</v>
      </c>
      <c r="AY76">
        <f t="shared" si="94"/>
        <v>0</v>
      </c>
    </row>
    <row r="77" spans="1:53" ht="15" x14ac:dyDescent="0.25">
      <c r="A77" s="1"/>
      <c r="B77" s="2"/>
      <c r="C77" s="1" t="s">
        <v>10</v>
      </c>
      <c r="D77">
        <v>0</v>
      </c>
      <c r="E77" s="360">
        <v>0</v>
      </c>
      <c r="F77">
        <v>0</v>
      </c>
      <c r="G77">
        <v>0</v>
      </c>
      <c r="H77">
        <v>0</v>
      </c>
      <c r="J77">
        <v>0</v>
      </c>
      <c r="K77">
        <v>0</v>
      </c>
      <c r="L77">
        <v>0</v>
      </c>
      <c r="M77">
        <v>0</v>
      </c>
      <c r="N77">
        <v>0</v>
      </c>
      <c r="O77" s="20"/>
      <c r="P77" s="20"/>
      <c r="Q77" s="438"/>
      <c r="R77" s="197">
        <v>5.6499999999999995E-2</v>
      </c>
      <c r="S77" s="197">
        <v>1.25</v>
      </c>
      <c r="T77" s="197">
        <v>0.50078889239507718</v>
      </c>
      <c r="U77" s="197">
        <v>0.75268470790377973</v>
      </c>
      <c r="V77" s="20">
        <f t="shared" si="84"/>
        <v>0</v>
      </c>
      <c r="W77" s="20">
        <f t="shared" si="84"/>
        <v>0</v>
      </c>
      <c r="X77" s="20">
        <f t="shared" si="84"/>
        <v>0</v>
      </c>
      <c r="Y77" s="20">
        <f t="shared" si="84"/>
        <v>0</v>
      </c>
      <c r="Z77" s="20">
        <f t="shared" si="85"/>
        <v>0</v>
      </c>
      <c r="AA77" s="20">
        <f t="shared" si="85"/>
        <v>0</v>
      </c>
      <c r="AB77" s="20">
        <f t="shared" si="85"/>
        <v>0</v>
      </c>
      <c r="AC77" s="20">
        <f t="shared" si="85"/>
        <v>0</v>
      </c>
      <c r="AD77" s="20">
        <f t="shared" si="86"/>
        <v>0</v>
      </c>
      <c r="AE77" s="20">
        <f t="shared" si="87"/>
        <v>0</v>
      </c>
      <c r="AF77" s="20">
        <f t="shared" si="87"/>
        <v>0</v>
      </c>
      <c r="AG77" s="20">
        <f t="shared" si="87"/>
        <v>0</v>
      </c>
      <c r="AH77" s="20">
        <f t="shared" si="87"/>
        <v>0</v>
      </c>
      <c r="AI77" s="20">
        <f t="shared" si="88"/>
        <v>0</v>
      </c>
      <c r="AJ77" s="20">
        <f t="shared" si="88"/>
        <v>0</v>
      </c>
      <c r="AK77" s="20">
        <f t="shared" si="88"/>
        <v>0</v>
      </c>
      <c r="AL77" s="20">
        <f t="shared" si="88"/>
        <v>0</v>
      </c>
      <c r="AM77" s="20">
        <f t="shared" si="89"/>
        <v>0</v>
      </c>
      <c r="AO77">
        <f t="shared" si="90"/>
        <v>0</v>
      </c>
      <c r="AP77">
        <f t="shared" si="90"/>
        <v>0</v>
      </c>
      <c r="AQ77">
        <f t="shared" si="90"/>
        <v>0</v>
      </c>
      <c r="AR77">
        <f t="shared" si="90"/>
        <v>0</v>
      </c>
      <c r="AS77">
        <f t="shared" si="91"/>
        <v>0</v>
      </c>
      <c r="AU77">
        <f t="shared" si="92"/>
        <v>0</v>
      </c>
      <c r="AV77">
        <f t="shared" si="93"/>
        <v>0</v>
      </c>
      <c r="AW77">
        <f t="shared" si="93"/>
        <v>0</v>
      </c>
      <c r="AX77">
        <f t="shared" si="93"/>
        <v>0</v>
      </c>
      <c r="AY77">
        <f t="shared" si="94"/>
        <v>0</v>
      </c>
    </row>
    <row r="78" spans="1:53" ht="15" x14ac:dyDescent="0.25">
      <c r="A78" s="1"/>
      <c r="B78" s="2"/>
      <c r="C78" s="1" t="s">
        <v>11</v>
      </c>
      <c r="D78">
        <v>0</v>
      </c>
      <c r="E78" s="360">
        <v>0.4214</v>
      </c>
      <c r="F78">
        <v>0</v>
      </c>
      <c r="G78">
        <v>0</v>
      </c>
      <c r="H78">
        <v>0</v>
      </c>
      <c r="J78">
        <v>0</v>
      </c>
      <c r="K78">
        <v>0</v>
      </c>
      <c r="L78">
        <v>0</v>
      </c>
      <c r="M78">
        <v>0</v>
      </c>
      <c r="N78">
        <v>0</v>
      </c>
      <c r="O78" s="20"/>
      <c r="P78" s="20"/>
      <c r="Q78" s="438">
        <v>0.15678616731857331</v>
      </c>
      <c r="R78" s="197">
        <v>5.6499999999999995E-2</v>
      </c>
      <c r="S78" s="197">
        <v>1.25</v>
      </c>
      <c r="T78" s="197">
        <v>0.50078889239507718</v>
      </c>
      <c r="U78" s="197">
        <v>0.75268470790377973</v>
      </c>
      <c r="V78" s="20">
        <f t="shared" si="84"/>
        <v>3.7329375363046438E-2</v>
      </c>
      <c r="W78" s="20">
        <f t="shared" si="84"/>
        <v>0</v>
      </c>
      <c r="X78" s="20">
        <f t="shared" si="84"/>
        <v>0</v>
      </c>
      <c r="Y78" s="20">
        <f t="shared" si="84"/>
        <v>0</v>
      </c>
      <c r="Z78" s="20">
        <f t="shared" si="85"/>
        <v>2.209511904304173E-2</v>
      </c>
      <c r="AA78" s="20">
        <f t="shared" si="85"/>
        <v>0</v>
      </c>
      <c r="AB78" s="20">
        <f t="shared" si="85"/>
        <v>0</v>
      </c>
      <c r="AC78" s="20">
        <f t="shared" si="85"/>
        <v>0</v>
      </c>
      <c r="AD78" s="20">
        <f t="shared" si="86"/>
        <v>2.209511904304173E-2</v>
      </c>
      <c r="AE78" s="20">
        <f t="shared" si="87"/>
        <v>0.82587113635058496</v>
      </c>
      <c r="AF78" s="20">
        <f t="shared" si="87"/>
        <v>0</v>
      </c>
      <c r="AG78" s="20">
        <f t="shared" si="87"/>
        <v>0</v>
      </c>
      <c r="AH78" s="20">
        <f t="shared" si="87"/>
        <v>0</v>
      </c>
      <c r="AI78" s="20">
        <f t="shared" si="88"/>
        <v>0.65889686601700748</v>
      </c>
      <c r="AJ78" s="20">
        <f t="shared" si="88"/>
        <v>0</v>
      </c>
      <c r="AK78" s="20">
        <f t="shared" si="88"/>
        <v>0</v>
      </c>
      <c r="AL78" s="20">
        <f t="shared" si="88"/>
        <v>0</v>
      </c>
      <c r="AM78" s="20">
        <f t="shared" si="89"/>
        <v>0.65889686601700748</v>
      </c>
      <c r="AO78">
        <f t="shared" si="90"/>
        <v>2.3606425185585783E-2</v>
      </c>
      <c r="AP78">
        <f t="shared" si="90"/>
        <v>0</v>
      </c>
      <c r="AQ78">
        <f t="shared" si="90"/>
        <v>0</v>
      </c>
      <c r="AR78">
        <f t="shared" si="90"/>
        <v>0</v>
      </c>
      <c r="AS78">
        <f t="shared" si="91"/>
        <v>2.3606425185585783E-2</v>
      </c>
      <c r="AU78">
        <f t="shared" si="92"/>
        <v>0.70396541165257076</v>
      </c>
      <c r="AV78">
        <f t="shared" si="93"/>
        <v>0</v>
      </c>
      <c r="AW78">
        <f t="shared" si="93"/>
        <v>0</v>
      </c>
      <c r="AX78">
        <f t="shared" si="93"/>
        <v>0</v>
      </c>
      <c r="AY78">
        <f t="shared" si="94"/>
        <v>0.70396541165257076</v>
      </c>
    </row>
    <row r="79" spans="1:53" ht="15" x14ac:dyDescent="0.25">
      <c r="A79" s="1"/>
      <c r="B79" s="13"/>
      <c r="C79" s="1" t="s">
        <v>12</v>
      </c>
      <c r="D79">
        <v>0</v>
      </c>
      <c r="E79" s="360">
        <v>0</v>
      </c>
      <c r="F79">
        <v>0</v>
      </c>
      <c r="G79">
        <v>0</v>
      </c>
      <c r="H79">
        <v>0</v>
      </c>
      <c r="J79">
        <v>0</v>
      </c>
      <c r="K79">
        <v>0</v>
      </c>
      <c r="L79">
        <v>0</v>
      </c>
      <c r="M79">
        <v>0</v>
      </c>
      <c r="N79">
        <v>0</v>
      </c>
      <c r="O79" s="20"/>
      <c r="P79" s="20"/>
      <c r="Q79" s="438"/>
      <c r="R79" s="197">
        <v>5.6499999999999995E-2</v>
      </c>
      <c r="S79" s="197">
        <v>1.25</v>
      </c>
      <c r="T79" s="197">
        <v>0.50078889239507718</v>
      </c>
      <c r="U79" s="197">
        <v>0.75268470790377973</v>
      </c>
      <c r="V79" s="20">
        <f t="shared" si="84"/>
        <v>0</v>
      </c>
      <c r="W79" s="20">
        <f t="shared" si="84"/>
        <v>0</v>
      </c>
      <c r="X79" s="20">
        <f t="shared" si="84"/>
        <v>0</v>
      </c>
      <c r="Y79" s="20">
        <f t="shared" si="84"/>
        <v>0</v>
      </c>
      <c r="Z79" s="20">
        <f t="shared" si="85"/>
        <v>0</v>
      </c>
      <c r="AA79" s="20">
        <f t="shared" si="85"/>
        <v>0</v>
      </c>
      <c r="AB79" s="20">
        <f t="shared" si="85"/>
        <v>0</v>
      </c>
      <c r="AC79" s="20">
        <f t="shared" si="85"/>
        <v>0</v>
      </c>
      <c r="AD79" s="20">
        <f t="shared" si="86"/>
        <v>0</v>
      </c>
      <c r="AE79" s="20">
        <f t="shared" si="87"/>
        <v>0</v>
      </c>
      <c r="AF79" s="20">
        <f t="shared" si="87"/>
        <v>0</v>
      </c>
      <c r="AG79" s="20">
        <f t="shared" si="87"/>
        <v>0</v>
      </c>
      <c r="AH79" s="20">
        <f t="shared" si="87"/>
        <v>0</v>
      </c>
      <c r="AI79" s="20">
        <f t="shared" si="88"/>
        <v>0</v>
      </c>
      <c r="AJ79" s="20">
        <f t="shared" si="88"/>
        <v>0</v>
      </c>
      <c r="AK79" s="20">
        <f t="shared" si="88"/>
        <v>0</v>
      </c>
      <c r="AL79" s="20">
        <f t="shared" si="88"/>
        <v>0</v>
      </c>
      <c r="AM79" s="20">
        <f t="shared" si="89"/>
        <v>0</v>
      </c>
      <c r="AO79">
        <f t="shared" si="90"/>
        <v>0</v>
      </c>
      <c r="AP79">
        <f t="shared" si="90"/>
        <v>0</v>
      </c>
      <c r="AQ79">
        <f t="shared" si="90"/>
        <v>0</v>
      </c>
      <c r="AR79">
        <f t="shared" si="90"/>
        <v>0</v>
      </c>
      <c r="AS79">
        <f t="shared" si="91"/>
        <v>0</v>
      </c>
      <c r="AU79">
        <f t="shared" si="92"/>
        <v>0</v>
      </c>
      <c r="AV79">
        <f t="shared" si="93"/>
        <v>0</v>
      </c>
      <c r="AW79">
        <f t="shared" si="93"/>
        <v>0</v>
      </c>
      <c r="AX79">
        <f t="shared" si="93"/>
        <v>0</v>
      </c>
      <c r="AY79">
        <f t="shared" si="94"/>
        <v>0</v>
      </c>
    </row>
    <row r="80" spans="1:53" ht="15" x14ac:dyDescent="0.25">
      <c r="A80" s="1"/>
      <c r="B80" s="13"/>
      <c r="C80" s="1" t="s">
        <v>13</v>
      </c>
      <c r="D80">
        <v>0</v>
      </c>
      <c r="E80" s="360">
        <v>0</v>
      </c>
      <c r="F80">
        <v>0</v>
      </c>
      <c r="G80">
        <v>0</v>
      </c>
      <c r="H80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20"/>
      <c r="P80" s="20"/>
      <c r="Q80" s="438"/>
      <c r="R80" s="197">
        <v>5.6499999999999995E-2</v>
      </c>
      <c r="S80" s="197">
        <v>1.25</v>
      </c>
      <c r="T80" s="197">
        <v>0.50078889239507718</v>
      </c>
      <c r="U80" s="197">
        <v>0.75268470790377973</v>
      </c>
      <c r="V80" s="20">
        <f t="shared" si="84"/>
        <v>0</v>
      </c>
      <c r="W80" s="20">
        <f t="shared" si="84"/>
        <v>0</v>
      </c>
      <c r="X80" s="20">
        <f t="shared" si="84"/>
        <v>0</v>
      </c>
      <c r="Y80" s="20">
        <f t="shared" si="84"/>
        <v>0</v>
      </c>
      <c r="Z80" s="20">
        <f t="shared" si="85"/>
        <v>0</v>
      </c>
      <c r="AA80" s="20">
        <f t="shared" si="85"/>
        <v>0</v>
      </c>
      <c r="AB80" s="20">
        <f t="shared" si="85"/>
        <v>0</v>
      </c>
      <c r="AC80" s="20">
        <f t="shared" si="85"/>
        <v>0</v>
      </c>
      <c r="AD80" s="20">
        <f t="shared" si="86"/>
        <v>0</v>
      </c>
      <c r="AE80" s="20">
        <f t="shared" si="87"/>
        <v>0</v>
      </c>
      <c r="AF80" s="20">
        <f t="shared" si="87"/>
        <v>0</v>
      </c>
      <c r="AG80" s="20">
        <f t="shared" si="87"/>
        <v>0</v>
      </c>
      <c r="AH80" s="20">
        <f t="shared" si="87"/>
        <v>0</v>
      </c>
      <c r="AI80" s="20">
        <f t="shared" si="88"/>
        <v>0</v>
      </c>
      <c r="AJ80" s="20">
        <f t="shared" si="88"/>
        <v>0</v>
      </c>
      <c r="AK80" s="20">
        <f t="shared" si="88"/>
        <v>0</v>
      </c>
      <c r="AL80" s="20">
        <f t="shared" si="88"/>
        <v>0</v>
      </c>
      <c r="AM80" s="20">
        <f t="shared" si="89"/>
        <v>0</v>
      </c>
      <c r="AO80">
        <f t="shared" si="90"/>
        <v>0</v>
      </c>
      <c r="AP80">
        <f t="shared" si="90"/>
        <v>0</v>
      </c>
      <c r="AQ80">
        <f t="shared" si="90"/>
        <v>0</v>
      </c>
      <c r="AR80">
        <f t="shared" si="90"/>
        <v>0</v>
      </c>
      <c r="AS80">
        <f t="shared" si="91"/>
        <v>0</v>
      </c>
      <c r="AU80">
        <f t="shared" si="92"/>
        <v>0</v>
      </c>
      <c r="AV80">
        <f t="shared" si="93"/>
        <v>0</v>
      </c>
      <c r="AW80">
        <f t="shared" si="93"/>
        <v>0</v>
      </c>
      <c r="AX80">
        <f t="shared" si="93"/>
        <v>0</v>
      </c>
      <c r="AY80">
        <f t="shared" si="94"/>
        <v>0</v>
      </c>
    </row>
    <row r="81" spans="1:53" ht="15" x14ac:dyDescent="0.25">
      <c r="A81" s="7"/>
      <c r="B81" s="8" t="s">
        <v>14</v>
      </c>
      <c r="C81" s="7"/>
      <c r="D81" s="357">
        <f t="shared" ref="D81:H81" si="95">SUM(D75:D80)</f>
        <v>0</v>
      </c>
      <c r="E81" s="363">
        <f>SUM(E75:E80)</f>
        <v>7.8570000000000002</v>
      </c>
      <c r="F81" s="357">
        <f t="shared" si="95"/>
        <v>0</v>
      </c>
      <c r="G81" s="357">
        <f t="shared" si="95"/>
        <v>0</v>
      </c>
      <c r="H81" s="357">
        <f t="shared" si="95"/>
        <v>0</v>
      </c>
      <c r="J81">
        <v>0</v>
      </c>
      <c r="K81">
        <v>0</v>
      </c>
      <c r="L81">
        <v>0</v>
      </c>
      <c r="M81">
        <v>0</v>
      </c>
      <c r="N81">
        <v>0</v>
      </c>
      <c r="O81" s="20"/>
      <c r="P81" s="20"/>
      <c r="Q81" s="438">
        <v>5.1891281320674908E-2</v>
      </c>
      <c r="R81" s="197"/>
      <c r="S81" s="197"/>
      <c r="T81" s="197"/>
      <c r="U81" s="197"/>
      <c r="BA81" s="319">
        <f>(E81*10000*Q81*AU$10)</f>
        <v>4355.9714747436228</v>
      </c>
    </row>
    <row r="82" spans="1:53" ht="15" x14ac:dyDescent="0.25">
      <c r="A82" s="10"/>
      <c r="B82" s="9" t="s">
        <v>15</v>
      </c>
      <c r="C82" s="5"/>
      <c r="E82" s="363">
        <f>SUM(E81)</f>
        <v>7.8570000000000002</v>
      </c>
      <c r="H82" s="358">
        <f>SUM(D81:H81)</f>
        <v>7.8570000000000002</v>
      </c>
      <c r="K82" s="14"/>
      <c r="N82">
        <v>0</v>
      </c>
      <c r="O82" s="20"/>
      <c r="P82" s="20"/>
      <c r="Q82" s="438"/>
      <c r="R82" s="197"/>
      <c r="S82" s="197"/>
      <c r="T82" s="197"/>
      <c r="U82" s="197"/>
    </row>
    <row r="83" spans="1:53" ht="15.75" x14ac:dyDescent="0.25">
      <c r="A83" s="1"/>
      <c r="B83" s="2"/>
      <c r="C83" s="1"/>
      <c r="E83" s="361"/>
      <c r="K83" s="14"/>
      <c r="O83" s="20"/>
      <c r="P83" s="20"/>
      <c r="Q83" s="439"/>
      <c r="R83" s="197"/>
      <c r="S83" s="197"/>
      <c r="T83" s="197"/>
      <c r="U83" s="197"/>
    </row>
    <row r="84" spans="1:53" ht="15" x14ac:dyDescent="0.25">
      <c r="A84" s="1">
        <v>9</v>
      </c>
      <c r="B84" s="2" t="s">
        <v>23</v>
      </c>
      <c r="C84" s="1" t="s">
        <v>8</v>
      </c>
      <c r="D84">
        <v>0</v>
      </c>
      <c r="E84" s="360">
        <v>112.6026</v>
      </c>
      <c r="F84">
        <v>0</v>
      </c>
      <c r="G84">
        <v>0</v>
      </c>
      <c r="H84">
        <v>0</v>
      </c>
      <c r="J84">
        <v>0</v>
      </c>
      <c r="K84">
        <v>0</v>
      </c>
      <c r="L84">
        <v>0</v>
      </c>
      <c r="M84">
        <v>0</v>
      </c>
      <c r="N84">
        <v>0</v>
      </c>
      <c r="O84" s="20"/>
      <c r="P84" s="20"/>
      <c r="Q84" s="438">
        <v>4.5946541829643327E-2</v>
      </c>
      <c r="R84" s="197">
        <v>0.38700000000000001</v>
      </c>
      <c r="S84" s="197">
        <v>2.48</v>
      </c>
      <c r="T84" s="197">
        <v>0.72182006204756977</v>
      </c>
      <c r="U84" s="197">
        <v>0.90789473684210531</v>
      </c>
      <c r="V84" s="20">
        <f t="shared" ref="V84:Y89" si="96">IF(K84&gt;0,((E84-K84)*$Q84*$R84*10)+(K84*$O$12*$Q84*$R84*10),(E84*$Q84*$R84*10))</f>
        <v>20.022219274872924</v>
      </c>
      <c r="W84" s="20">
        <f t="shared" si="96"/>
        <v>0</v>
      </c>
      <c r="X84" s="20">
        <f t="shared" si="96"/>
        <v>0</v>
      </c>
      <c r="Y84" s="20">
        <f t="shared" si="96"/>
        <v>0</v>
      </c>
      <c r="Z84" s="20">
        <f t="shared" ref="Z84:AC89" si="97">V84*(EXP(1.01-0.34*LN(Z$8))*(1-$T84)+(1*$T84))</f>
        <v>15.468939724935154</v>
      </c>
      <c r="AA84" s="20">
        <f t="shared" si="97"/>
        <v>0</v>
      </c>
      <c r="AB84" s="20">
        <f t="shared" si="97"/>
        <v>0</v>
      </c>
      <c r="AC84" s="20">
        <f t="shared" si="97"/>
        <v>0</v>
      </c>
      <c r="AD84" s="20">
        <f t="shared" ref="AD84:AD89" si="98">SUM(Z84:AC84)</f>
        <v>15.468939724935154</v>
      </c>
      <c r="AE84" s="20">
        <f t="shared" ref="AE84:AH89" si="99">IF(K84&gt;0,((E84-K84)*$Q84*$S84*10)+(K84*$P$12*$Q84*$S84)*10,(E84*$Q84*$S84*10))</f>
        <v>128.30776176145957</v>
      </c>
      <c r="AF84" s="20">
        <f t="shared" si="99"/>
        <v>0</v>
      </c>
      <c r="AG84" s="20">
        <f t="shared" si="99"/>
        <v>0</v>
      </c>
      <c r="AH84" s="20">
        <f t="shared" si="99"/>
        <v>0</v>
      </c>
      <c r="AI84" s="20">
        <f t="shared" ref="AI84:AL89" si="100">AE84*(EXP(1.01-0.34*LN(AI$8))*(1-$U84)+(1*$U84))</f>
        <v>118.64672638526696</v>
      </c>
      <c r="AJ84" s="20">
        <f t="shared" si="100"/>
        <v>0</v>
      </c>
      <c r="AK84" s="20">
        <f t="shared" si="100"/>
        <v>0</v>
      </c>
      <c r="AL84" s="20">
        <f t="shared" si="100"/>
        <v>0</v>
      </c>
      <c r="AM84" s="20">
        <f t="shared" ref="AM84:AM89" si="101">SUM(AI84:AL84)</f>
        <v>118.64672638526696</v>
      </c>
      <c r="AO84">
        <f t="shared" ref="AO84:AR89" si="102">Z84*AO$10</f>
        <v>16.527015202120719</v>
      </c>
      <c r="AP84">
        <f t="shared" si="102"/>
        <v>0</v>
      </c>
      <c r="AQ84">
        <f t="shared" si="102"/>
        <v>0</v>
      </c>
      <c r="AR84">
        <f t="shared" si="102"/>
        <v>0</v>
      </c>
      <c r="AS84">
        <f t="shared" ref="AS84:AS89" si="103">SUM(AO84:AR84)</f>
        <v>16.527015202120719</v>
      </c>
      <c r="AU84">
        <f t="shared" ref="AU84:AU89" si="104">AI84*AU$10</f>
        <v>126.76216247001922</v>
      </c>
      <c r="AV84">
        <f t="shared" ref="AV84:AX89" si="105">AJ84*AV$10</f>
        <v>0</v>
      </c>
      <c r="AW84">
        <f t="shared" si="105"/>
        <v>0</v>
      </c>
      <c r="AX84">
        <f t="shared" si="105"/>
        <v>0</v>
      </c>
      <c r="AY84">
        <f t="shared" ref="AY84:AY89" si="106">SUM(AU84:AX84)</f>
        <v>126.76216247001922</v>
      </c>
    </row>
    <row r="85" spans="1:53" ht="15" x14ac:dyDescent="0.25">
      <c r="A85" s="1"/>
      <c r="B85" s="2"/>
      <c r="C85" s="1" t="s">
        <v>9</v>
      </c>
      <c r="D85">
        <v>0</v>
      </c>
      <c r="E85" s="360">
        <v>16.2562</v>
      </c>
      <c r="F85">
        <v>0</v>
      </c>
      <c r="G85">
        <v>0</v>
      </c>
      <c r="H85">
        <v>0</v>
      </c>
      <c r="J85">
        <v>0</v>
      </c>
      <c r="K85">
        <v>0</v>
      </c>
      <c r="L85">
        <v>0</v>
      </c>
      <c r="M85">
        <v>0</v>
      </c>
      <c r="N85">
        <v>0</v>
      </c>
      <c r="O85" s="20"/>
      <c r="P85" s="20"/>
      <c r="Q85" s="438">
        <v>8.2893083659286645E-2</v>
      </c>
      <c r="R85" s="197">
        <v>0.38700000000000001</v>
      </c>
      <c r="S85" s="197">
        <v>2.48</v>
      </c>
      <c r="T85" s="197">
        <v>0.72182006204756977</v>
      </c>
      <c r="U85" s="197">
        <v>0.90789473684210531</v>
      </c>
      <c r="V85" s="20">
        <f t="shared" si="96"/>
        <v>5.2149277352727097</v>
      </c>
      <c r="W85" s="20">
        <f t="shared" si="96"/>
        <v>0</v>
      </c>
      <c r="X85" s="20">
        <f t="shared" si="96"/>
        <v>0</v>
      </c>
      <c r="Y85" s="20">
        <f t="shared" si="96"/>
        <v>0</v>
      </c>
      <c r="Z85" s="20">
        <f t="shared" si="97"/>
        <v>4.0289940740017256</v>
      </c>
      <c r="AA85" s="20">
        <f t="shared" si="97"/>
        <v>0</v>
      </c>
      <c r="AB85" s="20">
        <f t="shared" si="97"/>
        <v>0</v>
      </c>
      <c r="AC85" s="20">
        <f t="shared" si="97"/>
        <v>0</v>
      </c>
      <c r="AD85" s="20">
        <f t="shared" si="98"/>
        <v>4.0289940740017256</v>
      </c>
      <c r="AE85" s="20">
        <f t="shared" si="99"/>
        <v>33.418658355235969</v>
      </c>
      <c r="AF85" s="20">
        <f t="shared" si="99"/>
        <v>0</v>
      </c>
      <c r="AG85" s="20">
        <f t="shared" si="99"/>
        <v>0</v>
      </c>
      <c r="AH85" s="20">
        <f t="shared" si="99"/>
        <v>0</v>
      </c>
      <c r="AI85" s="20">
        <f t="shared" si="100"/>
        <v>30.902373789419403</v>
      </c>
      <c r="AJ85" s="20">
        <f t="shared" si="100"/>
        <v>0</v>
      </c>
      <c r="AK85" s="20">
        <f t="shared" si="100"/>
        <v>0</v>
      </c>
      <c r="AL85" s="20">
        <f t="shared" si="100"/>
        <v>0</v>
      </c>
      <c r="AM85" s="20">
        <f t="shared" si="101"/>
        <v>30.902373789419403</v>
      </c>
      <c r="AO85">
        <f t="shared" si="102"/>
        <v>4.3045772686634436</v>
      </c>
      <c r="AP85">
        <f t="shared" si="102"/>
        <v>0</v>
      </c>
      <c r="AQ85">
        <f t="shared" si="102"/>
        <v>0</v>
      </c>
      <c r="AR85">
        <f t="shared" si="102"/>
        <v>0</v>
      </c>
      <c r="AS85">
        <f t="shared" si="103"/>
        <v>4.3045772686634436</v>
      </c>
      <c r="AU85">
        <f t="shared" si="104"/>
        <v>33.016096156615689</v>
      </c>
      <c r="AV85">
        <f t="shared" si="105"/>
        <v>0</v>
      </c>
      <c r="AW85">
        <f t="shared" si="105"/>
        <v>0</v>
      </c>
      <c r="AX85">
        <f t="shared" si="105"/>
        <v>0</v>
      </c>
      <c r="AY85">
        <f t="shared" si="106"/>
        <v>33.016096156615689</v>
      </c>
    </row>
    <row r="86" spans="1:53" ht="15" x14ac:dyDescent="0.25">
      <c r="A86" s="1"/>
      <c r="B86" s="2"/>
      <c r="C86" s="1" t="s">
        <v>10</v>
      </c>
      <c r="D86">
        <v>0</v>
      </c>
      <c r="E86" s="360">
        <v>0.92589999999999995</v>
      </c>
      <c r="F86">
        <v>0</v>
      </c>
      <c r="G86">
        <v>0</v>
      </c>
      <c r="H86">
        <v>0</v>
      </c>
      <c r="J86">
        <v>0</v>
      </c>
      <c r="K86">
        <v>0</v>
      </c>
      <c r="L86">
        <v>0</v>
      </c>
      <c r="M86">
        <v>0</v>
      </c>
      <c r="N86">
        <v>0</v>
      </c>
      <c r="O86" s="20"/>
      <c r="P86" s="20"/>
      <c r="Q86" s="438">
        <v>0.11983962548892999</v>
      </c>
      <c r="R86" s="197">
        <v>0.38700000000000001</v>
      </c>
      <c r="S86" s="197">
        <v>2.48</v>
      </c>
      <c r="T86" s="197">
        <v>0.72182006204756977</v>
      </c>
      <c r="U86" s="197">
        <v>0.90789473684210531</v>
      </c>
      <c r="V86" s="20">
        <f t="shared" si="96"/>
        <v>0.42941330075957507</v>
      </c>
      <c r="W86" s="20">
        <f t="shared" si="96"/>
        <v>0</v>
      </c>
      <c r="X86" s="20">
        <f t="shared" si="96"/>
        <v>0</v>
      </c>
      <c r="Y86" s="20">
        <f t="shared" si="96"/>
        <v>0</v>
      </c>
      <c r="Z86" s="20">
        <f t="shared" si="97"/>
        <v>0.33175985016163884</v>
      </c>
      <c r="AA86" s="20">
        <f t="shared" si="97"/>
        <v>0</v>
      </c>
      <c r="AB86" s="20">
        <f t="shared" si="97"/>
        <v>0</v>
      </c>
      <c r="AC86" s="20">
        <f t="shared" si="97"/>
        <v>0</v>
      </c>
      <c r="AD86" s="20">
        <f t="shared" si="98"/>
        <v>0.33175985016163884</v>
      </c>
      <c r="AE86" s="20">
        <f t="shared" si="99"/>
        <v>2.7517958291569666</v>
      </c>
      <c r="AF86" s="20">
        <f t="shared" si="99"/>
        <v>0</v>
      </c>
      <c r="AG86" s="20">
        <f t="shared" si="99"/>
        <v>0</v>
      </c>
      <c r="AH86" s="20">
        <f t="shared" si="99"/>
        <v>0</v>
      </c>
      <c r="AI86" s="20">
        <f t="shared" si="100"/>
        <v>2.5445971648784171</v>
      </c>
      <c r="AJ86" s="20">
        <f t="shared" si="100"/>
        <v>0</v>
      </c>
      <c r="AK86" s="20">
        <f t="shared" si="100"/>
        <v>0</v>
      </c>
      <c r="AL86" s="20">
        <f t="shared" si="100"/>
        <v>0</v>
      </c>
      <c r="AM86" s="20">
        <f t="shared" si="101"/>
        <v>2.5445971648784171</v>
      </c>
      <c r="AO86">
        <f t="shared" si="102"/>
        <v>0.35445222391269493</v>
      </c>
      <c r="AP86">
        <f t="shared" si="102"/>
        <v>0</v>
      </c>
      <c r="AQ86">
        <f t="shared" si="102"/>
        <v>0</v>
      </c>
      <c r="AR86">
        <f t="shared" si="102"/>
        <v>0</v>
      </c>
      <c r="AS86">
        <f t="shared" si="103"/>
        <v>0.35445222391269493</v>
      </c>
      <c r="AU86">
        <f t="shared" si="104"/>
        <v>2.7186476109561011</v>
      </c>
      <c r="AV86">
        <f t="shared" si="105"/>
        <v>0</v>
      </c>
      <c r="AW86">
        <f t="shared" si="105"/>
        <v>0</v>
      </c>
      <c r="AX86">
        <f t="shared" si="105"/>
        <v>0</v>
      </c>
      <c r="AY86">
        <f t="shared" si="106"/>
        <v>2.7186476109561011</v>
      </c>
    </row>
    <row r="87" spans="1:53" ht="15" x14ac:dyDescent="0.25">
      <c r="A87" s="1"/>
      <c r="B87" s="2"/>
      <c r="C87" s="1" t="s">
        <v>11</v>
      </c>
      <c r="D87">
        <v>0</v>
      </c>
      <c r="E87" s="360">
        <v>101.6451</v>
      </c>
      <c r="F87">
        <v>0</v>
      </c>
      <c r="G87">
        <v>0</v>
      </c>
      <c r="H87">
        <v>0</v>
      </c>
      <c r="J87">
        <v>0</v>
      </c>
      <c r="K87">
        <v>0</v>
      </c>
      <c r="L87">
        <v>0</v>
      </c>
      <c r="M87">
        <v>0</v>
      </c>
      <c r="N87">
        <v>0</v>
      </c>
      <c r="O87" s="20"/>
      <c r="P87" s="20"/>
      <c r="Q87" s="438">
        <v>0.15678616731857331</v>
      </c>
      <c r="R87" s="197">
        <v>0.38700000000000001</v>
      </c>
      <c r="S87" s="197">
        <v>2.48</v>
      </c>
      <c r="T87" s="197">
        <v>0.72182006204756977</v>
      </c>
      <c r="U87" s="197">
        <v>0.90789473684210531</v>
      </c>
      <c r="V87" s="20">
        <f t="shared" si="96"/>
        <v>61.674431687609761</v>
      </c>
      <c r="W87" s="20">
        <f t="shared" si="96"/>
        <v>0</v>
      </c>
      <c r="X87" s="20">
        <f t="shared" si="96"/>
        <v>0</v>
      </c>
      <c r="Y87" s="20">
        <f t="shared" si="96"/>
        <v>0</v>
      </c>
      <c r="Z87" s="20">
        <f t="shared" si="97"/>
        <v>47.648967042456945</v>
      </c>
      <c r="AA87" s="20">
        <f t="shared" si="97"/>
        <v>0</v>
      </c>
      <c r="AB87" s="20">
        <f t="shared" si="97"/>
        <v>0</v>
      </c>
      <c r="AC87" s="20">
        <f t="shared" si="97"/>
        <v>0</v>
      </c>
      <c r="AD87" s="20">
        <f t="shared" si="98"/>
        <v>47.648967042456945</v>
      </c>
      <c r="AE87" s="20">
        <f t="shared" si="99"/>
        <v>395.22633226168529</v>
      </c>
      <c r="AF87" s="20">
        <f t="shared" si="99"/>
        <v>0</v>
      </c>
      <c r="AG87" s="20">
        <f t="shared" si="99"/>
        <v>0</v>
      </c>
      <c r="AH87" s="20">
        <f t="shared" si="99"/>
        <v>0</v>
      </c>
      <c r="AI87" s="20">
        <f t="shared" si="100"/>
        <v>365.46744998391864</v>
      </c>
      <c r="AJ87" s="20">
        <f t="shared" si="100"/>
        <v>0</v>
      </c>
      <c r="AK87" s="20">
        <f t="shared" si="100"/>
        <v>0</v>
      </c>
      <c r="AL87" s="20">
        <f t="shared" si="100"/>
        <v>0</v>
      </c>
      <c r="AM87" s="20">
        <f t="shared" si="101"/>
        <v>365.46744998391864</v>
      </c>
      <c r="AO87">
        <f t="shared" si="102"/>
        <v>50.908156388161004</v>
      </c>
      <c r="AP87">
        <f t="shared" si="102"/>
        <v>0</v>
      </c>
      <c r="AQ87">
        <f t="shared" si="102"/>
        <v>0</v>
      </c>
      <c r="AR87">
        <f t="shared" si="102"/>
        <v>0</v>
      </c>
      <c r="AS87">
        <f t="shared" si="103"/>
        <v>50.908156388161004</v>
      </c>
      <c r="AU87">
        <f t="shared" si="104"/>
        <v>390.46542356281867</v>
      </c>
      <c r="AV87">
        <f t="shared" si="105"/>
        <v>0</v>
      </c>
      <c r="AW87">
        <f t="shared" si="105"/>
        <v>0</v>
      </c>
      <c r="AX87">
        <f t="shared" si="105"/>
        <v>0</v>
      </c>
      <c r="AY87">
        <f t="shared" si="106"/>
        <v>390.46542356281867</v>
      </c>
    </row>
    <row r="88" spans="1:53" ht="15" x14ac:dyDescent="0.25">
      <c r="A88" s="1"/>
      <c r="B88" s="2"/>
      <c r="C88" s="1" t="s">
        <v>12</v>
      </c>
      <c r="D88">
        <v>0</v>
      </c>
      <c r="E88" s="360">
        <v>0</v>
      </c>
      <c r="F88">
        <v>0</v>
      </c>
      <c r="G88">
        <v>0</v>
      </c>
      <c r="H88">
        <v>0</v>
      </c>
      <c r="J88">
        <v>0</v>
      </c>
      <c r="K88">
        <v>0</v>
      </c>
      <c r="L88">
        <v>0</v>
      </c>
      <c r="M88">
        <v>0</v>
      </c>
      <c r="N88">
        <v>0</v>
      </c>
      <c r="O88" s="20"/>
      <c r="P88" s="20"/>
      <c r="Q88" s="438"/>
      <c r="R88" s="197">
        <v>0.38700000000000001</v>
      </c>
      <c r="S88" s="197">
        <v>2.48</v>
      </c>
      <c r="T88" s="197">
        <v>0.72182006204756977</v>
      </c>
      <c r="U88" s="197">
        <v>0.90789473684210531</v>
      </c>
      <c r="V88" s="20">
        <f t="shared" si="96"/>
        <v>0</v>
      </c>
      <c r="W88" s="20">
        <f t="shared" si="96"/>
        <v>0</v>
      </c>
      <c r="X88" s="20">
        <f t="shared" si="96"/>
        <v>0</v>
      </c>
      <c r="Y88" s="20">
        <f t="shared" si="96"/>
        <v>0</v>
      </c>
      <c r="Z88" s="20">
        <f t="shared" si="97"/>
        <v>0</v>
      </c>
      <c r="AA88" s="20">
        <f t="shared" si="97"/>
        <v>0</v>
      </c>
      <c r="AB88" s="20">
        <f t="shared" si="97"/>
        <v>0</v>
      </c>
      <c r="AC88" s="20">
        <f t="shared" si="97"/>
        <v>0</v>
      </c>
      <c r="AD88" s="20">
        <f t="shared" si="98"/>
        <v>0</v>
      </c>
      <c r="AE88" s="20">
        <f t="shared" si="99"/>
        <v>0</v>
      </c>
      <c r="AF88" s="20">
        <f t="shared" si="99"/>
        <v>0</v>
      </c>
      <c r="AG88" s="20">
        <f t="shared" si="99"/>
        <v>0</v>
      </c>
      <c r="AH88" s="20">
        <f t="shared" si="99"/>
        <v>0</v>
      </c>
      <c r="AI88" s="20">
        <f t="shared" si="100"/>
        <v>0</v>
      </c>
      <c r="AJ88" s="20">
        <f t="shared" si="100"/>
        <v>0</v>
      </c>
      <c r="AK88" s="20">
        <f t="shared" si="100"/>
        <v>0</v>
      </c>
      <c r="AL88" s="20">
        <f t="shared" si="100"/>
        <v>0</v>
      </c>
      <c r="AM88" s="20">
        <f t="shared" si="101"/>
        <v>0</v>
      </c>
      <c r="AO88">
        <f t="shared" si="102"/>
        <v>0</v>
      </c>
      <c r="AP88">
        <f t="shared" si="102"/>
        <v>0</v>
      </c>
      <c r="AQ88">
        <f t="shared" si="102"/>
        <v>0</v>
      </c>
      <c r="AR88">
        <f t="shared" si="102"/>
        <v>0</v>
      </c>
      <c r="AS88">
        <f t="shared" si="103"/>
        <v>0</v>
      </c>
      <c r="AU88">
        <f t="shared" si="104"/>
        <v>0</v>
      </c>
      <c r="AV88">
        <f t="shared" si="105"/>
        <v>0</v>
      </c>
      <c r="AW88">
        <f t="shared" si="105"/>
        <v>0</v>
      </c>
      <c r="AX88">
        <f t="shared" si="105"/>
        <v>0</v>
      </c>
      <c r="AY88">
        <f t="shared" si="106"/>
        <v>0</v>
      </c>
    </row>
    <row r="89" spans="1:53" ht="15" x14ac:dyDescent="0.25">
      <c r="A89" s="1"/>
      <c r="B89" s="2"/>
      <c r="C89" s="1" t="s">
        <v>13</v>
      </c>
      <c r="D89">
        <v>0</v>
      </c>
      <c r="E89" s="360">
        <v>0.3357</v>
      </c>
      <c r="F89">
        <v>0</v>
      </c>
      <c r="G89">
        <v>0</v>
      </c>
      <c r="H89">
        <v>0</v>
      </c>
      <c r="J89">
        <v>0</v>
      </c>
      <c r="K89">
        <v>0</v>
      </c>
      <c r="L89">
        <v>0</v>
      </c>
      <c r="M89">
        <v>0</v>
      </c>
      <c r="N89">
        <v>0</v>
      </c>
      <c r="O89" s="20"/>
      <c r="P89" s="20"/>
      <c r="Q89" s="438">
        <v>0.15678616731857331</v>
      </c>
      <c r="R89" s="197">
        <v>0.38700000000000001</v>
      </c>
      <c r="S89" s="197">
        <v>2.48</v>
      </c>
      <c r="T89" s="197">
        <v>0.72182006204756977</v>
      </c>
      <c r="U89" s="197">
        <v>0.90789473684210531</v>
      </c>
      <c r="V89" s="20">
        <f t="shared" si="96"/>
        <v>0.20369016034743037</v>
      </c>
      <c r="W89" s="20">
        <f t="shared" si="96"/>
        <v>0</v>
      </c>
      <c r="X89" s="20">
        <f t="shared" si="96"/>
        <v>0</v>
      </c>
      <c r="Y89" s="20">
        <f t="shared" si="96"/>
        <v>0</v>
      </c>
      <c r="Z89" s="20">
        <f t="shared" si="97"/>
        <v>0.15736870971795783</v>
      </c>
      <c r="AA89" s="20">
        <f t="shared" si="97"/>
        <v>0</v>
      </c>
      <c r="AB89" s="20">
        <f t="shared" si="97"/>
        <v>0</v>
      </c>
      <c r="AC89" s="20">
        <f t="shared" si="97"/>
        <v>0</v>
      </c>
      <c r="AD89" s="20">
        <f t="shared" si="98"/>
        <v>0.15736870971795783</v>
      </c>
      <c r="AE89" s="20">
        <f t="shared" si="99"/>
        <v>1.3053012859473576</v>
      </c>
      <c r="AF89" s="20">
        <f t="shared" si="99"/>
        <v>0</v>
      </c>
      <c r="AG89" s="20">
        <f t="shared" si="99"/>
        <v>0</v>
      </c>
      <c r="AH89" s="20">
        <f t="shared" si="99"/>
        <v>0</v>
      </c>
      <c r="AI89" s="20">
        <f t="shared" si="100"/>
        <v>1.2070175833326102</v>
      </c>
      <c r="AJ89" s="20">
        <f t="shared" si="100"/>
        <v>0</v>
      </c>
      <c r="AK89" s="20">
        <f t="shared" si="100"/>
        <v>0</v>
      </c>
      <c r="AL89" s="20">
        <f t="shared" si="100"/>
        <v>0</v>
      </c>
      <c r="AM89" s="20">
        <f t="shared" si="101"/>
        <v>1.2070175833326102</v>
      </c>
      <c r="AO89">
        <f t="shared" si="102"/>
        <v>0.16813272946266614</v>
      </c>
      <c r="AP89">
        <f t="shared" si="102"/>
        <v>0</v>
      </c>
      <c r="AQ89">
        <f t="shared" si="102"/>
        <v>0</v>
      </c>
      <c r="AR89">
        <f t="shared" si="102"/>
        <v>0</v>
      </c>
      <c r="AS89">
        <f t="shared" si="103"/>
        <v>0.16813272946266614</v>
      </c>
      <c r="AU89">
        <f t="shared" si="104"/>
        <v>1.2895775860325607</v>
      </c>
      <c r="AV89">
        <f t="shared" si="105"/>
        <v>0</v>
      </c>
      <c r="AW89">
        <f t="shared" si="105"/>
        <v>0</v>
      </c>
      <c r="AX89">
        <f t="shared" si="105"/>
        <v>0</v>
      </c>
      <c r="AY89">
        <f t="shared" si="106"/>
        <v>1.2895775860325607</v>
      </c>
    </row>
    <row r="90" spans="1:53" ht="15" x14ac:dyDescent="0.25">
      <c r="A90" s="7"/>
      <c r="B90" s="8" t="s">
        <v>14</v>
      </c>
      <c r="C90" s="7"/>
      <c r="D90" s="357">
        <f t="shared" ref="D90:H90" si="107">SUM(D84:D89)</f>
        <v>0</v>
      </c>
      <c r="E90" s="363">
        <f>SUM(E84:E89)</f>
        <v>231.7655</v>
      </c>
      <c r="F90" s="357">
        <f t="shared" si="107"/>
        <v>0</v>
      </c>
      <c r="G90" s="357">
        <f t="shared" si="107"/>
        <v>0</v>
      </c>
      <c r="H90" s="357">
        <f t="shared" si="107"/>
        <v>0</v>
      </c>
      <c r="J90">
        <v>0</v>
      </c>
      <c r="K90">
        <v>0</v>
      </c>
      <c r="L90">
        <v>0</v>
      </c>
      <c r="M90">
        <v>0</v>
      </c>
      <c r="N90">
        <v>0</v>
      </c>
      <c r="O90" s="20"/>
      <c r="P90" s="20"/>
      <c r="Q90" s="438">
        <v>9.7604539497599313E-2</v>
      </c>
      <c r="R90" s="197"/>
      <c r="S90" s="197"/>
      <c r="T90" s="197"/>
      <c r="U90" s="197"/>
      <c r="BA90" s="319">
        <f>(E90*10000*Q90*AU$10)</f>
        <v>241686.66258017725</v>
      </c>
    </row>
    <row r="91" spans="1:53" ht="15" x14ac:dyDescent="0.25">
      <c r="A91" s="10"/>
      <c r="B91" s="9" t="s">
        <v>15</v>
      </c>
      <c r="C91" s="5"/>
      <c r="E91" s="363">
        <f>SUM(E90)</f>
        <v>231.7655</v>
      </c>
      <c r="H91" s="358">
        <f>SUM(D90:H90)</f>
        <v>231.7655</v>
      </c>
      <c r="K91" s="14"/>
      <c r="N91">
        <v>0</v>
      </c>
      <c r="O91" s="20"/>
      <c r="P91" s="20"/>
      <c r="Q91" s="438"/>
      <c r="R91" s="197"/>
      <c r="S91" s="197"/>
      <c r="T91" s="197"/>
      <c r="U91" s="197"/>
    </row>
    <row r="92" spans="1:53" ht="15.75" x14ac:dyDescent="0.25">
      <c r="A92" s="1"/>
      <c r="B92" s="2"/>
      <c r="C92" s="1"/>
      <c r="E92" s="361"/>
      <c r="K92" s="14"/>
      <c r="O92" s="20"/>
      <c r="P92" s="20"/>
      <c r="Q92" s="439"/>
      <c r="R92" s="197"/>
      <c r="S92" s="197"/>
      <c r="T92" s="197"/>
      <c r="U92" s="197"/>
    </row>
    <row r="93" spans="1:53" ht="15" x14ac:dyDescent="0.25">
      <c r="A93" s="1">
        <v>10</v>
      </c>
      <c r="B93" s="2" t="s">
        <v>24</v>
      </c>
      <c r="C93" s="1" t="s">
        <v>8</v>
      </c>
      <c r="D93">
        <v>0</v>
      </c>
      <c r="E93" s="360">
        <v>125.95440000000001</v>
      </c>
      <c r="F93">
        <v>0</v>
      </c>
      <c r="G93">
        <v>0</v>
      </c>
      <c r="H93">
        <v>0</v>
      </c>
      <c r="J93">
        <v>0</v>
      </c>
      <c r="K93">
        <v>0</v>
      </c>
      <c r="L93">
        <v>0</v>
      </c>
      <c r="M93">
        <v>0</v>
      </c>
      <c r="N93">
        <v>0</v>
      </c>
      <c r="O93" s="20"/>
      <c r="P93" s="20"/>
      <c r="Q93" s="438">
        <v>4.5946541829643334E-2</v>
      </c>
      <c r="R93" s="197">
        <v>0.66599999999999993</v>
      </c>
      <c r="S93" s="197">
        <v>4.5549999999999997</v>
      </c>
      <c r="T93" s="197">
        <v>0.60039794540960334</v>
      </c>
      <c r="U93" s="197">
        <v>0.90789473684210531</v>
      </c>
      <c r="V93" s="20">
        <f t="shared" ref="V93:Y98" si="108">IF(K93&gt;0,((E93-K93)*$Q93*$R93*10)+(K93*$O$12*$Q93*$R93*10),(E93*$Q93*$R93*10))</f>
        <v>38.542546260796001</v>
      </c>
      <c r="W93" s="20">
        <f t="shared" si="108"/>
        <v>0</v>
      </c>
      <c r="X93" s="20">
        <f t="shared" si="108"/>
        <v>0</v>
      </c>
      <c r="Y93" s="20">
        <f t="shared" si="108"/>
        <v>0</v>
      </c>
      <c r="Z93" s="20">
        <f t="shared" ref="Z93:AC98" si="109">V93*(EXP(1.01-0.34*LN(Z$8))*(1-$T93)+(1*$T93))</f>
        <v>25.951714803651353</v>
      </c>
      <c r="AA93" s="20">
        <f t="shared" si="109"/>
        <v>0</v>
      </c>
      <c r="AB93" s="20">
        <f t="shared" si="109"/>
        <v>0</v>
      </c>
      <c r="AC93" s="20">
        <f t="shared" si="109"/>
        <v>0</v>
      </c>
      <c r="AD93" s="20">
        <f t="shared" ref="AD93:AD98" si="110">SUM(Z93:AC93)</f>
        <v>25.951714803651353</v>
      </c>
      <c r="AE93" s="20">
        <f t="shared" ref="AE93:AH98" si="111">IF(K93&gt;0,((E93-K93)*$Q93*$S93*10)+(K93*$P$12*$Q93*$S93)*10,(E93*$Q93*$S93*10))</f>
        <v>263.60555287976842</v>
      </c>
      <c r="AF93" s="20">
        <f t="shared" si="111"/>
        <v>0</v>
      </c>
      <c r="AG93" s="20">
        <f t="shared" si="111"/>
        <v>0</v>
      </c>
      <c r="AH93" s="20">
        <f t="shared" si="111"/>
        <v>0</v>
      </c>
      <c r="AI93" s="20">
        <f t="shared" ref="AI93:AL98" si="112">AE93*(EXP(1.01-0.34*LN(AI$8))*(1-$U93)+(1*$U93))</f>
        <v>243.75716228538724</v>
      </c>
      <c r="AJ93" s="20">
        <f t="shared" si="112"/>
        <v>0</v>
      </c>
      <c r="AK93" s="20">
        <f t="shared" si="112"/>
        <v>0</v>
      </c>
      <c r="AL93" s="20">
        <f t="shared" si="112"/>
        <v>0</v>
      </c>
      <c r="AM93" s="20">
        <f t="shared" ref="AM93:AM98" si="113">SUM(AI93:AL93)</f>
        <v>243.75716228538724</v>
      </c>
      <c r="AO93">
        <f t="shared" ref="AO93:AR98" si="114">Z93*AO$10</f>
        <v>27.726812096221106</v>
      </c>
      <c r="AP93">
        <f t="shared" si="114"/>
        <v>0</v>
      </c>
      <c r="AQ93">
        <f t="shared" si="114"/>
        <v>0</v>
      </c>
      <c r="AR93">
        <f t="shared" si="114"/>
        <v>0</v>
      </c>
      <c r="AS93">
        <f t="shared" ref="AS93:AS98" si="115">SUM(AO93:AR93)</f>
        <v>27.726812096221106</v>
      </c>
      <c r="AU93">
        <f t="shared" ref="AU93:AU98" si="116">AI93*AU$10</f>
        <v>260.43015218570775</v>
      </c>
      <c r="AV93">
        <f t="shared" ref="AV93:AX98" si="117">AJ93*AV$10</f>
        <v>0</v>
      </c>
      <c r="AW93">
        <f t="shared" si="117"/>
        <v>0</v>
      </c>
      <c r="AX93">
        <f t="shared" si="117"/>
        <v>0</v>
      </c>
      <c r="AY93">
        <f t="shared" ref="AY93:AY98" si="118">SUM(AU93:AX93)</f>
        <v>260.43015218570775</v>
      </c>
    </row>
    <row r="94" spans="1:53" ht="15" x14ac:dyDescent="0.25">
      <c r="A94" s="1"/>
      <c r="B94" s="2"/>
      <c r="C94" s="1" t="s">
        <v>9</v>
      </c>
      <c r="D94">
        <v>0</v>
      </c>
      <c r="E94" s="360">
        <v>5.7535999999999996</v>
      </c>
      <c r="F94">
        <v>0</v>
      </c>
      <c r="G94">
        <v>0</v>
      </c>
      <c r="H94">
        <v>0</v>
      </c>
      <c r="J94">
        <v>0</v>
      </c>
      <c r="K94">
        <v>0</v>
      </c>
      <c r="L94">
        <v>0</v>
      </c>
      <c r="M94">
        <v>0</v>
      </c>
      <c r="N94">
        <v>0</v>
      </c>
      <c r="O94" s="20"/>
      <c r="P94" s="20"/>
      <c r="Q94" s="438">
        <v>8.2893083659286673E-2</v>
      </c>
      <c r="R94" s="197">
        <v>0.66599999999999993</v>
      </c>
      <c r="S94" s="197">
        <v>4.5549999999999997</v>
      </c>
      <c r="T94" s="197">
        <v>0.60039794540960334</v>
      </c>
      <c r="U94" s="197">
        <v>0.90789473684210531</v>
      </c>
      <c r="V94" s="20">
        <f t="shared" si="108"/>
        <v>3.1763780833061976</v>
      </c>
      <c r="W94" s="20">
        <f t="shared" si="108"/>
        <v>0</v>
      </c>
      <c r="X94" s="20">
        <f t="shared" si="108"/>
        <v>0</v>
      </c>
      <c r="Y94" s="20">
        <f t="shared" si="108"/>
        <v>0</v>
      </c>
      <c r="Z94" s="20">
        <f t="shared" si="109"/>
        <v>2.1387392926444586</v>
      </c>
      <c r="AA94" s="20">
        <f t="shared" si="109"/>
        <v>0</v>
      </c>
      <c r="AB94" s="20">
        <f t="shared" si="109"/>
        <v>0</v>
      </c>
      <c r="AC94" s="20">
        <f t="shared" si="109"/>
        <v>0</v>
      </c>
      <c r="AD94" s="20">
        <f t="shared" si="110"/>
        <v>2.1387392926444586</v>
      </c>
      <c r="AE94" s="20">
        <f t="shared" si="111"/>
        <v>21.724327581771369</v>
      </c>
      <c r="AF94" s="20">
        <f t="shared" si="111"/>
        <v>0</v>
      </c>
      <c r="AG94" s="20">
        <f t="shared" si="111"/>
        <v>0</v>
      </c>
      <c r="AH94" s="20">
        <f t="shared" si="111"/>
        <v>0</v>
      </c>
      <c r="AI94" s="20">
        <f t="shared" si="112"/>
        <v>20.088576989522064</v>
      </c>
      <c r="AJ94" s="20">
        <f t="shared" si="112"/>
        <v>0</v>
      </c>
      <c r="AK94" s="20">
        <f t="shared" si="112"/>
        <v>0</v>
      </c>
      <c r="AL94" s="20">
        <f t="shared" si="112"/>
        <v>0</v>
      </c>
      <c r="AM94" s="20">
        <f t="shared" si="113"/>
        <v>20.088576989522064</v>
      </c>
      <c r="AO94">
        <f t="shared" si="114"/>
        <v>2.2850290602613397</v>
      </c>
      <c r="AP94">
        <f t="shared" si="114"/>
        <v>0</v>
      </c>
      <c r="AQ94">
        <f t="shared" si="114"/>
        <v>0</v>
      </c>
      <c r="AR94">
        <f t="shared" si="114"/>
        <v>0</v>
      </c>
      <c r="AS94">
        <f t="shared" si="115"/>
        <v>2.2850290602613397</v>
      </c>
      <c r="AU94">
        <f t="shared" si="116"/>
        <v>21.462635655605375</v>
      </c>
      <c r="AV94">
        <f t="shared" si="117"/>
        <v>0</v>
      </c>
      <c r="AW94">
        <f t="shared" si="117"/>
        <v>0</v>
      </c>
      <c r="AX94">
        <f t="shared" si="117"/>
        <v>0</v>
      </c>
      <c r="AY94">
        <f t="shared" si="118"/>
        <v>21.462635655605375</v>
      </c>
    </row>
    <row r="95" spans="1:53" ht="15" x14ac:dyDescent="0.25">
      <c r="A95" s="1"/>
      <c r="B95" s="2"/>
      <c r="C95" s="1" t="s">
        <v>10</v>
      </c>
      <c r="D95">
        <v>0</v>
      </c>
      <c r="E95" s="360"/>
      <c r="F95">
        <v>0</v>
      </c>
      <c r="G95">
        <v>0</v>
      </c>
      <c r="H95">
        <v>0</v>
      </c>
      <c r="J95">
        <v>0</v>
      </c>
      <c r="K95">
        <v>0</v>
      </c>
      <c r="L95">
        <v>0</v>
      </c>
      <c r="M95">
        <v>0</v>
      </c>
      <c r="N95">
        <v>0</v>
      </c>
      <c r="O95" s="20"/>
      <c r="P95" s="20"/>
      <c r="Q95" s="438"/>
      <c r="R95" s="197">
        <v>0.66599999999999993</v>
      </c>
      <c r="S95" s="197">
        <v>4.5549999999999997</v>
      </c>
      <c r="T95" s="197">
        <v>0.60039794540960334</v>
      </c>
      <c r="U95" s="197">
        <v>0.90789473684210531</v>
      </c>
      <c r="V95" s="20">
        <f t="shared" si="108"/>
        <v>0</v>
      </c>
      <c r="W95" s="20">
        <f t="shared" si="108"/>
        <v>0</v>
      </c>
      <c r="X95" s="20">
        <f t="shared" si="108"/>
        <v>0</v>
      </c>
      <c r="Y95" s="20">
        <f t="shared" si="108"/>
        <v>0</v>
      </c>
      <c r="Z95" s="20">
        <f t="shared" si="109"/>
        <v>0</v>
      </c>
      <c r="AA95" s="20">
        <f t="shared" si="109"/>
        <v>0</v>
      </c>
      <c r="AB95" s="20">
        <f t="shared" si="109"/>
        <v>0</v>
      </c>
      <c r="AC95" s="20">
        <f t="shared" si="109"/>
        <v>0</v>
      </c>
      <c r="AD95" s="20">
        <f t="shared" si="110"/>
        <v>0</v>
      </c>
      <c r="AE95" s="20">
        <f t="shared" si="111"/>
        <v>0</v>
      </c>
      <c r="AF95" s="20">
        <f t="shared" si="111"/>
        <v>0</v>
      </c>
      <c r="AG95" s="20">
        <f t="shared" si="111"/>
        <v>0</v>
      </c>
      <c r="AH95" s="20">
        <f t="shared" si="111"/>
        <v>0</v>
      </c>
      <c r="AI95" s="20">
        <f t="shared" si="112"/>
        <v>0</v>
      </c>
      <c r="AJ95" s="20">
        <f t="shared" si="112"/>
        <v>0</v>
      </c>
      <c r="AK95" s="20">
        <f t="shared" si="112"/>
        <v>0</v>
      </c>
      <c r="AL95" s="20">
        <f t="shared" si="112"/>
        <v>0</v>
      </c>
      <c r="AM95" s="20">
        <f t="shared" si="113"/>
        <v>0</v>
      </c>
      <c r="AO95">
        <f t="shared" si="114"/>
        <v>0</v>
      </c>
      <c r="AP95">
        <f t="shared" si="114"/>
        <v>0</v>
      </c>
      <c r="AQ95">
        <f t="shared" si="114"/>
        <v>0</v>
      </c>
      <c r="AR95">
        <f t="shared" si="114"/>
        <v>0</v>
      </c>
      <c r="AS95">
        <f t="shared" si="115"/>
        <v>0</v>
      </c>
      <c r="AU95">
        <f t="shared" si="116"/>
        <v>0</v>
      </c>
      <c r="AV95">
        <f t="shared" si="117"/>
        <v>0</v>
      </c>
      <c r="AW95">
        <f t="shared" si="117"/>
        <v>0</v>
      </c>
      <c r="AX95">
        <f t="shared" si="117"/>
        <v>0</v>
      </c>
      <c r="AY95">
        <f t="shared" si="118"/>
        <v>0</v>
      </c>
    </row>
    <row r="96" spans="1:53" ht="15" x14ac:dyDescent="0.25">
      <c r="A96" s="1"/>
      <c r="B96" s="2"/>
      <c r="C96" s="1" t="s">
        <v>11</v>
      </c>
      <c r="D96">
        <v>0</v>
      </c>
      <c r="E96" s="360">
        <v>55.817700000000002</v>
      </c>
      <c r="F96">
        <v>0</v>
      </c>
      <c r="G96">
        <v>0</v>
      </c>
      <c r="H96">
        <v>0</v>
      </c>
      <c r="J96">
        <v>0</v>
      </c>
      <c r="K96">
        <v>0</v>
      </c>
      <c r="L96">
        <v>0</v>
      </c>
      <c r="M96">
        <v>0</v>
      </c>
      <c r="N96">
        <v>0</v>
      </c>
      <c r="O96" s="20"/>
      <c r="P96" s="20"/>
      <c r="Q96" s="438">
        <v>0.15678616731857331</v>
      </c>
      <c r="R96" s="197">
        <v>0.66599999999999993</v>
      </c>
      <c r="S96" s="197">
        <v>4.5549999999999997</v>
      </c>
      <c r="T96" s="197">
        <v>0.60039794540960334</v>
      </c>
      <c r="U96" s="197">
        <v>0.90789473684210531</v>
      </c>
      <c r="V96" s="20">
        <f t="shared" si="108"/>
        <v>58.284612055242604</v>
      </c>
      <c r="W96" s="20">
        <f t="shared" si="108"/>
        <v>0</v>
      </c>
      <c r="X96" s="20">
        <f t="shared" si="108"/>
        <v>0</v>
      </c>
      <c r="Y96" s="20">
        <f t="shared" si="108"/>
        <v>0</v>
      </c>
      <c r="Z96" s="20">
        <f t="shared" si="109"/>
        <v>39.244569345893467</v>
      </c>
      <c r="AA96" s="20">
        <f t="shared" si="109"/>
        <v>0</v>
      </c>
      <c r="AB96" s="20">
        <f t="shared" si="109"/>
        <v>0</v>
      </c>
      <c r="AC96" s="20">
        <f t="shared" si="109"/>
        <v>0</v>
      </c>
      <c r="AD96" s="20">
        <f t="shared" si="110"/>
        <v>39.244569345893467</v>
      </c>
      <c r="AE96" s="20">
        <f t="shared" si="111"/>
        <v>398.6282401075527</v>
      </c>
      <c r="AF96" s="20">
        <f t="shared" si="111"/>
        <v>0</v>
      </c>
      <c r="AG96" s="20">
        <f t="shared" si="111"/>
        <v>0</v>
      </c>
      <c r="AH96" s="20">
        <f t="shared" si="111"/>
        <v>0</v>
      </c>
      <c r="AI96" s="20">
        <f t="shared" si="112"/>
        <v>368.61320846209173</v>
      </c>
      <c r="AJ96" s="20">
        <f t="shared" si="112"/>
        <v>0</v>
      </c>
      <c r="AK96" s="20">
        <f t="shared" si="112"/>
        <v>0</v>
      </c>
      <c r="AL96" s="20">
        <f t="shared" si="112"/>
        <v>0</v>
      </c>
      <c r="AM96" s="20">
        <f t="shared" si="113"/>
        <v>368.61320846209173</v>
      </c>
      <c r="AO96">
        <f t="shared" si="114"/>
        <v>41.92889788915258</v>
      </c>
      <c r="AP96">
        <f t="shared" si="114"/>
        <v>0</v>
      </c>
      <c r="AQ96">
        <f t="shared" si="114"/>
        <v>0</v>
      </c>
      <c r="AR96">
        <f t="shared" si="114"/>
        <v>0</v>
      </c>
      <c r="AS96">
        <f t="shared" si="115"/>
        <v>41.92889788915258</v>
      </c>
      <c r="AU96">
        <f t="shared" si="116"/>
        <v>393.82635192089879</v>
      </c>
      <c r="AV96">
        <f t="shared" si="117"/>
        <v>0</v>
      </c>
      <c r="AW96">
        <f t="shared" si="117"/>
        <v>0</v>
      </c>
      <c r="AX96">
        <f t="shared" si="117"/>
        <v>0</v>
      </c>
      <c r="AY96">
        <f t="shared" si="118"/>
        <v>393.82635192089879</v>
      </c>
    </row>
    <row r="97" spans="1:53" ht="15" x14ac:dyDescent="0.25">
      <c r="A97" s="1"/>
      <c r="B97" s="2"/>
      <c r="C97" s="1" t="s">
        <v>12</v>
      </c>
      <c r="D97">
        <v>0</v>
      </c>
      <c r="E97" s="360">
        <v>0</v>
      </c>
      <c r="F97">
        <v>0</v>
      </c>
      <c r="G97">
        <v>0</v>
      </c>
      <c r="H9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20"/>
      <c r="P97" s="20"/>
      <c r="Q97" s="438"/>
      <c r="R97" s="197">
        <v>0.66599999999999993</v>
      </c>
      <c r="S97" s="197">
        <v>4.5549999999999997</v>
      </c>
      <c r="T97" s="197">
        <v>0.60039794540960334</v>
      </c>
      <c r="U97" s="197">
        <v>0.90789473684210531</v>
      </c>
      <c r="V97" s="20">
        <f t="shared" si="108"/>
        <v>0</v>
      </c>
      <c r="W97" s="20">
        <f t="shared" si="108"/>
        <v>0</v>
      </c>
      <c r="X97" s="20">
        <f t="shared" si="108"/>
        <v>0</v>
      </c>
      <c r="Y97" s="20">
        <f t="shared" si="108"/>
        <v>0</v>
      </c>
      <c r="Z97" s="20">
        <f t="shared" si="109"/>
        <v>0</v>
      </c>
      <c r="AA97" s="20">
        <f t="shared" si="109"/>
        <v>0</v>
      </c>
      <c r="AB97" s="20">
        <f t="shared" si="109"/>
        <v>0</v>
      </c>
      <c r="AC97" s="20">
        <f t="shared" si="109"/>
        <v>0</v>
      </c>
      <c r="AD97" s="20">
        <f t="shared" si="110"/>
        <v>0</v>
      </c>
      <c r="AE97" s="20">
        <f t="shared" si="111"/>
        <v>0</v>
      </c>
      <c r="AF97" s="20">
        <f t="shared" si="111"/>
        <v>0</v>
      </c>
      <c r="AG97" s="20">
        <f t="shared" si="111"/>
        <v>0</v>
      </c>
      <c r="AH97" s="20">
        <f t="shared" si="111"/>
        <v>0</v>
      </c>
      <c r="AI97" s="20">
        <f t="shared" si="112"/>
        <v>0</v>
      </c>
      <c r="AJ97" s="20">
        <f t="shared" si="112"/>
        <v>0</v>
      </c>
      <c r="AK97" s="20">
        <f t="shared" si="112"/>
        <v>0</v>
      </c>
      <c r="AL97" s="20">
        <f t="shared" si="112"/>
        <v>0</v>
      </c>
      <c r="AM97" s="20">
        <f t="shared" si="113"/>
        <v>0</v>
      </c>
      <c r="AO97">
        <f t="shared" si="114"/>
        <v>0</v>
      </c>
      <c r="AP97">
        <f t="shared" si="114"/>
        <v>0</v>
      </c>
      <c r="AQ97">
        <f t="shared" si="114"/>
        <v>0</v>
      </c>
      <c r="AR97">
        <f t="shared" si="114"/>
        <v>0</v>
      </c>
      <c r="AS97">
        <f t="shared" si="115"/>
        <v>0</v>
      </c>
      <c r="AU97">
        <f t="shared" si="116"/>
        <v>0</v>
      </c>
      <c r="AV97">
        <f t="shared" si="117"/>
        <v>0</v>
      </c>
      <c r="AW97">
        <f t="shared" si="117"/>
        <v>0</v>
      </c>
      <c r="AX97">
        <f t="shared" si="117"/>
        <v>0</v>
      </c>
      <c r="AY97">
        <f t="shared" si="118"/>
        <v>0</v>
      </c>
    </row>
    <row r="98" spans="1:53" ht="15" x14ac:dyDescent="0.25">
      <c r="A98" s="1"/>
      <c r="B98" s="2"/>
      <c r="C98" s="1" t="s">
        <v>13</v>
      </c>
      <c r="D98">
        <v>0</v>
      </c>
      <c r="E98" s="360">
        <v>0.22670000000000001</v>
      </c>
      <c r="F98">
        <v>0</v>
      </c>
      <c r="G98">
        <v>0</v>
      </c>
      <c r="H98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20"/>
      <c r="P98" s="20"/>
      <c r="Q98" s="438">
        <v>0.15678616731857334</v>
      </c>
      <c r="R98" s="197">
        <v>0.66599999999999993</v>
      </c>
      <c r="S98" s="197">
        <v>4.5549999999999997</v>
      </c>
      <c r="T98" s="197">
        <v>0.60039794540960334</v>
      </c>
      <c r="U98" s="197">
        <v>0.90789473684210531</v>
      </c>
      <c r="V98" s="20">
        <f t="shared" si="108"/>
        <v>0.23671920471326299</v>
      </c>
      <c r="W98" s="20">
        <f t="shared" si="108"/>
        <v>0</v>
      </c>
      <c r="X98" s="20">
        <f t="shared" si="108"/>
        <v>0</v>
      </c>
      <c r="Y98" s="20">
        <f t="shared" si="108"/>
        <v>0</v>
      </c>
      <c r="Z98" s="20">
        <f t="shared" si="109"/>
        <v>0.15938929534384344</v>
      </c>
      <c r="AA98" s="20">
        <f t="shared" si="109"/>
        <v>0</v>
      </c>
      <c r="AB98" s="20">
        <f t="shared" si="109"/>
        <v>0</v>
      </c>
      <c r="AC98" s="20">
        <f t="shared" si="109"/>
        <v>0</v>
      </c>
      <c r="AD98" s="20">
        <f t="shared" si="110"/>
        <v>0.15938929534384344</v>
      </c>
      <c r="AE98" s="20">
        <f t="shared" si="111"/>
        <v>1.6190029691725423</v>
      </c>
      <c r="AF98" s="20">
        <f t="shared" si="111"/>
        <v>0</v>
      </c>
      <c r="AG98" s="20">
        <f t="shared" si="111"/>
        <v>0</v>
      </c>
      <c r="AH98" s="20">
        <f t="shared" si="111"/>
        <v>0</v>
      </c>
      <c r="AI98" s="20">
        <f t="shared" si="112"/>
        <v>1.497098847827055</v>
      </c>
      <c r="AJ98" s="20">
        <f t="shared" si="112"/>
        <v>0</v>
      </c>
      <c r="AK98" s="20">
        <f t="shared" si="112"/>
        <v>0</v>
      </c>
      <c r="AL98" s="20">
        <f t="shared" si="112"/>
        <v>0</v>
      </c>
      <c r="AM98" s="20">
        <f t="shared" si="113"/>
        <v>1.497098847827055</v>
      </c>
      <c r="AO98">
        <f t="shared" si="114"/>
        <v>0.17029152314536233</v>
      </c>
      <c r="AP98">
        <f t="shared" si="114"/>
        <v>0</v>
      </c>
      <c r="AQ98">
        <f t="shared" si="114"/>
        <v>0</v>
      </c>
      <c r="AR98">
        <f t="shared" si="114"/>
        <v>0</v>
      </c>
      <c r="AS98">
        <f t="shared" si="115"/>
        <v>0.17029152314536233</v>
      </c>
      <c r="AU98">
        <f t="shared" si="116"/>
        <v>1.5995004090184257</v>
      </c>
      <c r="AV98">
        <f t="shared" si="117"/>
        <v>0</v>
      </c>
      <c r="AW98">
        <f t="shared" si="117"/>
        <v>0</v>
      </c>
      <c r="AX98">
        <f t="shared" si="117"/>
        <v>0</v>
      </c>
      <c r="AY98">
        <f t="shared" si="118"/>
        <v>1.5995004090184257</v>
      </c>
    </row>
    <row r="99" spans="1:53" ht="15" x14ac:dyDescent="0.25">
      <c r="A99" s="7"/>
      <c r="B99" s="8" t="s">
        <v>14</v>
      </c>
      <c r="C99" s="7"/>
      <c r="D99" s="357">
        <f t="shared" ref="D99:H99" si="119">SUM(D93:D98)</f>
        <v>0</v>
      </c>
      <c r="E99" s="363">
        <f>SUM(E93:E98)</f>
        <v>187.75239999999999</v>
      </c>
      <c r="F99" s="357">
        <f t="shared" si="119"/>
        <v>0</v>
      </c>
      <c r="G99" s="357">
        <f t="shared" si="119"/>
        <v>0</v>
      </c>
      <c r="H99" s="357">
        <f t="shared" si="119"/>
        <v>0</v>
      </c>
      <c r="J99">
        <v>0</v>
      </c>
      <c r="K99">
        <v>0</v>
      </c>
      <c r="L99">
        <v>0</v>
      </c>
      <c r="M99">
        <v>0</v>
      </c>
      <c r="N99">
        <v>0</v>
      </c>
      <c r="O99" s="20"/>
      <c r="P99" s="20"/>
      <c r="Q99" s="438">
        <v>8.0164564767421093E-2</v>
      </c>
      <c r="R99" s="197"/>
      <c r="S99" s="197"/>
      <c r="T99" s="197"/>
      <c r="U99" s="197"/>
      <c r="BA99" s="319">
        <f>(E99*10000*Q99*AU$10)</f>
        <v>160805.83947053403</v>
      </c>
    </row>
    <row r="100" spans="1:53" ht="15" x14ac:dyDescent="0.25">
      <c r="A100" s="10"/>
      <c r="B100" s="9" t="s">
        <v>15</v>
      </c>
      <c r="C100" s="5"/>
      <c r="E100" s="363">
        <f>SUM(E99)</f>
        <v>187.75239999999999</v>
      </c>
      <c r="H100" s="358">
        <f>SUM(D99:H99)</f>
        <v>187.75239999999999</v>
      </c>
      <c r="K100" s="14"/>
      <c r="N100">
        <v>0</v>
      </c>
      <c r="O100" s="20"/>
      <c r="P100" s="20"/>
      <c r="Q100" s="438"/>
      <c r="R100" s="197"/>
      <c r="S100" s="197"/>
      <c r="T100" s="197"/>
      <c r="U100" s="197"/>
    </row>
    <row r="101" spans="1:53" ht="15.75" x14ac:dyDescent="0.25">
      <c r="A101" s="1"/>
      <c r="B101" s="2"/>
      <c r="C101" s="1"/>
      <c r="E101" s="361"/>
      <c r="K101" s="14"/>
      <c r="O101" s="20"/>
      <c r="P101" s="20"/>
      <c r="Q101" s="439"/>
      <c r="R101" s="197"/>
      <c r="S101" s="197"/>
      <c r="T101" s="197"/>
      <c r="U101" s="197"/>
    </row>
    <row r="102" spans="1:53" ht="15" x14ac:dyDescent="0.25">
      <c r="A102" s="1">
        <v>11</v>
      </c>
      <c r="B102" s="2" t="s">
        <v>25</v>
      </c>
      <c r="C102" s="1" t="s">
        <v>8</v>
      </c>
      <c r="D102">
        <v>0</v>
      </c>
      <c r="E102" s="360">
        <v>9.1846999999999994</v>
      </c>
      <c r="F102">
        <v>0</v>
      </c>
      <c r="G102">
        <v>0</v>
      </c>
      <c r="H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 s="20"/>
      <c r="P102" s="20"/>
      <c r="Q102" s="438">
        <v>4.5946541829643334E-2</v>
      </c>
      <c r="R102" s="197">
        <v>0.14000000000000001</v>
      </c>
      <c r="S102" s="197">
        <v>2.0499999999999998</v>
      </c>
      <c r="T102" s="197">
        <v>0.62857142857142845</v>
      </c>
      <c r="U102" s="197">
        <v>0.90789473684210531</v>
      </c>
      <c r="V102" s="20">
        <f t="shared" ref="V102:Y107" si="120">IF(K102&gt;0,((E102-K102)*$Q102*$R102*10)+(K102*$O$12*$Q102*$R102*10),(E102*$Q102*$R102*10))</f>
        <v>0.59080728383981529</v>
      </c>
      <c r="W102" s="20">
        <f t="shared" si="120"/>
        <v>0</v>
      </c>
      <c r="X102" s="20">
        <f t="shared" si="120"/>
        <v>0</v>
      </c>
      <c r="Y102" s="20">
        <f t="shared" si="120"/>
        <v>0</v>
      </c>
      <c r="Z102" s="20">
        <f t="shared" ref="Z102:AC107" si="121">V102*(EXP(1.01-0.34*LN(Z$8))*(1-$T102)+(1*$T102))</f>
        <v>0.41141347761622216</v>
      </c>
      <c r="AA102" s="20">
        <f t="shared" si="121"/>
        <v>0</v>
      </c>
      <c r="AB102" s="20">
        <f t="shared" si="121"/>
        <v>0</v>
      </c>
      <c r="AC102" s="20">
        <f t="shared" si="121"/>
        <v>0</v>
      </c>
      <c r="AD102" s="20">
        <f t="shared" ref="AD102:AD107" si="122">SUM(Z102:AC102)</f>
        <v>0.41141347761622216</v>
      </c>
      <c r="AE102" s="20">
        <f t="shared" ref="AE102:AH107" si="123">IF(K102&gt;0,((E102-K102)*$Q102*$S102*10)+(K102*$P$12*$Q102*$S102)*10,(E102*$Q102*$S102*10))</f>
        <v>8.6511066562258634</v>
      </c>
      <c r="AF102" s="20">
        <f t="shared" si="123"/>
        <v>0</v>
      </c>
      <c r="AG102" s="20">
        <f t="shared" si="123"/>
        <v>0</v>
      </c>
      <c r="AH102" s="20">
        <f t="shared" si="123"/>
        <v>0</v>
      </c>
      <c r="AI102" s="20">
        <f t="shared" ref="AI102:AL107" si="124">AE102*(EXP(1.01-0.34*LN(AI$8))*(1-$U102)+(1*$U102))</f>
        <v>7.9997146725951547</v>
      </c>
      <c r="AJ102" s="20">
        <f t="shared" si="124"/>
        <v>0</v>
      </c>
      <c r="AK102" s="20">
        <f t="shared" si="124"/>
        <v>0</v>
      </c>
      <c r="AL102" s="20">
        <f t="shared" si="124"/>
        <v>0</v>
      </c>
      <c r="AM102" s="20">
        <f t="shared" ref="AM102:AM107" si="125">SUM(AI102:AL102)</f>
        <v>7.9997146725951547</v>
      </c>
      <c r="AO102">
        <f t="shared" ref="AO102:AR107" si="126">Z102*AO$10</f>
        <v>0.43955415948517174</v>
      </c>
      <c r="AP102">
        <f t="shared" si="126"/>
        <v>0</v>
      </c>
      <c r="AQ102">
        <f t="shared" si="126"/>
        <v>0</v>
      </c>
      <c r="AR102">
        <f t="shared" si="126"/>
        <v>0</v>
      </c>
      <c r="AS102">
        <f t="shared" ref="AS102:AS107" si="127">SUM(AO102:AR102)</f>
        <v>0.43955415948517174</v>
      </c>
      <c r="AU102">
        <f t="shared" ref="AU102:AU107" si="128">AI102*AU$10</f>
        <v>8.5468951562006641</v>
      </c>
      <c r="AV102">
        <f t="shared" ref="AV102:AX107" si="129">AJ102*AV$10</f>
        <v>0</v>
      </c>
      <c r="AW102">
        <f t="shared" si="129"/>
        <v>0</v>
      </c>
      <c r="AX102">
        <f t="shared" si="129"/>
        <v>0</v>
      </c>
      <c r="AY102">
        <f t="shared" ref="AY102:AY107" si="130">SUM(AU102:AX102)</f>
        <v>8.5468951562006641</v>
      </c>
    </row>
    <row r="103" spans="1:53" ht="15" x14ac:dyDescent="0.25">
      <c r="A103" s="1"/>
      <c r="B103" s="2"/>
      <c r="C103" s="1" t="s">
        <v>9</v>
      </c>
      <c r="D103">
        <v>0</v>
      </c>
      <c r="E103" s="360">
        <v>0</v>
      </c>
      <c r="F103">
        <v>0</v>
      </c>
      <c r="G103">
        <v>0</v>
      </c>
      <c r="H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 s="20"/>
      <c r="P103" s="20"/>
      <c r="Q103" s="438"/>
      <c r="R103" s="197">
        <v>0.14000000000000001</v>
      </c>
      <c r="S103" s="197">
        <v>2.0499999999999998</v>
      </c>
      <c r="T103" s="197">
        <v>0.62857142857142845</v>
      </c>
      <c r="U103" s="197">
        <v>0.90789473684210531</v>
      </c>
      <c r="V103" s="20">
        <f t="shared" si="120"/>
        <v>0</v>
      </c>
      <c r="W103" s="20">
        <f t="shared" si="120"/>
        <v>0</v>
      </c>
      <c r="X103" s="20">
        <f t="shared" si="120"/>
        <v>0</v>
      </c>
      <c r="Y103" s="20">
        <f t="shared" si="120"/>
        <v>0</v>
      </c>
      <c r="Z103" s="20">
        <f t="shared" si="121"/>
        <v>0</v>
      </c>
      <c r="AA103" s="20">
        <f t="shared" si="121"/>
        <v>0</v>
      </c>
      <c r="AB103" s="20">
        <f t="shared" si="121"/>
        <v>0</v>
      </c>
      <c r="AC103" s="20">
        <f t="shared" si="121"/>
        <v>0</v>
      </c>
      <c r="AD103" s="20">
        <f t="shared" si="122"/>
        <v>0</v>
      </c>
      <c r="AE103" s="20">
        <f t="shared" si="123"/>
        <v>0</v>
      </c>
      <c r="AF103" s="20">
        <f t="shared" si="123"/>
        <v>0</v>
      </c>
      <c r="AG103" s="20">
        <f t="shared" si="123"/>
        <v>0</v>
      </c>
      <c r="AH103" s="20">
        <f t="shared" si="123"/>
        <v>0</v>
      </c>
      <c r="AI103" s="20">
        <f t="shared" si="124"/>
        <v>0</v>
      </c>
      <c r="AJ103" s="20">
        <f t="shared" si="124"/>
        <v>0</v>
      </c>
      <c r="AK103" s="20">
        <f t="shared" si="124"/>
        <v>0</v>
      </c>
      <c r="AL103" s="20">
        <f t="shared" si="124"/>
        <v>0</v>
      </c>
      <c r="AM103" s="20">
        <f t="shared" si="125"/>
        <v>0</v>
      </c>
      <c r="AO103">
        <f t="shared" si="126"/>
        <v>0</v>
      </c>
      <c r="AP103">
        <f t="shared" si="126"/>
        <v>0</v>
      </c>
      <c r="AQ103">
        <f t="shared" si="126"/>
        <v>0</v>
      </c>
      <c r="AR103">
        <f t="shared" si="126"/>
        <v>0</v>
      </c>
      <c r="AS103">
        <f t="shared" si="127"/>
        <v>0</v>
      </c>
      <c r="AU103">
        <f t="shared" si="128"/>
        <v>0</v>
      </c>
      <c r="AV103">
        <f t="shared" si="129"/>
        <v>0</v>
      </c>
      <c r="AW103">
        <f t="shared" si="129"/>
        <v>0</v>
      </c>
      <c r="AX103">
        <f t="shared" si="129"/>
        <v>0</v>
      </c>
      <c r="AY103">
        <f t="shared" si="130"/>
        <v>0</v>
      </c>
    </row>
    <row r="104" spans="1:53" ht="15" x14ac:dyDescent="0.25">
      <c r="A104" s="1"/>
      <c r="B104" s="2"/>
      <c r="C104" s="1" t="s">
        <v>10</v>
      </c>
      <c r="D104">
        <v>0</v>
      </c>
      <c r="E104" s="360">
        <v>0</v>
      </c>
      <c r="F104">
        <v>0</v>
      </c>
      <c r="G104">
        <v>0</v>
      </c>
      <c r="H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 s="20"/>
      <c r="P104" s="20"/>
      <c r="Q104" s="438"/>
      <c r="R104" s="197">
        <v>0.14000000000000001</v>
      </c>
      <c r="S104" s="197">
        <v>2.0499999999999998</v>
      </c>
      <c r="T104" s="197">
        <v>0.62857142857142845</v>
      </c>
      <c r="U104" s="197">
        <v>0.90789473684210531</v>
      </c>
      <c r="V104" s="20">
        <f t="shared" si="120"/>
        <v>0</v>
      </c>
      <c r="W104" s="20">
        <f t="shared" si="120"/>
        <v>0</v>
      </c>
      <c r="X104" s="20">
        <f t="shared" si="120"/>
        <v>0</v>
      </c>
      <c r="Y104" s="20">
        <f t="shared" si="120"/>
        <v>0</v>
      </c>
      <c r="Z104" s="20">
        <f t="shared" si="121"/>
        <v>0</v>
      </c>
      <c r="AA104" s="20">
        <f t="shared" si="121"/>
        <v>0</v>
      </c>
      <c r="AB104" s="20">
        <f t="shared" si="121"/>
        <v>0</v>
      </c>
      <c r="AC104" s="20">
        <f t="shared" si="121"/>
        <v>0</v>
      </c>
      <c r="AD104" s="20">
        <f t="shared" si="122"/>
        <v>0</v>
      </c>
      <c r="AE104" s="20">
        <f t="shared" si="123"/>
        <v>0</v>
      </c>
      <c r="AF104" s="20">
        <f t="shared" si="123"/>
        <v>0</v>
      </c>
      <c r="AG104" s="20">
        <f t="shared" si="123"/>
        <v>0</v>
      </c>
      <c r="AH104" s="20">
        <f t="shared" si="123"/>
        <v>0</v>
      </c>
      <c r="AI104" s="20">
        <f t="shared" si="124"/>
        <v>0</v>
      </c>
      <c r="AJ104" s="20">
        <f t="shared" si="124"/>
        <v>0</v>
      </c>
      <c r="AK104" s="20">
        <f t="shared" si="124"/>
        <v>0</v>
      </c>
      <c r="AL104" s="20">
        <f t="shared" si="124"/>
        <v>0</v>
      </c>
      <c r="AM104" s="20">
        <f t="shared" si="125"/>
        <v>0</v>
      </c>
      <c r="AO104">
        <f t="shared" si="126"/>
        <v>0</v>
      </c>
      <c r="AP104">
        <f t="shared" si="126"/>
        <v>0</v>
      </c>
      <c r="AQ104">
        <f t="shared" si="126"/>
        <v>0</v>
      </c>
      <c r="AR104">
        <f t="shared" si="126"/>
        <v>0</v>
      </c>
      <c r="AS104">
        <f t="shared" si="127"/>
        <v>0</v>
      </c>
      <c r="AU104">
        <f t="shared" si="128"/>
        <v>0</v>
      </c>
      <c r="AV104">
        <f t="shared" si="129"/>
        <v>0</v>
      </c>
      <c r="AW104">
        <f t="shared" si="129"/>
        <v>0</v>
      </c>
      <c r="AX104">
        <f t="shared" si="129"/>
        <v>0</v>
      </c>
      <c r="AY104">
        <f t="shared" si="130"/>
        <v>0</v>
      </c>
    </row>
    <row r="105" spans="1:53" ht="15" x14ac:dyDescent="0.25">
      <c r="A105" s="1"/>
      <c r="B105" s="2"/>
      <c r="C105" s="1" t="s">
        <v>11</v>
      </c>
      <c r="D105">
        <v>0</v>
      </c>
      <c r="E105" s="360">
        <v>6.8199999999999997E-2</v>
      </c>
      <c r="F105">
        <v>0</v>
      </c>
      <c r="G105">
        <v>0</v>
      </c>
      <c r="H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 s="20"/>
      <c r="P105" s="20"/>
      <c r="Q105" s="438">
        <v>0.15678616731857331</v>
      </c>
      <c r="R105" s="197">
        <v>0.14000000000000001</v>
      </c>
      <c r="S105" s="197">
        <v>2.0499999999999998</v>
      </c>
      <c r="T105" s="197">
        <v>0.62857142857142845</v>
      </c>
      <c r="U105" s="197">
        <v>0.90789473684210531</v>
      </c>
      <c r="V105" s="20">
        <f t="shared" si="120"/>
        <v>1.4969943255577378E-2</v>
      </c>
      <c r="W105" s="20">
        <f t="shared" si="120"/>
        <v>0</v>
      </c>
      <c r="X105" s="20">
        <f t="shared" si="120"/>
        <v>0</v>
      </c>
      <c r="Y105" s="20">
        <f t="shared" si="120"/>
        <v>0</v>
      </c>
      <c r="Z105" s="20">
        <f t="shared" si="121"/>
        <v>1.0424442255462164E-2</v>
      </c>
      <c r="AA105" s="20">
        <f t="shared" si="121"/>
        <v>0</v>
      </c>
      <c r="AB105" s="20">
        <f t="shared" si="121"/>
        <v>0</v>
      </c>
      <c r="AC105" s="20">
        <f t="shared" si="121"/>
        <v>0</v>
      </c>
      <c r="AD105" s="20">
        <f t="shared" si="122"/>
        <v>1.0424442255462164E-2</v>
      </c>
      <c r="AE105" s="20">
        <f t="shared" si="123"/>
        <v>0.2192027405280973</v>
      </c>
      <c r="AF105" s="20">
        <f t="shared" si="123"/>
        <v>0</v>
      </c>
      <c r="AG105" s="20">
        <f t="shared" si="123"/>
        <v>0</v>
      </c>
      <c r="AH105" s="20">
        <f t="shared" si="123"/>
        <v>0</v>
      </c>
      <c r="AI105" s="20">
        <f t="shared" si="124"/>
        <v>0.20269769514559394</v>
      </c>
      <c r="AJ105" s="20">
        <f t="shared" si="124"/>
        <v>0</v>
      </c>
      <c r="AK105" s="20">
        <f t="shared" si="124"/>
        <v>0</v>
      </c>
      <c r="AL105" s="20">
        <f t="shared" si="124"/>
        <v>0</v>
      </c>
      <c r="AM105" s="20">
        <f t="shared" si="125"/>
        <v>0.20269769514559394</v>
      </c>
      <c r="AO105">
        <f t="shared" si="126"/>
        <v>1.1137474105735777E-2</v>
      </c>
      <c r="AP105">
        <f t="shared" si="126"/>
        <v>0</v>
      </c>
      <c r="AQ105">
        <f t="shared" si="126"/>
        <v>0</v>
      </c>
      <c r="AR105">
        <f t="shared" si="126"/>
        <v>0</v>
      </c>
      <c r="AS105">
        <f t="shared" si="127"/>
        <v>1.1137474105735777E-2</v>
      </c>
      <c r="AU105">
        <f t="shared" si="128"/>
        <v>0.21656221749355256</v>
      </c>
      <c r="AV105">
        <f t="shared" si="129"/>
        <v>0</v>
      </c>
      <c r="AW105">
        <f t="shared" si="129"/>
        <v>0</v>
      </c>
      <c r="AX105">
        <f t="shared" si="129"/>
        <v>0</v>
      </c>
      <c r="AY105">
        <f t="shared" si="130"/>
        <v>0.21656221749355256</v>
      </c>
    </row>
    <row r="106" spans="1:53" ht="15" x14ac:dyDescent="0.25">
      <c r="A106" s="1"/>
      <c r="B106" s="2"/>
      <c r="C106" s="1" t="s">
        <v>12</v>
      </c>
      <c r="D106">
        <v>0</v>
      </c>
      <c r="E106" s="360">
        <v>0</v>
      </c>
      <c r="F106">
        <v>0</v>
      </c>
      <c r="G106">
        <v>0</v>
      </c>
      <c r="H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 s="20"/>
      <c r="P106" s="20"/>
      <c r="Q106" s="438"/>
      <c r="R106" s="197">
        <v>0.14000000000000001</v>
      </c>
      <c r="S106" s="197">
        <v>2.0499999999999998</v>
      </c>
      <c r="T106" s="197">
        <v>0.62857142857142845</v>
      </c>
      <c r="U106" s="197">
        <v>0.90789473684210531</v>
      </c>
      <c r="V106" s="20">
        <f t="shared" si="120"/>
        <v>0</v>
      </c>
      <c r="W106" s="20">
        <f t="shared" si="120"/>
        <v>0</v>
      </c>
      <c r="X106" s="20">
        <f t="shared" si="120"/>
        <v>0</v>
      </c>
      <c r="Y106" s="20">
        <f t="shared" si="120"/>
        <v>0</v>
      </c>
      <c r="Z106" s="20">
        <f t="shared" si="121"/>
        <v>0</v>
      </c>
      <c r="AA106" s="20">
        <f t="shared" si="121"/>
        <v>0</v>
      </c>
      <c r="AB106" s="20">
        <f t="shared" si="121"/>
        <v>0</v>
      </c>
      <c r="AC106" s="20">
        <f t="shared" si="121"/>
        <v>0</v>
      </c>
      <c r="AD106" s="20">
        <f t="shared" si="122"/>
        <v>0</v>
      </c>
      <c r="AE106" s="20">
        <f t="shared" si="123"/>
        <v>0</v>
      </c>
      <c r="AF106" s="20">
        <f t="shared" si="123"/>
        <v>0</v>
      </c>
      <c r="AG106" s="20">
        <f t="shared" si="123"/>
        <v>0</v>
      </c>
      <c r="AH106" s="20">
        <f t="shared" si="123"/>
        <v>0</v>
      </c>
      <c r="AI106" s="20">
        <f t="shared" si="124"/>
        <v>0</v>
      </c>
      <c r="AJ106" s="20">
        <f t="shared" si="124"/>
        <v>0</v>
      </c>
      <c r="AK106" s="20">
        <f t="shared" si="124"/>
        <v>0</v>
      </c>
      <c r="AL106" s="20">
        <f t="shared" si="124"/>
        <v>0</v>
      </c>
      <c r="AM106" s="20">
        <f t="shared" si="125"/>
        <v>0</v>
      </c>
      <c r="AO106">
        <f t="shared" si="126"/>
        <v>0</v>
      </c>
      <c r="AP106">
        <f t="shared" si="126"/>
        <v>0</v>
      </c>
      <c r="AQ106">
        <f t="shared" si="126"/>
        <v>0</v>
      </c>
      <c r="AR106">
        <f t="shared" si="126"/>
        <v>0</v>
      </c>
      <c r="AS106">
        <f t="shared" si="127"/>
        <v>0</v>
      </c>
      <c r="AU106">
        <f t="shared" si="128"/>
        <v>0</v>
      </c>
      <c r="AV106">
        <f t="shared" si="129"/>
        <v>0</v>
      </c>
      <c r="AW106">
        <f t="shared" si="129"/>
        <v>0</v>
      </c>
      <c r="AX106">
        <f t="shared" si="129"/>
        <v>0</v>
      </c>
      <c r="AY106">
        <f t="shared" si="130"/>
        <v>0</v>
      </c>
    </row>
    <row r="107" spans="1:53" ht="15" x14ac:dyDescent="0.25">
      <c r="A107" s="1"/>
      <c r="B107" s="2"/>
      <c r="C107" s="1" t="s">
        <v>13</v>
      </c>
      <c r="D107">
        <v>0</v>
      </c>
      <c r="E107" s="360">
        <v>2.5700000000000001E-2</v>
      </c>
      <c r="F107">
        <v>0</v>
      </c>
      <c r="G107">
        <v>0</v>
      </c>
      <c r="H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0"/>
      <c r="P107" s="20"/>
      <c r="Q107" s="438">
        <v>0.15678616731857334</v>
      </c>
      <c r="R107" s="197">
        <v>0.14000000000000001</v>
      </c>
      <c r="S107" s="197">
        <v>2.0499999999999998</v>
      </c>
      <c r="T107" s="197">
        <v>0.62857142857142845</v>
      </c>
      <c r="U107" s="197">
        <v>0.90789473684210531</v>
      </c>
      <c r="V107" s="20">
        <f t="shared" si="120"/>
        <v>5.6411663001222686E-3</v>
      </c>
      <c r="W107" s="20">
        <f t="shared" si="120"/>
        <v>0</v>
      </c>
      <c r="X107" s="20">
        <f t="shared" si="120"/>
        <v>0</v>
      </c>
      <c r="Y107" s="20">
        <f t="shared" si="120"/>
        <v>0</v>
      </c>
      <c r="Z107" s="20">
        <f t="shared" si="121"/>
        <v>3.9282722282313444E-3</v>
      </c>
      <c r="AA107" s="20">
        <f t="shared" si="121"/>
        <v>0</v>
      </c>
      <c r="AB107" s="20">
        <f t="shared" si="121"/>
        <v>0</v>
      </c>
      <c r="AC107" s="20">
        <f t="shared" si="121"/>
        <v>0</v>
      </c>
      <c r="AD107" s="20">
        <f t="shared" si="122"/>
        <v>3.9282722282313444E-3</v>
      </c>
      <c r="AE107" s="20">
        <f t="shared" si="123"/>
        <v>8.2602792251790361E-2</v>
      </c>
      <c r="AF107" s="20">
        <f t="shared" si="123"/>
        <v>0</v>
      </c>
      <c r="AG107" s="20">
        <f t="shared" si="123"/>
        <v>0</v>
      </c>
      <c r="AH107" s="20">
        <f t="shared" si="123"/>
        <v>0</v>
      </c>
      <c r="AI107" s="20">
        <f t="shared" si="124"/>
        <v>7.6383149050465782E-2</v>
      </c>
      <c r="AJ107" s="20">
        <f t="shared" si="124"/>
        <v>0</v>
      </c>
      <c r="AK107" s="20">
        <f t="shared" si="124"/>
        <v>0</v>
      </c>
      <c r="AL107" s="20">
        <f t="shared" si="124"/>
        <v>0</v>
      </c>
      <c r="AM107" s="20">
        <f t="shared" si="125"/>
        <v>7.6383149050465782E-2</v>
      </c>
      <c r="AO107">
        <f t="shared" si="126"/>
        <v>4.1969660486423687E-3</v>
      </c>
      <c r="AP107">
        <f t="shared" si="126"/>
        <v>0</v>
      </c>
      <c r="AQ107">
        <f t="shared" si="126"/>
        <v>0</v>
      </c>
      <c r="AR107">
        <f t="shared" si="126"/>
        <v>0</v>
      </c>
      <c r="AS107">
        <f t="shared" si="127"/>
        <v>4.1969660486423687E-3</v>
      </c>
      <c r="AU107">
        <f t="shared" si="128"/>
        <v>8.160775644551764E-2</v>
      </c>
      <c r="AV107">
        <f t="shared" si="129"/>
        <v>0</v>
      </c>
      <c r="AW107">
        <f t="shared" si="129"/>
        <v>0</v>
      </c>
      <c r="AX107">
        <f t="shared" si="129"/>
        <v>0</v>
      </c>
      <c r="AY107">
        <f t="shared" si="130"/>
        <v>8.160775644551764E-2</v>
      </c>
    </row>
    <row r="108" spans="1:53" ht="15" x14ac:dyDescent="0.25">
      <c r="A108" s="7"/>
      <c r="B108" s="8" t="s">
        <v>14</v>
      </c>
      <c r="C108" s="7"/>
      <c r="D108" s="357">
        <f t="shared" ref="D108:H108" si="131">SUM(D102:D107)</f>
        <v>0</v>
      </c>
      <c r="E108" s="363">
        <f>SUM(E102:E107)</f>
        <v>9.2785999999999991</v>
      </c>
      <c r="F108" s="357">
        <f t="shared" si="131"/>
        <v>0</v>
      </c>
      <c r="G108" s="357">
        <f t="shared" si="131"/>
        <v>0</v>
      </c>
      <c r="H108" s="357">
        <f t="shared" si="131"/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 s="20"/>
      <c r="P108" s="20"/>
      <c r="Q108" s="438">
        <v>4.7068245624764422E-2</v>
      </c>
      <c r="R108" s="197"/>
      <c r="S108" s="197"/>
      <c r="T108" s="197"/>
      <c r="U108" s="197"/>
      <c r="BA108" s="319">
        <f>(E108*10000*Q108*AU$10)</f>
        <v>4665.995796455486</v>
      </c>
    </row>
    <row r="109" spans="1:53" ht="15" x14ac:dyDescent="0.25">
      <c r="A109" s="10"/>
      <c r="B109" s="9" t="s">
        <v>15</v>
      </c>
      <c r="C109" s="5"/>
      <c r="E109" s="363">
        <f>SUM(E108)</f>
        <v>9.2785999999999991</v>
      </c>
      <c r="H109" s="358">
        <f>SUM(D108:H108)</f>
        <v>9.2785999999999991</v>
      </c>
      <c r="K109" s="14"/>
      <c r="N109">
        <v>0</v>
      </c>
      <c r="O109" s="20"/>
      <c r="P109" s="20"/>
      <c r="Q109" s="438"/>
      <c r="R109" s="197"/>
      <c r="S109" s="197"/>
      <c r="T109" s="197"/>
      <c r="U109" s="197"/>
    </row>
    <row r="110" spans="1:53" ht="15.75" x14ac:dyDescent="0.25">
      <c r="A110" s="1"/>
      <c r="B110" s="2"/>
      <c r="C110" s="1"/>
      <c r="E110" s="361"/>
      <c r="K110" s="14"/>
      <c r="O110" s="20"/>
      <c r="P110" s="20"/>
      <c r="Q110" s="439"/>
      <c r="R110" s="197"/>
      <c r="S110" s="197"/>
      <c r="T110" s="197"/>
      <c r="U110" s="197"/>
    </row>
    <row r="111" spans="1:53" ht="15" x14ac:dyDescent="0.25">
      <c r="A111" s="1">
        <v>12</v>
      </c>
      <c r="B111" s="2" t="s">
        <v>26</v>
      </c>
      <c r="C111" s="1" t="s">
        <v>8</v>
      </c>
      <c r="D111">
        <v>0</v>
      </c>
      <c r="E111" s="360"/>
      <c r="F111">
        <v>0</v>
      </c>
      <c r="G111">
        <v>0</v>
      </c>
      <c r="H111">
        <v>0</v>
      </c>
      <c r="J111">
        <v>0</v>
      </c>
      <c r="K111" s="14">
        <v>0</v>
      </c>
      <c r="L111">
        <v>0</v>
      </c>
      <c r="M111">
        <v>0</v>
      </c>
      <c r="N111">
        <v>0</v>
      </c>
      <c r="O111" s="20"/>
      <c r="P111" s="20"/>
      <c r="Q111" s="438"/>
      <c r="R111" s="197">
        <v>6.531704360902256</v>
      </c>
      <c r="S111" s="197">
        <v>78.227142857142866</v>
      </c>
      <c r="T111" s="197">
        <v>0.5825685654008439</v>
      </c>
      <c r="U111" s="197">
        <v>0.90789473684210531</v>
      </c>
      <c r="V111" s="20">
        <f t="shared" ref="V111:Y116" si="132">IF(K111&gt;0,((E111-K111)*$Q111*$R111*10)+(K111*$O$12*$Q111*$R111*10),(E111*$Q111*$R111*10))</f>
        <v>0</v>
      </c>
      <c r="W111" s="20">
        <f t="shared" si="132"/>
        <v>0</v>
      </c>
      <c r="X111" s="20">
        <f t="shared" si="132"/>
        <v>0</v>
      </c>
      <c r="Y111" s="20">
        <f t="shared" si="132"/>
        <v>0</v>
      </c>
      <c r="Z111" s="20">
        <f t="shared" ref="Z111:AC116" si="133">V111*(EXP(1.01-0.34*LN(Z$8))*(1-$T111)+(1*$T111))</f>
        <v>0</v>
      </c>
      <c r="AA111" s="20">
        <f t="shared" si="133"/>
        <v>0</v>
      </c>
      <c r="AB111" s="20">
        <f t="shared" si="133"/>
        <v>0</v>
      </c>
      <c r="AC111" s="20">
        <f t="shared" si="133"/>
        <v>0</v>
      </c>
      <c r="AD111" s="20">
        <f t="shared" ref="AD111:AD116" si="134">SUM(Z111:AC111)</f>
        <v>0</v>
      </c>
      <c r="AE111" s="20">
        <f t="shared" ref="AE111:AH116" si="135">IF(K111&gt;0,((E111-K111)*$Q111*$S111*10)+(K111*$P$12*$Q111*$S111)*10,(E111*$Q111*$S111*10))</f>
        <v>0</v>
      </c>
      <c r="AF111" s="20">
        <f t="shared" si="135"/>
        <v>0</v>
      </c>
      <c r="AG111" s="20">
        <f t="shared" si="135"/>
        <v>0</v>
      </c>
      <c r="AH111" s="20">
        <f t="shared" si="135"/>
        <v>0</v>
      </c>
      <c r="AI111" s="20">
        <f t="shared" ref="AI111:AL116" si="136">AE111*(EXP(1.01-0.34*LN(AI$8))*(1-$U111)+(1*$U111))</f>
        <v>0</v>
      </c>
      <c r="AJ111" s="20">
        <f t="shared" si="136"/>
        <v>0</v>
      </c>
      <c r="AK111" s="20">
        <f t="shared" si="136"/>
        <v>0</v>
      </c>
      <c r="AL111" s="20">
        <f t="shared" si="136"/>
        <v>0</v>
      </c>
      <c r="AM111" s="20">
        <f t="shared" ref="AM111:AM116" si="137">SUM(AI111:AL111)</f>
        <v>0</v>
      </c>
      <c r="AO111">
        <f t="shared" ref="AO111:AR116" si="138">Z111*AO$10</f>
        <v>0</v>
      </c>
      <c r="AP111">
        <f t="shared" si="138"/>
        <v>0</v>
      </c>
      <c r="AQ111">
        <f t="shared" si="138"/>
        <v>0</v>
      </c>
      <c r="AR111">
        <f t="shared" si="138"/>
        <v>0</v>
      </c>
      <c r="AS111">
        <f t="shared" ref="AS111:AS116" si="139">SUM(AO111:AR111)</f>
        <v>0</v>
      </c>
      <c r="AU111">
        <f t="shared" ref="AU111:AU116" si="140">AI111*AU$10</f>
        <v>0</v>
      </c>
      <c r="AV111">
        <f t="shared" ref="AV111:AX116" si="141">AJ111*AV$10</f>
        <v>0</v>
      </c>
      <c r="AW111">
        <f t="shared" si="141"/>
        <v>0</v>
      </c>
      <c r="AX111">
        <f t="shared" si="141"/>
        <v>0</v>
      </c>
      <c r="AY111">
        <f t="shared" ref="AY111:AY116" si="142">SUM(AU111:AX111)</f>
        <v>0</v>
      </c>
    </row>
    <row r="112" spans="1:53" ht="15" x14ac:dyDescent="0.25">
      <c r="A112" s="1"/>
      <c r="B112" s="2"/>
      <c r="C112" s="1" t="s">
        <v>9</v>
      </c>
      <c r="D112">
        <v>0</v>
      </c>
      <c r="E112" s="360"/>
      <c r="F112">
        <v>0</v>
      </c>
      <c r="G112">
        <v>0</v>
      </c>
      <c r="H112">
        <v>0</v>
      </c>
      <c r="J112">
        <v>0</v>
      </c>
      <c r="K112" s="14">
        <v>0</v>
      </c>
      <c r="L112">
        <v>0</v>
      </c>
      <c r="M112">
        <v>0</v>
      </c>
      <c r="N112">
        <v>0</v>
      </c>
      <c r="O112" s="20"/>
      <c r="P112" s="20"/>
      <c r="Q112" s="438"/>
      <c r="R112" s="197">
        <v>6.531704360902256</v>
      </c>
      <c r="S112" s="197">
        <v>78.227142857142866</v>
      </c>
      <c r="T112" s="197">
        <v>0.5825685654008439</v>
      </c>
      <c r="U112" s="197">
        <v>0.90789473684210531</v>
      </c>
      <c r="V112" s="20">
        <f t="shared" si="132"/>
        <v>0</v>
      </c>
      <c r="W112" s="20">
        <f t="shared" si="132"/>
        <v>0</v>
      </c>
      <c r="X112" s="20">
        <f t="shared" si="132"/>
        <v>0</v>
      </c>
      <c r="Y112" s="20">
        <f t="shared" si="132"/>
        <v>0</v>
      </c>
      <c r="Z112" s="20">
        <f t="shared" si="133"/>
        <v>0</v>
      </c>
      <c r="AA112" s="20">
        <f t="shared" si="133"/>
        <v>0</v>
      </c>
      <c r="AB112" s="20">
        <f t="shared" si="133"/>
        <v>0</v>
      </c>
      <c r="AC112" s="20">
        <f t="shared" si="133"/>
        <v>0</v>
      </c>
      <c r="AD112" s="20">
        <f t="shared" si="134"/>
        <v>0</v>
      </c>
      <c r="AE112" s="20">
        <f t="shared" si="135"/>
        <v>0</v>
      </c>
      <c r="AF112" s="20">
        <f t="shared" si="135"/>
        <v>0</v>
      </c>
      <c r="AG112" s="20">
        <f t="shared" si="135"/>
        <v>0</v>
      </c>
      <c r="AH112" s="20">
        <f t="shared" si="135"/>
        <v>0</v>
      </c>
      <c r="AI112" s="20">
        <f t="shared" si="136"/>
        <v>0</v>
      </c>
      <c r="AJ112" s="20">
        <f t="shared" si="136"/>
        <v>0</v>
      </c>
      <c r="AK112" s="20">
        <f t="shared" si="136"/>
        <v>0</v>
      </c>
      <c r="AL112" s="20">
        <f t="shared" si="136"/>
        <v>0</v>
      </c>
      <c r="AM112" s="20">
        <f t="shared" si="137"/>
        <v>0</v>
      </c>
      <c r="AO112">
        <f t="shared" si="138"/>
        <v>0</v>
      </c>
      <c r="AP112">
        <f t="shared" si="138"/>
        <v>0</v>
      </c>
      <c r="AQ112">
        <f t="shared" si="138"/>
        <v>0</v>
      </c>
      <c r="AR112">
        <f t="shared" si="138"/>
        <v>0</v>
      </c>
      <c r="AS112">
        <f t="shared" si="139"/>
        <v>0</v>
      </c>
      <c r="AU112">
        <f t="shared" si="140"/>
        <v>0</v>
      </c>
      <c r="AV112">
        <f t="shared" si="141"/>
        <v>0</v>
      </c>
      <c r="AW112">
        <f t="shared" si="141"/>
        <v>0</v>
      </c>
      <c r="AX112">
        <f t="shared" si="141"/>
        <v>0</v>
      </c>
      <c r="AY112">
        <f t="shared" si="142"/>
        <v>0</v>
      </c>
    </row>
    <row r="113" spans="1:53" ht="15" x14ac:dyDescent="0.25">
      <c r="A113" s="1"/>
      <c r="B113" s="2"/>
      <c r="C113" s="1" t="s">
        <v>10</v>
      </c>
      <c r="D113">
        <v>0</v>
      </c>
      <c r="E113" s="360"/>
      <c r="F113">
        <v>0</v>
      </c>
      <c r="G113">
        <v>0</v>
      </c>
      <c r="H113">
        <v>0</v>
      </c>
      <c r="J113">
        <v>0</v>
      </c>
      <c r="K113" s="14">
        <v>0</v>
      </c>
      <c r="L113">
        <v>0</v>
      </c>
      <c r="M113">
        <v>0</v>
      </c>
      <c r="N113">
        <v>0</v>
      </c>
      <c r="O113" s="20"/>
      <c r="P113" s="20"/>
      <c r="Q113" s="438"/>
      <c r="R113" s="197">
        <v>6.531704360902256</v>
      </c>
      <c r="S113" s="197">
        <v>78.227142857142866</v>
      </c>
      <c r="T113" s="197">
        <v>0.5825685654008439</v>
      </c>
      <c r="U113" s="197">
        <v>0.90789473684210531</v>
      </c>
      <c r="V113" s="20">
        <f t="shared" si="132"/>
        <v>0</v>
      </c>
      <c r="W113" s="20">
        <f t="shared" si="132"/>
        <v>0</v>
      </c>
      <c r="X113" s="20">
        <f t="shared" si="132"/>
        <v>0</v>
      </c>
      <c r="Y113" s="20">
        <f t="shared" si="132"/>
        <v>0</v>
      </c>
      <c r="Z113" s="20">
        <f t="shared" si="133"/>
        <v>0</v>
      </c>
      <c r="AA113" s="20">
        <f t="shared" si="133"/>
        <v>0</v>
      </c>
      <c r="AB113" s="20">
        <f t="shared" si="133"/>
        <v>0</v>
      </c>
      <c r="AC113" s="20">
        <f t="shared" si="133"/>
        <v>0</v>
      </c>
      <c r="AD113" s="20">
        <f t="shared" si="134"/>
        <v>0</v>
      </c>
      <c r="AE113" s="20">
        <f t="shared" si="135"/>
        <v>0</v>
      </c>
      <c r="AF113" s="20">
        <f t="shared" si="135"/>
        <v>0</v>
      </c>
      <c r="AG113" s="20">
        <f t="shared" si="135"/>
        <v>0</v>
      </c>
      <c r="AH113" s="20">
        <f t="shared" si="135"/>
        <v>0</v>
      </c>
      <c r="AI113" s="20">
        <f t="shared" si="136"/>
        <v>0</v>
      </c>
      <c r="AJ113" s="20">
        <f t="shared" si="136"/>
        <v>0</v>
      </c>
      <c r="AK113" s="20">
        <f t="shared" si="136"/>
        <v>0</v>
      </c>
      <c r="AL113" s="20">
        <f t="shared" si="136"/>
        <v>0</v>
      </c>
      <c r="AM113" s="20">
        <f t="shared" si="137"/>
        <v>0</v>
      </c>
      <c r="AO113">
        <f t="shared" si="138"/>
        <v>0</v>
      </c>
      <c r="AP113">
        <f t="shared" si="138"/>
        <v>0</v>
      </c>
      <c r="AQ113">
        <f t="shared" si="138"/>
        <v>0</v>
      </c>
      <c r="AR113">
        <f t="shared" si="138"/>
        <v>0</v>
      </c>
      <c r="AS113">
        <f t="shared" si="139"/>
        <v>0</v>
      </c>
      <c r="AU113">
        <f t="shared" si="140"/>
        <v>0</v>
      </c>
      <c r="AV113">
        <f t="shared" si="141"/>
        <v>0</v>
      </c>
      <c r="AW113">
        <f t="shared" si="141"/>
        <v>0</v>
      </c>
      <c r="AX113">
        <f t="shared" si="141"/>
        <v>0</v>
      </c>
      <c r="AY113">
        <f t="shared" si="142"/>
        <v>0</v>
      </c>
    </row>
    <row r="114" spans="1:53" ht="15" x14ac:dyDescent="0.25">
      <c r="A114" s="1"/>
      <c r="B114" s="2"/>
      <c r="C114" s="1" t="s">
        <v>11</v>
      </c>
      <c r="D114">
        <v>0</v>
      </c>
      <c r="E114" s="360"/>
      <c r="F114">
        <v>0</v>
      </c>
      <c r="G114">
        <v>0</v>
      </c>
      <c r="H114">
        <v>0</v>
      </c>
      <c r="J114">
        <v>0</v>
      </c>
      <c r="K114" s="14">
        <v>0</v>
      </c>
      <c r="L114">
        <v>0</v>
      </c>
      <c r="M114">
        <v>0</v>
      </c>
      <c r="N114">
        <v>0</v>
      </c>
      <c r="O114" s="20"/>
      <c r="P114" s="20"/>
      <c r="Q114" s="438"/>
      <c r="R114" s="197">
        <v>6.531704360902256</v>
      </c>
      <c r="S114" s="197">
        <v>78.227142857142866</v>
      </c>
      <c r="T114" s="197">
        <v>0.5825685654008439</v>
      </c>
      <c r="U114" s="197">
        <v>0.90789473684210531</v>
      </c>
      <c r="V114" s="20">
        <f t="shared" si="132"/>
        <v>0</v>
      </c>
      <c r="W114" s="20">
        <f t="shared" si="132"/>
        <v>0</v>
      </c>
      <c r="X114" s="20">
        <f t="shared" si="132"/>
        <v>0</v>
      </c>
      <c r="Y114" s="20">
        <f t="shared" si="132"/>
        <v>0</v>
      </c>
      <c r="Z114" s="20">
        <f t="shared" si="133"/>
        <v>0</v>
      </c>
      <c r="AA114" s="20">
        <f t="shared" si="133"/>
        <v>0</v>
      </c>
      <c r="AB114" s="20">
        <f t="shared" si="133"/>
        <v>0</v>
      </c>
      <c r="AC114" s="20">
        <f t="shared" si="133"/>
        <v>0</v>
      </c>
      <c r="AD114" s="20">
        <f t="shared" si="134"/>
        <v>0</v>
      </c>
      <c r="AE114" s="20">
        <f t="shared" si="135"/>
        <v>0</v>
      </c>
      <c r="AF114" s="20">
        <f t="shared" si="135"/>
        <v>0</v>
      </c>
      <c r="AG114" s="20">
        <f t="shared" si="135"/>
        <v>0</v>
      </c>
      <c r="AH114" s="20">
        <f t="shared" si="135"/>
        <v>0</v>
      </c>
      <c r="AI114" s="20">
        <f t="shared" si="136"/>
        <v>0</v>
      </c>
      <c r="AJ114" s="20">
        <f t="shared" si="136"/>
        <v>0</v>
      </c>
      <c r="AK114" s="20">
        <f t="shared" si="136"/>
        <v>0</v>
      </c>
      <c r="AL114" s="20">
        <f t="shared" si="136"/>
        <v>0</v>
      </c>
      <c r="AM114" s="20">
        <f t="shared" si="137"/>
        <v>0</v>
      </c>
      <c r="AO114">
        <f t="shared" si="138"/>
        <v>0</v>
      </c>
      <c r="AP114">
        <f t="shared" si="138"/>
        <v>0</v>
      </c>
      <c r="AQ114">
        <f t="shared" si="138"/>
        <v>0</v>
      </c>
      <c r="AR114">
        <f t="shared" si="138"/>
        <v>0</v>
      </c>
      <c r="AS114">
        <f t="shared" si="139"/>
        <v>0</v>
      </c>
      <c r="AU114">
        <f t="shared" si="140"/>
        <v>0</v>
      </c>
      <c r="AV114">
        <f t="shared" si="141"/>
        <v>0</v>
      </c>
      <c r="AW114">
        <f t="shared" si="141"/>
        <v>0</v>
      </c>
      <c r="AX114">
        <f t="shared" si="141"/>
        <v>0</v>
      </c>
      <c r="AY114">
        <f t="shared" si="142"/>
        <v>0</v>
      </c>
    </row>
    <row r="115" spans="1:53" ht="15" x14ac:dyDescent="0.25">
      <c r="A115" s="1"/>
      <c r="B115" s="2"/>
      <c r="C115" s="1" t="s">
        <v>12</v>
      </c>
      <c r="D115">
        <v>0</v>
      </c>
      <c r="E115" s="360"/>
      <c r="F115">
        <v>0</v>
      </c>
      <c r="G115">
        <v>0</v>
      </c>
      <c r="H115">
        <v>0</v>
      </c>
      <c r="J115">
        <v>0</v>
      </c>
      <c r="K115" s="14">
        <v>0</v>
      </c>
      <c r="L115">
        <v>0</v>
      </c>
      <c r="M115">
        <v>0</v>
      </c>
      <c r="N115">
        <v>0</v>
      </c>
      <c r="O115" s="20"/>
      <c r="P115" s="20"/>
      <c r="Q115" s="438"/>
      <c r="R115" s="197">
        <v>6.531704360902256</v>
      </c>
      <c r="S115" s="197">
        <v>78.227142857142866</v>
      </c>
      <c r="T115" s="197">
        <v>0.5825685654008439</v>
      </c>
      <c r="U115" s="197">
        <v>0.90789473684210531</v>
      </c>
      <c r="V115" s="20">
        <f t="shared" si="132"/>
        <v>0</v>
      </c>
      <c r="W115" s="20">
        <f t="shared" si="132"/>
        <v>0</v>
      </c>
      <c r="X115" s="20">
        <f t="shared" si="132"/>
        <v>0</v>
      </c>
      <c r="Y115" s="20">
        <f t="shared" si="132"/>
        <v>0</v>
      </c>
      <c r="Z115" s="20">
        <f t="shared" si="133"/>
        <v>0</v>
      </c>
      <c r="AA115" s="20">
        <f t="shared" si="133"/>
        <v>0</v>
      </c>
      <c r="AB115" s="20">
        <f t="shared" si="133"/>
        <v>0</v>
      </c>
      <c r="AC115" s="20">
        <f t="shared" si="133"/>
        <v>0</v>
      </c>
      <c r="AD115" s="20">
        <f t="shared" si="134"/>
        <v>0</v>
      </c>
      <c r="AE115" s="20">
        <f t="shared" si="135"/>
        <v>0</v>
      </c>
      <c r="AF115" s="20">
        <f t="shared" si="135"/>
        <v>0</v>
      </c>
      <c r="AG115" s="20">
        <f t="shared" si="135"/>
        <v>0</v>
      </c>
      <c r="AH115" s="20">
        <f t="shared" si="135"/>
        <v>0</v>
      </c>
      <c r="AI115" s="20">
        <f t="shared" si="136"/>
        <v>0</v>
      </c>
      <c r="AJ115" s="20">
        <f t="shared" si="136"/>
        <v>0</v>
      </c>
      <c r="AK115" s="20">
        <f t="shared" si="136"/>
        <v>0</v>
      </c>
      <c r="AL115" s="20">
        <f t="shared" si="136"/>
        <v>0</v>
      </c>
      <c r="AM115" s="20">
        <f t="shared" si="137"/>
        <v>0</v>
      </c>
      <c r="AO115">
        <f t="shared" si="138"/>
        <v>0</v>
      </c>
      <c r="AP115">
        <f t="shared" si="138"/>
        <v>0</v>
      </c>
      <c r="AQ115">
        <f t="shared" si="138"/>
        <v>0</v>
      </c>
      <c r="AR115">
        <f t="shared" si="138"/>
        <v>0</v>
      </c>
      <c r="AS115">
        <f t="shared" si="139"/>
        <v>0</v>
      </c>
      <c r="AU115">
        <f t="shared" si="140"/>
        <v>0</v>
      </c>
      <c r="AV115">
        <f t="shared" si="141"/>
        <v>0</v>
      </c>
      <c r="AW115">
        <f t="shared" si="141"/>
        <v>0</v>
      </c>
      <c r="AX115">
        <f t="shared" si="141"/>
        <v>0</v>
      </c>
      <c r="AY115">
        <f t="shared" si="142"/>
        <v>0</v>
      </c>
    </row>
    <row r="116" spans="1:53" ht="15" x14ac:dyDescent="0.25">
      <c r="A116" s="1"/>
      <c r="B116" s="2"/>
      <c r="C116" s="1" t="s">
        <v>13</v>
      </c>
      <c r="D116">
        <v>0</v>
      </c>
      <c r="E116" s="360"/>
      <c r="F116">
        <v>0</v>
      </c>
      <c r="G116">
        <v>0</v>
      </c>
      <c r="H116">
        <v>0</v>
      </c>
      <c r="J116">
        <v>0</v>
      </c>
      <c r="K116" s="14">
        <v>0</v>
      </c>
      <c r="L116">
        <v>0</v>
      </c>
      <c r="M116">
        <v>0</v>
      </c>
      <c r="N116">
        <v>0</v>
      </c>
      <c r="O116" s="20"/>
      <c r="P116" s="20"/>
      <c r="Q116" s="438"/>
      <c r="R116" s="197">
        <v>6.531704360902256</v>
      </c>
      <c r="S116" s="197">
        <v>78.227142857142866</v>
      </c>
      <c r="T116" s="197">
        <v>0.5825685654008439</v>
      </c>
      <c r="U116" s="197">
        <v>0.90789473684210531</v>
      </c>
      <c r="V116" s="20">
        <f t="shared" si="132"/>
        <v>0</v>
      </c>
      <c r="W116" s="20">
        <f t="shared" si="132"/>
        <v>0</v>
      </c>
      <c r="X116" s="20">
        <f t="shared" si="132"/>
        <v>0</v>
      </c>
      <c r="Y116" s="20">
        <f t="shared" si="132"/>
        <v>0</v>
      </c>
      <c r="Z116" s="20">
        <f t="shared" si="133"/>
        <v>0</v>
      </c>
      <c r="AA116" s="20">
        <f t="shared" si="133"/>
        <v>0</v>
      </c>
      <c r="AB116" s="20">
        <f t="shared" si="133"/>
        <v>0</v>
      </c>
      <c r="AC116" s="20">
        <f t="shared" si="133"/>
        <v>0</v>
      </c>
      <c r="AD116" s="20">
        <f t="shared" si="134"/>
        <v>0</v>
      </c>
      <c r="AE116" s="20">
        <f t="shared" si="135"/>
        <v>0</v>
      </c>
      <c r="AF116" s="20">
        <f t="shared" si="135"/>
        <v>0</v>
      </c>
      <c r="AG116" s="20">
        <f t="shared" si="135"/>
        <v>0</v>
      </c>
      <c r="AH116" s="20">
        <f t="shared" si="135"/>
        <v>0</v>
      </c>
      <c r="AI116" s="20">
        <f t="shared" si="136"/>
        <v>0</v>
      </c>
      <c r="AJ116" s="20">
        <f t="shared" si="136"/>
        <v>0</v>
      </c>
      <c r="AK116" s="20">
        <f t="shared" si="136"/>
        <v>0</v>
      </c>
      <c r="AL116" s="20">
        <f t="shared" si="136"/>
        <v>0</v>
      </c>
      <c r="AM116" s="20">
        <f t="shared" si="137"/>
        <v>0</v>
      </c>
      <c r="AO116">
        <f t="shared" si="138"/>
        <v>0</v>
      </c>
      <c r="AP116">
        <f t="shared" si="138"/>
        <v>0</v>
      </c>
      <c r="AQ116">
        <f t="shared" si="138"/>
        <v>0</v>
      </c>
      <c r="AR116">
        <f t="shared" si="138"/>
        <v>0</v>
      </c>
      <c r="AS116">
        <f t="shared" si="139"/>
        <v>0</v>
      </c>
      <c r="AU116">
        <f t="shared" si="140"/>
        <v>0</v>
      </c>
      <c r="AV116">
        <f t="shared" si="141"/>
        <v>0</v>
      </c>
      <c r="AW116">
        <f t="shared" si="141"/>
        <v>0</v>
      </c>
      <c r="AX116">
        <f t="shared" si="141"/>
        <v>0</v>
      </c>
      <c r="AY116">
        <f t="shared" si="142"/>
        <v>0</v>
      </c>
    </row>
    <row r="117" spans="1:53" ht="15" x14ac:dyDescent="0.25">
      <c r="A117" s="7"/>
      <c r="B117" s="8" t="s">
        <v>14</v>
      </c>
      <c r="C117" s="7"/>
      <c r="D117" s="357">
        <f t="shared" ref="D117:H117" si="143">SUM(D111:D116)</f>
        <v>0</v>
      </c>
      <c r="E117" s="363">
        <f>SUM(E111:E116)</f>
        <v>0</v>
      </c>
      <c r="F117" s="357">
        <f t="shared" si="143"/>
        <v>0</v>
      </c>
      <c r="G117" s="357">
        <f t="shared" si="143"/>
        <v>0</v>
      </c>
      <c r="H117" s="357">
        <f t="shared" si="143"/>
        <v>0</v>
      </c>
      <c r="J117">
        <v>0</v>
      </c>
      <c r="K117" s="14">
        <v>0</v>
      </c>
      <c r="L117">
        <v>0</v>
      </c>
      <c r="M117">
        <v>0</v>
      </c>
      <c r="N117">
        <v>0</v>
      </c>
      <c r="O117" s="20"/>
      <c r="P117" s="20"/>
      <c r="Q117" s="438"/>
      <c r="R117" s="197"/>
      <c r="S117" s="197"/>
      <c r="T117" s="197"/>
      <c r="U117" s="197"/>
      <c r="BA117" s="319">
        <f>(E117*10000*Q117*AU$10)</f>
        <v>0</v>
      </c>
    </row>
    <row r="118" spans="1:53" ht="15" x14ac:dyDescent="0.25">
      <c r="A118" s="10"/>
      <c r="B118" s="9" t="s">
        <v>15</v>
      </c>
      <c r="C118" s="5"/>
      <c r="E118" s="363">
        <f>SUM(E117)</f>
        <v>0</v>
      </c>
      <c r="H118" s="358">
        <f>SUM(D117:H117)</f>
        <v>0</v>
      </c>
      <c r="K118" s="14"/>
      <c r="N118">
        <v>0</v>
      </c>
      <c r="O118" s="20"/>
      <c r="P118" s="20"/>
      <c r="Q118" s="438"/>
      <c r="R118" s="197"/>
      <c r="S118" s="197"/>
      <c r="T118" s="197"/>
      <c r="U118" s="197"/>
    </row>
    <row r="119" spans="1:53" ht="15.75" x14ac:dyDescent="0.25">
      <c r="A119" s="1"/>
      <c r="B119" s="2"/>
      <c r="C119" s="1"/>
      <c r="E119" s="361"/>
      <c r="K119" s="14"/>
      <c r="O119" s="20"/>
      <c r="P119" s="20"/>
      <c r="Q119" s="439"/>
      <c r="R119" s="197"/>
      <c r="S119" s="197"/>
      <c r="T119" s="197"/>
      <c r="U119" s="197"/>
    </row>
    <row r="120" spans="1:53" ht="15" x14ac:dyDescent="0.25">
      <c r="A120" s="1">
        <v>13</v>
      </c>
      <c r="B120" s="2" t="s">
        <v>27</v>
      </c>
      <c r="C120" s="1" t="s">
        <v>8</v>
      </c>
      <c r="D120">
        <v>0</v>
      </c>
      <c r="E120" s="360">
        <v>6.2455999999999996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 s="20"/>
      <c r="P120" s="20"/>
      <c r="Q120" s="438">
        <v>4.5946541829643327E-2</v>
      </c>
      <c r="R120" s="197">
        <v>0.49226666666666663</v>
      </c>
      <c r="S120" s="197">
        <v>2.8337500000000002</v>
      </c>
      <c r="T120" s="197">
        <v>0.68718466195761863</v>
      </c>
      <c r="U120" s="197">
        <v>0.90789473684210531</v>
      </c>
      <c r="V120" s="20">
        <f t="shared" ref="V120:Y125" si="144">IF(K120&gt;0,((E120-K120)*$Q120*$R120*10)+(K120*$O$12*$Q120*$R120*10),(E120*$Q120*$R120*10))</f>
        <v>1.4126267471150737</v>
      </c>
      <c r="W120" s="20">
        <f t="shared" si="144"/>
        <v>0</v>
      </c>
      <c r="X120" s="20">
        <f t="shared" si="144"/>
        <v>0</v>
      </c>
      <c r="Y120" s="20">
        <f t="shared" si="144"/>
        <v>0</v>
      </c>
      <c r="Z120" s="20">
        <f t="shared" ref="Z120:AC125" si="145">V120*(EXP(1.01-0.34*LN(Z$8))*(1-$T120)+(1*$T120))</f>
        <v>1.0513818176071374</v>
      </c>
      <c r="AA120" s="20">
        <f t="shared" si="145"/>
        <v>0</v>
      </c>
      <c r="AB120" s="20">
        <f t="shared" si="145"/>
        <v>0</v>
      </c>
      <c r="AC120" s="20">
        <f t="shared" si="145"/>
        <v>0</v>
      </c>
      <c r="AD120" s="20">
        <f t="shared" ref="AD120:AD125" si="146">SUM(Z120:AC120)</f>
        <v>1.0513818176071374</v>
      </c>
      <c r="AE120" s="20">
        <f t="shared" ref="AE120:AH125" si="147">IF(K120&gt;0,((E120-K120)*$Q120*$S120*10)+(K120*$P$12*$Q120*$S120)*10,(E120*$Q120*$S120*10))</f>
        <v>8.131834462291458</v>
      </c>
      <c r="AF120" s="20">
        <f t="shared" si="147"/>
        <v>0</v>
      </c>
      <c r="AG120" s="20">
        <f t="shared" si="147"/>
        <v>0</v>
      </c>
      <c r="AH120" s="20">
        <f t="shared" si="147"/>
        <v>0</v>
      </c>
      <c r="AI120" s="20">
        <f t="shared" ref="AI120:AL125" si="148">AE120*(EXP(1.01-0.34*LN(AI$8))*(1-$U120)+(1*$U120))</f>
        <v>7.5195414931443798</v>
      </c>
      <c r="AJ120" s="20">
        <f t="shared" si="148"/>
        <v>0</v>
      </c>
      <c r="AK120" s="20">
        <f t="shared" si="148"/>
        <v>0</v>
      </c>
      <c r="AL120" s="20">
        <f t="shared" si="148"/>
        <v>0</v>
      </c>
      <c r="AM120" s="20">
        <f t="shared" ref="AM120:AM125" si="149">SUM(AI120:AL120)</f>
        <v>7.5195414931443798</v>
      </c>
      <c r="AO120">
        <f t="shared" ref="AO120:AR125" si="150">Z120*AO$10</f>
        <v>1.1232963339314657</v>
      </c>
      <c r="AP120">
        <f t="shared" si="150"/>
        <v>0</v>
      </c>
      <c r="AQ120">
        <f t="shared" si="150"/>
        <v>0</v>
      </c>
      <c r="AR120">
        <f t="shared" si="150"/>
        <v>0</v>
      </c>
      <c r="AS120">
        <f t="shared" ref="AS120:AS125" si="151">SUM(AO120:AR120)</f>
        <v>1.1232963339314657</v>
      </c>
      <c r="AU120">
        <f t="shared" ref="AU120:AU125" si="152">AI120*AU$10</f>
        <v>8.0338781312754559</v>
      </c>
      <c r="AV120">
        <f t="shared" ref="AV120:AX125" si="153">AJ120*AV$10</f>
        <v>0</v>
      </c>
      <c r="AW120">
        <f t="shared" si="153"/>
        <v>0</v>
      </c>
      <c r="AX120">
        <f t="shared" si="153"/>
        <v>0</v>
      </c>
      <c r="AY120">
        <f t="shared" ref="AY120:AY125" si="154">SUM(AU120:AX120)</f>
        <v>8.0338781312754559</v>
      </c>
    </row>
    <row r="121" spans="1:53" ht="15" x14ac:dyDescent="0.25">
      <c r="A121" s="1"/>
      <c r="B121" s="2"/>
      <c r="C121" s="1" t="s">
        <v>9</v>
      </c>
      <c r="D121">
        <v>0</v>
      </c>
      <c r="E121" s="360">
        <v>0.30580000000000002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20"/>
      <c r="P121" s="20"/>
      <c r="Q121" s="438">
        <v>8.2893083659286659E-2</v>
      </c>
      <c r="R121" s="197">
        <v>0.49226666666666663</v>
      </c>
      <c r="S121" s="197">
        <v>2.8337500000000002</v>
      </c>
      <c r="T121" s="197">
        <v>0.68718466195761863</v>
      </c>
      <c r="U121" s="197">
        <v>0.90789473684210531</v>
      </c>
      <c r="V121" s="20">
        <f t="shared" si="144"/>
        <v>0.12478322506302986</v>
      </c>
      <c r="W121" s="20">
        <f t="shared" si="144"/>
        <v>0</v>
      </c>
      <c r="X121" s="20">
        <f t="shared" si="144"/>
        <v>0</v>
      </c>
      <c r="Y121" s="20">
        <f t="shared" si="144"/>
        <v>0</v>
      </c>
      <c r="Z121" s="20">
        <f t="shared" si="145"/>
        <v>9.2872950509807664E-2</v>
      </c>
      <c r="AA121" s="20">
        <f t="shared" si="145"/>
        <v>0</v>
      </c>
      <c r="AB121" s="20">
        <f t="shared" si="145"/>
        <v>0</v>
      </c>
      <c r="AC121" s="20">
        <f t="shared" si="145"/>
        <v>0</v>
      </c>
      <c r="AD121" s="20">
        <f t="shared" si="146"/>
        <v>9.2872950509807664E-2</v>
      </c>
      <c r="AE121" s="20">
        <f t="shared" si="147"/>
        <v>0.71831892745604198</v>
      </c>
      <c r="AF121" s="20">
        <f t="shared" si="147"/>
        <v>0</v>
      </c>
      <c r="AG121" s="20">
        <f t="shared" si="147"/>
        <v>0</v>
      </c>
      <c r="AH121" s="20">
        <f t="shared" si="147"/>
        <v>0</v>
      </c>
      <c r="AI121" s="20">
        <f t="shared" si="148"/>
        <v>0.66423253023212847</v>
      </c>
      <c r="AJ121" s="20">
        <f t="shared" si="148"/>
        <v>0</v>
      </c>
      <c r="AK121" s="20">
        <f t="shared" si="148"/>
        <v>0</v>
      </c>
      <c r="AL121" s="20">
        <f t="shared" si="148"/>
        <v>0</v>
      </c>
      <c r="AM121" s="20">
        <f t="shared" si="149"/>
        <v>0.66423253023212847</v>
      </c>
      <c r="AO121">
        <f t="shared" si="150"/>
        <v>9.9225460324678508E-2</v>
      </c>
      <c r="AP121">
        <f t="shared" si="150"/>
        <v>0</v>
      </c>
      <c r="AQ121">
        <f t="shared" si="150"/>
        <v>0</v>
      </c>
      <c r="AR121">
        <f t="shared" si="150"/>
        <v>0</v>
      </c>
      <c r="AS121">
        <f t="shared" si="151"/>
        <v>9.9225460324678508E-2</v>
      </c>
      <c r="AU121">
        <f t="shared" si="152"/>
        <v>0.70966603530000605</v>
      </c>
      <c r="AV121">
        <f t="shared" si="153"/>
        <v>0</v>
      </c>
      <c r="AW121">
        <f t="shared" si="153"/>
        <v>0</v>
      </c>
      <c r="AX121">
        <f t="shared" si="153"/>
        <v>0</v>
      </c>
      <c r="AY121">
        <f t="shared" si="154"/>
        <v>0.70966603530000605</v>
      </c>
    </row>
    <row r="122" spans="1:53" ht="15" x14ac:dyDescent="0.25">
      <c r="A122" s="1"/>
      <c r="B122" s="2"/>
      <c r="C122" s="1" t="s">
        <v>10</v>
      </c>
      <c r="D122">
        <v>0</v>
      </c>
      <c r="E122" s="360"/>
      <c r="F122">
        <v>0</v>
      </c>
      <c r="G122">
        <v>0</v>
      </c>
      <c r="H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s="20"/>
      <c r="P122" s="20"/>
      <c r="Q122" s="438"/>
      <c r="R122" s="197">
        <v>0.49226666666666663</v>
      </c>
      <c r="S122" s="197">
        <v>2.8337500000000002</v>
      </c>
      <c r="T122" s="197">
        <v>0.68718466195761863</v>
      </c>
      <c r="U122" s="197">
        <v>0.90789473684210531</v>
      </c>
      <c r="V122" s="20">
        <f t="shared" si="144"/>
        <v>0</v>
      </c>
      <c r="W122" s="20">
        <f t="shared" si="144"/>
        <v>0</v>
      </c>
      <c r="X122" s="20">
        <f t="shared" si="144"/>
        <v>0</v>
      </c>
      <c r="Y122" s="20">
        <f t="shared" si="144"/>
        <v>0</v>
      </c>
      <c r="Z122" s="20">
        <f t="shared" si="145"/>
        <v>0</v>
      </c>
      <c r="AA122" s="20">
        <f t="shared" si="145"/>
        <v>0</v>
      </c>
      <c r="AB122" s="20">
        <f t="shared" si="145"/>
        <v>0</v>
      </c>
      <c r="AC122" s="20">
        <f t="shared" si="145"/>
        <v>0</v>
      </c>
      <c r="AD122" s="20">
        <f t="shared" si="146"/>
        <v>0</v>
      </c>
      <c r="AE122" s="20">
        <f t="shared" si="147"/>
        <v>0</v>
      </c>
      <c r="AF122" s="20">
        <f t="shared" si="147"/>
        <v>0</v>
      </c>
      <c r="AG122" s="20">
        <f t="shared" si="147"/>
        <v>0</v>
      </c>
      <c r="AH122" s="20">
        <f t="shared" si="147"/>
        <v>0</v>
      </c>
      <c r="AI122" s="20">
        <f t="shared" si="148"/>
        <v>0</v>
      </c>
      <c r="AJ122" s="20">
        <f t="shared" si="148"/>
        <v>0</v>
      </c>
      <c r="AK122" s="20">
        <f t="shared" si="148"/>
        <v>0</v>
      </c>
      <c r="AL122" s="20">
        <f t="shared" si="148"/>
        <v>0</v>
      </c>
      <c r="AM122" s="20">
        <f t="shared" si="149"/>
        <v>0</v>
      </c>
      <c r="AO122">
        <f t="shared" si="150"/>
        <v>0</v>
      </c>
      <c r="AP122">
        <f t="shared" si="150"/>
        <v>0</v>
      </c>
      <c r="AQ122">
        <f t="shared" si="150"/>
        <v>0</v>
      </c>
      <c r="AR122">
        <f t="shared" si="150"/>
        <v>0</v>
      </c>
      <c r="AS122">
        <f t="shared" si="151"/>
        <v>0</v>
      </c>
      <c r="AU122">
        <f t="shared" si="152"/>
        <v>0</v>
      </c>
      <c r="AV122">
        <f t="shared" si="153"/>
        <v>0</v>
      </c>
      <c r="AW122">
        <f t="shared" si="153"/>
        <v>0</v>
      </c>
      <c r="AX122">
        <f t="shared" si="153"/>
        <v>0</v>
      </c>
      <c r="AY122">
        <f t="shared" si="154"/>
        <v>0</v>
      </c>
    </row>
    <row r="123" spans="1:53" ht="15" x14ac:dyDescent="0.25">
      <c r="A123" s="1"/>
      <c r="B123" s="2"/>
      <c r="C123" s="1" t="s">
        <v>11</v>
      </c>
      <c r="D123">
        <v>0</v>
      </c>
      <c r="E123" s="360">
        <v>1.7323999999999999</v>
      </c>
      <c r="F123">
        <v>0</v>
      </c>
      <c r="G123">
        <v>0</v>
      </c>
      <c r="H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 s="20"/>
      <c r="P123" s="20"/>
      <c r="Q123" s="438">
        <v>0.15678616731857328</v>
      </c>
      <c r="R123" s="197">
        <v>0.49226666666666663</v>
      </c>
      <c r="S123" s="197">
        <v>2.8337500000000002</v>
      </c>
      <c r="T123" s="197">
        <v>0.68718466195761863</v>
      </c>
      <c r="U123" s="197">
        <v>0.90789473684210531</v>
      </c>
      <c r="V123" s="20">
        <f t="shared" si="144"/>
        <v>1.3370767830958332</v>
      </c>
      <c r="W123" s="20">
        <f t="shared" si="144"/>
        <v>0</v>
      </c>
      <c r="X123" s="20">
        <f t="shared" si="144"/>
        <v>0</v>
      </c>
      <c r="Y123" s="20">
        <f t="shared" si="144"/>
        <v>0</v>
      </c>
      <c r="Z123" s="20">
        <f t="shared" si="145"/>
        <v>0.99515191919064339</v>
      </c>
      <c r="AA123" s="20">
        <f t="shared" si="145"/>
        <v>0</v>
      </c>
      <c r="AB123" s="20">
        <f t="shared" si="145"/>
        <v>0</v>
      </c>
      <c r="AC123" s="20">
        <f t="shared" si="145"/>
        <v>0</v>
      </c>
      <c r="AD123" s="20">
        <f t="shared" si="146"/>
        <v>0.99515191919064339</v>
      </c>
      <c r="AE123" s="20">
        <f t="shared" si="147"/>
        <v>7.6969284955941584</v>
      </c>
      <c r="AF123" s="20">
        <f t="shared" si="147"/>
        <v>0</v>
      </c>
      <c r="AG123" s="20">
        <f t="shared" si="147"/>
        <v>0</v>
      </c>
      <c r="AH123" s="20">
        <f t="shared" si="147"/>
        <v>0</v>
      </c>
      <c r="AI123" s="20">
        <f t="shared" si="148"/>
        <v>7.1173821184840547</v>
      </c>
      <c r="AJ123" s="20">
        <f t="shared" si="148"/>
        <v>0</v>
      </c>
      <c r="AK123" s="20">
        <f t="shared" si="148"/>
        <v>0</v>
      </c>
      <c r="AL123" s="20">
        <f t="shared" si="148"/>
        <v>0</v>
      </c>
      <c r="AM123" s="20">
        <f t="shared" si="149"/>
        <v>7.1173821184840547</v>
      </c>
      <c r="AO123">
        <f t="shared" si="150"/>
        <v>1.0632203104632834</v>
      </c>
      <c r="AP123">
        <f t="shared" si="150"/>
        <v>0</v>
      </c>
      <c r="AQ123">
        <f t="shared" si="150"/>
        <v>0</v>
      </c>
      <c r="AR123">
        <f t="shared" si="150"/>
        <v>0</v>
      </c>
      <c r="AS123">
        <f t="shared" si="151"/>
        <v>1.0632203104632834</v>
      </c>
      <c r="AU123">
        <f t="shared" si="152"/>
        <v>7.6042110553883644</v>
      </c>
      <c r="AV123">
        <f t="shared" si="153"/>
        <v>0</v>
      </c>
      <c r="AW123">
        <f t="shared" si="153"/>
        <v>0</v>
      </c>
      <c r="AX123">
        <f t="shared" si="153"/>
        <v>0</v>
      </c>
      <c r="AY123">
        <f t="shared" si="154"/>
        <v>7.6042110553883644</v>
      </c>
    </row>
    <row r="124" spans="1:53" ht="15" x14ac:dyDescent="0.25">
      <c r="A124" s="1"/>
      <c r="B124" s="2"/>
      <c r="C124" s="1" t="s">
        <v>12</v>
      </c>
      <c r="D124">
        <v>0</v>
      </c>
      <c r="E124" s="360"/>
      <c r="F124">
        <v>0</v>
      </c>
      <c r="G124">
        <v>0</v>
      </c>
      <c r="H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 s="20"/>
      <c r="P124" s="20"/>
      <c r="Q124" s="438"/>
      <c r="R124" s="197">
        <v>0.49226666666666663</v>
      </c>
      <c r="S124" s="197">
        <v>2.8337500000000002</v>
      </c>
      <c r="T124" s="197">
        <v>0.68718466195761863</v>
      </c>
      <c r="U124" s="197">
        <v>0.90789473684210531</v>
      </c>
      <c r="V124" s="20">
        <f t="shared" si="144"/>
        <v>0</v>
      </c>
      <c r="W124" s="20">
        <f t="shared" si="144"/>
        <v>0</v>
      </c>
      <c r="X124" s="20">
        <f t="shared" si="144"/>
        <v>0</v>
      </c>
      <c r="Y124" s="20">
        <f t="shared" si="144"/>
        <v>0</v>
      </c>
      <c r="Z124" s="20">
        <f t="shared" si="145"/>
        <v>0</v>
      </c>
      <c r="AA124" s="20">
        <f t="shared" si="145"/>
        <v>0</v>
      </c>
      <c r="AB124" s="20">
        <f t="shared" si="145"/>
        <v>0</v>
      </c>
      <c r="AC124" s="20">
        <f t="shared" si="145"/>
        <v>0</v>
      </c>
      <c r="AD124" s="20">
        <f t="shared" si="146"/>
        <v>0</v>
      </c>
      <c r="AE124" s="20">
        <f t="shared" si="147"/>
        <v>0</v>
      </c>
      <c r="AF124" s="20">
        <f t="shared" si="147"/>
        <v>0</v>
      </c>
      <c r="AG124" s="20">
        <f t="shared" si="147"/>
        <v>0</v>
      </c>
      <c r="AH124" s="20">
        <f t="shared" si="147"/>
        <v>0</v>
      </c>
      <c r="AI124" s="20">
        <f t="shared" si="148"/>
        <v>0</v>
      </c>
      <c r="AJ124" s="20">
        <f t="shared" si="148"/>
        <v>0</v>
      </c>
      <c r="AK124" s="20">
        <f t="shared" si="148"/>
        <v>0</v>
      </c>
      <c r="AL124" s="20">
        <f t="shared" si="148"/>
        <v>0</v>
      </c>
      <c r="AM124" s="20">
        <f t="shared" si="149"/>
        <v>0</v>
      </c>
      <c r="AO124">
        <f t="shared" si="150"/>
        <v>0</v>
      </c>
      <c r="AP124">
        <f t="shared" si="150"/>
        <v>0</v>
      </c>
      <c r="AQ124">
        <f t="shared" si="150"/>
        <v>0</v>
      </c>
      <c r="AR124">
        <f t="shared" si="150"/>
        <v>0</v>
      </c>
      <c r="AS124">
        <f t="shared" si="151"/>
        <v>0</v>
      </c>
      <c r="AU124">
        <f t="shared" si="152"/>
        <v>0</v>
      </c>
      <c r="AV124">
        <f t="shared" si="153"/>
        <v>0</v>
      </c>
      <c r="AW124">
        <f t="shared" si="153"/>
        <v>0</v>
      </c>
      <c r="AX124">
        <f t="shared" si="153"/>
        <v>0</v>
      </c>
      <c r="AY124">
        <f t="shared" si="154"/>
        <v>0</v>
      </c>
    </row>
    <row r="125" spans="1:53" ht="15" x14ac:dyDescent="0.25">
      <c r="A125" s="1"/>
      <c r="B125" s="2"/>
      <c r="C125" s="1" t="s">
        <v>13</v>
      </c>
      <c r="D125">
        <v>0</v>
      </c>
      <c r="E125" s="360"/>
      <c r="F125">
        <v>0</v>
      </c>
      <c r="G125">
        <v>0</v>
      </c>
      <c r="H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20"/>
      <c r="P125" s="20"/>
      <c r="Q125" s="438"/>
      <c r="R125" s="197">
        <v>0.49226666666666663</v>
      </c>
      <c r="S125" s="197">
        <v>2.8337500000000002</v>
      </c>
      <c r="T125" s="197">
        <v>0.68718466195761863</v>
      </c>
      <c r="U125" s="197">
        <v>0.90789473684210531</v>
      </c>
      <c r="V125" s="20">
        <f t="shared" si="144"/>
        <v>0</v>
      </c>
      <c r="W125" s="20">
        <f t="shared" si="144"/>
        <v>0</v>
      </c>
      <c r="X125" s="20">
        <f t="shared" si="144"/>
        <v>0</v>
      </c>
      <c r="Y125" s="20">
        <f t="shared" si="144"/>
        <v>0</v>
      </c>
      <c r="Z125" s="20">
        <f t="shared" si="145"/>
        <v>0</v>
      </c>
      <c r="AA125" s="20">
        <f t="shared" si="145"/>
        <v>0</v>
      </c>
      <c r="AB125" s="20">
        <f t="shared" si="145"/>
        <v>0</v>
      </c>
      <c r="AC125" s="20">
        <f t="shared" si="145"/>
        <v>0</v>
      </c>
      <c r="AD125" s="20">
        <f t="shared" si="146"/>
        <v>0</v>
      </c>
      <c r="AE125" s="20">
        <f t="shared" si="147"/>
        <v>0</v>
      </c>
      <c r="AF125" s="20">
        <f t="shared" si="147"/>
        <v>0</v>
      </c>
      <c r="AG125" s="20">
        <f t="shared" si="147"/>
        <v>0</v>
      </c>
      <c r="AH125" s="20">
        <f t="shared" si="147"/>
        <v>0</v>
      </c>
      <c r="AI125" s="20">
        <f t="shared" si="148"/>
        <v>0</v>
      </c>
      <c r="AJ125" s="20">
        <f t="shared" si="148"/>
        <v>0</v>
      </c>
      <c r="AK125" s="20">
        <f t="shared" si="148"/>
        <v>0</v>
      </c>
      <c r="AL125" s="20">
        <f t="shared" si="148"/>
        <v>0</v>
      </c>
      <c r="AM125" s="20">
        <f t="shared" si="149"/>
        <v>0</v>
      </c>
      <c r="AO125">
        <f t="shared" si="150"/>
        <v>0</v>
      </c>
      <c r="AP125">
        <f t="shared" si="150"/>
        <v>0</v>
      </c>
      <c r="AQ125">
        <f t="shared" si="150"/>
        <v>0</v>
      </c>
      <c r="AR125">
        <f t="shared" si="150"/>
        <v>0</v>
      </c>
      <c r="AS125">
        <f t="shared" si="151"/>
        <v>0</v>
      </c>
      <c r="AU125">
        <f t="shared" si="152"/>
        <v>0</v>
      </c>
      <c r="AV125">
        <f t="shared" si="153"/>
        <v>0</v>
      </c>
      <c r="AW125">
        <f t="shared" si="153"/>
        <v>0</v>
      </c>
      <c r="AX125">
        <f t="shared" si="153"/>
        <v>0</v>
      </c>
      <c r="AY125">
        <f t="shared" si="154"/>
        <v>0</v>
      </c>
    </row>
    <row r="126" spans="1:53" ht="15" x14ac:dyDescent="0.25">
      <c r="A126" s="7"/>
      <c r="B126" s="8" t="s">
        <v>14</v>
      </c>
      <c r="C126" s="7"/>
      <c r="D126" s="357">
        <f t="shared" ref="D126:H126" si="155">SUM(D120:D125)</f>
        <v>0</v>
      </c>
      <c r="E126" s="363">
        <f>SUM(E120:E125)</f>
        <v>8.2837999999999994</v>
      </c>
      <c r="F126" s="357">
        <f t="shared" si="155"/>
        <v>0</v>
      </c>
      <c r="G126" s="357">
        <f t="shared" si="155"/>
        <v>0</v>
      </c>
      <c r="H126" s="357">
        <f t="shared" si="155"/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 s="20"/>
      <c r="P126" s="20"/>
      <c r="Q126" s="438">
        <v>7.0490449177542519E-2</v>
      </c>
      <c r="R126" s="197"/>
      <c r="S126" s="197"/>
      <c r="T126" s="197"/>
      <c r="U126" s="197"/>
      <c r="BA126" s="319">
        <f>(E126*10000*Q126*AU$10)</f>
        <v>6238.6951164707652</v>
      </c>
    </row>
    <row r="127" spans="1:53" ht="15" x14ac:dyDescent="0.25">
      <c r="A127" s="10"/>
      <c r="B127" s="9" t="s">
        <v>15</v>
      </c>
      <c r="C127" s="5"/>
      <c r="E127" s="363">
        <f>SUM(E126)</f>
        <v>8.2837999999999994</v>
      </c>
      <c r="H127" s="358">
        <f>SUM(D126:H126)</f>
        <v>8.2837999999999994</v>
      </c>
      <c r="K127" s="14"/>
      <c r="N127">
        <v>0</v>
      </c>
      <c r="O127" s="20"/>
      <c r="P127" s="20"/>
      <c r="Q127" s="438"/>
      <c r="R127" s="197"/>
      <c r="S127" s="197"/>
      <c r="T127" s="197"/>
      <c r="U127" s="197"/>
    </row>
    <row r="128" spans="1:53" ht="15.75" x14ac:dyDescent="0.25">
      <c r="A128" s="1"/>
      <c r="B128" s="2"/>
      <c r="C128" s="1"/>
      <c r="E128" s="361"/>
      <c r="K128" s="14"/>
      <c r="O128" s="20"/>
      <c r="P128" s="20"/>
      <c r="Q128" s="439"/>
      <c r="R128" s="197"/>
      <c r="S128" s="197"/>
      <c r="T128" s="197"/>
      <c r="U128" s="197"/>
    </row>
    <row r="129" spans="1:53" ht="15" x14ac:dyDescent="0.25">
      <c r="A129" s="1">
        <v>14</v>
      </c>
      <c r="B129" s="2" t="s">
        <v>28</v>
      </c>
      <c r="C129" s="1" t="s">
        <v>8</v>
      </c>
      <c r="D129">
        <v>0</v>
      </c>
      <c r="E129" s="360">
        <v>216.33430000000001</v>
      </c>
      <c r="F129">
        <v>0</v>
      </c>
      <c r="G129">
        <v>0</v>
      </c>
      <c r="H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 s="20"/>
      <c r="P129" s="20"/>
      <c r="Q129" s="438">
        <v>4.5946541829643334E-2</v>
      </c>
      <c r="R129" s="197">
        <v>5.6499999999999995E-2</v>
      </c>
      <c r="S129" s="197">
        <v>1.25</v>
      </c>
      <c r="T129" s="197">
        <v>0.50078889239507718</v>
      </c>
      <c r="U129" s="197">
        <v>0.75268470790377973</v>
      </c>
      <c r="V129" s="20">
        <f t="shared" ref="V129:Y134" si="156">E129*$Q129*$R129*10</f>
        <v>5.6159943247371844</v>
      </c>
      <c r="W129" s="20">
        <f t="shared" si="156"/>
        <v>0</v>
      </c>
      <c r="X129" s="20">
        <f t="shared" si="156"/>
        <v>0</v>
      </c>
      <c r="Y129" s="20">
        <f t="shared" si="156"/>
        <v>0</v>
      </c>
      <c r="Z129" s="20">
        <f t="shared" ref="Z129:AC134" si="157">V129*(EXP(1.01-0.34*LN(Z$8))*(1-$T129)+(1*$T129))</f>
        <v>3.3240862442330514</v>
      </c>
      <c r="AA129" s="20">
        <f t="shared" si="157"/>
        <v>0</v>
      </c>
      <c r="AB129" s="20">
        <f t="shared" si="157"/>
        <v>0</v>
      </c>
      <c r="AC129" s="20">
        <f t="shared" si="157"/>
        <v>0</v>
      </c>
      <c r="AD129" s="20">
        <f t="shared" ref="AD129:AD134" si="158">SUM(Z129:AC129)</f>
        <v>3.3240862442330514</v>
      </c>
      <c r="AE129" s="20">
        <f t="shared" ref="AE129:AH134" si="159">E129*$Q129*$S129*10</f>
        <v>124.24766205170762</v>
      </c>
      <c r="AF129" s="20">
        <f t="shared" si="159"/>
        <v>0</v>
      </c>
      <c r="AG129" s="20">
        <f t="shared" si="159"/>
        <v>0</v>
      </c>
      <c r="AH129" s="20">
        <f t="shared" si="159"/>
        <v>0</v>
      </c>
      <c r="AI129" s="20">
        <f t="shared" ref="AI129:AL134" si="160">AE129*(EXP(1.01-0.34*LN(AI$8))*(1-$U129)+(1*$U129))</f>
        <v>99.127323298362469</v>
      </c>
      <c r="AJ129" s="20">
        <f t="shared" si="160"/>
        <v>0</v>
      </c>
      <c r="AK129" s="20">
        <f t="shared" si="160"/>
        <v>0</v>
      </c>
      <c r="AL129" s="20">
        <f t="shared" si="160"/>
        <v>0</v>
      </c>
      <c r="AM129" s="20">
        <f t="shared" ref="AM129:AM134" si="161">SUM(AI129:AL129)</f>
        <v>99.127323298362469</v>
      </c>
      <c r="AO129">
        <f t="shared" ref="AO129:AR134" si="162">Z129*AO$10</f>
        <v>3.5514537433385924</v>
      </c>
      <c r="AP129">
        <f t="shared" si="162"/>
        <v>0</v>
      </c>
      <c r="AQ129">
        <f t="shared" si="162"/>
        <v>0</v>
      </c>
      <c r="AR129">
        <f t="shared" si="162"/>
        <v>0</v>
      </c>
      <c r="AS129">
        <f t="shared" ref="AS129:AS134" si="163">SUM(AO129:AR129)</f>
        <v>3.5514537433385924</v>
      </c>
      <c r="AU129">
        <f t="shared" ref="AU129:AU134" si="164">AI129*AU$10</f>
        <v>105.90763221197047</v>
      </c>
      <c r="AV129">
        <f t="shared" ref="AV129:AX134" si="165">AJ129*AV$10</f>
        <v>0</v>
      </c>
      <c r="AW129">
        <f t="shared" si="165"/>
        <v>0</v>
      </c>
      <c r="AX129">
        <f t="shared" si="165"/>
        <v>0</v>
      </c>
      <c r="AY129">
        <f t="shared" ref="AY129:AY134" si="166">SUM(AU129:AX129)</f>
        <v>105.90763221197047</v>
      </c>
    </row>
    <row r="130" spans="1:53" ht="15" x14ac:dyDescent="0.25">
      <c r="A130" s="1"/>
      <c r="B130" s="2"/>
      <c r="C130" s="1" t="s">
        <v>9</v>
      </c>
      <c r="D130">
        <v>0</v>
      </c>
      <c r="E130" s="360">
        <v>4.1064999999999996</v>
      </c>
      <c r="F130">
        <v>0</v>
      </c>
      <c r="G130">
        <v>0</v>
      </c>
      <c r="H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 s="20"/>
      <c r="P130" s="20"/>
      <c r="Q130" s="438">
        <v>8.2893083659286659E-2</v>
      </c>
      <c r="R130" s="197">
        <v>5.6499999999999995E-2</v>
      </c>
      <c r="S130" s="197">
        <v>1.25</v>
      </c>
      <c r="T130" s="197">
        <v>0.50078889239507718</v>
      </c>
      <c r="U130" s="197">
        <v>0.75268470790377973</v>
      </c>
      <c r="V130" s="20">
        <f t="shared" si="156"/>
        <v>0.19232625314647622</v>
      </c>
      <c r="W130" s="20">
        <f t="shared" si="156"/>
        <v>0</v>
      </c>
      <c r="X130" s="20">
        <f t="shared" si="156"/>
        <v>0</v>
      </c>
      <c r="Y130" s="20">
        <f t="shared" si="156"/>
        <v>0</v>
      </c>
      <c r="Z130" s="20">
        <f t="shared" si="157"/>
        <v>0.1138371970343833</v>
      </c>
      <c r="AA130" s="20">
        <f t="shared" si="157"/>
        <v>0</v>
      </c>
      <c r="AB130" s="20">
        <f t="shared" si="157"/>
        <v>0</v>
      </c>
      <c r="AC130" s="20">
        <f t="shared" si="157"/>
        <v>0</v>
      </c>
      <c r="AD130" s="20">
        <f t="shared" si="158"/>
        <v>0.1138371970343833</v>
      </c>
      <c r="AE130" s="20">
        <f t="shared" si="159"/>
        <v>4.2550056005857586</v>
      </c>
      <c r="AF130" s="20">
        <f t="shared" si="159"/>
        <v>0</v>
      </c>
      <c r="AG130" s="20">
        <f t="shared" si="159"/>
        <v>0</v>
      </c>
      <c r="AH130" s="20">
        <f t="shared" si="159"/>
        <v>0</v>
      </c>
      <c r="AI130" s="20">
        <f t="shared" si="160"/>
        <v>3.3947304024929981</v>
      </c>
      <c r="AJ130" s="20">
        <f t="shared" si="160"/>
        <v>0</v>
      </c>
      <c r="AK130" s="20">
        <f t="shared" si="160"/>
        <v>0</v>
      </c>
      <c r="AL130" s="20">
        <f t="shared" si="160"/>
        <v>0</v>
      </c>
      <c r="AM130" s="20">
        <f t="shared" si="161"/>
        <v>3.3947304024929981</v>
      </c>
      <c r="AO130">
        <f t="shared" si="162"/>
        <v>0.12162366131153513</v>
      </c>
      <c r="AP130">
        <f t="shared" si="162"/>
        <v>0</v>
      </c>
      <c r="AQ130">
        <f t="shared" si="162"/>
        <v>0</v>
      </c>
      <c r="AR130">
        <f t="shared" si="162"/>
        <v>0</v>
      </c>
      <c r="AS130">
        <f t="shared" si="163"/>
        <v>0.12162366131153513</v>
      </c>
      <c r="AU130">
        <f t="shared" si="164"/>
        <v>3.6269299620235191</v>
      </c>
      <c r="AV130">
        <f t="shared" si="165"/>
        <v>0</v>
      </c>
      <c r="AW130">
        <f t="shared" si="165"/>
        <v>0</v>
      </c>
      <c r="AX130">
        <f t="shared" si="165"/>
        <v>0</v>
      </c>
      <c r="AY130">
        <f t="shared" si="166"/>
        <v>3.6269299620235191</v>
      </c>
    </row>
    <row r="131" spans="1:53" ht="15" x14ac:dyDescent="0.25">
      <c r="A131" s="1"/>
      <c r="B131" s="2"/>
      <c r="C131" s="1" t="s">
        <v>10</v>
      </c>
      <c r="D131">
        <v>0</v>
      </c>
      <c r="E131" s="360">
        <v>9.0899999999999995E-2</v>
      </c>
      <c r="F131">
        <v>0</v>
      </c>
      <c r="G131">
        <v>0</v>
      </c>
      <c r="H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 s="20"/>
      <c r="P131" s="20"/>
      <c r="Q131" s="438">
        <v>0.11983962548892999</v>
      </c>
      <c r="R131" s="197">
        <v>5.6499999999999995E-2</v>
      </c>
      <c r="S131" s="197">
        <v>1.25</v>
      </c>
      <c r="T131" s="197">
        <v>0.50078889239507718</v>
      </c>
      <c r="U131" s="197">
        <v>0.75268470790377973</v>
      </c>
      <c r="V131" s="20">
        <f t="shared" si="156"/>
        <v>6.154783405673209E-3</v>
      </c>
      <c r="W131" s="20">
        <f t="shared" si="156"/>
        <v>0</v>
      </c>
      <c r="X131" s="20">
        <f t="shared" si="156"/>
        <v>0</v>
      </c>
      <c r="Y131" s="20">
        <f t="shared" si="156"/>
        <v>0</v>
      </c>
      <c r="Z131" s="20">
        <f t="shared" si="157"/>
        <v>3.6429935060501694E-3</v>
      </c>
      <c r="AA131" s="20">
        <f t="shared" si="157"/>
        <v>0</v>
      </c>
      <c r="AB131" s="20">
        <f t="shared" si="157"/>
        <v>0</v>
      </c>
      <c r="AC131" s="20">
        <f t="shared" si="157"/>
        <v>0</v>
      </c>
      <c r="AD131" s="20">
        <f t="shared" si="158"/>
        <v>3.6429935060501694E-3</v>
      </c>
      <c r="AE131" s="20">
        <f t="shared" si="159"/>
        <v>0.13616777446179668</v>
      </c>
      <c r="AF131" s="20">
        <f t="shared" si="159"/>
        <v>0</v>
      </c>
      <c r="AG131" s="20">
        <f t="shared" si="159"/>
        <v>0</v>
      </c>
      <c r="AH131" s="20">
        <f t="shared" si="159"/>
        <v>0</v>
      </c>
      <c r="AI131" s="20">
        <f t="shared" si="160"/>
        <v>0.10863743251986215</v>
      </c>
      <c r="AJ131" s="20">
        <f t="shared" si="160"/>
        <v>0</v>
      </c>
      <c r="AK131" s="20">
        <f t="shared" si="160"/>
        <v>0</v>
      </c>
      <c r="AL131" s="20">
        <f t="shared" si="160"/>
        <v>0</v>
      </c>
      <c r="AM131" s="20">
        <f t="shared" si="161"/>
        <v>0.10863743251986215</v>
      </c>
      <c r="AO131">
        <f t="shared" si="162"/>
        <v>3.892174261864001E-3</v>
      </c>
      <c r="AP131">
        <f t="shared" si="162"/>
        <v>0</v>
      </c>
      <c r="AQ131">
        <f t="shared" si="162"/>
        <v>0</v>
      </c>
      <c r="AR131">
        <f t="shared" si="162"/>
        <v>0</v>
      </c>
      <c r="AS131">
        <f t="shared" si="163"/>
        <v>3.892174261864001E-3</v>
      </c>
      <c r="AU131">
        <f t="shared" si="164"/>
        <v>0.11606823290422072</v>
      </c>
      <c r="AV131">
        <f t="shared" si="165"/>
        <v>0</v>
      </c>
      <c r="AW131">
        <f t="shared" si="165"/>
        <v>0</v>
      </c>
      <c r="AX131">
        <f t="shared" si="165"/>
        <v>0</v>
      </c>
      <c r="AY131">
        <f t="shared" si="166"/>
        <v>0.11606823290422072</v>
      </c>
    </row>
    <row r="132" spans="1:53" ht="15" x14ac:dyDescent="0.25">
      <c r="A132" s="1"/>
      <c r="B132" s="2"/>
      <c r="C132" s="1" t="s">
        <v>11</v>
      </c>
      <c r="D132">
        <v>0</v>
      </c>
      <c r="E132" s="360">
        <v>98.100099999999998</v>
      </c>
      <c r="F132">
        <v>0</v>
      </c>
      <c r="G132">
        <v>0</v>
      </c>
      <c r="H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 s="20"/>
      <c r="P132" s="20"/>
      <c r="Q132" s="438">
        <v>0.15678616731857331</v>
      </c>
      <c r="R132" s="197">
        <v>5.6499999999999995E-2</v>
      </c>
      <c r="S132" s="197">
        <v>1.25</v>
      </c>
      <c r="T132" s="197">
        <v>0.50078889239507718</v>
      </c>
      <c r="U132" s="197">
        <v>0.75268470790377973</v>
      </c>
      <c r="V132" s="20">
        <f t="shared" si="156"/>
        <v>8.6901173613013558</v>
      </c>
      <c r="W132" s="20">
        <f t="shared" si="156"/>
        <v>0</v>
      </c>
      <c r="X132" s="20">
        <f t="shared" si="156"/>
        <v>0</v>
      </c>
      <c r="Y132" s="20">
        <f t="shared" si="156"/>
        <v>0</v>
      </c>
      <c r="Z132" s="20">
        <f t="shared" si="157"/>
        <v>5.1436482857956758</v>
      </c>
      <c r="AA132" s="20">
        <f t="shared" si="157"/>
        <v>0</v>
      </c>
      <c r="AB132" s="20">
        <f t="shared" si="157"/>
        <v>0</v>
      </c>
      <c r="AC132" s="20">
        <f t="shared" si="157"/>
        <v>0</v>
      </c>
      <c r="AD132" s="20">
        <f t="shared" si="158"/>
        <v>5.1436482857956758</v>
      </c>
      <c r="AE132" s="20">
        <f t="shared" si="159"/>
        <v>192.25923365710966</v>
      </c>
      <c r="AF132" s="20">
        <f t="shared" si="159"/>
        <v>0</v>
      </c>
      <c r="AG132" s="20">
        <f t="shared" si="159"/>
        <v>0</v>
      </c>
      <c r="AH132" s="20">
        <f t="shared" si="159"/>
        <v>0</v>
      </c>
      <c r="AI132" s="20">
        <f t="shared" si="160"/>
        <v>153.38834467478651</v>
      </c>
      <c r="AJ132" s="20">
        <f t="shared" si="160"/>
        <v>0</v>
      </c>
      <c r="AK132" s="20">
        <f t="shared" si="160"/>
        <v>0</v>
      </c>
      <c r="AL132" s="20">
        <f t="shared" si="160"/>
        <v>0</v>
      </c>
      <c r="AM132" s="20">
        <f t="shared" si="161"/>
        <v>153.38834467478651</v>
      </c>
      <c r="AO132">
        <f t="shared" si="162"/>
        <v>5.4954738285441005</v>
      </c>
      <c r="AP132">
        <f t="shared" si="162"/>
        <v>0</v>
      </c>
      <c r="AQ132">
        <f t="shared" si="162"/>
        <v>0</v>
      </c>
      <c r="AR132">
        <f t="shared" si="162"/>
        <v>0</v>
      </c>
      <c r="AS132">
        <f t="shared" si="163"/>
        <v>5.4954738285441005</v>
      </c>
      <c r="AU132">
        <f t="shared" si="164"/>
        <v>163.88010745054191</v>
      </c>
      <c r="AV132">
        <f t="shared" si="165"/>
        <v>0</v>
      </c>
      <c r="AW132">
        <f t="shared" si="165"/>
        <v>0</v>
      </c>
      <c r="AX132">
        <f t="shared" si="165"/>
        <v>0</v>
      </c>
      <c r="AY132">
        <f t="shared" si="166"/>
        <v>163.88010745054191</v>
      </c>
    </row>
    <row r="133" spans="1:53" ht="15" x14ac:dyDescent="0.25">
      <c r="A133" s="1"/>
      <c r="B133" s="2"/>
      <c r="C133" s="1" t="s">
        <v>12</v>
      </c>
      <c r="D133">
        <v>0</v>
      </c>
      <c r="E133" s="360">
        <v>0</v>
      </c>
      <c r="F133">
        <v>0</v>
      </c>
      <c r="G133">
        <v>0</v>
      </c>
      <c r="H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 s="20"/>
      <c r="P133" s="20"/>
      <c r="Q133" s="438"/>
      <c r="R133" s="197">
        <v>5.6499999999999995E-2</v>
      </c>
      <c r="S133" s="197">
        <v>1.25</v>
      </c>
      <c r="T133" s="197">
        <v>0.50078889239507718</v>
      </c>
      <c r="U133" s="197">
        <v>0.75268470790377973</v>
      </c>
      <c r="V133" s="20">
        <f t="shared" si="156"/>
        <v>0</v>
      </c>
      <c r="W133" s="20">
        <f t="shared" si="156"/>
        <v>0</v>
      </c>
      <c r="X133" s="20">
        <f t="shared" si="156"/>
        <v>0</v>
      </c>
      <c r="Y133" s="20">
        <f t="shared" si="156"/>
        <v>0</v>
      </c>
      <c r="Z133" s="20">
        <f t="shared" si="157"/>
        <v>0</v>
      </c>
      <c r="AA133" s="20">
        <f t="shared" si="157"/>
        <v>0</v>
      </c>
      <c r="AB133" s="20">
        <f t="shared" si="157"/>
        <v>0</v>
      </c>
      <c r="AC133" s="20">
        <f t="shared" si="157"/>
        <v>0</v>
      </c>
      <c r="AD133" s="20">
        <f t="shared" si="158"/>
        <v>0</v>
      </c>
      <c r="AE133" s="20">
        <f t="shared" si="159"/>
        <v>0</v>
      </c>
      <c r="AF133" s="20">
        <f t="shared" si="159"/>
        <v>0</v>
      </c>
      <c r="AG133" s="20">
        <f t="shared" si="159"/>
        <v>0</v>
      </c>
      <c r="AH133" s="20">
        <f t="shared" si="159"/>
        <v>0</v>
      </c>
      <c r="AI133" s="20">
        <f t="shared" si="160"/>
        <v>0</v>
      </c>
      <c r="AJ133" s="20">
        <f t="shared" si="160"/>
        <v>0</v>
      </c>
      <c r="AK133" s="20">
        <f t="shared" si="160"/>
        <v>0</v>
      </c>
      <c r="AL133" s="20">
        <f t="shared" si="160"/>
        <v>0</v>
      </c>
      <c r="AM133" s="20">
        <f t="shared" si="161"/>
        <v>0</v>
      </c>
      <c r="AO133">
        <f t="shared" si="162"/>
        <v>0</v>
      </c>
      <c r="AP133">
        <f t="shared" si="162"/>
        <v>0</v>
      </c>
      <c r="AQ133">
        <f t="shared" si="162"/>
        <v>0</v>
      </c>
      <c r="AR133">
        <f t="shared" si="162"/>
        <v>0</v>
      </c>
      <c r="AS133">
        <f t="shared" si="163"/>
        <v>0</v>
      </c>
      <c r="AU133">
        <f t="shared" si="164"/>
        <v>0</v>
      </c>
      <c r="AV133">
        <f t="shared" si="165"/>
        <v>0</v>
      </c>
      <c r="AW133">
        <f t="shared" si="165"/>
        <v>0</v>
      </c>
      <c r="AX133">
        <f t="shared" si="165"/>
        <v>0</v>
      </c>
      <c r="AY133">
        <f t="shared" si="166"/>
        <v>0</v>
      </c>
    </row>
    <row r="134" spans="1:53" ht="15" x14ac:dyDescent="0.25">
      <c r="A134" s="1"/>
      <c r="B134" s="2"/>
      <c r="C134" s="1" t="s">
        <v>13</v>
      </c>
      <c r="D134">
        <v>0</v>
      </c>
      <c r="E134" s="360">
        <v>0.71750000000000003</v>
      </c>
      <c r="F134">
        <v>0</v>
      </c>
      <c r="G134">
        <v>0</v>
      </c>
      <c r="H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20"/>
      <c r="P134" s="20"/>
      <c r="Q134" s="438">
        <v>0.15678616731857331</v>
      </c>
      <c r="R134" s="197">
        <v>5.6499999999999995E-2</v>
      </c>
      <c r="S134" s="197">
        <v>1.25</v>
      </c>
      <c r="T134" s="197">
        <v>0.50078889239507718</v>
      </c>
      <c r="U134" s="197">
        <v>0.75268470790377973</v>
      </c>
      <c r="V134" s="20">
        <f t="shared" si="156"/>
        <v>6.3559152403858135E-2</v>
      </c>
      <c r="W134" s="20">
        <f t="shared" si="156"/>
        <v>0</v>
      </c>
      <c r="X134" s="20">
        <f t="shared" si="156"/>
        <v>0</v>
      </c>
      <c r="Y134" s="20">
        <f t="shared" si="156"/>
        <v>0</v>
      </c>
      <c r="Z134" s="20">
        <f t="shared" si="157"/>
        <v>3.7620426942056098E-2</v>
      </c>
      <c r="AA134" s="20">
        <f t="shared" si="157"/>
        <v>0</v>
      </c>
      <c r="AB134" s="20">
        <f t="shared" si="157"/>
        <v>0</v>
      </c>
      <c r="AC134" s="20">
        <f t="shared" si="157"/>
        <v>0</v>
      </c>
      <c r="AD134" s="20">
        <f t="shared" si="158"/>
        <v>3.7620426942056098E-2</v>
      </c>
      <c r="AE134" s="20">
        <f t="shared" si="159"/>
        <v>1.4061759381384544</v>
      </c>
      <c r="AF134" s="20">
        <f t="shared" si="159"/>
        <v>0</v>
      </c>
      <c r="AG134" s="20">
        <f t="shared" si="159"/>
        <v>0</v>
      </c>
      <c r="AH134" s="20">
        <f t="shared" si="159"/>
        <v>0</v>
      </c>
      <c r="AI134" s="20">
        <f t="shared" si="160"/>
        <v>1.1218758931352701</v>
      </c>
      <c r="AJ134" s="20">
        <f t="shared" si="160"/>
        <v>0</v>
      </c>
      <c r="AK134" s="20">
        <f t="shared" si="160"/>
        <v>0</v>
      </c>
      <c r="AL134" s="20">
        <f t="shared" si="160"/>
        <v>0</v>
      </c>
      <c r="AM134" s="20">
        <f t="shared" si="161"/>
        <v>1.1218758931352701</v>
      </c>
      <c r="AO134">
        <f t="shared" si="162"/>
        <v>4.0193664144892734E-2</v>
      </c>
      <c r="AP134">
        <f t="shared" si="162"/>
        <v>0</v>
      </c>
      <c r="AQ134">
        <f t="shared" si="162"/>
        <v>0</v>
      </c>
      <c r="AR134">
        <f t="shared" si="162"/>
        <v>0</v>
      </c>
      <c r="AS134">
        <f t="shared" si="163"/>
        <v>4.0193664144892734E-2</v>
      </c>
      <c r="AU134">
        <f t="shared" si="164"/>
        <v>1.1986122042257226</v>
      </c>
      <c r="AV134">
        <f t="shared" si="165"/>
        <v>0</v>
      </c>
      <c r="AW134">
        <f t="shared" si="165"/>
        <v>0</v>
      </c>
      <c r="AX134">
        <f t="shared" si="165"/>
        <v>0</v>
      </c>
      <c r="AY134">
        <f t="shared" si="166"/>
        <v>1.1986122042257226</v>
      </c>
    </row>
    <row r="135" spans="1:53" ht="15" x14ac:dyDescent="0.25">
      <c r="A135" s="7"/>
      <c r="B135" s="8" t="s">
        <v>14</v>
      </c>
      <c r="C135" s="7"/>
      <c r="D135" s="357">
        <f t="shared" ref="D135:H135" si="167">SUM(D129:D134)</f>
        <v>0</v>
      </c>
      <c r="E135" s="363">
        <f>SUM(E129:E134)</f>
        <v>319.34929999999997</v>
      </c>
      <c r="F135" s="357">
        <f t="shared" si="167"/>
        <v>0</v>
      </c>
      <c r="G135" s="357">
        <f t="shared" si="167"/>
        <v>0</v>
      </c>
      <c r="H135" s="357">
        <f t="shared" si="167"/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 s="20"/>
      <c r="P135" s="20"/>
      <c r="Q135" s="438">
        <v>8.0740241490306286E-2</v>
      </c>
      <c r="R135" s="197"/>
      <c r="S135" s="197"/>
      <c r="T135" s="197"/>
      <c r="U135" s="197"/>
      <c r="BA135" s="319">
        <f>(E135*10000*Q135*AU$10)</f>
        <v>275479.88430520665</v>
      </c>
    </row>
    <row r="136" spans="1:53" ht="15" x14ac:dyDescent="0.25">
      <c r="A136" s="10"/>
      <c r="B136" s="9" t="s">
        <v>15</v>
      </c>
      <c r="C136" s="5"/>
      <c r="E136" s="363">
        <f>SUM(E135)</f>
        <v>319.34929999999997</v>
      </c>
      <c r="H136" s="358">
        <f>SUM(D135:H135)</f>
        <v>319.34929999999997</v>
      </c>
      <c r="K136" s="14"/>
      <c r="N136">
        <v>0</v>
      </c>
      <c r="O136" s="20"/>
      <c r="P136" s="20"/>
      <c r="Q136" s="438"/>
      <c r="R136" s="197"/>
      <c r="S136" s="197"/>
      <c r="T136" s="197"/>
      <c r="U136" s="197"/>
    </row>
    <row r="137" spans="1:53" ht="15.75" x14ac:dyDescent="0.25">
      <c r="A137" s="1"/>
      <c r="B137" s="2"/>
      <c r="C137" s="1"/>
      <c r="E137" s="361"/>
      <c r="K137" s="14"/>
      <c r="O137" s="20"/>
      <c r="P137" s="20"/>
      <c r="Q137" s="439"/>
      <c r="R137" s="197"/>
      <c r="S137" s="197"/>
      <c r="T137" s="197"/>
      <c r="U137" s="197"/>
    </row>
    <row r="138" spans="1:53" ht="15" x14ac:dyDescent="0.25">
      <c r="A138" s="1">
        <v>15</v>
      </c>
      <c r="B138" s="2" t="s">
        <v>29</v>
      </c>
      <c r="C138" s="1" t="s">
        <v>8</v>
      </c>
      <c r="D138">
        <v>0</v>
      </c>
      <c r="E138" s="360">
        <v>2.8900999999999999</v>
      </c>
      <c r="F138">
        <v>0</v>
      </c>
      <c r="G138">
        <v>0</v>
      </c>
      <c r="H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 s="20"/>
      <c r="P138" s="20"/>
      <c r="Q138" s="438">
        <v>0.77059796088327948</v>
      </c>
      <c r="R138" s="197">
        <v>2.5000000000000001E-2</v>
      </c>
      <c r="S138" s="197">
        <v>0.71599999999999997</v>
      </c>
      <c r="T138" s="197">
        <v>0.11808671869809276</v>
      </c>
      <c r="U138" s="197">
        <v>0.41263016220713056</v>
      </c>
      <c r="V138" s="20">
        <f t="shared" ref="V138:Y143" si="168">E138*$Q138*$R138*10</f>
        <v>0.55677629168719145</v>
      </c>
      <c r="W138" s="20">
        <f t="shared" si="168"/>
        <v>0</v>
      </c>
      <c r="X138" s="20">
        <f t="shared" si="168"/>
        <v>0</v>
      </c>
      <c r="Y138" s="20">
        <f t="shared" si="168"/>
        <v>0</v>
      </c>
      <c r="Z138" s="20">
        <f t="shared" ref="Z138:AC143" si="169">V138*(EXP(1.01-0.34*LN(Z$8))*(1-$T138)+(1*$T138))</f>
        <v>0.15536192428558315</v>
      </c>
      <c r="AA138" s="20">
        <f t="shared" si="169"/>
        <v>0</v>
      </c>
      <c r="AB138" s="20">
        <f t="shared" si="169"/>
        <v>0</v>
      </c>
      <c r="AC138" s="20">
        <f t="shared" si="169"/>
        <v>0</v>
      </c>
      <c r="AD138" s="20">
        <f t="shared" ref="AD138:AD143" si="170">SUM(Z138:AC138)</f>
        <v>0.15536192428558315</v>
      </c>
      <c r="AE138" s="20">
        <f t="shared" ref="AE138:AH143" si="171">E138*$Q138*$S138*10</f>
        <v>15.946072993921163</v>
      </c>
      <c r="AF138" s="20">
        <f t="shared" si="171"/>
        <v>0</v>
      </c>
      <c r="AG138" s="20">
        <f t="shared" si="171"/>
        <v>0</v>
      </c>
      <c r="AH138" s="20">
        <f t="shared" si="171"/>
        <v>0</v>
      </c>
      <c r="AI138" s="20">
        <f t="shared" ref="AI138:AL143" si="172">AE138*(EXP(1.01-0.34*LN(AI$8))*(1-$U138)+(1*$U138))</f>
        <v>8.2891957495477513</v>
      </c>
      <c r="AJ138" s="20">
        <f t="shared" si="172"/>
        <v>0</v>
      </c>
      <c r="AK138" s="20">
        <f t="shared" si="172"/>
        <v>0</v>
      </c>
      <c r="AL138" s="20">
        <f t="shared" si="172"/>
        <v>0</v>
      </c>
      <c r="AM138" s="20">
        <f t="shared" ref="AM138:AM143" si="173">SUM(AI138:AL138)</f>
        <v>8.2891957495477513</v>
      </c>
      <c r="AO138">
        <f t="shared" ref="AO138:AR143" si="174">Z138*AO$10</f>
        <v>0.16598867990671703</v>
      </c>
      <c r="AP138">
        <f t="shared" si="174"/>
        <v>0</v>
      </c>
      <c r="AQ138">
        <f t="shared" si="174"/>
        <v>0</v>
      </c>
      <c r="AR138">
        <f t="shared" si="174"/>
        <v>0</v>
      </c>
      <c r="AS138">
        <f t="shared" ref="AS138:AS143" si="175">SUM(AO138:AR138)</f>
        <v>0.16598867990671703</v>
      </c>
      <c r="AU138">
        <f t="shared" ref="AU138:AU143" si="176">AI138*AU$10</f>
        <v>8.8561767388168171</v>
      </c>
      <c r="AV138">
        <f t="shared" ref="AV138:AX143" si="177">AJ138*AV$10</f>
        <v>0</v>
      </c>
      <c r="AW138">
        <f t="shared" si="177"/>
        <v>0</v>
      </c>
      <c r="AX138">
        <f t="shared" si="177"/>
        <v>0</v>
      </c>
      <c r="AY138">
        <f t="shared" ref="AY138:AY143" si="178">SUM(AU138:AX138)</f>
        <v>8.8561767388168171</v>
      </c>
    </row>
    <row r="139" spans="1:53" ht="15" x14ac:dyDescent="0.25">
      <c r="A139" s="1"/>
      <c r="B139" s="2"/>
      <c r="C139" s="1" t="s">
        <v>9</v>
      </c>
      <c r="D139">
        <v>0</v>
      </c>
      <c r="E139" s="360">
        <v>0.32750000000000001</v>
      </c>
      <c r="F139">
        <v>0</v>
      </c>
      <c r="G139">
        <v>0</v>
      </c>
      <c r="H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 s="20"/>
      <c r="P139" s="20"/>
      <c r="Q139" s="438">
        <v>0.77619592176655849</v>
      </c>
      <c r="R139" s="197">
        <v>2.5000000000000001E-2</v>
      </c>
      <c r="S139" s="197">
        <v>0.71599999999999997</v>
      </c>
      <c r="T139" s="197">
        <v>0.11808671869809276</v>
      </c>
      <c r="U139" s="197">
        <v>0.41263016220713056</v>
      </c>
      <c r="V139" s="20">
        <f t="shared" si="168"/>
        <v>6.3551041094636995E-2</v>
      </c>
      <c r="W139" s="20">
        <f t="shared" si="168"/>
        <v>0</v>
      </c>
      <c r="X139" s="20">
        <f t="shared" si="168"/>
        <v>0</v>
      </c>
      <c r="Y139" s="20">
        <f t="shared" si="168"/>
        <v>0</v>
      </c>
      <c r="Z139" s="20">
        <f t="shared" si="169"/>
        <v>1.7733176110814115E-2</v>
      </c>
      <c r="AA139" s="20">
        <f t="shared" si="169"/>
        <v>0</v>
      </c>
      <c r="AB139" s="20">
        <f t="shared" si="169"/>
        <v>0</v>
      </c>
      <c r="AC139" s="20">
        <f t="shared" si="169"/>
        <v>0</v>
      </c>
      <c r="AD139" s="20">
        <f t="shared" si="170"/>
        <v>1.7733176110814115E-2</v>
      </c>
      <c r="AE139" s="20">
        <f t="shared" si="171"/>
        <v>1.8201018169504031</v>
      </c>
      <c r="AF139" s="20">
        <f t="shared" si="171"/>
        <v>0</v>
      </c>
      <c r="AG139" s="20">
        <f t="shared" si="171"/>
        <v>0</v>
      </c>
      <c r="AH139" s="20">
        <f t="shared" si="171"/>
        <v>0</v>
      </c>
      <c r="AI139" s="20">
        <f t="shared" si="172"/>
        <v>0.94613766352134698</v>
      </c>
      <c r="AJ139" s="20">
        <f t="shared" si="172"/>
        <v>0</v>
      </c>
      <c r="AK139" s="20">
        <f t="shared" si="172"/>
        <v>0</v>
      </c>
      <c r="AL139" s="20">
        <f t="shared" si="172"/>
        <v>0</v>
      </c>
      <c r="AM139" s="20">
        <f t="shared" si="173"/>
        <v>0.94613766352134698</v>
      </c>
      <c r="AO139">
        <f t="shared" si="174"/>
        <v>1.8946125356793801E-2</v>
      </c>
      <c r="AP139">
        <f t="shared" si="174"/>
        <v>0</v>
      </c>
      <c r="AQ139">
        <f t="shared" si="174"/>
        <v>0</v>
      </c>
      <c r="AR139">
        <f t="shared" si="174"/>
        <v>0</v>
      </c>
      <c r="AS139">
        <f t="shared" si="175"/>
        <v>1.8946125356793801E-2</v>
      </c>
      <c r="AU139">
        <f t="shared" si="176"/>
        <v>1.0108534797062072</v>
      </c>
      <c r="AV139">
        <f t="shared" si="177"/>
        <v>0</v>
      </c>
      <c r="AW139">
        <f t="shared" si="177"/>
        <v>0</v>
      </c>
      <c r="AX139">
        <f t="shared" si="177"/>
        <v>0</v>
      </c>
      <c r="AY139">
        <f t="shared" si="178"/>
        <v>1.0108534797062072</v>
      </c>
    </row>
    <row r="140" spans="1:53" ht="15" x14ac:dyDescent="0.25">
      <c r="A140" s="1"/>
      <c r="B140" s="2"/>
      <c r="C140" s="1" t="s">
        <v>10</v>
      </c>
      <c r="D140">
        <v>0</v>
      </c>
      <c r="E140" s="360">
        <v>0</v>
      </c>
      <c r="F140">
        <v>0</v>
      </c>
      <c r="G140">
        <v>0</v>
      </c>
      <c r="H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 s="20"/>
      <c r="P140" s="20"/>
      <c r="Q140" s="438"/>
      <c r="R140" s="197">
        <v>2.5000000000000001E-2</v>
      </c>
      <c r="S140" s="197">
        <v>0.71599999999999997</v>
      </c>
      <c r="T140" s="197">
        <v>0.11808671869809276</v>
      </c>
      <c r="U140" s="197">
        <v>0.41263016220713056</v>
      </c>
      <c r="V140" s="20">
        <f t="shared" si="168"/>
        <v>0</v>
      </c>
      <c r="W140" s="20">
        <f t="shared" si="168"/>
        <v>0</v>
      </c>
      <c r="X140" s="20">
        <f t="shared" si="168"/>
        <v>0</v>
      </c>
      <c r="Y140" s="20">
        <f t="shared" si="168"/>
        <v>0</v>
      </c>
      <c r="Z140" s="20">
        <f t="shared" si="169"/>
        <v>0</v>
      </c>
      <c r="AA140" s="20">
        <f t="shared" si="169"/>
        <v>0</v>
      </c>
      <c r="AB140" s="20">
        <f t="shared" si="169"/>
        <v>0</v>
      </c>
      <c r="AC140" s="20">
        <f t="shared" si="169"/>
        <v>0</v>
      </c>
      <c r="AD140" s="20">
        <f t="shared" si="170"/>
        <v>0</v>
      </c>
      <c r="AE140" s="20">
        <f t="shared" si="171"/>
        <v>0</v>
      </c>
      <c r="AF140" s="20">
        <f t="shared" si="171"/>
        <v>0</v>
      </c>
      <c r="AG140" s="20">
        <f t="shared" si="171"/>
        <v>0</v>
      </c>
      <c r="AH140" s="20">
        <f t="shared" si="171"/>
        <v>0</v>
      </c>
      <c r="AI140" s="20">
        <f t="shared" si="172"/>
        <v>0</v>
      </c>
      <c r="AJ140" s="20">
        <f t="shared" si="172"/>
        <v>0</v>
      </c>
      <c r="AK140" s="20">
        <f t="shared" si="172"/>
        <v>0</v>
      </c>
      <c r="AL140" s="20">
        <f t="shared" si="172"/>
        <v>0</v>
      </c>
      <c r="AM140" s="20">
        <f t="shared" si="173"/>
        <v>0</v>
      </c>
      <c r="AO140">
        <f t="shared" si="174"/>
        <v>0</v>
      </c>
      <c r="AP140">
        <f t="shared" si="174"/>
        <v>0</v>
      </c>
      <c r="AQ140">
        <f t="shared" si="174"/>
        <v>0</v>
      </c>
      <c r="AR140">
        <f t="shared" si="174"/>
        <v>0</v>
      </c>
      <c r="AS140">
        <f t="shared" si="175"/>
        <v>0</v>
      </c>
      <c r="AU140">
        <f t="shared" si="176"/>
        <v>0</v>
      </c>
      <c r="AV140">
        <f t="shared" si="177"/>
        <v>0</v>
      </c>
      <c r="AW140">
        <f t="shared" si="177"/>
        <v>0</v>
      </c>
      <c r="AX140">
        <f t="shared" si="177"/>
        <v>0</v>
      </c>
      <c r="AY140">
        <f t="shared" si="178"/>
        <v>0</v>
      </c>
    </row>
    <row r="141" spans="1:53" ht="15" x14ac:dyDescent="0.25">
      <c r="A141" s="1"/>
      <c r="B141" s="2"/>
      <c r="C141" s="1" t="s">
        <v>11</v>
      </c>
      <c r="D141">
        <v>0</v>
      </c>
      <c r="E141" s="360">
        <v>10.4046</v>
      </c>
      <c r="F141">
        <v>0</v>
      </c>
      <c r="G141">
        <v>0</v>
      </c>
      <c r="H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 s="20"/>
      <c r="P141" s="20"/>
      <c r="Q141" s="438">
        <v>0.78739184353311709</v>
      </c>
      <c r="R141" s="197">
        <v>2.5000000000000001E-2</v>
      </c>
      <c r="S141" s="197">
        <v>0.71599999999999997</v>
      </c>
      <c r="T141" s="197">
        <v>0.11808671869809276</v>
      </c>
      <c r="U141" s="197">
        <v>0.41263016220713056</v>
      </c>
      <c r="V141" s="20">
        <f t="shared" si="168"/>
        <v>2.0481242938061675</v>
      </c>
      <c r="W141" s="20">
        <f t="shared" si="168"/>
        <v>0</v>
      </c>
      <c r="X141" s="20">
        <f t="shared" si="168"/>
        <v>0</v>
      </c>
      <c r="Y141" s="20">
        <f t="shared" si="168"/>
        <v>0</v>
      </c>
      <c r="Z141" s="20">
        <f t="shared" si="169"/>
        <v>0.57150517400361744</v>
      </c>
      <c r="AA141" s="20">
        <f t="shared" si="169"/>
        <v>0</v>
      </c>
      <c r="AB141" s="20">
        <f t="shared" si="169"/>
        <v>0</v>
      </c>
      <c r="AC141" s="20">
        <f t="shared" si="169"/>
        <v>0</v>
      </c>
      <c r="AD141" s="20">
        <f t="shared" si="170"/>
        <v>0.57150517400361744</v>
      </c>
      <c r="AE141" s="20">
        <f t="shared" si="171"/>
        <v>58.658279774608637</v>
      </c>
      <c r="AF141" s="20">
        <f t="shared" si="171"/>
        <v>0</v>
      </c>
      <c r="AG141" s="20">
        <f t="shared" si="171"/>
        <v>0</v>
      </c>
      <c r="AH141" s="20">
        <f t="shared" si="171"/>
        <v>0</v>
      </c>
      <c r="AI141" s="20">
        <f t="shared" si="172"/>
        <v>30.492144590635291</v>
      </c>
      <c r="AJ141" s="20">
        <f t="shared" si="172"/>
        <v>0</v>
      </c>
      <c r="AK141" s="20">
        <f t="shared" si="172"/>
        <v>0</v>
      </c>
      <c r="AL141" s="20">
        <f t="shared" si="172"/>
        <v>0</v>
      </c>
      <c r="AM141" s="20">
        <f t="shared" si="173"/>
        <v>30.492144590635291</v>
      </c>
      <c r="AO141">
        <f t="shared" si="174"/>
        <v>0.61059612790546491</v>
      </c>
      <c r="AP141">
        <f t="shared" si="174"/>
        <v>0</v>
      </c>
      <c r="AQ141">
        <f t="shared" si="174"/>
        <v>0</v>
      </c>
      <c r="AR141">
        <f t="shared" si="174"/>
        <v>0</v>
      </c>
      <c r="AS141">
        <f t="shared" si="175"/>
        <v>0.61059612790546491</v>
      </c>
      <c r="AU141">
        <f t="shared" si="176"/>
        <v>32.577807280634744</v>
      </c>
      <c r="AV141">
        <f t="shared" si="177"/>
        <v>0</v>
      </c>
      <c r="AW141">
        <f t="shared" si="177"/>
        <v>0</v>
      </c>
      <c r="AX141">
        <f t="shared" si="177"/>
        <v>0</v>
      </c>
      <c r="AY141">
        <f t="shared" si="178"/>
        <v>32.577807280634744</v>
      </c>
    </row>
    <row r="142" spans="1:53" ht="15" x14ac:dyDescent="0.25">
      <c r="A142" s="1"/>
      <c r="B142" s="2"/>
      <c r="C142" s="1" t="s">
        <v>12</v>
      </c>
      <c r="D142">
        <v>0</v>
      </c>
      <c r="E142" s="360">
        <v>0</v>
      </c>
      <c r="F142">
        <v>0</v>
      </c>
      <c r="G142">
        <v>0</v>
      </c>
      <c r="H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 s="20"/>
      <c r="P142" s="20"/>
      <c r="Q142" s="438"/>
      <c r="R142" s="197">
        <v>2.5000000000000001E-2</v>
      </c>
      <c r="S142" s="197">
        <v>0.71599999999999997</v>
      </c>
      <c r="T142" s="197">
        <v>0.11808671869809276</v>
      </c>
      <c r="U142" s="197">
        <v>0.41263016220713056</v>
      </c>
      <c r="V142" s="20">
        <f t="shared" si="168"/>
        <v>0</v>
      </c>
      <c r="W142" s="20">
        <f t="shared" si="168"/>
        <v>0</v>
      </c>
      <c r="X142" s="20">
        <f t="shared" si="168"/>
        <v>0</v>
      </c>
      <c r="Y142" s="20">
        <f t="shared" si="168"/>
        <v>0</v>
      </c>
      <c r="Z142" s="20">
        <f t="shared" si="169"/>
        <v>0</v>
      </c>
      <c r="AA142" s="20">
        <f t="shared" si="169"/>
        <v>0</v>
      </c>
      <c r="AB142" s="20">
        <f t="shared" si="169"/>
        <v>0</v>
      </c>
      <c r="AC142" s="20">
        <f t="shared" si="169"/>
        <v>0</v>
      </c>
      <c r="AD142" s="20">
        <f t="shared" si="170"/>
        <v>0</v>
      </c>
      <c r="AE142" s="20">
        <f t="shared" si="171"/>
        <v>0</v>
      </c>
      <c r="AF142" s="20">
        <f t="shared" si="171"/>
        <v>0</v>
      </c>
      <c r="AG142" s="20">
        <f t="shared" si="171"/>
        <v>0</v>
      </c>
      <c r="AH142" s="20">
        <f t="shared" si="171"/>
        <v>0</v>
      </c>
      <c r="AI142" s="20">
        <f t="shared" si="172"/>
        <v>0</v>
      </c>
      <c r="AJ142" s="20">
        <f t="shared" si="172"/>
        <v>0</v>
      </c>
      <c r="AK142" s="20">
        <f t="shared" si="172"/>
        <v>0</v>
      </c>
      <c r="AL142" s="20">
        <f t="shared" si="172"/>
        <v>0</v>
      </c>
      <c r="AM142" s="20">
        <f t="shared" si="173"/>
        <v>0</v>
      </c>
      <c r="AO142">
        <f t="shared" si="174"/>
        <v>0</v>
      </c>
      <c r="AP142">
        <f t="shared" si="174"/>
        <v>0</v>
      </c>
      <c r="AQ142">
        <f t="shared" si="174"/>
        <v>0</v>
      </c>
      <c r="AR142">
        <f t="shared" si="174"/>
        <v>0</v>
      </c>
      <c r="AS142">
        <f t="shared" si="175"/>
        <v>0</v>
      </c>
      <c r="AU142">
        <f t="shared" si="176"/>
        <v>0</v>
      </c>
      <c r="AV142">
        <f t="shared" si="177"/>
        <v>0</v>
      </c>
      <c r="AW142">
        <f t="shared" si="177"/>
        <v>0</v>
      </c>
      <c r="AX142">
        <f t="shared" si="177"/>
        <v>0</v>
      </c>
      <c r="AY142">
        <f t="shared" si="178"/>
        <v>0</v>
      </c>
    </row>
    <row r="143" spans="1:53" ht="15" x14ac:dyDescent="0.25">
      <c r="A143" s="1"/>
      <c r="B143" s="2"/>
      <c r="C143" s="1" t="s">
        <v>13</v>
      </c>
      <c r="D143">
        <v>0</v>
      </c>
      <c r="E143" s="360">
        <v>9.9110999999999994</v>
      </c>
      <c r="F143">
        <v>0</v>
      </c>
      <c r="G143">
        <v>0</v>
      </c>
      <c r="H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20"/>
      <c r="P143" s="20"/>
      <c r="Q143" s="438">
        <v>0.7873918435331172</v>
      </c>
      <c r="R143" s="197">
        <v>2.5000000000000001E-2</v>
      </c>
      <c r="S143" s="197">
        <v>0.71599999999999997</v>
      </c>
      <c r="T143" s="197">
        <v>0.11808671869809276</v>
      </c>
      <c r="U143" s="197">
        <v>0.41263016220713056</v>
      </c>
      <c r="V143" s="20">
        <f t="shared" si="168"/>
        <v>1.9509798251102695</v>
      </c>
      <c r="W143" s="20">
        <f t="shared" si="168"/>
        <v>0</v>
      </c>
      <c r="X143" s="20">
        <f t="shared" si="168"/>
        <v>0</v>
      </c>
      <c r="Y143" s="20">
        <f t="shared" si="168"/>
        <v>0</v>
      </c>
      <c r="Z143" s="20">
        <f t="shared" si="169"/>
        <v>0.54439814409657783</v>
      </c>
      <c r="AA143" s="20">
        <f t="shared" si="169"/>
        <v>0</v>
      </c>
      <c r="AB143" s="20">
        <f t="shared" si="169"/>
        <v>0</v>
      </c>
      <c r="AC143" s="20">
        <f t="shared" si="169"/>
        <v>0</v>
      </c>
      <c r="AD143" s="20">
        <f t="shared" si="170"/>
        <v>0.54439814409657783</v>
      </c>
      <c r="AE143" s="20">
        <f t="shared" si="171"/>
        <v>55.876062191158113</v>
      </c>
      <c r="AF143" s="20">
        <f t="shared" si="171"/>
        <v>0</v>
      </c>
      <c r="AG143" s="20">
        <f t="shared" si="171"/>
        <v>0</v>
      </c>
      <c r="AH143" s="20">
        <f t="shared" si="171"/>
        <v>0</v>
      </c>
      <c r="AI143" s="20">
        <f t="shared" si="172"/>
        <v>29.045873387948163</v>
      </c>
      <c r="AJ143" s="20">
        <f t="shared" si="172"/>
        <v>0</v>
      </c>
      <c r="AK143" s="20">
        <f t="shared" si="172"/>
        <v>0</v>
      </c>
      <c r="AL143" s="20">
        <f t="shared" si="172"/>
        <v>0</v>
      </c>
      <c r="AM143" s="20">
        <f t="shared" si="173"/>
        <v>29.045873387948163</v>
      </c>
      <c r="AO143">
        <f t="shared" si="174"/>
        <v>0.58163497715278378</v>
      </c>
      <c r="AP143">
        <f t="shared" si="174"/>
        <v>0</v>
      </c>
      <c r="AQ143">
        <f t="shared" si="174"/>
        <v>0</v>
      </c>
      <c r="AR143">
        <f t="shared" si="174"/>
        <v>0</v>
      </c>
      <c r="AS143">
        <f t="shared" si="175"/>
        <v>0.58163497715278378</v>
      </c>
      <c r="AU143">
        <f t="shared" si="176"/>
        <v>31.032611127683818</v>
      </c>
      <c r="AV143">
        <f t="shared" si="177"/>
        <v>0</v>
      </c>
      <c r="AW143">
        <f t="shared" si="177"/>
        <v>0</v>
      </c>
      <c r="AX143">
        <f t="shared" si="177"/>
        <v>0</v>
      </c>
      <c r="AY143">
        <f t="shared" si="178"/>
        <v>31.032611127683818</v>
      </c>
    </row>
    <row r="144" spans="1:53" ht="15" x14ac:dyDescent="0.25">
      <c r="A144" s="7"/>
      <c r="B144" s="8" t="s">
        <v>14</v>
      </c>
      <c r="C144" s="7"/>
      <c r="D144" s="357">
        <f t="shared" ref="D144:H144" si="179">SUM(D138:D143)</f>
        <v>0</v>
      </c>
      <c r="E144" s="363">
        <f>SUM(E138:E143)</f>
        <v>23.533299999999997</v>
      </c>
      <c r="F144" s="357">
        <f t="shared" si="179"/>
        <v>0</v>
      </c>
      <c r="G144" s="357">
        <f t="shared" si="179"/>
        <v>0</v>
      </c>
      <c r="H144" s="357">
        <f t="shared" si="179"/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 s="20"/>
      <c r="P144" s="20"/>
      <c r="Q144" s="438">
        <v>0.78517359685182553</v>
      </c>
      <c r="R144" s="197"/>
      <c r="S144" s="197"/>
      <c r="T144" s="197"/>
      <c r="U144" s="197"/>
      <c r="BA144" s="319">
        <f>(E144*10000*Q144*AU$10)</f>
        <v>197416.02251977709</v>
      </c>
    </row>
    <row r="145" spans="1:53" ht="15" x14ac:dyDescent="0.25">
      <c r="A145" s="10"/>
      <c r="B145" s="9" t="s">
        <v>15</v>
      </c>
      <c r="C145" s="5"/>
      <c r="E145" s="363">
        <f>SUM(E144)</f>
        <v>23.533299999999997</v>
      </c>
      <c r="H145" s="358">
        <f>SUM(D144:H144)</f>
        <v>23.533299999999997</v>
      </c>
      <c r="K145" s="14"/>
      <c r="N145">
        <v>0</v>
      </c>
      <c r="O145" s="20"/>
      <c r="P145" s="20"/>
      <c r="Q145" s="438"/>
      <c r="R145" s="197"/>
      <c r="S145" s="197"/>
      <c r="T145" s="197"/>
      <c r="U145" s="197"/>
    </row>
    <row r="146" spans="1:53" ht="15.75" x14ac:dyDescent="0.25">
      <c r="A146" s="1"/>
      <c r="B146" s="2"/>
      <c r="C146" s="1"/>
      <c r="E146" s="361"/>
      <c r="K146" s="14"/>
      <c r="O146" s="20"/>
      <c r="P146" s="20"/>
      <c r="Q146" s="439"/>
      <c r="R146" s="197"/>
      <c r="S146" s="197"/>
      <c r="T146" s="197"/>
      <c r="U146" s="197"/>
    </row>
    <row r="147" spans="1:53" ht="15" x14ac:dyDescent="0.25">
      <c r="A147" s="1">
        <v>16</v>
      </c>
      <c r="B147" s="2" t="s">
        <v>30</v>
      </c>
      <c r="C147" s="1" t="s">
        <v>8</v>
      </c>
      <c r="D147">
        <v>0</v>
      </c>
      <c r="E147" s="360">
        <v>72.439700000000002</v>
      </c>
      <c r="F147">
        <v>0</v>
      </c>
      <c r="G147">
        <v>0</v>
      </c>
      <c r="H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 s="20"/>
      <c r="P147" s="20"/>
      <c r="Q147" s="438">
        <v>0.68432993480546545</v>
      </c>
      <c r="R147" s="197">
        <v>5.6499999999999995E-2</v>
      </c>
      <c r="S147" s="197">
        <v>1.25</v>
      </c>
      <c r="T147" s="197">
        <v>0.50650413159351704</v>
      </c>
      <c r="U147" s="197">
        <v>0.77519673403474398</v>
      </c>
      <c r="V147" s="20">
        <f t="shared" ref="V147:Y152" si="180">E147*$Q147*$R147*10</f>
        <v>28.008550175755023</v>
      </c>
      <c r="W147" s="20">
        <f t="shared" si="180"/>
        <v>0</v>
      </c>
      <c r="X147" s="20">
        <f t="shared" si="180"/>
        <v>0</v>
      </c>
      <c r="Y147" s="20">
        <f t="shared" si="180"/>
        <v>0</v>
      </c>
      <c r="Z147" s="20">
        <f t="shared" ref="Z147:AC152" si="181">V147*(EXP(1.01-0.34*LN(Z$8))*(1-$T147)+(1*$T147))</f>
        <v>16.709018462404824</v>
      </c>
      <c r="AA147" s="20">
        <f t="shared" si="181"/>
        <v>0</v>
      </c>
      <c r="AB147" s="20">
        <f t="shared" si="181"/>
        <v>0</v>
      </c>
      <c r="AC147" s="20">
        <f t="shared" si="181"/>
        <v>0</v>
      </c>
      <c r="AD147" s="20">
        <f t="shared" ref="AD147:AD152" si="182">SUM(Z147:AC147)</f>
        <v>16.709018462404824</v>
      </c>
      <c r="AE147" s="20">
        <f t="shared" ref="AE147:AH152" si="183">E147*$Q147*$S147*10</f>
        <v>619.65818972909346</v>
      </c>
      <c r="AF147" s="20">
        <f t="shared" si="183"/>
        <v>0</v>
      </c>
      <c r="AG147" s="20">
        <f t="shared" si="183"/>
        <v>0</v>
      </c>
      <c r="AH147" s="20">
        <f t="shared" si="183"/>
        <v>0</v>
      </c>
      <c r="AI147" s="20">
        <f t="shared" ref="AI147:AL152" si="184">AE147*(EXP(1.01-0.34*LN(AI$8))*(1-$U147)+(1*$U147))</f>
        <v>505.77985547254832</v>
      </c>
      <c r="AJ147" s="20">
        <f t="shared" si="184"/>
        <v>0</v>
      </c>
      <c r="AK147" s="20">
        <f t="shared" si="184"/>
        <v>0</v>
      </c>
      <c r="AL147" s="20">
        <f t="shared" si="184"/>
        <v>0</v>
      </c>
      <c r="AM147" s="20">
        <f t="shared" ref="AM147:AM152" si="185">SUM(AI147:AL147)</f>
        <v>505.77985547254832</v>
      </c>
      <c r="AO147">
        <f t="shared" ref="AO147:AR152" si="186">Z147*AO$10</f>
        <v>17.851915325233314</v>
      </c>
      <c r="AP147">
        <f t="shared" si="186"/>
        <v>0</v>
      </c>
      <c r="AQ147">
        <f t="shared" si="186"/>
        <v>0</v>
      </c>
      <c r="AR147">
        <f t="shared" si="186"/>
        <v>0</v>
      </c>
      <c r="AS147">
        <f t="shared" ref="AS147:AS152" si="187">SUM(AO147:AR147)</f>
        <v>17.851915325233314</v>
      </c>
      <c r="AU147">
        <f t="shared" ref="AU147:AU152" si="188">AI147*AU$10</f>
        <v>540.37519758687063</v>
      </c>
      <c r="AV147">
        <f t="shared" ref="AV147:AX152" si="189">AJ147*AV$10</f>
        <v>0</v>
      </c>
      <c r="AW147">
        <f t="shared" si="189"/>
        <v>0</v>
      </c>
      <c r="AX147">
        <f t="shared" si="189"/>
        <v>0</v>
      </c>
      <c r="AY147">
        <f t="shared" ref="AY147:AY152" si="190">SUM(AU147:AX147)</f>
        <v>540.37519758687063</v>
      </c>
    </row>
    <row r="148" spans="1:53" ht="15" x14ac:dyDescent="0.25">
      <c r="A148" s="1"/>
      <c r="B148" s="2"/>
      <c r="C148" s="1" t="s">
        <v>9</v>
      </c>
      <c r="D148">
        <v>0</v>
      </c>
      <c r="E148" s="360">
        <v>6.3832000000000004</v>
      </c>
      <c r="F148">
        <v>0</v>
      </c>
      <c r="G148">
        <v>0</v>
      </c>
      <c r="H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 s="20"/>
      <c r="P148" s="20"/>
      <c r="Q148" s="438">
        <v>0.69365986961093096</v>
      </c>
      <c r="R148" s="197">
        <v>5.6499999999999995E-2</v>
      </c>
      <c r="S148" s="197">
        <v>1.25</v>
      </c>
      <c r="T148" s="197">
        <v>0.50650413159351704</v>
      </c>
      <c r="U148" s="197">
        <v>0.77519673403474398</v>
      </c>
      <c r="V148" s="20">
        <f t="shared" si="180"/>
        <v>2.5016898690307792</v>
      </c>
      <c r="W148" s="20">
        <f t="shared" si="180"/>
        <v>0</v>
      </c>
      <c r="X148" s="20">
        <f t="shared" si="180"/>
        <v>0</v>
      </c>
      <c r="Y148" s="20">
        <f t="shared" si="180"/>
        <v>0</v>
      </c>
      <c r="Z148" s="20">
        <f t="shared" si="181"/>
        <v>1.4924293455585684</v>
      </c>
      <c r="AA148" s="20">
        <f t="shared" si="181"/>
        <v>0</v>
      </c>
      <c r="AB148" s="20">
        <f t="shared" si="181"/>
        <v>0</v>
      </c>
      <c r="AC148" s="20">
        <f t="shared" si="181"/>
        <v>0</v>
      </c>
      <c r="AD148" s="20">
        <f t="shared" si="182"/>
        <v>1.4924293455585684</v>
      </c>
      <c r="AE148" s="20">
        <f t="shared" si="183"/>
        <v>55.347120996256187</v>
      </c>
      <c r="AF148" s="20">
        <f t="shared" si="183"/>
        <v>0</v>
      </c>
      <c r="AG148" s="20">
        <f t="shared" si="183"/>
        <v>0</v>
      </c>
      <c r="AH148" s="20">
        <f t="shared" si="183"/>
        <v>0</v>
      </c>
      <c r="AI148" s="20">
        <f t="shared" si="184"/>
        <v>45.175645738736186</v>
      </c>
      <c r="AJ148" s="20">
        <f t="shared" si="184"/>
        <v>0</v>
      </c>
      <c r="AK148" s="20">
        <f t="shared" si="184"/>
        <v>0</v>
      </c>
      <c r="AL148" s="20">
        <f t="shared" si="184"/>
        <v>0</v>
      </c>
      <c r="AM148" s="20">
        <f t="shared" si="185"/>
        <v>45.175645738736186</v>
      </c>
      <c r="AO148">
        <f t="shared" si="186"/>
        <v>1.5945115127947744</v>
      </c>
      <c r="AP148">
        <f t="shared" si="186"/>
        <v>0</v>
      </c>
      <c r="AQ148">
        <f t="shared" si="186"/>
        <v>0</v>
      </c>
      <c r="AR148">
        <f t="shared" si="186"/>
        <v>0</v>
      </c>
      <c r="AS148">
        <f t="shared" si="187"/>
        <v>1.5945115127947744</v>
      </c>
      <c r="AU148">
        <f t="shared" si="188"/>
        <v>48.265659907265743</v>
      </c>
      <c r="AV148">
        <f t="shared" si="189"/>
        <v>0</v>
      </c>
      <c r="AW148">
        <f t="shared" si="189"/>
        <v>0</v>
      </c>
      <c r="AX148">
        <f t="shared" si="189"/>
        <v>0</v>
      </c>
      <c r="AY148">
        <f t="shared" si="190"/>
        <v>48.265659907265743</v>
      </c>
    </row>
    <row r="149" spans="1:53" ht="15" x14ac:dyDescent="0.25">
      <c r="A149" s="1"/>
      <c r="B149" s="2"/>
      <c r="C149" s="1" t="s">
        <v>10</v>
      </c>
      <c r="D149">
        <v>0</v>
      </c>
      <c r="E149" s="360">
        <v>0</v>
      </c>
      <c r="F149">
        <v>0</v>
      </c>
      <c r="G149">
        <v>0</v>
      </c>
      <c r="H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 s="20"/>
      <c r="P149" s="20"/>
      <c r="Q149" s="438"/>
      <c r="R149" s="197">
        <v>5.6499999999999995E-2</v>
      </c>
      <c r="S149" s="197">
        <v>1.25</v>
      </c>
      <c r="T149" s="197">
        <v>0.50650413159351704</v>
      </c>
      <c r="U149" s="197">
        <v>0.77519673403474398</v>
      </c>
      <c r="V149" s="20">
        <f t="shared" si="180"/>
        <v>0</v>
      </c>
      <c r="W149" s="20">
        <f t="shared" si="180"/>
        <v>0</v>
      </c>
      <c r="X149" s="20">
        <f t="shared" si="180"/>
        <v>0</v>
      </c>
      <c r="Y149" s="20">
        <f t="shared" si="180"/>
        <v>0</v>
      </c>
      <c r="Z149" s="20">
        <f t="shared" si="181"/>
        <v>0</v>
      </c>
      <c r="AA149" s="20">
        <f t="shared" si="181"/>
        <v>0</v>
      </c>
      <c r="AB149" s="20">
        <f t="shared" si="181"/>
        <v>0</v>
      </c>
      <c r="AC149" s="20">
        <f t="shared" si="181"/>
        <v>0</v>
      </c>
      <c r="AD149" s="20">
        <f t="shared" si="182"/>
        <v>0</v>
      </c>
      <c r="AE149" s="20">
        <f t="shared" si="183"/>
        <v>0</v>
      </c>
      <c r="AF149" s="20">
        <f t="shared" si="183"/>
        <v>0</v>
      </c>
      <c r="AG149" s="20">
        <f t="shared" si="183"/>
        <v>0</v>
      </c>
      <c r="AH149" s="20">
        <f t="shared" si="183"/>
        <v>0</v>
      </c>
      <c r="AI149" s="20">
        <f t="shared" si="184"/>
        <v>0</v>
      </c>
      <c r="AJ149" s="20">
        <f t="shared" si="184"/>
        <v>0</v>
      </c>
      <c r="AK149" s="20">
        <f t="shared" si="184"/>
        <v>0</v>
      </c>
      <c r="AL149" s="20">
        <f t="shared" si="184"/>
        <v>0</v>
      </c>
      <c r="AM149" s="20">
        <f t="shared" si="185"/>
        <v>0</v>
      </c>
      <c r="AO149">
        <f t="shared" si="186"/>
        <v>0</v>
      </c>
      <c r="AP149">
        <f t="shared" si="186"/>
        <v>0</v>
      </c>
      <c r="AQ149">
        <f t="shared" si="186"/>
        <v>0</v>
      </c>
      <c r="AR149">
        <f t="shared" si="186"/>
        <v>0</v>
      </c>
      <c r="AS149">
        <f t="shared" si="187"/>
        <v>0</v>
      </c>
      <c r="AU149">
        <f t="shared" si="188"/>
        <v>0</v>
      </c>
      <c r="AV149">
        <f t="shared" si="189"/>
        <v>0</v>
      </c>
      <c r="AW149">
        <f t="shared" si="189"/>
        <v>0</v>
      </c>
      <c r="AX149">
        <f t="shared" si="189"/>
        <v>0</v>
      </c>
      <c r="AY149">
        <f t="shared" si="190"/>
        <v>0</v>
      </c>
    </row>
    <row r="150" spans="1:53" ht="15" x14ac:dyDescent="0.25">
      <c r="A150" s="1"/>
      <c r="B150" s="2"/>
      <c r="C150" s="1" t="s">
        <v>11</v>
      </c>
      <c r="D150">
        <v>0</v>
      </c>
      <c r="E150" s="360">
        <v>1282.5646999999999</v>
      </c>
      <c r="F150">
        <v>0</v>
      </c>
      <c r="G150">
        <v>0</v>
      </c>
      <c r="H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s="20"/>
      <c r="P150" s="20"/>
      <c r="Q150" s="438">
        <v>0.71231973922186198</v>
      </c>
      <c r="R150" s="197">
        <v>5.6499999999999995E-2</v>
      </c>
      <c r="S150" s="197">
        <v>1.25</v>
      </c>
      <c r="T150" s="197">
        <v>0.50650413159351704</v>
      </c>
      <c r="U150" s="197">
        <v>0.77519673403474398</v>
      </c>
      <c r="V150" s="20">
        <f t="shared" si="180"/>
        <v>516.18182624112842</v>
      </c>
      <c r="W150" s="20">
        <f t="shared" si="180"/>
        <v>0</v>
      </c>
      <c r="X150" s="20">
        <f t="shared" si="180"/>
        <v>0</v>
      </c>
      <c r="Y150" s="20">
        <f t="shared" si="180"/>
        <v>0</v>
      </c>
      <c r="Z150" s="20">
        <f t="shared" si="181"/>
        <v>307.93781222159794</v>
      </c>
      <c r="AA150" s="20">
        <f t="shared" si="181"/>
        <v>0</v>
      </c>
      <c r="AB150" s="20">
        <f t="shared" si="181"/>
        <v>0</v>
      </c>
      <c r="AC150" s="20">
        <f t="shared" si="181"/>
        <v>0</v>
      </c>
      <c r="AD150" s="20">
        <f t="shared" si="182"/>
        <v>307.93781222159794</v>
      </c>
      <c r="AE150" s="20">
        <f t="shared" si="183"/>
        <v>11419.951907989569</v>
      </c>
      <c r="AF150" s="20">
        <f t="shared" si="183"/>
        <v>0</v>
      </c>
      <c r="AG150" s="20">
        <f t="shared" si="183"/>
        <v>0</v>
      </c>
      <c r="AH150" s="20">
        <f t="shared" si="183"/>
        <v>0</v>
      </c>
      <c r="AI150" s="20">
        <f t="shared" si="184"/>
        <v>9321.2382588723649</v>
      </c>
      <c r="AJ150" s="20">
        <f t="shared" si="184"/>
        <v>0</v>
      </c>
      <c r="AK150" s="20">
        <f t="shared" si="184"/>
        <v>0</v>
      </c>
      <c r="AL150" s="20">
        <f t="shared" si="184"/>
        <v>0</v>
      </c>
      <c r="AM150" s="20">
        <f t="shared" si="185"/>
        <v>9321.2382588723649</v>
      </c>
      <c r="AO150">
        <f t="shared" si="186"/>
        <v>329.00075857755525</v>
      </c>
      <c r="AP150">
        <f t="shared" si="186"/>
        <v>0</v>
      </c>
      <c r="AQ150">
        <f t="shared" si="186"/>
        <v>0</v>
      </c>
      <c r="AR150">
        <f t="shared" si="186"/>
        <v>0</v>
      </c>
      <c r="AS150">
        <f t="shared" si="187"/>
        <v>329.00075857755525</v>
      </c>
      <c r="AU150">
        <f t="shared" si="188"/>
        <v>9958.8109557792341</v>
      </c>
      <c r="AV150">
        <f t="shared" si="189"/>
        <v>0</v>
      </c>
      <c r="AW150">
        <f t="shared" si="189"/>
        <v>0</v>
      </c>
      <c r="AX150">
        <f t="shared" si="189"/>
        <v>0</v>
      </c>
      <c r="AY150">
        <f t="shared" si="190"/>
        <v>9958.8109557792341</v>
      </c>
    </row>
    <row r="151" spans="1:53" ht="15" x14ac:dyDescent="0.25">
      <c r="A151" s="1"/>
      <c r="B151" s="2"/>
      <c r="C151" s="1" t="s">
        <v>12</v>
      </c>
      <c r="D151">
        <v>0</v>
      </c>
      <c r="E151" s="360">
        <v>0</v>
      </c>
      <c r="F151">
        <v>0</v>
      </c>
      <c r="G151">
        <v>0</v>
      </c>
      <c r="H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 s="20"/>
      <c r="P151" s="20"/>
      <c r="Q151" s="438"/>
      <c r="R151" s="197">
        <v>5.6499999999999995E-2</v>
      </c>
      <c r="S151" s="197">
        <v>1.25</v>
      </c>
      <c r="T151" s="197">
        <v>0.50650413159351704</v>
      </c>
      <c r="U151" s="197">
        <v>0.77519673403474398</v>
      </c>
      <c r="V151" s="20">
        <f t="shared" si="180"/>
        <v>0</v>
      </c>
      <c r="W151" s="20">
        <f t="shared" si="180"/>
        <v>0</v>
      </c>
      <c r="X151" s="20">
        <f t="shared" si="180"/>
        <v>0</v>
      </c>
      <c r="Y151" s="20">
        <f t="shared" si="180"/>
        <v>0</v>
      </c>
      <c r="Z151" s="20">
        <f t="shared" si="181"/>
        <v>0</v>
      </c>
      <c r="AA151" s="20">
        <f t="shared" si="181"/>
        <v>0</v>
      </c>
      <c r="AB151" s="20">
        <f t="shared" si="181"/>
        <v>0</v>
      </c>
      <c r="AC151" s="20">
        <f t="shared" si="181"/>
        <v>0</v>
      </c>
      <c r="AD151" s="20">
        <f t="shared" si="182"/>
        <v>0</v>
      </c>
      <c r="AE151" s="20">
        <f t="shared" si="183"/>
        <v>0</v>
      </c>
      <c r="AF151" s="20">
        <f t="shared" si="183"/>
        <v>0</v>
      </c>
      <c r="AG151" s="20">
        <f t="shared" si="183"/>
        <v>0</v>
      </c>
      <c r="AH151" s="20">
        <f t="shared" si="183"/>
        <v>0</v>
      </c>
      <c r="AI151" s="20">
        <f t="shared" si="184"/>
        <v>0</v>
      </c>
      <c r="AJ151" s="20">
        <f t="shared" si="184"/>
        <v>0</v>
      </c>
      <c r="AK151" s="20">
        <f t="shared" si="184"/>
        <v>0</v>
      </c>
      <c r="AL151" s="20">
        <f t="shared" si="184"/>
        <v>0</v>
      </c>
      <c r="AM151" s="20">
        <f t="shared" si="185"/>
        <v>0</v>
      </c>
      <c r="AO151">
        <f t="shared" si="186"/>
        <v>0</v>
      </c>
      <c r="AP151">
        <f t="shared" si="186"/>
        <v>0</v>
      </c>
      <c r="AQ151">
        <f t="shared" si="186"/>
        <v>0</v>
      </c>
      <c r="AR151">
        <f t="shared" si="186"/>
        <v>0</v>
      </c>
      <c r="AS151">
        <f t="shared" si="187"/>
        <v>0</v>
      </c>
      <c r="AU151">
        <f t="shared" si="188"/>
        <v>0</v>
      </c>
      <c r="AV151">
        <f t="shared" si="189"/>
        <v>0</v>
      </c>
      <c r="AW151">
        <f t="shared" si="189"/>
        <v>0</v>
      </c>
      <c r="AX151">
        <f t="shared" si="189"/>
        <v>0</v>
      </c>
      <c r="AY151">
        <f t="shared" si="190"/>
        <v>0</v>
      </c>
    </row>
    <row r="152" spans="1:53" ht="15" x14ac:dyDescent="0.25">
      <c r="A152" s="1"/>
      <c r="B152" s="2"/>
      <c r="C152" s="1" t="s">
        <v>13</v>
      </c>
      <c r="D152">
        <v>0</v>
      </c>
      <c r="E152" s="360">
        <v>29.971499999999999</v>
      </c>
      <c r="F152">
        <v>0</v>
      </c>
      <c r="G152">
        <v>0</v>
      </c>
      <c r="H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20"/>
      <c r="P152" s="20"/>
      <c r="Q152" s="438">
        <v>0.71231973922186198</v>
      </c>
      <c r="R152" s="197">
        <v>5.6499999999999995E-2</v>
      </c>
      <c r="S152" s="197">
        <v>1.25</v>
      </c>
      <c r="T152" s="197">
        <v>0.50650413159351704</v>
      </c>
      <c r="U152" s="197">
        <v>0.77519673403474398</v>
      </c>
      <c r="V152" s="20">
        <f t="shared" si="180"/>
        <v>12.062349451209739</v>
      </c>
      <c r="W152" s="20">
        <f t="shared" si="180"/>
        <v>0</v>
      </c>
      <c r="X152" s="20">
        <f t="shared" si="180"/>
        <v>0</v>
      </c>
      <c r="Y152" s="20">
        <f t="shared" si="180"/>
        <v>0</v>
      </c>
      <c r="Z152" s="20">
        <f t="shared" si="181"/>
        <v>7.196017588040295</v>
      </c>
      <c r="AA152" s="20">
        <f t="shared" si="181"/>
        <v>0</v>
      </c>
      <c r="AB152" s="20">
        <f t="shared" si="181"/>
        <v>0</v>
      </c>
      <c r="AC152" s="20">
        <f t="shared" si="181"/>
        <v>0</v>
      </c>
      <c r="AD152" s="20">
        <f t="shared" si="182"/>
        <v>7.196017588040295</v>
      </c>
      <c r="AE152" s="20">
        <f t="shared" si="183"/>
        <v>266.86613830110042</v>
      </c>
      <c r="AF152" s="20">
        <f t="shared" si="183"/>
        <v>0</v>
      </c>
      <c r="AG152" s="20">
        <f t="shared" si="183"/>
        <v>0</v>
      </c>
      <c r="AH152" s="20">
        <f t="shared" si="183"/>
        <v>0</v>
      </c>
      <c r="AI152" s="20">
        <f t="shared" si="184"/>
        <v>217.82253361237301</v>
      </c>
      <c r="AJ152" s="20">
        <f t="shared" si="184"/>
        <v>0</v>
      </c>
      <c r="AK152" s="20">
        <f t="shared" si="184"/>
        <v>0</v>
      </c>
      <c r="AL152" s="20">
        <f t="shared" si="184"/>
        <v>0</v>
      </c>
      <c r="AM152" s="20">
        <f t="shared" si="185"/>
        <v>217.82253361237301</v>
      </c>
      <c r="AO152">
        <f t="shared" si="186"/>
        <v>7.6882251910622514</v>
      </c>
      <c r="AP152">
        <f t="shared" si="186"/>
        <v>0</v>
      </c>
      <c r="AQ152">
        <f t="shared" si="186"/>
        <v>0</v>
      </c>
      <c r="AR152">
        <f t="shared" si="186"/>
        <v>0</v>
      </c>
      <c r="AS152">
        <f t="shared" si="187"/>
        <v>7.6882251910622514</v>
      </c>
      <c r="AU152">
        <f t="shared" si="188"/>
        <v>232.72159491145933</v>
      </c>
      <c r="AV152">
        <f t="shared" si="189"/>
        <v>0</v>
      </c>
      <c r="AW152">
        <f t="shared" si="189"/>
        <v>0</v>
      </c>
      <c r="AX152">
        <f t="shared" si="189"/>
        <v>0</v>
      </c>
      <c r="AY152">
        <f t="shared" si="190"/>
        <v>232.72159491145933</v>
      </c>
    </row>
    <row r="153" spans="1:53" ht="15" x14ac:dyDescent="0.25">
      <c r="A153" s="7"/>
      <c r="B153" s="8" t="s">
        <v>14</v>
      </c>
      <c r="C153" s="7"/>
      <c r="D153" s="357">
        <f t="shared" ref="D153:H153" si="191">SUM(D147:D152)</f>
        <v>0</v>
      </c>
      <c r="E153" s="363">
        <f>SUM(E147:E152)</f>
        <v>1391.3591000000001</v>
      </c>
      <c r="F153" s="357">
        <f t="shared" si="191"/>
        <v>0</v>
      </c>
      <c r="G153" s="357">
        <f t="shared" si="191"/>
        <v>0</v>
      </c>
      <c r="H153" s="357">
        <f t="shared" si="191"/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 s="20"/>
      <c r="P153" s="20"/>
      <c r="Q153" s="438">
        <v>0.71077687173734039</v>
      </c>
      <c r="R153" s="197"/>
      <c r="S153" s="197"/>
      <c r="T153" s="197"/>
      <c r="U153" s="197"/>
      <c r="BA153" s="319">
        <f>(E153*10000*Q153*AU$10)</f>
        <v>10565897.659708731</v>
      </c>
    </row>
    <row r="154" spans="1:53" ht="15" x14ac:dyDescent="0.25">
      <c r="A154" s="10"/>
      <c r="B154" s="9" t="s">
        <v>15</v>
      </c>
      <c r="C154" s="5"/>
      <c r="E154" s="363">
        <f>SUM(E153)</f>
        <v>1391.3591000000001</v>
      </c>
      <c r="H154" s="358">
        <f>SUM(D153:H153)</f>
        <v>1391.3591000000001</v>
      </c>
      <c r="K154" s="14"/>
      <c r="N154">
        <v>0</v>
      </c>
      <c r="O154" s="20"/>
      <c r="P154" s="20"/>
      <c r="Q154" s="438"/>
      <c r="R154" s="197"/>
      <c r="S154" s="197"/>
      <c r="T154" s="197"/>
      <c r="U154" s="197"/>
    </row>
    <row r="155" spans="1:53" ht="15.75" x14ac:dyDescent="0.25">
      <c r="A155" s="1"/>
      <c r="B155" s="2"/>
      <c r="C155" s="1"/>
      <c r="E155" s="361"/>
      <c r="K155" s="14"/>
      <c r="O155" s="20"/>
      <c r="P155" s="20"/>
      <c r="Q155" s="439"/>
      <c r="R155" s="197"/>
      <c r="S155" s="197"/>
      <c r="T155" s="197"/>
      <c r="U155" s="197"/>
    </row>
    <row r="156" spans="1:53" ht="15" x14ac:dyDescent="0.25">
      <c r="A156" s="1">
        <v>17</v>
      </c>
      <c r="B156" s="2" t="s">
        <v>31</v>
      </c>
      <c r="C156" s="1" t="s">
        <v>8</v>
      </c>
      <c r="D156">
        <v>0</v>
      </c>
      <c r="E156" s="360"/>
      <c r="F156">
        <v>0</v>
      </c>
      <c r="G156">
        <v>0</v>
      </c>
      <c r="H156">
        <v>0</v>
      </c>
      <c r="J156">
        <v>0</v>
      </c>
      <c r="K156" s="14">
        <v>0</v>
      </c>
      <c r="L156">
        <v>0</v>
      </c>
      <c r="M156">
        <v>0</v>
      </c>
      <c r="N156">
        <v>0</v>
      </c>
      <c r="O156" s="20"/>
      <c r="P156" s="20"/>
      <c r="Q156" s="438"/>
      <c r="R156" s="197"/>
      <c r="S156" s="197"/>
      <c r="T156" s="197"/>
      <c r="U156" s="197"/>
      <c r="V156" s="20">
        <f t="shared" ref="V156:Y161" si="192">IF(K156&gt;0,((E156-K156)*$Q156*$R156*10)+(K156*$O$12*$Q156*$R156*10),(E156*$Q156*$R156*10))</f>
        <v>0</v>
      </c>
      <c r="W156" s="20">
        <f t="shared" si="192"/>
        <v>0</v>
      </c>
      <c r="X156" s="20">
        <f t="shared" si="192"/>
        <v>0</v>
      </c>
      <c r="Y156" s="20">
        <f t="shared" si="192"/>
        <v>0</v>
      </c>
      <c r="Z156" s="20">
        <f t="shared" ref="Z156:AC161" si="193">V156*(EXP(1.01-0.34*LN(Z$8))*(1-$T156)+(1*$T156))</f>
        <v>0</v>
      </c>
      <c r="AA156" s="20">
        <f t="shared" si="193"/>
        <v>0</v>
      </c>
      <c r="AB156" s="20">
        <f t="shared" si="193"/>
        <v>0</v>
      </c>
      <c r="AC156" s="20">
        <f t="shared" si="193"/>
        <v>0</v>
      </c>
      <c r="AD156" s="20">
        <f t="shared" ref="AD156:AD161" si="194">SUM(Z156:AC156)</f>
        <v>0</v>
      </c>
      <c r="AE156" s="20">
        <f t="shared" ref="AE156:AH161" si="195">IF(K156&gt;0,((E156-K156)*$Q156*$S156*10)+(K156*$P$12*$Q156*$S156)*10,(E156*$Q156*$S156*10))</f>
        <v>0</v>
      </c>
      <c r="AF156" s="20">
        <f t="shared" si="195"/>
        <v>0</v>
      </c>
      <c r="AG156" s="20">
        <f t="shared" si="195"/>
        <v>0</v>
      </c>
      <c r="AH156" s="20">
        <f t="shared" si="195"/>
        <v>0</v>
      </c>
      <c r="AI156" s="20">
        <f t="shared" ref="AI156:AL161" si="196">AE156*(EXP(1.01-0.34*LN(AI$8))*(1-$U156)+(1*$U156))</f>
        <v>0</v>
      </c>
      <c r="AJ156" s="20">
        <f t="shared" si="196"/>
        <v>0</v>
      </c>
      <c r="AK156" s="20">
        <f t="shared" si="196"/>
        <v>0</v>
      </c>
      <c r="AL156" s="20">
        <f t="shared" si="196"/>
        <v>0</v>
      </c>
      <c r="AM156" s="20">
        <f t="shared" ref="AM156:AM161" si="197">SUM(AI156:AL156)</f>
        <v>0</v>
      </c>
      <c r="AO156">
        <f t="shared" ref="AO156:AR161" si="198">Z156*AO$10</f>
        <v>0</v>
      </c>
      <c r="AP156">
        <f t="shared" si="198"/>
        <v>0</v>
      </c>
      <c r="AQ156">
        <f t="shared" si="198"/>
        <v>0</v>
      </c>
      <c r="AR156">
        <f t="shared" si="198"/>
        <v>0</v>
      </c>
      <c r="AS156">
        <f t="shared" ref="AS156:AS161" si="199">SUM(AO156:AR156)</f>
        <v>0</v>
      </c>
      <c r="AU156">
        <f t="shared" ref="AU156:AU161" si="200">AI156*AU$10</f>
        <v>0</v>
      </c>
      <c r="AV156">
        <f t="shared" ref="AV156:AX161" si="201">AJ156*AV$10</f>
        <v>0</v>
      </c>
      <c r="AW156">
        <f t="shared" si="201"/>
        <v>0</v>
      </c>
      <c r="AX156">
        <f t="shared" si="201"/>
        <v>0</v>
      </c>
      <c r="AY156">
        <f t="shared" ref="AY156:AY161" si="202">SUM(AU156:AX156)</f>
        <v>0</v>
      </c>
    </row>
    <row r="157" spans="1:53" ht="15" x14ac:dyDescent="0.25">
      <c r="A157" s="1"/>
      <c r="B157" s="2"/>
      <c r="C157" s="1" t="s">
        <v>9</v>
      </c>
      <c r="D157">
        <v>0</v>
      </c>
      <c r="E157" s="360"/>
      <c r="F157">
        <v>0</v>
      </c>
      <c r="G157">
        <v>0</v>
      </c>
      <c r="H157">
        <v>0</v>
      </c>
      <c r="J157">
        <v>0</v>
      </c>
      <c r="K157" s="14">
        <v>0</v>
      </c>
      <c r="L157">
        <v>0</v>
      </c>
      <c r="M157">
        <v>0</v>
      </c>
      <c r="N157">
        <v>0</v>
      </c>
      <c r="O157" s="20"/>
      <c r="P157" s="20"/>
      <c r="Q157" s="438"/>
      <c r="R157" s="197"/>
      <c r="S157" s="197"/>
      <c r="T157" s="197"/>
      <c r="U157" s="197"/>
      <c r="V157" s="20">
        <f t="shared" si="192"/>
        <v>0</v>
      </c>
      <c r="W157" s="20">
        <f t="shared" si="192"/>
        <v>0</v>
      </c>
      <c r="X157" s="20">
        <f t="shared" si="192"/>
        <v>0</v>
      </c>
      <c r="Y157" s="20">
        <f t="shared" si="192"/>
        <v>0</v>
      </c>
      <c r="Z157" s="20">
        <f t="shared" si="193"/>
        <v>0</v>
      </c>
      <c r="AA157" s="20">
        <f t="shared" si="193"/>
        <v>0</v>
      </c>
      <c r="AB157" s="20">
        <f t="shared" si="193"/>
        <v>0</v>
      </c>
      <c r="AC157" s="20">
        <f t="shared" si="193"/>
        <v>0</v>
      </c>
      <c r="AD157" s="20">
        <f t="shared" si="194"/>
        <v>0</v>
      </c>
      <c r="AE157" s="20">
        <f t="shared" si="195"/>
        <v>0</v>
      </c>
      <c r="AF157" s="20">
        <f t="shared" si="195"/>
        <v>0</v>
      </c>
      <c r="AG157" s="20">
        <f t="shared" si="195"/>
        <v>0</v>
      </c>
      <c r="AH157" s="20">
        <f t="shared" si="195"/>
        <v>0</v>
      </c>
      <c r="AI157" s="20">
        <f t="shared" si="196"/>
        <v>0</v>
      </c>
      <c r="AJ157" s="20">
        <f t="shared" si="196"/>
        <v>0</v>
      </c>
      <c r="AK157" s="20">
        <f t="shared" si="196"/>
        <v>0</v>
      </c>
      <c r="AL157" s="20">
        <f t="shared" si="196"/>
        <v>0</v>
      </c>
      <c r="AM157" s="20">
        <f t="shared" si="197"/>
        <v>0</v>
      </c>
      <c r="AO157">
        <f t="shared" si="198"/>
        <v>0</v>
      </c>
      <c r="AP157">
        <f t="shared" si="198"/>
        <v>0</v>
      </c>
      <c r="AQ157">
        <f t="shared" si="198"/>
        <v>0</v>
      </c>
      <c r="AR157">
        <f t="shared" si="198"/>
        <v>0</v>
      </c>
      <c r="AS157">
        <f t="shared" si="199"/>
        <v>0</v>
      </c>
      <c r="AU157">
        <f t="shared" si="200"/>
        <v>0</v>
      </c>
      <c r="AV157">
        <f t="shared" si="201"/>
        <v>0</v>
      </c>
      <c r="AW157">
        <f t="shared" si="201"/>
        <v>0</v>
      </c>
      <c r="AX157">
        <f t="shared" si="201"/>
        <v>0</v>
      </c>
      <c r="AY157">
        <f t="shared" si="202"/>
        <v>0</v>
      </c>
    </row>
    <row r="158" spans="1:53" ht="15" x14ac:dyDescent="0.25">
      <c r="A158" s="1"/>
      <c r="B158" s="2"/>
      <c r="C158" s="1" t="s">
        <v>10</v>
      </c>
      <c r="D158">
        <v>0</v>
      </c>
      <c r="E158" s="360"/>
      <c r="F158">
        <v>0</v>
      </c>
      <c r="G158">
        <v>0</v>
      </c>
      <c r="H158">
        <v>0</v>
      </c>
      <c r="J158">
        <v>0</v>
      </c>
      <c r="K158" s="14">
        <v>0</v>
      </c>
      <c r="L158">
        <v>0</v>
      </c>
      <c r="M158">
        <v>0</v>
      </c>
      <c r="N158">
        <v>0</v>
      </c>
      <c r="O158" s="20"/>
      <c r="P158" s="20"/>
      <c r="Q158" s="438"/>
      <c r="R158" s="197"/>
      <c r="S158" s="197"/>
      <c r="T158" s="197"/>
      <c r="U158" s="197"/>
      <c r="V158" s="20">
        <f t="shared" si="192"/>
        <v>0</v>
      </c>
      <c r="W158" s="20">
        <f t="shared" si="192"/>
        <v>0</v>
      </c>
      <c r="X158" s="20">
        <f t="shared" si="192"/>
        <v>0</v>
      </c>
      <c r="Y158" s="20">
        <f t="shared" si="192"/>
        <v>0</v>
      </c>
      <c r="Z158" s="20">
        <f t="shared" si="193"/>
        <v>0</v>
      </c>
      <c r="AA158" s="20">
        <f t="shared" si="193"/>
        <v>0</v>
      </c>
      <c r="AB158" s="20">
        <f t="shared" si="193"/>
        <v>0</v>
      </c>
      <c r="AC158" s="20">
        <f t="shared" si="193"/>
        <v>0</v>
      </c>
      <c r="AD158" s="20">
        <f t="shared" si="194"/>
        <v>0</v>
      </c>
      <c r="AE158" s="20">
        <f t="shared" si="195"/>
        <v>0</v>
      </c>
      <c r="AF158" s="20">
        <f t="shared" si="195"/>
        <v>0</v>
      </c>
      <c r="AG158" s="20">
        <f t="shared" si="195"/>
        <v>0</v>
      </c>
      <c r="AH158" s="20">
        <f t="shared" si="195"/>
        <v>0</v>
      </c>
      <c r="AI158" s="20">
        <f t="shared" si="196"/>
        <v>0</v>
      </c>
      <c r="AJ158" s="20">
        <f t="shared" si="196"/>
        <v>0</v>
      </c>
      <c r="AK158" s="20">
        <f t="shared" si="196"/>
        <v>0</v>
      </c>
      <c r="AL158" s="20">
        <f t="shared" si="196"/>
        <v>0</v>
      </c>
      <c r="AM158" s="20">
        <f t="shared" si="197"/>
        <v>0</v>
      </c>
      <c r="AO158">
        <f t="shared" si="198"/>
        <v>0</v>
      </c>
      <c r="AP158">
        <f t="shared" si="198"/>
        <v>0</v>
      </c>
      <c r="AQ158">
        <f t="shared" si="198"/>
        <v>0</v>
      </c>
      <c r="AR158">
        <f t="shared" si="198"/>
        <v>0</v>
      </c>
      <c r="AS158">
        <f t="shared" si="199"/>
        <v>0</v>
      </c>
      <c r="AU158">
        <f t="shared" si="200"/>
        <v>0</v>
      </c>
      <c r="AV158">
        <f t="shared" si="201"/>
        <v>0</v>
      </c>
      <c r="AW158">
        <f t="shared" si="201"/>
        <v>0</v>
      </c>
      <c r="AX158">
        <f t="shared" si="201"/>
        <v>0</v>
      </c>
      <c r="AY158">
        <f t="shared" si="202"/>
        <v>0</v>
      </c>
    </row>
    <row r="159" spans="1:53" ht="15" x14ac:dyDescent="0.25">
      <c r="A159" s="1"/>
      <c r="B159" s="2"/>
      <c r="C159" s="1" t="s">
        <v>11</v>
      </c>
      <c r="D159">
        <v>0</v>
      </c>
      <c r="E159" s="360"/>
      <c r="F159">
        <v>0</v>
      </c>
      <c r="G159">
        <v>0</v>
      </c>
      <c r="H159">
        <v>0</v>
      </c>
      <c r="J159">
        <v>0</v>
      </c>
      <c r="K159" s="14">
        <v>0</v>
      </c>
      <c r="L159">
        <v>0</v>
      </c>
      <c r="M159">
        <v>0</v>
      </c>
      <c r="N159">
        <v>0</v>
      </c>
      <c r="O159" s="20"/>
      <c r="P159" s="20"/>
      <c r="Q159" s="438"/>
      <c r="R159" s="197"/>
      <c r="S159" s="197"/>
      <c r="T159" s="197"/>
      <c r="U159" s="197"/>
      <c r="V159" s="20">
        <f t="shared" si="192"/>
        <v>0</v>
      </c>
      <c r="W159" s="20">
        <f t="shared" si="192"/>
        <v>0</v>
      </c>
      <c r="X159" s="20">
        <f t="shared" si="192"/>
        <v>0</v>
      </c>
      <c r="Y159" s="20">
        <f t="shared" si="192"/>
        <v>0</v>
      </c>
      <c r="Z159" s="20">
        <f t="shared" si="193"/>
        <v>0</v>
      </c>
      <c r="AA159" s="20">
        <f t="shared" si="193"/>
        <v>0</v>
      </c>
      <c r="AB159" s="20">
        <f t="shared" si="193"/>
        <v>0</v>
      </c>
      <c r="AC159" s="20">
        <f t="shared" si="193"/>
        <v>0</v>
      </c>
      <c r="AD159" s="20">
        <f t="shared" si="194"/>
        <v>0</v>
      </c>
      <c r="AE159" s="20">
        <f t="shared" si="195"/>
        <v>0</v>
      </c>
      <c r="AF159" s="20">
        <f t="shared" si="195"/>
        <v>0</v>
      </c>
      <c r="AG159" s="20">
        <f t="shared" si="195"/>
        <v>0</v>
      </c>
      <c r="AH159" s="20">
        <f t="shared" si="195"/>
        <v>0</v>
      </c>
      <c r="AI159" s="20">
        <f t="shared" si="196"/>
        <v>0</v>
      </c>
      <c r="AJ159" s="20">
        <f t="shared" si="196"/>
        <v>0</v>
      </c>
      <c r="AK159" s="20">
        <f t="shared" si="196"/>
        <v>0</v>
      </c>
      <c r="AL159" s="20">
        <f t="shared" si="196"/>
        <v>0</v>
      </c>
      <c r="AM159" s="20">
        <f t="shared" si="197"/>
        <v>0</v>
      </c>
      <c r="AO159">
        <f t="shared" si="198"/>
        <v>0</v>
      </c>
      <c r="AP159">
        <f t="shared" si="198"/>
        <v>0</v>
      </c>
      <c r="AQ159">
        <f t="shared" si="198"/>
        <v>0</v>
      </c>
      <c r="AR159">
        <f t="shared" si="198"/>
        <v>0</v>
      </c>
      <c r="AS159">
        <f t="shared" si="199"/>
        <v>0</v>
      </c>
      <c r="AU159">
        <f t="shared" si="200"/>
        <v>0</v>
      </c>
      <c r="AV159">
        <f t="shared" si="201"/>
        <v>0</v>
      </c>
      <c r="AW159">
        <f t="shared" si="201"/>
        <v>0</v>
      </c>
      <c r="AX159">
        <f t="shared" si="201"/>
        <v>0</v>
      </c>
      <c r="AY159">
        <f t="shared" si="202"/>
        <v>0</v>
      </c>
    </row>
    <row r="160" spans="1:53" ht="15" x14ac:dyDescent="0.25">
      <c r="A160" s="1"/>
      <c r="B160" s="2"/>
      <c r="C160" s="1" t="s">
        <v>12</v>
      </c>
      <c r="D160">
        <v>0</v>
      </c>
      <c r="E160" s="360"/>
      <c r="F160">
        <v>0</v>
      </c>
      <c r="G160">
        <v>0</v>
      </c>
      <c r="H160">
        <v>0</v>
      </c>
      <c r="J160">
        <v>0</v>
      </c>
      <c r="K160" s="14">
        <v>0</v>
      </c>
      <c r="L160">
        <v>0</v>
      </c>
      <c r="M160">
        <v>0</v>
      </c>
      <c r="N160">
        <v>0</v>
      </c>
      <c r="O160" s="20"/>
      <c r="P160" s="20"/>
      <c r="Q160" s="438"/>
      <c r="R160" s="197"/>
      <c r="S160" s="197"/>
      <c r="T160" s="197"/>
      <c r="U160" s="197"/>
      <c r="V160" s="20">
        <f t="shared" si="192"/>
        <v>0</v>
      </c>
      <c r="W160" s="20">
        <f t="shared" si="192"/>
        <v>0</v>
      </c>
      <c r="X160" s="20">
        <f t="shared" si="192"/>
        <v>0</v>
      </c>
      <c r="Y160" s="20">
        <f t="shared" si="192"/>
        <v>0</v>
      </c>
      <c r="Z160" s="20">
        <f t="shared" si="193"/>
        <v>0</v>
      </c>
      <c r="AA160" s="20">
        <f t="shared" si="193"/>
        <v>0</v>
      </c>
      <c r="AB160" s="20">
        <f t="shared" si="193"/>
        <v>0</v>
      </c>
      <c r="AC160" s="20">
        <f t="shared" si="193"/>
        <v>0</v>
      </c>
      <c r="AD160" s="20">
        <f t="shared" si="194"/>
        <v>0</v>
      </c>
      <c r="AE160" s="20">
        <f t="shared" si="195"/>
        <v>0</v>
      </c>
      <c r="AF160" s="20">
        <f t="shared" si="195"/>
        <v>0</v>
      </c>
      <c r="AG160" s="20">
        <f t="shared" si="195"/>
        <v>0</v>
      </c>
      <c r="AH160" s="20">
        <f t="shared" si="195"/>
        <v>0</v>
      </c>
      <c r="AI160" s="20">
        <f t="shared" si="196"/>
        <v>0</v>
      </c>
      <c r="AJ160" s="20">
        <f t="shared" si="196"/>
        <v>0</v>
      </c>
      <c r="AK160" s="20">
        <f t="shared" si="196"/>
        <v>0</v>
      </c>
      <c r="AL160" s="20">
        <f t="shared" si="196"/>
        <v>0</v>
      </c>
      <c r="AM160" s="20">
        <f t="shared" si="197"/>
        <v>0</v>
      </c>
      <c r="AO160">
        <f t="shared" si="198"/>
        <v>0</v>
      </c>
      <c r="AP160">
        <f t="shared" si="198"/>
        <v>0</v>
      </c>
      <c r="AQ160">
        <f t="shared" si="198"/>
        <v>0</v>
      </c>
      <c r="AR160">
        <f t="shared" si="198"/>
        <v>0</v>
      </c>
      <c r="AS160">
        <f t="shared" si="199"/>
        <v>0</v>
      </c>
      <c r="AU160">
        <f t="shared" si="200"/>
        <v>0</v>
      </c>
      <c r="AV160">
        <f t="shared" si="201"/>
        <v>0</v>
      </c>
      <c r="AW160">
        <f t="shared" si="201"/>
        <v>0</v>
      </c>
      <c r="AX160">
        <f t="shared" si="201"/>
        <v>0</v>
      </c>
      <c r="AY160">
        <f t="shared" si="202"/>
        <v>0</v>
      </c>
    </row>
    <row r="161" spans="1:53" ht="15" x14ac:dyDescent="0.25">
      <c r="A161" s="1"/>
      <c r="B161" s="2"/>
      <c r="C161" s="1" t="s">
        <v>13</v>
      </c>
      <c r="D161">
        <v>0</v>
      </c>
      <c r="E161" s="360"/>
      <c r="F161">
        <v>0</v>
      </c>
      <c r="G161">
        <v>0</v>
      </c>
      <c r="H161">
        <v>0</v>
      </c>
      <c r="J161">
        <v>0</v>
      </c>
      <c r="K161" s="14">
        <v>0</v>
      </c>
      <c r="L161">
        <v>0</v>
      </c>
      <c r="M161">
        <v>0</v>
      </c>
      <c r="N161">
        <v>0</v>
      </c>
      <c r="O161" s="20"/>
      <c r="P161" s="20"/>
      <c r="Q161" s="438"/>
      <c r="R161" s="197"/>
      <c r="S161" s="197"/>
      <c r="T161" s="197"/>
      <c r="U161" s="197"/>
      <c r="V161" s="20">
        <f t="shared" si="192"/>
        <v>0</v>
      </c>
      <c r="W161" s="20">
        <f t="shared" si="192"/>
        <v>0</v>
      </c>
      <c r="X161" s="20">
        <f t="shared" si="192"/>
        <v>0</v>
      </c>
      <c r="Y161" s="20">
        <f t="shared" si="192"/>
        <v>0</v>
      </c>
      <c r="Z161" s="20">
        <f t="shared" si="193"/>
        <v>0</v>
      </c>
      <c r="AA161" s="20">
        <f t="shared" si="193"/>
        <v>0</v>
      </c>
      <c r="AB161" s="20">
        <f t="shared" si="193"/>
        <v>0</v>
      </c>
      <c r="AC161" s="20">
        <f t="shared" si="193"/>
        <v>0</v>
      </c>
      <c r="AD161" s="20">
        <f t="shared" si="194"/>
        <v>0</v>
      </c>
      <c r="AE161" s="20">
        <f t="shared" si="195"/>
        <v>0</v>
      </c>
      <c r="AF161" s="20">
        <f t="shared" si="195"/>
        <v>0</v>
      </c>
      <c r="AG161" s="20">
        <f t="shared" si="195"/>
        <v>0</v>
      </c>
      <c r="AH161" s="20">
        <f t="shared" si="195"/>
        <v>0</v>
      </c>
      <c r="AI161" s="20">
        <f t="shared" si="196"/>
        <v>0</v>
      </c>
      <c r="AJ161" s="20">
        <f t="shared" si="196"/>
        <v>0</v>
      </c>
      <c r="AK161" s="20">
        <f t="shared" si="196"/>
        <v>0</v>
      </c>
      <c r="AL161" s="20">
        <f t="shared" si="196"/>
        <v>0</v>
      </c>
      <c r="AM161" s="20">
        <f t="shared" si="197"/>
        <v>0</v>
      </c>
      <c r="AO161">
        <f t="shared" si="198"/>
        <v>0</v>
      </c>
      <c r="AP161">
        <f t="shared" si="198"/>
        <v>0</v>
      </c>
      <c r="AQ161">
        <f t="shared" si="198"/>
        <v>0</v>
      </c>
      <c r="AR161">
        <f t="shared" si="198"/>
        <v>0</v>
      </c>
      <c r="AS161">
        <f t="shared" si="199"/>
        <v>0</v>
      </c>
      <c r="AU161">
        <f t="shared" si="200"/>
        <v>0</v>
      </c>
      <c r="AV161">
        <f t="shared" si="201"/>
        <v>0</v>
      </c>
      <c r="AW161">
        <f t="shared" si="201"/>
        <v>0</v>
      </c>
      <c r="AX161">
        <f t="shared" si="201"/>
        <v>0</v>
      </c>
      <c r="AY161">
        <f t="shared" si="202"/>
        <v>0</v>
      </c>
    </row>
    <row r="162" spans="1:53" ht="15" x14ac:dyDescent="0.25">
      <c r="A162" s="7"/>
      <c r="B162" s="8" t="s">
        <v>14</v>
      </c>
      <c r="C162" s="7"/>
      <c r="D162" s="357">
        <f t="shared" ref="D162:H162" si="203">SUM(D156:D161)</f>
        <v>0</v>
      </c>
      <c r="E162" s="363">
        <f>SUM(E156:E161)</f>
        <v>0</v>
      </c>
      <c r="F162" s="357">
        <f t="shared" si="203"/>
        <v>0</v>
      </c>
      <c r="G162" s="357">
        <f t="shared" si="203"/>
        <v>0</v>
      </c>
      <c r="H162" s="357">
        <f t="shared" si="203"/>
        <v>0</v>
      </c>
      <c r="J162">
        <v>0</v>
      </c>
      <c r="K162" s="14">
        <v>0</v>
      </c>
      <c r="L162">
        <v>0</v>
      </c>
      <c r="M162">
        <v>0</v>
      </c>
      <c r="N162">
        <v>0</v>
      </c>
      <c r="O162" s="20"/>
      <c r="P162" s="20"/>
      <c r="Q162" s="438"/>
      <c r="R162" s="197"/>
      <c r="S162" s="197"/>
      <c r="T162" s="197"/>
      <c r="U162" s="197"/>
      <c r="BA162" s="319">
        <f>(E162*10000*Q162*AU$10)</f>
        <v>0</v>
      </c>
    </row>
    <row r="163" spans="1:53" ht="15" x14ac:dyDescent="0.25">
      <c r="A163" s="10"/>
      <c r="B163" s="9" t="s">
        <v>15</v>
      </c>
      <c r="C163" s="5"/>
      <c r="E163" s="363">
        <f>SUM(E162)</f>
        <v>0</v>
      </c>
      <c r="H163" s="358">
        <f>SUM(D162:H162)</f>
        <v>0</v>
      </c>
      <c r="K163" s="14"/>
      <c r="N163">
        <v>0</v>
      </c>
      <c r="O163" s="20"/>
      <c r="P163" s="20"/>
      <c r="Q163" s="438"/>
      <c r="R163" s="197"/>
      <c r="S163" s="197"/>
      <c r="T163" s="197"/>
      <c r="U163" s="197"/>
    </row>
    <row r="164" spans="1:53" ht="15.75" x14ac:dyDescent="0.25">
      <c r="A164" s="1"/>
      <c r="B164" s="2"/>
      <c r="C164" s="1"/>
      <c r="E164" s="361"/>
      <c r="K164" s="14"/>
      <c r="O164" s="20"/>
      <c r="P164" s="20"/>
      <c r="Q164" s="439"/>
      <c r="R164" s="197"/>
      <c r="S164" s="197"/>
      <c r="T164" s="197"/>
      <c r="U164" s="197"/>
    </row>
    <row r="165" spans="1:53" ht="15" x14ac:dyDescent="0.25">
      <c r="A165" s="1">
        <v>18</v>
      </c>
      <c r="B165" s="2" t="s">
        <v>709</v>
      </c>
      <c r="C165" s="1" t="s">
        <v>8</v>
      </c>
      <c r="D165">
        <v>0</v>
      </c>
      <c r="E165" s="360"/>
      <c r="F165">
        <v>0</v>
      </c>
      <c r="G165">
        <v>0</v>
      </c>
      <c r="H165">
        <v>0</v>
      </c>
      <c r="J165">
        <v>0</v>
      </c>
      <c r="K165" s="14">
        <v>0</v>
      </c>
      <c r="L165">
        <v>0</v>
      </c>
      <c r="M165">
        <v>0</v>
      </c>
      <c r="N165">
        <v>0</v>
      </c>
      <c r="O165" s="20"/>
      <c r="P165" s="20"/>
      <c r="Q165" s="438"/>
      <c r="R165" s="197">
        <v>0.66599999999999993</v>
      </c>
      <c r="S165" s="197">
        <v>4.5549999999999997</v>
      </c>
      <c r="T165" s="197">
        <v>0.60039794540960334</v>
      </c>
      <c r="U165" s="197">
        <v>0.90789473684210531</v>
      </c>
      <c r="V165" s="20">
        <f t="shared" ref="V165:Y170" si="204">IF(K165&gt;0,((E165-K165)*$Q165*$R165*10)+(K165*$O$12*$Q165*$R165*10),(E165*$Q165*$R165*10))</f>
        <v>0</v>
      </c>
      <c r="W165" s="20">
        <f t="shared" si="204"/>
        <v>0</v>
      </c>
      <c r="X165" s="20">
        <f t="shared" si="204"/>
        <v>0</v>
      </c>
      <c r="Y165" s="20">
        <f t="shared" si="204"/>
        <v>0</v>
      </c>
      <c r="Z165" s="20">
        <f t="shared" ref="Z165:AC170" si="205">V165*(EXP(1.01-0.34*LN(Z$8))*(1-$T165)+(1*$T165))</f>
        <v>0</v>
      </c>
      <c r="AA165" s="20">
        <f t="shared" si="205"/>
        <v>0</v>
      </c>
      <c r="AB165" s="20">
        <f t="shared" si="205"/>
        <v>0</v>
      </c>
      <c r="AC165" s="20">
        <f t="shared" si="205"/>
        <v>0</v>
      </c>
      <c r="AD165" s="20">
        <f t="shared" ref="AD165:AD170" si="206">SUM(Z165:AC165)</f>
        <v>0</v>
      </c>
      <c r="AE165" s="20">
        <f t="shared" ref="AE165:AH170" si="207">IF(K165&gt;0,((E165-K165)*$Q165*$S165*10)+(K165*$P$12*$Q165*$S165)*10,(E165*$Q165*$S165*10))</f>
        <v>0</v>
      </c>
      <c r="AF165" s="20">
        <f t="shared" si="207"/>
        <v>0</v>
      </c>
      <c r="AG165" s="20">
        <f t="shared" si="207"/>
        <v>0</v>
      </c>
      <c r="AH165" s="20">
        <f t="shared" si="207"/>
        <v>0</v>
      </c>
      <c r="AI165" s="20">
        <f t="shared" ref="AI165:AL170" si="208">AE165*(EXP(1.01-0.34*LN(AI$8))*(1-$U165)+(1*$U165))</f>
        <v>0</v>
      </c>
      <c r="AJ165" s="20">
        <f t="shared" si="208"/>
        <v>0</v>
      </c>
      <c r="AK165" s="20">
        <f t="shared" si="208"/>
        <v>0</v>
      </c>
      <c r="AL165" s="20">
        <f t="shared" si="208"/>
        <v>0</v>
      </c>
      <c r="AM165" s="20">
        <f t="shared" ref="AM165:AM170" si="209">SUM(AI165:AL165)</f>
        <v>0</v>
      </c>
      <c r="AO165">
        <f t="shared" ref="AO165:AR170" si="210">Z165*AO$10</f>
        <v>0</v>
      </c>
      <c r="AP165">
        <f t="shared" si="210"/>
        <v>0</v>
      </c>
      <c r="AQ165">
        <f t="shared" si="210"/>
        <v>0</v>
      </c>
      <c r="AR165">
        <f t="shared" si="210"/>
        <v>0</v>
      </c>
      <c r="AS165">
        <f t="shared" ref="AS165:AS170" si="211">SUM(AO165:AR165)</f>
        <v>0</v>
      </c>
      <c r="AU165">
        <f t="shared" ref="AU165:AU170" si="212">AI165*AU$10</f>
        <v>0</v>
      </c>
      <c r="AV165">
        <f t="shared" ref="AV165:AX170" si="213">AJ165*AV$10</f>
        <v>0</v>
      </c>
      <c r="AW165">
        <f t="shared" si="213"/>
        <v>0</v>
      </c>
      <c r="AX165">
        <f t="shared" si="213"/>
        <v>0</v>
      </c>
      <c r="AY165">
        <f t="shared" ref="AY165:AY170" si="214">SUM(AU165:AX165)</f>
        <v>0</v>
      </c>
    </row>
    <row r="166" spans="1:53" ht="15" x14ac:dyDescent="0.25">
      <c r="A166" s="1"/>
      <c r="B166" s="2"/>
      <c r="C166" s="1" t="s">
        <v>9</v>
      </c>
      <c r="D166">
        <v>0</v>
      </c>
      <c r="E166" s="360"/>
      <c r="F166">
        <v>0</v>
      </c>
      <c r="G166">
        <v>0</v>
      </c>
      <c r="H166">
        <v>0</v>
      </c>
      <c r="J166">
        <v>0</v>
      </c>
      <c r="K166" s="14">
        <v>0</v>
      </c>
      <c r="L166">
        <v>0</v>
      </c>
      <c r="M166">
        <v>0</v>
      </c>
      <c r="N166">
        <v>0</v>
      </c>
      <c r="O166" s="20"/>
      <c r="P166" s="20"/>
      <c r="Q166" s="438"/>
      <c r="R166" s="197">
        <v>0.66599999999999993</v>
      </c>
      <c r="S166" s="197">
        <v>4.5549999999999997</v>
      </c>
      <c r="T166" s="197">
        <v>0.60039794540960334</v>
      </c>
      <c r="U166" s="197">
        <v>0.90789473684210531</v>
      </c>
      <c r="V166" s="20">
        <f t="shared" si="204"/>
        <v>0</v>
      </c>
      <c r="W166" s="20">
        <f t="shared" si="204"/>
        <v>0</v>
      </c>
      <c r="X166" s="20">
        <f t="shared" si="204"/>
        <v>0</v>
      </c>
      <c r="Y166" s="20">
        <f t="shared" si="204"/>
        <v>0</v>
      </c>
      <c r="Z166" s="20">
        <f t="shared" si="205"/>
        <v>0</v>
      </c>
      <c r="AA166" s="20">
        <f t="shared" si="205"/>
        <v>0</v>
      </c>
      <c r="AB166" s="20">
        <f t="shared" si="205"/>
        <v>0</v>
      </c>
      <c r="AC166" s="20">
        <f t="shared" si="205"/>
        <v>0</v>
      </c>
      <c r="AD166" s="20">
        <f t="shared" si="206"/>
        <v>0</v>
      </c>
      <c r="AE166" s="20">
        <f t="shared" si="207"/>
        <v>0</v>
      </c>
      <c r="AF166" s="20">
        <f t="shared" si="207"/>
        <v>0</v>
      </c>
      <c r="AG166" s="20">
        <f t="shared" si="207"/>
        <v>0</v>
      </c>
      <c r="AH166" s="20">
        <f t="shared" si="207"/>
        <v>0</v>
      </c>
      <c r="AI166" s="20">
        <f t="shared" si="208"/>
        <v>0</v>
      </c>
      <c r="AJ166" s="20">
        <f t="shared" si="208"/>
        <v>0</v>
      </c>
      <c r="AK166" s="20">
        <f t="shared" si="208"/>
        <v>0</v>
      </c>
      <c r="AL166" s="20">
        <f t="shared" si="208"/>
        <v>0</v>
      </c>
      <c r="AM166" s="20">
        <f t="shared" si="209"/>
        <v>0</v>
      </c>
      <c r="AO166">
        <f t="shared" si="210"/>
        <v>0</v>
      </c>
      <c r="AP166">
        <f t="shared" si="210"/>
        <v>0</v>
      </c>
      <c r="AQ166">
        <f t="shared" si="210"/>
        <v>0</v>
      </c>
      <c r="AR166">
        <f t="shared" si="210"/>
        <v>0</v>
      </c>
      <c r="AS166">
        <f t="shared" si="211"/>
        <v>0</v>
      </c>
      <c r="AU166">
        <f t="shared" si="212"/>
        <v>0</v>
      </c>
      <c r="AV166">
        <f t="shared" si="213"/>
        <v>0</v>
      </c>
      <c r="AW166">
        <f t="shared" si="213"/>
        <v>0</v>
      </c>
      <c r="AX166">
        <f t="shared" si="213"/>
        <v>0</v>
      </c>
      <c r="AY166">
        <f t="shared" si="214"/>
        <v>0</v>
      </c>
    </row>
    <row r="167" spans="1:53" ht="15" x14ac:dyDescent="0.25">
      <c r="A167" s="1"/>
      <c r="B167" s="2"/>
      <c r="C167" s="1" t="s">
        <v>10</v>
      </c>
      <c r="D167">
        <v>0</v>
      </c>
      <c r="E167" s="360"/>
      <c r="F167">
        <v>0</v>
      </c>
      <c r="G167">
        <v>0</v>
      </c>
      <c r="H167">
        <v>0</v>
      </c>
      <c r="J167">
        <v>0</v>
      </c>
      <c r="K167" s="14">
        <v>0</v>
      </c>
      <c r="L167">
        <v>0</v>
      </c>
      <c r="M167">
        <v>0</v>
      </c>
      <c r="N167">
        <v>0</v>
      </c>
      <c r="O167" s="20"/>
      <c r="P167" s="20"/>
      <c r="Q167" s="438"/>
      <c r="R167" s="197">
        <v>0.66599999999999993</v>
      </c>
      <c r="S167" s="197">
        <v>4.5549999999999997</v>
      </c>
      <c r="T167" s="197">
        <v>0.60039794540960334</v>
      </c>
      <c r="U167" s="197">
        <v>0.90789473684210531</v>
      </c>
      <c r="V167" s="20">
        <f t="shared" si="204"/>
        <v>0</v>
      </c>
      <c r="W167" s="20">
        <f t="shared" si="204"/>
        <v>0</v>
      </c>
      <c r="X167" s="20">
        <f t="shared" si="204"/>
        <v>0</v>
      </c>
      <c r="Y167" s="20">
        <f t="shared" si="204"/>
        <v>0</v>
      </c>
      <c r="Z167" s="20">
        <f t="shared" si="205"/>
        <v>0</v>
      </c>
      <c r="AA167" s="20">
        <f t="shared" si="205"/>
        <v>0</v>
      </c>
      <c r="AB167" s="20">
        <f t="shared" si="205"/>
        <v>0</v>
      </c>
      <c r="AC167" s="20">
        <f t="shared" si="205"/>
        <v>0</v>
      </c>
      <c r="AD167" s="20">
        <f t="shared" si="206"/>
        <v>0</v>
      </c>
      <c r="AE167" s="20">
        <f t="shared" si="207"/>
        <v>0</v>
      </c>
      <c r="AF167" s="20">
        <f t="shared" si="207"/>
        <v>0</v>
      </c>
      <c r="AG167" s="20">
        <f t="shared" si="207"/>
        <v>0</v>
      </c>
      <c r="AH167" s="20">
        <f t="shared" si="207"/>
        <v>0</v>
      </c>
      <c r="AI167" s="20">
        <f t="shared" si="208"/>
        <v>0</v>
      </c>
      <c r="AJ167" s="20">
        <f t="shared" si="208"/>
        <v>0</v>
      </c>
      <c r="AK167" s="20">
        <f t="shared" si="208"/>
        <v>0</v>
      </c>
      <c r="AL167" s="20">
        <f t="shared" si="208"/>
        <v>0</v>
      </c>
      <c r="AM167" s="20">
        <f t="shared" si="209"/>
        <v>0</v>
      </c>
      <c r="AO167">
        <f t="shared" si="210"/>
        <v>0</v>
      </c>
      <c r="AP167">
        <f t="shared" si="210"/>
        <v>0</v>
      </c>
      <c r="AQ167">
        <f t="shared" si="210"/>
        <v>0</v>
      </c>
      <c r="AR167">
        <f t="shared" si="210"/>
        <v>0</v>
      </c>
      <c r="AS167">
        <f t="shared" si="211"/>
        <v>0</v>
      </c>
      <c r="AU167">
        <f t="shared" si="212"/>
        <v>0</v>
      </c>
      <c r="AV167">
        <f t="shared" si="213"/>
        <v>0</v>
      </c>
      <c r="AW167">
        <f t="shared" si="213"/>
        <v>0</v>
      </c>
      <c r="AX167">
        <f t="shared" si="213"/>
        <v>0</v>
      </c>
      <c r="AY167">
        <f t="shared" si="214"/>
        <v>0</v>
      </c>
    </row>
    <row r="168" spans="1:53" ht="15" x14ac:dyDescent="0.25">
      <c r="A168" s="1"/>
      <c r="B168" s="2"/>
      <c r="C168" s="1" t="s">
        <v>11</v>
      </c>
      <c r="D168">
        <v>0</v>
      </c>
      <c r="E168" s="360">
        <v>137.8776</v>
      </c>
      <c r="F168">
        <v>0</v>
      </c>
      <c r="G168">
        <v>0</v>
      </c>
      <c r="H168">
        <v>0</v>
      </c>
      <c r="J168">
        <v>0</v>
      </c>
      <c r="K168" s="14">
        <v>6.583568409723739E-5</v>
      </c>
      <c r="L168">
        <v>0</v>
      </c>
      <c r="M168">
        <v>0</v>
      </c>
      <c r="N168">
        <v>0</v>
      </c>
      <c r="O168" s="20"/>
      <c r="P168" s="20"/>
      <c r="Q168" s="438">
        <v>0.16429337774969885</v>
      </c>
      <c r="R168" s="197">
        <v>0.66599999999999993</v>
      </c>
      <c r="S168" s="197">
        <v>4.5549999999999997</v>
      </c>
      <c r="T168" s="197">
        <v>0.60039794540960334</v>
      </c>
      <c r="U168" s="197">
        <v>0.90789473684210531</v>
      </c>
      <c r="V168" s="20">
        <f t="shared" si="204"/>
        <v>150.86478274409745</v>
      </c>
      <c r="W168" s="20">
        <f t="shared" si="204"/>
        <v>0</v>
      </c>
      <c r="X168" s="20">
        <f t="shared" si="204"/>
        <v>0</v>
      </c>
      <c r="Y168" s="20">
        <f t="shared" si="204"/>
        <v>0</v>
      </c>
      <c r="Z168" s="20">
        <f t="shared" si="205"/>
        <v>101.5812445082807</v>
      </c>
      <c r="AA168" s="20">
        <f t="shared" si="205"/>
        <v>0</v>
      </c>
      <c r="AB168" s="20">
        <f t="shared" si="205"/>
        <v>0</v>
      </c>
      <c r="AC168" s="20">
        <f t="shared" si="205"/>
        <v>0</v>
      </c>
      <c r="AD168" s="20">
        <f t="shared" si="206"/>
        <v>101.5812445082807</v>
      </c>
      <c r="AE168" s="20">
        <f t="shared" si="207"/>
        <v>1031.8155476855425</v>
      </c>
      <c r="AF168" s="20">
        <f t="shared" si="207"/>
        <v>0</v>
      </c>
      <c r="AG168" s="20">
        <f t="shared" si="207"/>
        <v>0</v>
      </c>
      <c r="AH168" s="20">
        <f t="shared" si="207"/>
        <v>0</v>
      </c>
      <c r="AI168" s="20">
        <f t="shared" si="208"/>
        <v>954.12417211289301</v>
      </c>
      <c r="AJ168" s="20">
        <f t="shared" si="208"/>
        <v>0</v>
      </c>
      <c r="AK168" s="20">
        <f t="shared" si="208"/>
        <v>0</v>
      </c>
      <c r="AL168" s="20">
        <f t="shared" si="208"/>
        <v>0</v>
      </c>
      <c r="AM168" s="20">
        <f t="shared" si="209"/>
        <v>954.12417211289301</v>
      </c>
      <c r="AO168">
        <f t="shared" si="210"/>
        <v>108.52940163264711</v>
      </c>
      <c r="AP168">
        <f t="shared" si="210"/>
        <v>0</v>
      </c>
      <c r="AQ168">
        <f t="shared" si="210"/>
        <v>0</v>
      </c>
      <c r="AR168">
        <f t="shared" si="210"/>
        <v>0</v>
      </c>
      <c r="AS168">
        <f t="shared" si="211"/>
        <v>108.52940163264711</v>
      </c>
      <c r="AU168">
        <f t="shared" si="212"/>
        <v>1019.3862654854149</v>
      </c>
      <c r="AV168">
        <f t="shared" si="213"/>
        <v>0</v>
      </c>
      <c r="AW168">
        <f t="shared" si="213"/>
        <v>0</v>
      </c>
      <c r="AX168">
        <f t="shared" si="213"/>
        <v>0</v>
      </c>
      <c r="AY168">
        <f t="shared" si="214"/>
        <v>1019.3862654854149</v>
      </c>
    </row>
    <row r="169" spans="1:53" ht="15" x14ac:dyDescent="0.25">
      <c r="A169" s="1"/>
      <c r="B169" s="2"/>
      <c r="C169" s="1" t="s">
        <v>12</v>
      </c>
      <c r="D169">
        <v>0</v>
      </c>
      <c r="E169" s="360"/>
      <c r="F169">
        <v>0</v>
      </c>
      <c r="G169">
        <v>0</v>
      </c>
      <c r="H169">
        <v>0</v>
      </c>
      <c r="J169">
        <v>0</v>
      </c>
      <c r="K169" s="14">
        <v>0</v>
      </c>
      <c r="L169">
        <v>0</v>
      </c>
      <c r="M169">
        <v>0</v>
      </c>
      <c r="N169">
        <v>0</v>
      </c>
      <c r="O169" s="20"/>
      <c r="P169" s="20"/>
      <c r="Q169" s="438"/>
      <c r="R169" s="197">
        <v>0.66599999999999993</v>
      </c>
      <c r="S169" s="197">
        <v>4.5549999999999997</v>
      </c>
      <c r="T169" s="197">
        <v>0.60039794540960334</v>
      </c>
      <c r="U169" s="197">
        <v>0.90789473684210531</v>
      </c>
      <c r="V169" s="20">
        <f t="shared" si="204"/>
        <v>0</v>
      </c>
      <c r="W169" s="20">
        <f t="shared" si="204"/>
        <v>0</v>
      </c>
      <c r="X169" s="20">
        <f t="shared" si="204"/>
        <v>0</v>
      </c>
      <c r="Y169" s="20">
        <f t="shared" si="204"/>
        <v>0</v>
      </c>
      <c r="Z169" s="20">
        <f t="shared" si="205"/>
        <v>0</v>
      </c>
      <c r="AA169" s="20">
        <f t="shared" si="205"/>
        <v>0</v>
      </c>
      <c r="AB169" s="20">
        <f t="shared" si="205"/>
        <v>0</v>
      </c>
      <c r="AC169" s="20">
        <f t="shared" si="205"/>
        <v>0</v>
      </c>
      <c r="AD169" s="20">
        <f t="shared" si="206"/>
        <v>0</v>
      </c>
      <c r="AE169" s="20">
        <f t="shared" si="207"/>
        <v>0</v>
      </c>
      <c r="AF169" s="20">
        <f t="shared" si="207"/>
        <v>0</v>
      </c>
      <c r="AG169" s="20">
        <f t="shared" si="207"/>
        <v>0</v>
      </c>
      <c r="AH169" s="20">
        <f t="shared" si="207"/>
        <v>0</v>
      </c>
      <c r="AI169" s="20">
        <f t="shared" si="208"/>
        <v>0</v>
      </c>
      <c r="AJ169" s="20">
        <f t="shared" si="208"/>
        <v>0</v>
      </c>
      <c r="AK169" s="20">
        <f t="shared" si="208"/>
        <v>0</v>
      </c>
      <c r="AL169" s="20">
        <f t="shared" si="208"/>
        <v>0</v>
      </c>
      <c r="AM169" s="20">
        <f t="shared" si="209"/>
        <v>0</v>
      </c>
      <c r="AO169">
        <f t="shared" si="210"/>
        <v>0</v>
      </c>
      <c r="AP169">
        <f t="shared" si="210"/>
        <v>0</v>
      </c>
      <c r="AQ169">
        <f t="shared" si="210"/>
        <v>0</v>
      </c>
      <c r="AR169">
        <f t="shared" si="210"/>
        <v>0</v>
      </c>
      <c r="AS169">
        <f t="shared" si="211"/>
        <v>0</v>
      </c>
      <c r="AU169">
        <f t="shared" si="212"/>
        <v>0</v>
      </c>
      <c r="AV169">
        <f t="shared" si="213"/>
        <v>0</v>
      </c>
      <c r="AW169">
        <f t="shared" si="213"/>
        <v>0</v>
      </c>
      <c r="AX169">
        <f t="shared" si="213"/>
        <v>0</v>
      </c>
      <c r="AY169">
        <f t="shared" si="214"/>
        <v>0</v>
      </c>
    </row>
    <row r="170" spans="1:53" ht="15" x14ac:dyDescent="0.25">
      <c r="A170" s="1"/>
      <c r="B170" s="2"/>
      <c r="C170" s="1" t="s">
        <v>13</v>
      </c>
      <c r="D170">
        <v>0</v>
      </c>
      <c r="E170" s="360"/>
      <c r="F170">
        <v>0</v>
      </c>
      <c r="G170">
        <v>0</v>
      </c>
      <c r="H170">
        <v>0</v>
      </c>
      <c r="J170">
        <v>0</v>
      </c>
      <c r="K170" s="14">
        <v>0</v>
      </c>
      <c r="L170">
        <v>0</v>
      </c>
      <c r="M170">
        <v>0</v>
      </c>
      <c r="N170">
        <v>0</v>
      </c>
      <c r="O170" s="20"/>
      <c r="P170" s="20"/>
      <c r="Q170" s="438"/>
      <c r="R170" s="197">
        <v>0.66599999999999993</v>
      </c>
      <c r="S170" s="197">
        <v>4.5549999999999997</v>
      </c>
      <c r="T170" s="197">
        <v>0.60039794540960334</v>
      </c>
      <c r="U170" s="197">
        <v>0.90789473684210531</v>
      </c>
      <c r="V170" s="20">
        <f t="shared" si="204"/>
        <v>0</v>
      </c>
      <c r="W170" s="20">
        <f t="shared" si="204"/>
        <v>0</v>
      </c>
      <c r="X170" s="20">
        <f t="shared" si="204"/>
        <v>0</v>
      </c>
      <c r="Y170" s="20">
        <f t="shared" si="204"/>
        <v>0</v>
      </c>
      <c r="Z170" s="20">
        <f t="shared" si="205"/>
        <v>0</v>
      </c>
      <c r="AA170" s="20">
        <f t="shared" si="205"/>
        <v>0</v>
      </c>
      <c r="AB170" s="20">
        <f t="shared" si="205"/>
        <v>0</v>
      </c>
      <c r="AC170" s="20">
        <f t="shared" si="205"/>
        <v>0</v>
      </c>
      <c r="AD170" s="20">
        <f t="shared" si="206"/>
        <v>0</v>
      </c>
      <c r="AE170" s="20">
        <f t="shared" si="207"/>
        <v>0</v>
      </c>
      <c r="AF170" s="20">
        <f t="shared" si="207"/>
        <v>0</v>
      </c>
      <c r="AG170" s="20">
        <f t="shared" si="207"/>
        <v>0</v>
      </c>
      <c r="AH170" s="20">
        <f t="shared" si="207"/>
        <v>0</v>
      </c>
      <c r="AI170" s="20">
        <f t="shared" si="208"/>
        <v>0</v>
      </c>
      <c r="AJ170" s="20">
        <f t="shared" si="208"/>
        <v>0</v>
      </c>
      <c r="AK170" s="20">
        <f t="shared" si="208"/>
        <v>0</v>
      </c>
      <c r="AL170" s="20">
        <f t="shared" si="208"/>
        <v>0</v>
      </c>
      <c r="AM170" s="20">
        <f t="shared" si="209"/>
        <v>0</v>
      </c>
      <c r="AO170">
        <f t="shared" si="210"/>
        <v>0</v>
      </c>
      <c r="AP170">
        <f t="shared" si="210"/>
        <v>0</v>
      </c>
      <c r="AQ170">
        <f t="shared" si="210"/>
        <v>0</v>
      </c>
      <c r="AR170">
        <f t="shared" si="210"/>
        <v>0</v>
      </c>
      <c r="AS170">
        <f t="shared" si="211"/>
        <v>0</v>
      </c>
      <c r="AU170">
        <f t="shared" si="212"/>
        <v>0</v>
      </c>
      <c r="AV170">
        <f t="shared" si="213"/>
        <v>0</v>
      </c>
      <c r="AW170">
        <f t="shared" si="213"/>
        <v>0</v>
      </c>
      <c r="AX170">
        <f t="shared" si="213"/>
        <v>0</v>
      </c>
      <c r="AY170">
        <f t="shared" si="214"/>
        <v>0</v>
      </c>
    </row>
    <row r="171" spans="1:53" ht="15" x14ac:dyDescent="0.25">
      <c r="A171" s="7"/>
      <c r="B171" s="8" t="s">
        <v>14</v>
      </c>
      <c r="C171" s="7"/>
      <c r="D171" s="357">
        <f t="shared" ref="D171:H171" si="215">SUM(D165:D170)</f>
        <v>0</v>
      </c>
      <c r="E171" s="363">
        <f>SUM(E165:E170)</f>
        <v>137.8776</v>
      </c>
      <c r="F171" s="357">
        <f t="shared" si="215"/>
        <v>0</v>
      </c>
      <c r="G171" s="357">
        <f t="shared" si="215"/>
        <v>0</v>
      </c>
      <c r="H171" s="357">
        <f t="shared" si="215"/>
        <v>0</v>
      </c>
      <c r="J171">
        <v>0</v>
      </c>
      <c r="K171" s="14">
        <v>6.583568409723739E-5</v>
      </c>
      <c r="L171">
        <v>0</v>
      </c>
      <c r="M171">
        <v>0</v>
      </c>
      <c r="N171">
        <v>0</v>
      </c>
      <c r="O171" s="20"/>
      <c r="P171" s="20"/>
      <c r="Q171" s="438">
        <v>0.16429337774969885</v>
      </c>
      <c r="R171" s="20"/>
      <c r="S171" s="20"/>
      <c r="T171" s="20"/>
      <c r="U171" s="20"/>
      <c r="BA171" s="319">
        <f>(E171*10000*Q171*AU$10)</f>
        <v>242017.99180831376</v>
      </c>
    </row>
    <row r="172" spans="1:53" ht="15" x14ac:dyDescent="0.25">
      <c r="A172" s="1"/>
      <c r="B172" s="9" t="s">
        <v>15</v>
      </c>
      <c r="C172" s="5"/>
      <c r="E172" s="363">
        <f>SUM(E171)</f>
        <v>137.8776</v>
      </c>
      <c r="H172" s="358">
        <f>SUM(D171:H171)</f>
        <v>137.8776</v>
      </c>
      <c r="K172" s="14"/>
      <c r="N172">
        <v>0</v>
      </c>
      <c r="O172" s="20"/>
      <c r="P172" s="20"/>
      <c r="Q172" s="438"/>
      <c r="R172" s="20"/>
      <c r="S172" s="20"/>
      <c r="T172" s="20"/>
      <c r="U172" s="20"/>
    </row>
    <row r="173" spans="1:53" ht="15.75" x14ac:dyDescent="0.25">
      <c r="A173" s="1"/>
      <c r="B173" s="2"/>
      <c r="C173" s="1"/>
      <c r="E173" s="361"/>
      <c r="K173" s="14"/>
      <c r="O173" s="20"/>
      <c r="P173" s="20"/>
      <c r="Q173" s="439"/>
      <c r="R173" s="20"/>
      <c r="S173" s="20"/>
      <c r="T173" s="20"/>
      <c r="U173" s="20"/>
    </row>
    <row r="174" spans="1:53" ht="15" x14ac:dyDescent="0.25">
      <c r="A174" s="1">
        <v>19</v>
      </c>
      <c r="B174" s="154" t="s">
        <v>865</v>
      </c>
      <c r="C174" s="1" t="s">
        <v>8</v>
      </c>
      <c r="D174">
        <v>0</v>
      </c>
      <c r="E174" s="360">
        <v>0</v>
      </c>
      <c r="F174">
        <v>0</v>
      </c>
      <c r="G174">
        <v>0</v>
      </c>
      <c r="H174">
        <v>0</v>
      </c>
      <c r="J174">
        <v>0</v>
      </c>
      <c r="K174" s="14">
        <v>0</v>
      </c>
      <c r="L174">
        <v>0</v>
      </c>
      <c r="M174">
        <v>0</v>
      </c>
      <c r="N174">
        <v>0</v>
      </c>
      <c r="O174" s="20"/>
      <c r="P174" s="20"/>
      <c r="Q174" s="438"/>
      <c r="R174" s="20"/>
      <c r="S174" s="20"/>
      <c r="T174" s="20"/>
      <c r="U174" s="20"/>
    </row>
    <row r="175" spans="1:53" ht="15" x14ac:dyDescent="0.25">
      <c r="A175" s="1"/>
      <c r="B175" s="2"/>
      <c r="C175" s="1" t="s">
        <v>9</v>
      </c>
      <c r="D175">
        <v>0</v>
      </c>
      <c r="E175" s="360">
        <v>0</v>
      </c>
      <c r="F175">
        <v>0</v>
      </c>
      <c r="G175">
        <v>0</v>
      </c>
      <c r="H175">
        <v>0</v>
      </c>
      <c r="J175">
        <v>0</v>
      </c>
      <c r="K175" s="14">
        <v>0</v>
      </c>
      <c r="L175">
        <v>0</v>
      </c>
      <c r="M175">
        <v>0</v>
      </c>
      <c r="N175">
        <v>0</v>
      </c>
      <c r="O175" s="20"/>
      <c r="P175" s="20"/>
      <c r="Q175" s="438"/>
      <c r="R175" s="20"/>
      <c r="S175" s="20"/>
      <c r="T175" s="20"/>
      <c r="U175" s="20"/>
    </row>
    <row r="176" spans="1:53" ht="15" x14ac:dyDescent="0.25">
      <c r="A176" s="1"/>
      <c r="B176" s="2"/>
      <c r="C176" s="1" t="s">
        <v>10</v>
      </c>
      <c r="D176">
        <v>0</v>
      </c>
      <c r="E176" s="360">
        <v>0</v>
      </c>
      <c r="F176">
        <v>0</v>
      </c>
      <c r="G176">
        <v>0</v>
      </c>
      <c r="H176">
        <v>0</v>
      </c>
      <c r="J176">
        <v>0</v>
      </c>
      <c r="K176" s="14">
        <v>0</v>
      </c>
      <c r="L176">
        <v>0</v>
      </c>
      <c r="M176">
        <v>0</v>
      </c>
      <c r="N176">
        <v>0</v>
      </c>
      <c r="O176" s="20"/>
      <c r="P176" s="20"/>
      <c r="Q176" s="438"/>
      <c r="R176" s="20"/>
      <c r="S176" s="20"/>
      <c r="T176" s="20"/>
      <c r="U176" s="20"/>
    </row>
    <row r="177" spans="1:53" ht="15" x14ac:dyDescent="0.25">
      <c r="A177" s="1"/>
      <c r="B177" s="2"/>
      <c r="C177" s="1" t="s">
        <v>11</v>
      </c>
      <c r="D177">
        <v>0</v>
      </c>
      <c r="E177" s="360">
        <v>1.3947290000000001</v>
      </c>
      <c r="F177">
        <v>0</v>
      </c>
      <c r="G177">
        <v>0</v>
      </c>
      <c r="H177">
        <v>0</v>
      </c>
      <c r="J177">
        <v>0</v>
      </c>
      <c r="K177" s="14">
        <v>1.3220211001474524E-6</v>
      </c>
      <c r="L177">
        <v>0</v>
      </c>
      <c r="M177">
        <v>0</v>
      </c>
      <c r="N177">
        <v>0</v>
      </c>
      <c r="O177" s="20"/>
      <c r="P177" s="20"/>
      <c r="Q177" s="438">
        <v>0.90000000000000013</v>
      </c>
      <c r="R177" s="20"/>
      <c r="S177" s="20"/>
      <c r="T177" s="20"/>
      <c r="U177" s="20"/>
    </row>
    <row r="178" spans="1:53" ht="15" x14ac:dyDescent="0.25">
      <c r="A178" s="1"/>
      <c r="B178" s="2"/>
      <c r="C178" s="1" t="s">
        <v>12</v>
      </c>
      <c r="D178">
        <v>0</v>
      </c>
      <c r="E178" s="360">
        <v>0</v>
      </c>
      <c r="F178">
        <v>0</v>
      </c>
      <c r="G178">
        <v>0</v>
      </c>
      <c r="H178">
        <v>0</v>
      </c>
      <c r="J178">
        <v>0</v>
      </c>
      <c r="K178" s="14">
        <v>0</v>
      </c>
      <c r="L178">
        <v>0</v>
      </c>
      <c r="M178">
        <v>0</v>
      </c>
      <c r="N178">
        <v>0</v>
      </c>
      <c r="O178" s="20"/>
      <c r="P178" s="20"/>
      <c r="Q178" s="438"/>
      <c r="R178" s="20"/>
      <c r="S178" s="20"/>
      <c r="T178" s="20"/>
      <c r="U178" s="20"/>
    </row>
    <row r="179" spans="1:53" ht="15" x14ac:dyDescent="0.25">
      <c r="A179" s="1"/>
      <c r="B179" s="2"/>
      <c r="C179" s="1" t="s">
        <v>13</v>
      </c>
      <c r="D179">
        <v>0</v>
      </c>
      <c r="E179" s="360">
        <v>99.678190000000001</v>
      </c>
      <c r="F179">
        <v>0</v>
      </c>
      <c r="G179">
        <v>0</v>
      </c>
      <c r="H179">
        <v>0</v>
      </c>
      <c r="J179">
        <v>0</v>
      </c>
      <c r="K179" s="14">
        <v>8.7469220872549158E-5</v>
      </c>
      <c r="L179">
        <v>0</v>
      </c>
      <c r="M179">
        <v>0</v>
      </c>
      <c r="N179">
        <v>0</v>
      </c>
      <c r="O179" s="20"/>
      <c r="P179" s="20"/>
      <c r="Q179" s="438">
        <v>0.90000000000000013</v>
      </c>
      <c r="R179" s="20"/>
      <c r="S179" s="20"/>
      <c r="T179" s="20"/>
      <c r="U179" s="20"/>
    </row>
    <row r="180" spans="1:53" ht="15" x14ac:dyDescent="0.25">
      <c r="A180" s="7"/>
      <c r="B180" s="8" t="s">
        <v>14</v>
      </c>
      <c r="C180" s="7"/>
      <c r="D180" s="357">
        <f t="shared" ref="D180:H180" si="216">SUM(D174:D179)</f>
        <v>0</v>
      </c>
      <c r="E180" s="363">
        <f>SUM(E174:E179)</f>
        <v>101.072919</v>
      </c>
      <c r="F180" s="357">
        <f t="shared" si="216"/>
        <v>0</v>
      </c>
      <c r="G180" s="357">
        <f t="shared" si="216"/>
        <v>0</v>
      </c>
      <c r="H180" s="357">
        <f t="shared" si="216"/>
        <v>0</v>
      </c>
      <c r="J180">
        <v>0</v>
      </c>
      <c r="K180">
        <v>0</v>
      </c>
      <c r="L180">
        <v>0</v>
      </c>
      <c r="M180">
        <v>0</v>
      </c>
      <c r="N180">
        <v>0</v>
      </c>
      <c r="Q180" s="438">
        <v>0.9</v>
      </c>
      <c r="BA180" s="319">
        <f>(E180*10000*Q180*AU$10)</f>
        <v>971876.75993639999</v>
      </c>
    </row>
    <row r="181" spans="1:53" ht="15" x14ac:dyDescent="0.25">
      <c r="A181" s="5"/>
      <c r="B181" s="9" t="s">
        <v>15</v>
      </c>
      <c r="C181" s="5"/>
      <c r="E181" s="363">
        <f>SUM(E180)</f>
        <v>101.072919</v>
      </c>
      <c r="H181" s="358">
        <f>SUM(D180:H180)</f>
        <v>101.072919</v>
      </c>
      <c r="N181">
        <v>0</v>
      </c>
    </row>
    <row r="182" spans="1:53" s="79" customFormat="1" ht="15" x14ac:dyDescent="0.25">
      <c r="A182" s="199"/>
      <c r="B182" s="198" t="s">
        <v>661</v>
      </c>
      <c r="C182" s="199"/>
    </row>
    <row r="183" spans="1:53" x14ac:dyDescent="0.2">
      <c r="E183" s="14">
        <f>SUM(E180,E171,E162,E153,E144,E135,E126,E117,E108,E99,E90,E81,E72,E63,E54,E45,E36,E27,E18,)</f>
        <v>2788.5663690000001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BA183"/>
  <sheetViews>
    <sheetView defaultGridColor="0" colorId="11" zoomScale="75" workbookViewId="0">
      <pane xSplit="3" topLeftCell="D1" activePane="topRight" state="frozen"/>
      <selection pane="topRight" activeCell="Q12" sqref="Q12:Q180"/>
    </sheetView>
  </sheetViews>
  <sheetFormatPr defaultRowHeight="12.75" x14ac:dyDescent="0.2"/>
  <cols>
    <col min="2" max="2" width="26.42578125" bestFit="1" customWidth="1"/>
    <col min="4" max="8" width="13.7109375" customWidth="1"/>
    <col min="10" max="14" width="13.5703125" customWidth="1"/>
    <col min="15" max="15" width="12" bestFit="1" customWidth="1"/>
    <col min="17" max="17" width="15.7109375" style="108" bestFit="1" customWidth="1"/>
    <col min="18" max="19" width="12" bestFit="1" customWidth="1"/>
    <col min="20" max="21" width="12" customWidth="1"/>
    <col min="22" max="25" width="11.5703125" customWidth="1"/>
    <col min="26" max="29" width="10.7109375" customWidth="1"/>
    <col min="30" max="30" width="11.42578125" customWidth="1"/>
    <col min="31" max="34" width="13.42578125" customWidth="1"/>
    <col min="35" max="39" width="10.85546875" customWidth="1"/>
    <col min="45" max="45" width="28.140625" customWidth="1"/>
    <col min="51" max="51" width="28.42578125" customWidth="1"/>
  </cols>
  <sheetData>
    <row r="1" spans="1:53" ht="15" x14ac:dyDescent="0.25">
      <c r="A1" s="15"/>
      <c r="B1" s="16"/>
    </row>
    <row r="2" spans="1:53" ht="15" x14ac:dyDescent="0.25">
      <c r="A2" s="15"/>
      <c r="B2" s="16"/>
      <c r="V2" s="99"/>
      <c r="W2" s="99"/>
      <c r="X2" s="99"/>
      <c r="Y2" s="99"/>
      <c r="Z2" s="26"/>
      <c r="AA2" s="26"/>
      <c r="AB2" s="26"/>
      <c r="AC2" s="26"/>
      <c r="AD2" s="26"/>
      <c r="AE2" s="28"/>
      <c r="AF2" s="28"/>
      <c r="AG2" s="28"/>
      <c r="AH2" s="28"/>
      <c r="AI2" s="124"/>
      <c r="AJ2" s="124"/>
      <c r="AK2" s="124"/>
      <c r="AL2" s="124"/>
      <c r="AM2" s="124"/>
    </row>
    <row r="3" spans="1:53" ht="81" x14ac:dyDescent="0.25">
      <c r="B3" s="16"/>
      <c r="D3" s="179" t="s">
        <v>788</v>
      </c>
      <c r="E3" s="179"/>
      <c r="F3" s="179"/>
      <c r="G3" s="179"/>
      <c r="H3" s="179"/>
      <c r="J3" s="181" t="s">
        <v>789</v>
      </c>
      <c r="K3" s="181"/>
      <c r="L3" s="181"/>
      <c r="M3" s="181"/>
      <c r="N3" s="181"/>
      <c r="V3" s="99" t="s">
        <v>534</v>
      </c>
      <c r="W3" s="99"/>
      <c r="X3" s="99"/>
      <c r="Y3" s="99"/>
      <c r="Z3" s="26" t="s">
        <v>535</v>
      </c>
      <c r="AA3" s="26"/>
      <c r="AB3" s="26"/>
      <c r="AC3" s="26"/>
      <c r="AD3" s="125"/>
      <c r="AE3" s="28" t="s">
        <v>536</v>
      </c>
      <c r="AF3" s="28"/>
      <c r="AG3" s="28"/>
      <c r="AH3" s="28"/>
      <c r="AI3" s="124" t="s">
        <v>537</v>
      </c>
      <c r="AJ3" s="131"/>
      <c r="AK3" s="131"/>
      <c r="AL3" s="131"/>
      <c r="AM3" s="131"/>
    </row>
    <row r="4" spans="1:53" ht="15.75" x14ac:dyDescent="0.25">
      <c r="D4" s="180"/>
      <c r="E4" s="180"/>
      <c r="F4" s="180"/>
      <c r="G4" s="180"/>
      <c r="H4" s="180"/>
      <c r="J4" s="314" t="s">
        <v>793</v>
      </c>
      <c r="K4" s="182"/>
      <c r="L4" s="182"/>
      <c r="M4" s="182"/>
      <c r="N4" s="182"/>
      <c r="V4" s="101" t="s">
        <v>40</v>
      </c>
      <c r="W4" s="101"/>
      <c r="X4" s="101"/>
      <c r="Y4" s="101"/>
      <c r="Z4" s="27" t="s">
        <v>40</v>
      </c>
      <c r="AA4" s="27"/>
      <c r="AB4" s="27"/>
      <c r="AC4" s="27"/>
      <c r="AD4" s="126"/>
      <c r="AE4" s="30" t="s">
        <v>40</v>
      </c>
      <c r="AF4" s="30"/>
      <c r="AG4" s="30"/>
      <c r="AH4" s="30"/>
      <c r="AI4" s="132" t="s">
        <v>40</v>
      </c>
      <c r="AJ4" s="133"/>
      <c r="AK4" s="133"/>
      <c r="AL4" s="133"/>
      <c r="AM4" s="133"/>
    </row>
    <row r="5" spans="1:53" ht="94.5" x14ac:dyDescent="0.25">
      <c r="A5" s="1"/>
      <c r="B5" s="2"/>
      <c r="C5" s="3"/>
      <c r="D5" s="103"/>
      <c r="E5" s="229"/>
      <c r="F5" s="229"/>
      <c r="G5" s="229"/>
      <c r="H5" s="229"/>
      <c r="J5" s="115"/>
      <c r="K5" s="232"/>
      <c r="L5" s="232"/>
      <c r="M5" s="232"/>
      <c r="N5" s="232"/>
      <c r="V5" s="103"/>
      <c r="W5" s="103"/>
      <c r="X5" s="103"/>
      <c r="Y5" s="103"/>
      <c r="Z5" s="93"/>
      <c r="AA5" s="236"/>
      <c r="AB5" s="236"/>
      <c r="AC5" s="236"/>
      <c r="AD5" s="127"/>
      <c r="AE5" s="90"/>
      <c r="AF5" s="90"/>
      <c r="AG5" s="90"/>
      <c r="AH5" s="90"/>
      <c r="AI5" s="134"/>
      <c r="AJ5" s="135"/>
      <c r="AK5" s="135"/>
      <c r="AL5" s="135"/>
      <c r="AM5" s="135"/>
      <c r="AO5" s="240" t="s">
        <v>727</v>
      </c>
      <c r="AP5" s="241"/>
      <c r="AQ5" s="241"/>
      <c r="AR5" s="241"/>
      <c r="AS5" s="242" t="s">
        <v>727</v>
      </c>
      <c r="AU5" s="244" t="s">
        <v>728</v>
      </c>
      <c r="AV5" s="245"/>
      <c r="AW5" s="245"/>
      <c r="AX5" s="245"/>
      <c r="AY5" s="246" t="s">
        <v>728</v>
      </c>
    </row>
    <row r="6" spans="1:53" ht="39" x14ac:dyDescent="0.25">
      <c r="A6" s="1"/>
      <c r="B6" s="2" t="s">
        <v>0</v>
      </c>
      <c r="C6" s="3"/>
      <c r="D6" s="234"/>
      <c r="E6" s="234" t="s">
        <v>862</v>
      </c>
      <c r="F6" s="234"/>
      <c r="G6" s="234"/>
      <c r="H6" s="234"/>
      <c r="J6" s="117"/>
      <c r="K6" s="117" t="s">
        <v>862</v>
      </c>
      <c r="L6" s="117"/>
      <c r="M6" s="117"/>
      <c r="N6" s="117"/>
      <c r="O6" s="17" t="s">
        <v>35</v>
      </c>
      <c r="P6" s="18"/>
      <c r="Q6" s="146">
        <v>2010</v>
      </c>
      <c r="R6" s="22" t="s">
        <v>38</v>
      </c>
      <c r="S6" s="22" t="s">
        <v>39</v>
      </c>
      <c r="T6" s="196" t="s">
        <v>659</v>
      </c>
      <c r="U6" s="196" t="s">
        <v>660</v>
      </c>
      <c r="V6" s="105" t="s">
        <v>862</v>
      </c>
      <c r="W6" s="105"/>
      <c r="X6" s="105"/>
      <c r="Y6" s="105"/>
      <c r="Z6" s="78" t="s">
        <v>862</v>
      </c>
      <c r="AA6" s="78"/>
      <c r="AB6" s="78"/>
      <c r="AC6" s="78"/>
      <c r="AD6" s="128" t="s">
        <v>42</v>
      </c>
      <c r="AE6" s="72" t="s">
        <v>862</v>
      </c>
      <c r="AF6" s="72"/>
      <c r="AG6" s="72"/>
      <c r="AH6" s="72"/>
      <c r="AI6" s="137" t="s">
        <v>862</v>
      </c>
      <c r="AJ6" s="137"/>
      <c r="AK6" s="137"/>
      <c r="AL6" s="137"/>
      <c r="AM6" s="137"/>
      <c r="AO6" s="118" t="s">
        <v>862</v>
      </c>
      <c r="AP6" s="118"/>
      <c r="AQ6" s="118"/>
      <c r="AR6" s="118"/>
      <c r="AS6" s="129"/>
      <c r="AU6" s="118" t="s">
        <v>862</v>
      </c>
      <c r="AV6" s="118"/>
      <c r="AW6" s="118"/>
      <c r="AX6" s="118"/>
      <c r="AY6" s="247"/>
    </row>
    <row r="7" spans="1:53" ht="26.25" x14ac:dyDescent="0.25">
      <c r="A7" s="1"/>
      <c r="B7" s="2" t="s">
        <v>1</v>
      </c>
      <c r="C7" s="2"/>
      <c r="D7" s="107"/>
      <c r="E7" s="107"/>
      <c r="F7" s="107"/>
      <c r="G7" s="107"/>
      <c r="H7" s="107"/>
      <c r="J7" s="119"/>
      <c r="K7" s="233"/>
      <c r="L7" s="233"/>
      <c r="M7" s="233"/>
      <c r="N7" s="233"/>
      <c r="O7" s="21" t="s">
        <v>36</v>
      </c>
      <c r="P7" s="21" t="s">
        <v>37</v>
      </c>
      <c r="Q7" s="148" t="s">
        <v>538</v>
      </c>
      <c r="R7" s="22"/>
      <c r="S7" s="22"/>
      <c r="T7" s="22"/>
      <c r="U7" s="22"/>
      <c r="V7" s="107"/>
      <c r="W7" s="107"/>
      <c r="X7" s="107"/>
      <c r="Y7" s="107"/>
      <c r="Z7" s="237"/>
      <c r="AA7" s="237"/>
      <c r="AB7" s="237"/>
      <c r="AC7" s="237"/>
      <c r="AD7" s="129"/>
      <c r="AE7" s="91"/>
      <c r="AF7" s="91"/>
      <c r="AG7" s="91"/>
      <c r="AH7" s="91"/>
      <c r="AI7" s="139"/>
      <c r="AJ7" s="139"/>
      <c r="AK7" s="139"/>
      <c r="AL7" s="139"/>
      <c r="AM7" s="139"/>
      <c r="AS7" s="129"/>
      <c r="AY7" s="247"/>
      <c r="BA7" t="s">
        <v>864</v>
      </c>
    </row>
    <row r="8" spans="1:53" ht="15.75" x14ac:dyDescent="0.25">
      <c r="A8" s="1"/>
      <c r="B8" s="2" t="s">
        <v>4</v>
      </c>
      <c r="C8" s="2"/>
      <c r="D8" s="107"/>
      <c r="E8" s="230"/>
      <c r="F8" s="230"/>
      <c r="G8" s="230"/>
      <c r="H8" s="230"/>
      <c r="J8" s="183"/>
      <c r="K8" s="183"/>
      <c r="L8" s="183"/>
      <c r="M8" s="183"/>
      <c r="N8" s="183"/>
      <c r="O8" s="20"/>
      <c r="P8" s="20"/>
      <c r="Q8" s="145"/>
      <c r="R8" s="20"/>
      <c r="S8" s="20"/>
      <c r="T8" s="20"/>
      <c r="U8" s="20"/>
      <c r="V8" s="107"/>
      <c r="W8" s="107"/>
      <c r="X8" s="107"/>
      <c r="Y8" s="107"/>
      <c r="Z8" s="237">
        <v>2903</v>
      </c>
      <c r="AA8" s="237">
        <v>2903</v>
      </c>
      <c r="AB8" s="237">
        <v>2903</v>
      </c>
      <c r="AC8" s="237">
        <v>2903</v>
      </c>
      <c r="AD8" s="129"/>
      <c r="AE8" s="91"/>
      <c r="AF8" s="91"/>
      <c r="AG8" s="91"/>
      <c r="AH8" s="91"/>
      <c r="AI8" s="237">
        <v>2903</v>
      </c>
      <c r="AJ8" s="237">
        <v>2903</v>
      </c>
      <c r="AK8" s="237">
        <v>2903</v>
      </c>
      <c r="AL8" s="237">
        <v>2903</v>
      </c>
      <c r="AM8" s="139"/>
      <c r="AS8" s="129"/>
      <c r="AY8" s="247"/>
    </row>
    <row r="9" spans="1:53" ht="15.75" x14ac:dyDescent="0.25">
      <c r="A9" s="1"/>
      <c r="B9" s="15" t="s">
        <v>558</v>
      </c>
      <c r="C9" s="2"/>
      <c r="D9" s="109"/>
      <c r="E9" s="231"/>
      <c r="F9" s="231"/>
      <c r="G9" s="231"/>
      <c r="H9" s="231"/>
      <c r="J9" s="119"/>
      <c r="K9" s="233"/>
      <c r="L9" s="233"/>
      <c r="M9" s="233"/>
      <c r="N9" s="233"/>
      <c r="O9" s="21"/>
      <c r="P9" s="21"/>
      <c r="Q9" s="145"/>
      <c r="R9" s="20"/>
      <c r="S9" s="20"/>
      <c r="T9" s="20"/>
      <c r="U9" s="20"/>
      <c r="V9" s="109"/>
      <c r="W9" s="109"/>
      <c r="X9" s="109"/>
      <c r="Y9" s="109"/>
      <c r="Z9" s="238"/>
      <c r="AA9" s="238"/>
      <c r="AB9" s="238"/>
      <c r="AC9" s="238"/>
      <c r="AD9" s="129"/>
      <c r="AE9" s="92"/>
      <c r="AF9" s="92"/>
      <c r="AG9" s="92"/>
      <c r="AH9" s="92"/>
      <c r="AI9" s="139"/>
      <c r="AJ9" s="139"/>
      <c r="AK9" s="139"/>
      <c r="AL9" s="139"/>
      <c r="AM9" s="139"/>
      <c r="AO9" s="239">
        <v>2010</v>
      </c>
      <c r="AP9" s="239">
        <v>2010</v>
      </c>
      <c r="AQ9" s="239">
        <v>2010</v>
      </c>
      <c r="AR9" s="239">
        <v>2010</v>
      </c>
      <c r="AS9" s="243">
        <v>2010</v>
      </c>
      <c r="AU9" s="239">
        <v>2010</v>
      </c>
      <c r="AV9" s="239">
        <v>2010</v>
      </c>
      <c r="AW9" s="239">
        <v>2010</v>
      </c>
      <c r="AX9" s="239">
        <v>2010</v>
      </c>
      <c r="AY9" s="248">
        <v>2010</v>
      </c>
    </row>
    <row r="10" spans="1:53" ht="15" x14ac:dyDescent="0.2">
      <c r="B10" s="15" t="s">
        <v>726</v>
      </c>
      <c r="AO10" s="239">
        <v>1.1359999999999999</v>
      </c>
      <c r="AP10" s="239">
        <v>1.1359999999999999</v>
      </c>
      <c r="AQ10" s="239">
        <v>1.1359999999999999</v>
      </c>
      <c r="AR10" s="239">
        <v>1.1359999999999999</v>
      </c>
      <c r="AU10" s="239">
        <v>1.1359999999999999</v>
      </c>
      <c r="AV10" s="239">
        <v>1.1359999999999999</v>
      </c>
      <c r="AW10" s="239">
        <v>1.1359999999999999</v>
      </c>
      <c r="AX10" s="239">
        <v>1.1359999999999999</v>
      </c>
    </row>
    <row r="11" spans="1:53" ht="27" x14ac:dyDescent="0.25">
      <c r="A11" s="1"/>
      <c r="B11" s="2" t="s">
        <v>5</v>
      </c>
      <c r="C11" s="4" t="s">
        <v>6</v>
      </c>
      <c r="D11" s="107"/>
      <c r="E11" s="230"/>
      <c r="F11" s="230"/>
      <c r="G11" s="230"/>
      <c r="H11" s="230"/>
      <c r="J11" s="183"/>
      <c r="K11" s="183"/>
      <c r="L11" s="183"/>
      <c r="M11" s="183"/>
      <c r="N11" s="183"/>
      <c r="O11" s="20"/>
      <c r="P11" s="20"/>
      <c r="Q11" s="147"/>
      <c r="R11" s="20"/>
      <c r="S11" s="20"/>
      <c r="T11" s="20"/>
      <c r="U11" s="20"/>
      <c r="V11" s="230"/>
      <c r="W11" s="230"/>
      <c r="X11" s="230"/>
      <c r="Y11" s="230"/>
      <c r="Z11" s="130"/>
      <c r="AA11" s="130"/>
      <c r="AB11" s="130"/>
      <c r="AC11" s="130"/>
      <c r="AD11" s="129"/>
      <c r="AE11" s="91"/>
      <c r="AF11" s="91"/>
      <c r="AG11" s="91"/>
      <c r="AH11" s="91"/>
      <c r="AI11" s="139"/>
      <c r="AJ11" s="139"/>
      <c r="AK11" s="139"/>
      <c r="AL11" s="139"/>
      <c r="AM11" s="139"/>
    </row>
    <row r="12" spans="1:53" ht="15" x14ac:dyDescent="0.25">
      <c r="A12" s="1">
        <v>1</v>
      </c>
      <c r="B12" s="2" t="s">
        <v>7</v>
      </c>
      <c r="C12" s="3" t="s">
        <v>8</v>
      </c>
      <c r="D12">
        <v>0</v>
      </c>
      <c r="E12" s="360">
        <v>47.0105</v>
      </c>
      <c r="F12">
        <v>0</v>
      </c>
      <c r="G12">
        <v>0</v>
      </c>
      <c r="H12">
        <v>0</v>
      </c>
      <c r="J12">
        <v>0</v>
      </c>
      <c r="K12" s="14">
        <v>37.234618939624283</v>
      </c>
      <c r="L12">
        <v>0</v>
      </c>
      <c r="M12">
        <v>0</v>
      </c>
      <c r="N12">
        <v>0</v>
      </c>
      <c r="O12" s="20">
        <v>0.36775204520040022</v>
      </c>
      <c r="P12" s="20">
        <v>0.57913019816794442</v>
      </c>
      <c r="Q12" s="438">
        <v>5.2343999131127507E-2</v>
      </c>
      <c r="R12" s="197">
        <v>0.17699999999999999</v>
      </c>
      <c r="S12" s="197">
        <v>1.77</v>
      </c>
      <c r="T12" s="197">
        <v>0.50078889239507718</v>
      </c>
      <c r="U12" s="197">
        <v>0.75268470790377973</v>
      </c>
      <c r="V12" s="20">
        <f t="shared" ref="V12:Y17" si="0">IF(K12&gt;0,((E12-K12)*$Q12*$R12*10)+(K12*$O$12*$Q12*$R12*10),(E12*$Q12*$R12*10))</f>
        <v>2.1743754471995764</v>
      </c>
      <c r="W12" s="20">
        <f t="shared" si="0"/>
        <v>0</v>
      </c>
      <c r="X12" s="20">
        <f t="shared" si="0"/>
        <v>0</v>
      </c>
      <c r="Y12" s="20">
        <f t="shared" si="0"/>
        <v>0</v>
      </c>
      <c r="Z12" s="20">
        <f t="shared" ref="Z12:AC17" si="1">V12*(EXP(1.01-0.34*LN(Z$8))*(1-$T12)+(1*$T12))</f>
        <v>1.2870047752714648</v>
      </c>
      <c r="AA12" s="20">
        <f t="shared" si="1"/>
        <v>0</v>
      </c>
      <c r="AB12" s="20">
        <f t="shared" si="1"/>
        <v>0</v>
      </c>
      <c r="AC12" s="20">
        <f t="shared" si="1"/>
        <v>0</v>
      </c>
      <c r="AD12" s="20">
        <f t="shared" ref="AD12:AD17" si="2">SUM(Z12:AC12)</f>
        <v>1.2870047752714648</v>
      </c>
      <c r="AE12" s="20">
        <f t="shared" ref="AE12:AH17" si="3">IF(K12&gt;0,((E12-K12)*$Q12*$S12*10)+(K12*$P$12*$Q12*$S12)*10,(E12*$Q12*$S12*10))</f>
        <v>29.035763182433815</v>
      </c>
      <c r="AF12" s="20">
        <f t="shared" si="3"/>
        <v>0</v>
      </c>
      <c r="AG12" s="20">
        <f t="shared" si="3"/>
        <v>0</v>
      </c>
      <c r="AH12" s="20">
        <f t="shared" si="3"/>
        <v>0</v>
      </c>
      <c r="AI12" s="20">
        <f t="shared" ref="AI12:AL17" si="4">AE12*(EXP(1.01-0.34*LN(AI$8))*(1-$U12)+(1*$U12))</f>
        <v>23.165325098849607</v>
      </c>
      <c r="AJ12" s="20">
        <f t="shared" si="4"/>
        <v>0</v>
      </c>
      <c r="AK12" s="20">
        <f t="shared" si="4"/>
        <v>0</v>
      </c>
      <c r="AL12" s="20">
        <f t="shared" si="4"/>
        <v>0</v>
      </c>
      <c r="AM12" s="20">
        <f t="shared" ref="AM12:AM17" si="5">SUM(AI12:AL12)</f>
        <v>23.165325098849607</v>
      </c>
      <c r="AO12">
        <f t="shared" ref="AO12:AR17" si="6">Z12*AO$10</f>
        <v>1.4620374247083838</v>
      </c>
      <c r="AP12">
        <f t="shared" si="6"/>
        <v>0</v>
      </c>
      <c r="AQ12">
        <f t="shared" si="6"/>
        <v>0</v>
      </c>
      <c r="AR12">
        <f t="shared" si="6"/>
        <v>0</v>
      </c>
      <c r="AS12">
        <f t="shared" ref="AS12:AS17" si="7">SUM(AO12:AR12)</f>
        <v>1.4620374247083838</v>
      </c>
      <c r="AU12">
        <f>AI12*AU$10</f>
        <v>26.315809312293151</v>
      </c>
      <c r="AV12">
        <f t="shared" ref="AU12:AX17" si="8">AJ12*AV$10</f>
        <v>0</v>
      </c>
      <c r="AW12">
        <f t="shared" si="8"/>
        <v>0</v>
      </c>
      <c r="AX12">
        <f t="shared" si="8"/>
        <v>0</v>
      </c>
      <c r="AY12">
        <f>SUM(AU12:AX12)</f>
        <v>26.315809312293151</v>
      </c>
    </row>
    <row r="13" spans="1:53" ht="15" x14ac:dyDescent="0.25">
      <c r="A13" s="1"/>
      <c r="B13" s="2"/>
      <c r="C13" s="1" t="s">
        <v>9</v>
      </c>
      <c r="D13">
        <v>0</v>
      </c>
      <c r="E13" s="360">
        <v>6.9507000000000003</v>
      </c>
      <c r="F13">
        <v>0</v>
      </c>
      <c r="G13">
        <v>0</v>
      </c>
      <c r="H13">
        <v>0</v>
      </c>
      <c r="J13">
        <v>0</v>
      </c>
      <c r="K13" s="14">
        <v>5.320047699801</v>
      </c>
      <c r="L13">
        <v>0</v>
      </c>
      <c r="M13">
        <v>0</v>
      </c>
      <c r="N13">
        <v>0</v>
      </c>
      <c r="O13" s="20"/>
      <c r="P13" s="20"/>
      <c r="Q13" s="438">
        <v>5.9687998262255008E-2</v>
      </c>
      <c r="R13" s="197">
        <v>0.17699999999999999</v>
      </c>
      <c r="S13" s="197">
        <v>1.77</v>
      </c>
      <c r="T13" s="197">
        <v>0.50078889239507718</v>
      </c>
      <c r="U13" s="197">
        <v>0.75268470790377973</v>
      </c>
      <c r="V13" s="20">
        <f t="shared" si="0"/>
        <v>0.37897020165652551</v>
      </c>
      <c r="W13" s="20">
        <f t="shared" si="0"/>
        <v>0</v>
      </c>
      <c r="X13" s="20">
        <f t="shared" si="0"/>
        <v>0</v>
      </c>
      <c r="Y13" s="20">
        <f t="shared" si="0"/>
        <v>0</v>
      </c>
      <c r="Z13" s="20">
        <f t="shared" si="1"/>
        <v>0.22431105899659798</v>
      </c>
      <c r="AA13" s="20">
        <f t="shared" si="1"/>
        <v>0</v>
      </c>
      <c r="AB13" s="20">
        <f t="shared" si="1"/>
        <v>0</v>
      </c>
      <c r="AC13" s="20">
        <f t="shared" si="1"/>
        <v>0</v>
      </c>
      <c r="AD13" s="20">
        <f t="shared" si="2"/>
        <v>0.22431105899659798</v>
      </c>
      <c r="AE13" s="20">
        <f t="shared" si="3"/>
        <v>4.9777552636133802</v>
      </c>
      <c r="AF13" s="20">
        <f t="shared" si="3"/>
        <v>0</v>
      </c>
      <c r="AG13" s="20">
        <f t="shared" si="3"/>
        <v>0</v>
      </c>
      <c r="AH13" s="20">
        <f t="shared" si="3"/>
        <v>0</v>
      </c>
      <c r="AI13" s="20">
        <f t="shared" si="4"/>
        <v>3.9713548502102172</v>
      </c>
      <c r="AJ13" s="20">
        <f t="shared" si="4"/>
        <v>0</v>
      </c>
      <c r="AK13" s="20">
        <f t="shared" si="4"/>
        <v>0</v>
      </c>
      <c r="AL13" s="20">
        <f t="shared" si="4"/>
        <v>0</v>
      </c>
      <c r="AM13" s="20">
        <f t="shared" si="5"/>
        <v>3.9713548502102172</v>
      </c>
      <c r="AO13">
        <f t="shared" si="6"/>
        <v>0.2548173630201353</v>
      </c>
      <c r="AP13">
        <f t="shared" si="6"/>
        <v>0</v>
      </c>
      <c r="AQ13">
        <f t="shared" si="6"/>
        <v>0</v>
      </c>
      <c r="AR13">
        <f t="shared" si="6"/>
        <v>0</v>
      </c>
      <c r="AS13">
        <f t="shared" si="7"/>
        <v>0.2548173630201353</v>
      </c>
      <c r="AU13">
        <f t="shared" si="8"/>
        <v>4.5114591098388059</v>
      </c>
      <c r="AV13">
        <f t="shared" si="8"/>
        <v>0</v>
      </c>
      <c r="AW13">
        <f t="shared" si="8"/>
        <v>0</v>
      </c>
      <c r="AX13">
        <f t="shared" si="8"/>
        <v>0</v>
      </c>
      <c r="AY13">
        <f t="shared" ref="AY13:AY17" si="9">SUM(AU13:AX13)</f>
        <v>4.5114591098388059</v>
      </c>
    </row>
    <row r="14" spans="1:53" ht="15" x14ac:dyDescent="0.25">
      <c r="A14" s="1"/>
      <c r="B14" s="2"/>
      <c r="C14" s="1" t="s">
        <v>10</v>
      </c>
      <c r="D14">
        <v>0</v>
      </c>
      <c r="E14" s="360">
        <v>0.9526</v>
      </c>
      <c r="F14">
        <v>0</v>
      </c>
      <c r="G14">
        <v>0</v>
      </c>
      <c r="H14">
        <v>0</v>
      </c>
      <c r="J14">
        <v>0</v>
      </c>
      <c r="K14" s="14">
        <v>-1.1364075421309998</v>
      </c>
      <c r="L14">
        <v>0</v>
      </c>
      <c r="M14">
        <v>0</v>
      </c>
      <c r="N14">
        <v>0</v>
      </c>
      <c r="O14" s="20"/>
      <c r="P14" s="20"/>
      <c r="Q14" s="438">
        <v>6.7031997393382517E-2</v>
      </c>
      <c r="R14" s="197">
        <v>0.17699999999999999</v>
      </c>
      <c r="S14" s="197">
        <v>1.77</v>
      </c>
      <c r="T14" s="197">
        <v>0.50078889239507718</v>
      </c>
      <c r="U14" s="197">
        <v>0.75268470790377973</v>
      </c>
      <c r="V14" s="20">
        <f t="shared" si="0"/>
        <v>0.11302278486897704</v>
      </c>
      <c r="W14" s="20">
        <f t="shared" si="0"/>
        <v>0</v>
      </c>
      <c r="X14" s="20">
        <f t="shared" si="0"/>
        <v>0</v>
      </c>
      <c r="Y14" s="20">
        <f t="shared" si="0"/>
        <v>0</v>
      </c>
      <c r="Z14" s="20">
        <f t="shared" si="1"/>
        <v>6.6897767829468005E-2</v>
      </c>
      <c r="AA14" s="20">
        <f t="shared" si="1"/>
        <v>0</v>
      </c>
      <c r="AB14" s="20">
        <f t="shared" si="1"/>
        <v>0</v>
      </c>
      <c r="AC14" s="20">
        <f t="shared" si="1"/>
        <v>0</v>
      </c>
      <c r="AD14" s="20">
        <f t="shared" si="2"/>
        <v>6.6897767829468005E-2</v>
      </c>
      <c r="AE14" s="20">
        <f t="shared" si="3"/>
        <v>1.1302278486897706</v>
      </c>
      <c r="AF14" s="20">
        <f t="shared" si="3"/>
        <v>0</v>
      </c>
      <c r="AG14" s="20">
        <f t="shared" si="3"/>
        <v>0</v>
      </c>
      <c r="AH14" s="20">
        <f t="shared" si="3"/>
        <v>0</v>
      </c>
      <c r="AI14" s="20">
        <f t="shared" si="4"/>
        <v>0.90171886945653623</v>
      </c>
      <c r="AJ14" s="20">
        <f t="shared" si="4"/>
        <v>0</v>
      </c>
      <c r="AK14" s="20">
        <f t="shared" si="4"/>
        <v>0</v>
      </c>
      <c r="AL14" s="20">
        <f t="shared" si="4"/>
        <v>0</v>
      </c>
      <c r="AM14" s="20">
        <f t="shared" si="5"/>
        <v>0.90171886945653623</v>
      </c>
      <c r="AO14">
        <f t="shared" si="6"/>
        <v>7.5995864254275652E-2</v>
      </c>
      <c r="AP14">
        <f t="shared" si="6"/>
        <v>0</v>
      </c>
      <c r="AQ14">
        <f t="shared" si="6"/>
        <v>0</v>
      </c>
      <c r="AR14">
        <f t="shared" si="6"/>
        <v>0</v>
      </c>
      <c r="AS14">
        <f t="shared" si="7"/>
        <v>7.5995864254275652E-2</v>
      </c>
      <c r="AU14">
        <f t="shared" si="8"/>
        <v>1.0243526357026251</v>
      </c>
      <c r="AV14">
        <f t="shared" si="8"/>
        <v>0</v>
      </c>
      <c r="AW14">
        <f t="shared" si="8"/>
        <v>0</v>
      </c>
      <c r="AX14">
        <f t="shared" si="8"/>
        <v>0</v>
      </c>
      <c r="AY14">
        <f t="shared" si="9"/>
        <v>1.0243526357026251</v>
      </c>
    </row>
    <row r="15" spans="1:53" ht="15" x14ac:dyDescent="0.25">
      <c r="A15" s="1"/>
      <c r="B15" s="2"/>
      <c r="C15" s="1" t="s">
        <v>11</v>
      </c>
      <c r="D15">
        <v>0</v>
      </c>
      <c r="E15" s="360">
        <v>17.2622</v>
      </c>
      <c r="F15">
        <v>0</v>
      </c>
      <c r="G15">
        <v>0</v>
      </c>
      <c r="H15">
        <v>0</v>
      </c>
      <c r="J15">
        <v>0</v>
      </c>
      <c r="K15" s="14">
        <v>5.5363741905186252</v>
      </c>
      <c r="L15">
        <v>0</v>
      </c>
      <c r="M15">
        <v>0</v>
      </c>
      <c r="N15">
        <v>0</v>
      </c>
      <c r="O15" s="20"/>
      <c r="P15" s="20"/>
      <c r="Q15" s="438">
        <v>7.4375996524510019E-2</v>
      </c>
      <c r="R15" s="197">
        <v>0.17699999999999999</v>
      </c>
      <c r="S15" s="197">
        <v>1.77</v>
      </c>
      <c r="T15" s="197">
        <v>0.50078889239507718</v>
      </c>
      <c r="U15" s="197">
        <v>0.75268470790377973</v>
      </c>
      <c r="V15" s="20">
        <f t="shared" si="0"/>
        <v>1.8116843325627001</v>
      </c>
      <c r="W15" s="20">
        <f t="shared" si="0"/>
        <v>0</v>
      </c>
      <c r="X15" s="20">
        <f t="shared" si="0"/>
        <v>0</v>
      </c>
      <c r="Y15" s="20">
        <f t="shared" si="0"/>
        <v>0</v>
      </c>
      <c r="Z15" s="20">
        <f t="shared" si="1"/>
        <v>1.0723292475987383</v>
      </c>
      <c r="AA15" s="20">
        <f t="shared" si="1"/>
        <v>0</v>
      </c>
      <c r="AB15" s="20">
        <f t="shared" si="1"/>
        <v>0</v>
      </c>
      <c r="AC15" s="20">
        <f t="shared" si="1"/>
        <v>0</v>
      </c>
      <c r="AD15" s="20">
        <f t="shared" si="2"/>
        <v>1.0723292475987383</v>
      </c>
      <c r="AE15" s="20">
        <f t="shared" si="3"/>
        <v>19.657449372376938</v>
      </c>
      <c r="AF15" s="20">
        <f t="shared" si="3"/>
        <v>0</v>
      </c>
      <c r="AG15" s="20">
        <f t="shared" si="3"/>
        <v>0</v>
      </c>
      <c r="AH15" s="20">
        <f t="shared" si="3"/>
        <v>0</v>
      </c>
      <c r="AI15" s="20">
        <f t="shared" si="4"/>
        <v>15.683114732137692</v>
      </c>
      <c r="AJ15" s="20">
        <f t="shared" si="4"/>
        <v>0</v>
      </c>
      <c r="AK15" s="20">
        <f t="shared" si="4"/>
        <v>0</v>
      </c>
      <c r="AL15" s="20">
        <f t="shared" si="4"/>
        <v>0</v>
      </c>
      <c r="AM15" s="20">
        <f t="shared" si="5"/>
        <v>15.683114732137692</v>
      </c>
      <c r="AO15">
        <f t="shared" si="6"/>
        <v>1.2181660252721667</v>
      </c>
      <c r="AP15">
        <f t="shared" si="6"/>
        <v>0</v>
      </c>
      <c r="AQ15">
        <f t="shared" si="6"/>
        <v>0</v>
      </c>
      <c r="AR15">
        <f t="shared" si="6"/>
        <v>0</v>
      </c>
      <c r="AS15">
        <f t="shared" si="7"/>
        <v>1.2181660252721667</v>
      </c>
      <c r="AU15">
        <f t="shared" si="8"/>
        <v>17.816018335708417</v>
      </c>
      <c r="AV15">
        <f t="shared" si="8"/>
        <v>0</v>
      </c>
      <c r="AW15">
        <f t="shared" si="8"/>
        <v>0</v>
      </c>
      <c r="AX15">
        <f t="shared" si="8"/>
        <v>0</v>
      </c>
      <c r="AY15">
        <f t="shared" si="9"/>
        <v>17.816018335708417</v>
      </c>
    </row>
    <row r="16" spans="1:53" ht="15" x14ac:dyDescent="0.25">
      <c r="A16" s="5"/>
      <c r="B16" s="6"/>
      <c r="C16" s="5" t="s">
        <v>12</v>
      </c>
      <c r="D16">
        <v>0</v>
      </c>
      <c r="E16" s="360">
        <v>0</v>
      </c>
      <c r="F16">
        <v>0</v>
      </c>
      <c r="G16">
        <v>0</v>
      </c>
      <c r="H16">
        <v>0</v>
      </c>
      <c r="J16">
        <v>0</v>
      </c>
      <c r="K16" s="14">
        <v>0</v>
      </c>
      <c r="L16">
        <v>0</v>
      </c>
      <c r="M16">
        <v>0</v>
      </c>
      <c r="N16">
        <v>0</v>
      </c>
      <c r="O16" s="20"/>
      <c r="P16" s="20"/>
      <c r="Q16" s="438"/>
      <c r="R16" s="197">
        <v>0.17699999999999999</v>
      </c>
      <c r="S16" s="197">
        <v>1.77</v>
      </c>
      <c r="T16" s="197">
        <v>0.50078889239507718</v>
      </c>
      <c r="U16" s="197">
        <v>0.75268470790377973</v>
      </c>
      <c r="V16" s="20">
        <f t="shared" si="0"/>
        <v>0</v>
      </c>
      <c r="W16" s="20">
        <f t="shared" si="0"/>
        <v>0</v>
      </c>
      <c r="X16" s="20">
        <f t="shared" si="0"/>
        <v>0</v>
      </c>
      <c r="Y16" s="20">
        <f t="shared" si="0"/>
        <v>0</v>
      </c>
      <c r="Z16" s="20">
        <f t="shared" si="1"/>
        <v>0</v>
      </c>
      <c r="AA16" s="20">
        <f t="shared" si="1"/>
        <v>0</v>
      </c>
      <c r="AB16" s="20">
        <f t="shared" si="1"/>
        <v>0</v>
      </c>
      <c r="AC16" s="20">
        <f t="shared" si="1"/>
        <v>0</v>
      </c>
      <c r="AD16" s="20">
        <f t="shared" si="2"/>
        <v>0</v>
      </c>
      <c r="AE16" s="20">
        <f t="shared" si="3"/>
        <v>0</v>
      </c>
      <c r="AF16" s="20">
        <f t="shared" si="3"/>
        <v>0</v>
      </c>
      <c r="AG16" s="20">
        <f t="shared" si="3"/>
        <v>0</v>
      </c>
      <c r="AH16" s="20">
        <f t="shared" si="3"/>
        <v>0</v>
      </c>
      <c r="AI16" s="20">
        <f t="shared" si="4"/>
        <v>0</v>
      </c>
      <c r="AJ16" s="20">
        <f t="shared" si="4"/>
        <v>0</v>
      </c>
      <c r="AK16" s="20">
        <f t="shared" si="4"/>
        <v>0</v>
      </c>
      <c r="AL16" s="20">
        <f t="shared" si="4"/>
        <v>0</v>
      </c>
      <c r="AM16" s="20">
        <f t="shared" si="5"/>
        <v>0</v>
      </c>
      <c r="AO16">
        <f t="shared" si="6"/>
        <v>0</v>
      </c>
      <c r="AP16">
        <f t="shared" si="6"/>
        <v>0</v>
      </c>
      <c r="AQ16">
        <f t="shared" si="6"/>
        <v>0</v>
      </c>
      <c r="AR16">
        <f t="shared" si="6"/>
        <v>0</v>
      </c>
      <c r="AS16">
        <f t="shared" si="7"/>
        <v>0</v>
      </c>
      <c r="AU16">
        <f t="shared" si="8"/>
        <v>0</v>
      </c>
      <c r="AV16">
        <f t="shared" si="8"/>
        <v>0</v>
      </c>
      <c r="AW16">
        <f t="shared" si="8"/>
        <v>0</v>
      </c>
      <c r="AX16">
        <f t="shared" si="8"/>
        <v>0</v>
      </c>
      <c r="AY16">
        <f t="shared" si="9"/>
        <v>0</v>
      </c>
    </row>
    <row r="17" spans="1:53" ht="15" x14ac:dyDescent="0.25">
      <c r="A17" s="5"/>
      <c r="B17" s="6"/>
      <c r="C17" s="5" t="s">
        <v>13</v>
      </c>
      <c r="D17">
        <v>0</v>
      </c>
      <c r="E17" s="360">
        <v>0.1033</v>
      </c>
      <c r="F17">
        <v>0</v>
      </c>
      <c r="G17">
        <v>0</v>
      </c>
      <c r="H17">
        <v>0</v>
      </c>
      <c r="J17">
        <v>0</v>
      </c>
      <c r="K17" s="14">
        <v>0.1033</v>
      </c>
      <c r="L17">
        <v>0</v>
      </c>
      <c r="M17">
        <v>0</v>
      </c>
      <c r="N17">
        <v>0</v>
      </c>
      <c r="O17" s="20"/>
      <c r="P17" s="20"/>
      <c r="Q17" s="438">
        <v>7.4375996524510019E-2</v>
      </c>
      <c r="R17" s="197">
        <v>0.17699999999999999</v>
      </c>
      <c r="S17" s="197">
        <v>1.77</v>
      </c>
      <c r="T17" s="197">
        <v>0.50078889239507718</v>
      </c>
      <c r="U17" s="197">
        <v>0.75268470790377973</v>
      </c>
      <c r="V17" s="20">
        <f t="shared" si="0"/>
        <v>5.0010532888853966E-3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1"/>
        <v>2.9601049222994667E-3</v>
      </c>
      <c r="AA17" s="20">
        <f t="shared" si="1"/>
        <v>0</v>
      </c>
      <c r="AB17" s="20">
        <f t="shared" si="1"/>
        <v>0</v>
      </c>
      <c r="AC17" s="20">
        <f t="shared" si="1"/>
        <v>0</v>
      </c>
      <c r="AD17" s="20">
        <f t="shared" si="2"/>
        <v>2.9601049222994667E-3</v>
      </c>
      <c r="AE17" s="20">
        <f t="shared" si="3"/>
        <v>7.8755808976191638E-2</v>
      </c>
      <c r="AF17" s="20">
        <f t="shared" si="3"/>
        <v>0</v>
      </c>
      <c r="AG17" s="20">
        <f t="shared" si="3"/>
        <v>0</v>
      </c>
      <c r="AH17" s="20">
        <f t="shared" si="3"/>
        <v>0</v>
      </c>
      <c r="AI17" s="20">
        <f t="shared" si="4"/>
        <v>6.2832993467177523E-2</v>
      </c>
      <c r="AJ17" s="20">
        <f t="shared" si="4"/>
        <v>0</v>
      </c>
      <c r="AK17" s="20">
        <f t="shared" si="4"/>
        <v>0</v>
      </c>
      <c r="AL17" s="20">
        <f t="shared" si="4"/>
        <v>0</v>
      </c>
      <c r="AM17" s="20">
        <f t="shared" si="5"/>
        <v>6.2832993467177523E-2</v>
      </c>
      <c r="AO17">
        <f t="shared" si="6"/>
        <v>3.3626791917321939E-3</v>
      </c>
      <c r="AP17">
        <f t="shared" si="6"/>
        <v>0</v>
      </c>
      <c r="AQ17">
        <f t="shared" si="6"/>
        <v>0</v>
      </c>
      <c r="AR17">
        <f t="shared" si="6"/>
        <v>0</v>
      </c>
      <c r="AS17">
        <f t="shared" si="7"/>
        <v>3.3626791917321939E-3</v>
      </c>
      <c r="AU17">
        <f t="shared" si="8"/>
        <v>7.1378280578713663E-2</v>
      </c>
      <c r="AV17">
        <f t="shared" si="8"/>
        <v>0</v>
      </c>
      <c r="AW17">
        <f t="shared" si="8"/>
        <v>0</v>
      </c>
      <c r="AX17">
        <f t="shared" si="8"/>
        <v>0</v>
      </c>
      <c r="AY17">
        <f t="shared" si="9"/>
        <v>7.1378280578713663E-2</v>
      </c>
    </row>
    <row r="18" spans="1:53" s="319" customFormat="1" ht="15" x14ac:dyDescent="0.25">
      <c r="A18" s="368"/>
      <c r="B18" s="369" t="s">
        <v>14</v>
      </c>
      <c r="C18" s="368"/>
      <c r="D18" s="370">
        <f t="shared" ref="D18:H18" si="10">SUM(D12:D17)</f>
        <v>0</v>
      </c>
      <c r="E18" s="363">
        <f>SUM(E12:E17)</f>
        <v>72.279299999999992</v>
      </c>
      <c r="F18" s="370">
        <f t="shared" si="10"/>
        <v>0</v>
      </c>
      <c r="G18" s="370">
        <f t="shared" si="10"/>
        <v>0</v>
      </c>
      <c r="H18" s="370">
        <f t="shared" si="10"/>
        <v>0</v>
      </c>
      <c r="J18" s="319">
        <v>0</v>
      </c>
      <c r="K18" s="14">
        <v>47.057933287812901</v>
      </c>
      <c r="L18" s="319">
        <v>0</v>
      </c>
      <c r="M18" s="319">
        <v>0</v>
      </c>
      <c r="N18" s="319">
        <v>0</v>
      </c>
      <c r="O18" s="372"/>
      <c r="P18" s="372"/>
      <c r="Q18" s="438">
        <v>5.8537119051217168E-2</v>
      </c>
      <c r="R18" s="373"/>
      <c r="S18" s="373"/>
      <c r="T18" s="373"/>
      <c r="U18" s="373"/>
      <c r="BA18" s="319">
        <f>(E18*10000*Q18*AU$10)</f>
        <v>48064.409795478954</v>
      </c>
    </row>
    <row r="19" spans="1:53" ht="15" x14ac:dyDescent="0.25">
      <c r="A19" s="5"/>
      <c r="B19" s="9" t="s">
        <v>15</v>
      </c>
      <c r="C19" s="5"/>
      <c r="E19" s="363">
        <f>SUM(E18)</f>
        <v>72.279299999999992</v>
      </c>
      <c r="H19" s="358">
        <f>SUM(D18:H18)</f>
        <v>72.279299999999992</v>
      </c>
      <c r="K19" s="14"/>
      <c r="N19">
        <v>0</v>
      </c>
      <c r="O19" s="20"/>
      <c r="P19" s="20"/>
      <c r="Q19" s="438"/>
      <c r="R19" s="197"/>
      <c r="S19" s="197"/>
      <c r="T19" s="197"/>
      <c r="U19" s="197"/>
    </row>
    <row r="20" spans="1:53" ht="15.75" x14ac:dyDescent="0.25">
      <c r="A20" s="1"/>
      <c r="B20" s="2"/>
      <c r="C20" s="1"/>
      <c r="E20" s="361"/>
      <c r="K20" s="14"/>
      <c r="O20" s="20"/>
      <c r="P20" s="20"/>
      <c r="Q20" s="439"/>
      <c r="R20" s="197"/>
      <c r="S20" s="197"/>
      <c r="T20" s="197"/>
      <c r="U20" s="197"/>
    </row>
    <row r="21" spans="1:53" ht="15" x14ac:dyDescent="0.25">
      <c r="A21" s="1">
        <v>2</v>
      </c>
      <c r="B21" s="2" t="s">
        <v>16</v>
      </c>
      <c r="C21" s="1" t="s">
        <v>8</v>
      </c>
      <c r="D21">
        <v>0</v>
      </c>
      <c r="E21" s="360">
        <v>16.384799999999998</v>
      </c>
      <c r="F21">
        <v>0</v>
      </c>
      <c r="G21">
        <v>0</v>
      </c>
      <c r="H21">
        <v>0</v>
      </c>
      <c r="J21">
        <v>0</v>
      </c>
      <c r="K21" s="14">
        <v>-39.910024524594213</v>
      </c>
      <c r="L21">
        <v>0</v>
      </c>
      <c r="M21">
        <v>0</v>
      </c>
      <c r="N21">
        <v>0</v>
      </c>
      <c r="O21" s="20"/>
      <c r="P21" s="20"/>
      <c r="Q21" s="438">
        <v>0.1415709465910088</v>
      </c>
      <c r="R21" s="197">
        <v>0.3</v>
      </c>
      <c r="S21" s="197">
        <v>2.29</v>
      </c>
      <c r="T21" s="197">
        <v>0.50078889239507718</v>
      </c>
      <c r="U21" s="197">
        <v>0.75268470790377973</v>
      </c>
      <c r="V21" s="20">
        <f t="shared" ref="V21:Y26" si="11">IF(K21&gt;0,((E21-K21)*$Q21*$R21*10)+(K21*$O$12*$Q21*$R21*10),(E21*$Q21*$R21*10))</f>
        <v>6.9588349371130818</v>
      </c>
      <c r="W21" s="20">
        <f t="shared" si="11"/>
        <v>0</v>
      </c>
      <c r="X21" s="20">
        <f t="shared" si="11"/>
        <v>0</v>
      </c>
      <c r="Y21" s="20">
        <f t="shared" si="11"/>
        <v>0</v>
      </c>
      <c r="Z21" s="20">
        <f t="shared" ref="Z21:AC26" si="12">V21*(EXP(1.01-0.34*LN(Z$8))*(1-$T21)+(1*$T21))</f>
        <v>4.1189086300275921</v>
      </c>
      <c r="AA21" s="20">
        <f t="shared" si="12"/>
        <v>0</v>
      </c>
      <c r="AB21" s="20">
        <f t="shared" si="12"/>
        <v>0</v>
      </c>
      <c r="AC21" s="20">
        <f t="shared" si="12"/>
        <v>0</v>
      </c>
      <c r="AD21" s="20">
        <f t="shared" ref="AD21:AD26" si="13">SUM(Z21:AC21)</f>
        <v>4.1189086300275921</v>
      </c>
      <c r="AE21" s="20">
        <f t="shared" ref="AE21:AH26" si="14">IF(K21&gt;0,((E21-K21)*$Q21*$S21*10)+(K21*$P$12*$Q21*$S21)*10,(E21*$Q21*$S21*10))</f>
        <v>53.119106686629863</v>
      </c>
      <c r="AF21" s="20">
        <f t="shared" si="14"/>
        <v>0</v>
      </c>
      <c r="AG21" s="20">
        <f t="shared" si="14"/>
        <v>0</v>
      </c>
      <c r="AH21" s="20">
        <f t="shared" si="14"/>
        <v>0</v>
      </c>
      <c r="AI21" s="20">
        <f t="shared" ref="AI21:AL26" si="15">AE21*(EXP(1.01-0.34*LN(AI$8))*(1-$U21)+(1*$U21))</f>
        <v>42.379508595134951</v>
      </c>
      <c r="AJ21" s="20">
        <f t="shared" si="15"/>
        <v>0</v>
      </c>
      <c r="AK21" s="20">
        <f t="shared" si="15"/>
        <v>0</v>
      </c>
      <c r="AL21" s="20">
        <f t="shared" si="15"/>
        <v>0</v>
      </c>
      <c r="AM21" s="20">
        <f t="shared" ref="AM21:AM26" si="16">SUM(AI21:AL21)</f>
        <v>42.379508595134951</v>
      </c>
      <c r="AO21">
        <f t="shared" ref="AO21:AR26" si="17">Z21*AO$10</f>
        <v>4.6790802037113446</v>
      </c>
      <c r="AP21">
        <f t="shared" si="17"/>
        <v>0</v>
      </c>
      <c r="AQ21">
        <f t="shared" si="17"/>
        <v>0</v>
      </c>
      <c r="AR21">
        <f t="shared" si="17"/>
        <v>0</v>
      </c>
      <c r="AS21">
        <f t="shared" ref="AS21:AS26" si="18">SUM(AO21:AR21)</f>
        <v>4.6790802037113446</v>
      </c>
      <c r="AU21">
        <f t="shared" ref="AU21:AX26" si="19">AI21*AU$10</f>
        <v>48.1431217640733</v>
      </c>
      <c r="AV21">
        <f t="shared" si="19"/>
        <v>0</v>
      </c>
      <c r="AW21">
        <f t="shared" si="19"/>
        <v>0</v>
      </c>
      <c r="AX21">
        <f t="shared" si="19"/>
        <v>0</v>
      </c>
      <c r="AY21">
        <f t="shared" ref="AY21:AY26" si="20">SUM(AU21:AX21)</f>
        <v>48.1431217640733</v>
      </c>
    </row>
    <row r="22" spans="1:53" ht="15" x14ac:dyDescent="0.25">
      <c r="A22" s="1"/>
      <c r="B22" s="2"/>
      <c r="C22" s="1" t="s">
        <v>9</v>
      </c>
      <c r="D22">
        <v>0</v>
      </c>
      <c r="E22" s="360">
        <v>2.0095999999999998</v>
      </c>
      <c r="F22">
        <v>0</v>
      </c>
      <c r="G22">
        <v>0</v>
      </c>
      <c r="H22">
        <v>0</v>
      </c>
      <c r="J22">
        <v>0</v>
      </c>
      <c r="K22" s="14">
        <v>-0.49104187160940027</v>
      </c>
      <c r="L22">
        <v>0</v>
      </c>
      <c r="M22">
        <v>0</v>
      </c>
      <c r="N22">
        <v>0</v>
      </c>
      <c r="O22" s="20"/>
      <c r="P22" s="20"/>
      <c r="Q22" s="438">
        <v>0.14814189318201765</v>
      </c>
      <c r="R22" s="197">
        <v>0.3</v>
      </c>
      <c r="S22" s="197">
        <v>2.29</v>
      </c>
      <c r="T22" s="197">
        <v>0.50078889239507718</v>
      </c>
      <c r="U22" s="197">
        <v>0.75268470790377973</v>
      </c>
      <c r="V22" s="20">
        <f t="shared" si="11"/>
        <v>0.89311784561574781</v>
      </c>
      <c r="W22" s="20">
        <f t="shared" si="11"/>
        <v>0</v>
      </c>
      <c r="X22" s="20">
        <f t="shared" si="11"/>
        <v>0</v>
      </c>
      <c r="Y22" s="20">
        <f t="shared" si="11"/>
        <v>0</v>
      </c>
      <c r="Z22" s="20">
        <f t="shared" si="12"/>
        <v>0.52863314551680896</v>
      </c>
      <c r="AA22" s="20">
        <f t="shared" si="12"/>
        <v>0</v>
      </c>
      <c r="AB22" s="20">
        <f t="shared" si="12"/>
        <v>0</v>
      </c>
      <c r="AC22" s="20">
        <f t="shared" si="12"/>
        <v>0</v>
      </c>
      <c r="AD22" s="20">
        <f t="shared" si="13"/>
        <v>0.52863314551680896</v>
      </c>
      <c r="AE22" s="20">
        <f t="shared" si="14"/>
        <v>6.8174662215335422</v>
      </c>
      <c r="AF22" s="20">
        <f t="shared" si="14"/>
        <v>0</v>
      </c>
      <c r="AG22" s="20">
        <f t="shared" si="14"/>
        <v>0</v>
      </c>
      <c r="AH22" s="20">
        <f t="shared" si="14"/>
        <v>0</v>
      </c>
      <c r="AI22" s="20">
        <f t="shared" si="15"/>
        <v>5.4391138397145644</v>
      </c>
      <c r="AJ22" s="20">
        <f t="shared" si="15"/>
        <v>0</v>
      </c>
      <c r="AK22" s="20">
        <f t="shared" si="15"/>
        <v>0</v>
      </c>
      <c r="AL22" s="20">
        <f t="shared" si="15"/>
        <v>0</v>
      </c>
      <c r="AM22" s="20">
        <f t="shared" si="16"/>
        <v>5.4391138397145644</v>
      </c>
      <c r="AO22">
        <f t="shared" si="17"/>
        <v>0.60052725330709489</v>
      </c>
      <c r="AP22">
        <f t="shared" si="17"/>
        <v>0</v>
      </c>
      <c r="AQ22">
        <f t="shared" si="17"/>
        <v>0</v>
      </c>
      <c r="AR22">
        <f t="shared" si="17"/>
        <v>0</v>
      </c>
      <c r="AS22">
        <f t="shared" si="18"/>
        <v>0.60052725330709489</v>
      </c>
      <c r="AU22">
        <f t="shared" si="19"/>
        <v>6.1788333219157447</v>
      </c>
      <c r="AV22">
        <f t="shared" si="19"/>
        <v>0</v>
      </c>
      <c r="AW22">
        <f t="shared" si="19"/>
        <v>0</v>
      </c>
      <c r="AX22">
        <f t="shared" si="19"/>
        <v>0</v>
      </c>
      <c r="AY22">
        <f t="shared" si="20"/>
        <v>6.1788333219157447</v>
      </c>
    </row>
    <row r="23" spans="1:53" ht="15" x14ac:dyDescent="0.25">
      <c r="A23" s="1"/>
      <c r="B23" s="2"/>
      <c r="C23" s="1" t="s">
        <v>10</v>
      </c>
      <c r="D23">
        <v>0</v>
      </c>
      <c r="E23" s="360">
        <v>0</v>
      </c>
      <c r="F23">
        <v>0</v>
      </c>
      <c r="G23">
        <v>0</v>
      </c>
      <c r="H23">
        <v>0</v>
      </c>
      <c r="J23">
        <v>0</v>
      </c>
      <c r="K23" s="14">
        <v>0</v>
      </c>
      <c r="L23">
        <v>0</v>
      </c>
      <c r="M23">
        <v>0</v>
      </c>
      <c r="N23">
        <v>0</v>
      </c>
      <c r="O23" s="20"/>
      <c r="P23" s="20"/>
      <c r="Q23" s="438"/>
      <c r="R23" s="197">
        <v>0.3</v>
      </c>
      <c r="S23" s="197">
        <v>2.29</v>
      </c>
      <c r="T23" s="197">
        <v>0.50078889239507718</v>
      </c>
      <c r="U23" s="197">
        <v>0.75268470790377973</v>
      </c>
      <c r="V23" s="20">
        <f t="shared" si="11"/>
        <v>0</v>
      </c>
      <c r="W23" s="20">
        <f t="shared" si="11"/>
        <v>0</v>
      </c>
      <c r="X23" s="20">
        <f t="shared" si="11"/>
        <v>0</v>
      </c>
      <c r="Y23" s="20">
        <f t="shared" si="11"/>
        <v>0</v>
      </c>
      <c r="Z23" s="20">
        <f t="shared" si="12"/>
        <v>0</v>
      </c>
      <c r="AA23" s="20">
        <f t="shared" si="12"/>
        <v>0</v>
      </c>
      <c r="AB23" s="20">
        <f t="shared" si="12"/>
        <v>0</v>
      </c>
      <c r="AC23" s="20">
        <f t="shared" si="12"/>
        <v>0</v>
      </c>
      <c r="AD23" s="20">
        <f t="shared" si="13"/>
        <v>0</v>
      </c>
      <c r="AE23" s="20">
        <f t="shared" si="14"/>
        <v>0</v>
      </c>
      <c r="AF23" s="20">
        <f t="shared" si="14"/>
        <v>0</v>
      </c>
      <c r="AG23" s="20">
        <f t="shared" si="14"/>
        <v>0</v>
      </c>
      <c r="AH23" s="20">
        <f t="shared" si="14"/>
        <v>0</v>
      </c>
      <c r="AI23" s="20">
        <f t="shared" si="15"/>
        <v>0</v>
      </c>
      <c r="AJ23" s="20">
        <f t="shared" si="15"/>
        <v>0</v>
      </c>
      <c r="AK23" s="20">
        <f t="shared" si="15"/>
        <v>0</v>
      </c>
      <c r="AL23" s="20">
        <f t="shared" si="15"/>
        <v>0</v>
      </c>
      <c r="AM23" s="20">
        <f t="shared" si="16"/>
        <v>0</v>
      </c>
      <c r="AO23">
        <f t="shared" si="17"/>
        <v>0</v>
      </c>
      <c r="AP23">
        <f t="shared" si="17"/>
        <v>0</v>
      </c>
      <c r="AQ23">
        <f t="shared" si="17"/>
        <v>0</v>
      </c>
      <c r="AR23">
        <f t="shared" si="17"/>
        <v>0</v>
      </c>
      <c r="AS23">
        <f t="shared" si="18"/>
        <v>0</v>
      </c>
      <c r="AU23">
        <f t="shared" si="19"/>
        <v>0</v>
      </c>
      <c r="AV23">
        <f t="shared" si="19"/>
        <v>0</v>
      </c>
      <c r="AW23">
        <f t="shared" si="19"/>
        <v>0</v>
      </c>
      <c r="AX23">
        <f t="shared" si="19"/>
        <v>0</v>
      </c>
      <c r="AY23">
        <f t="shared" si="20"/>
        <v>0</v>
      </c>
    </row>
    <row r="24" spans="1:53" ht="15" x14ac:dyDescent="0.25">
      <c r="A24" s="1"/>
      <c r="B24" s="2"/>
      <c r="C24" s="1" t="s">
        <v>11</v>
      </c>
      <c r="D24">
        <v>0</v>
      </c>
      <c r="E24" s="360">
        <v>0.63349999999999995</v>
      </c>
      <c r="F24">
        <v>0</v>
      </c>
      <c r="G24">
        <v>0</v>
      </c>
      <c r="H24">
        <v>0</v>
      </c>
      <c r="J24">
        <v>0</v>
      </c>
      <c r="K24" s="14">
        <v>-9.2556332118376989</v>
      </c>
      <c r="L24">
        <v>0</v>
      </c>
      <c r="M24">
        <v>0</v>
      </c>
      <c r="N24">
        <v>0</v>
      </c>
      <c r="O24" s="20"/>
      <c r="P24" s="20"/>
      <c r="Q24" s="438">
        <v>0.16128378636403526</v>
      </c>
      <c r="R24" s="197">
        <v>0.3</v>
      </c>
      <c r="S24" s="197">
        <v>2.29</v>
      </c>
      <c r="T24" s="197">
        <v>0.50078889239507718</v>
      </c>
      <c r="U24" s="197">
        <v>0.75268470790377973</v>
      </c>
      <c r="V24" s="20">
        <f t="shared" si="11"/>
        <v>0.30651983598484894</v>
      </c>
      <c r="W24" s="20">
        <f t="shared" si="11"/>
        <v>0</v>
      </c>
      <c r="X24" s="20">
        <f t="shared" si="11"/>
        <v>0</v>
      </c>
      <c r="Y24" s="20">
        <f t="shared" si="11"/>
        <v>0</v>
      </c>
      <c r="Z24" s="20">
        <f t="shared" si="12"/>
        <v>0.18142795584635665</v>
      </c>
      <c r="AA24" s="20">
        <f t="shared" si="12"/>
        <v>0</v>
      </c>
      <c r="AB24" s="20">
        <f t="shared" si="12"/>
        <v>0</v>
      </c>
      <c r="AC24" s="20">
        <f t="shared" si="12"/>
        <v>0</v>
      </c>
      <c r="AD24" s="20">
        <f t="shared" si="13"/>
        <v>0.18142795584635665</v>
      </c>
      <c r="AE24" s="20">
        <f t="shared" si="14"/>
        <v>2.3397680813510138</v>
      </c>
      <c r="AF24" s="20">
        <f t="shared" si="14"/>
        <v>0</v>
      </c>
      <c r="AG24" s="20">
        <f t="shared" si="14"/>
        <v>0</v>
      </c>
      <c r="AH24" s="20">
        <f t="shared" si="14"/>
        <v>0</v>
      </c>
      <c r="AI24" s="20">
        <f t="shared" si="15"/>
        <v>1.8667147792829115</v>
      </c>
      <c r="AJ24" s="20">
        <f t="shared" si="15"/>
        <v>0</v>
      </c>
      <c r="AK24" s="20">
        <f t="shared" si="15"/>
        <v>0</v>
      </c>
      <c r="AL24" s="20">
        <f t="shared" si="15"/>
        <v>0</v>
      </c>
      <c r="AM24" s="20">
        <f t="shared" si="16"/>
        <v>1.8667147792829115</v>
      </c>
      <c r="AO24">
        <f t="shared" si="17"/>
        <v>0.20610215784146113</v>
      </c>
      <c r="AP24">
        <f t="shared" si="17"/>
        <v>0</v>
      </c>
      <c r="AQ24">
        <f t="shared" si="17"/>
        <v>0</v>
      </c>
      <c r="AR24">
        <f t="shared" si="17"/>
        <v>0</v>
      </c>
      <c r="AS24">
        <f t="shared" si="18"/>
        <v>0.20610215784146113</v>
      </c>
      <c r="AU24">
        <f t="shared" si="19"/>
        <v>2.1205879892653874</v>
      </c>
      <c r="AV24">
        <f t="shared" si="19"/>
        <v>0</v>
      </c>
      <c r="AW24">
        <f t="shared" si="19"/>
        <v>0</v>
      </c>
      <c r="AX24">
        <f t="shared" si="19"/>
        <v>0</v>
      </c>
      <c r="AY24">
        <f t="shared" si="20"/>
        <v>2.1205879892653874</v>
      </c>
    </row>
    <row r="25" spans="1:53" ht="15" x14ac:dyDescent="0.25">
      <c r="A25" s="1"/>
      <c r="B25" s="2"/>
      <c r="C25" s="1" t="s">
        <v>12</v>
      </c>
      <c r="D25">
        <v>0</v>
      </c>
      <c r="E25" s="360">
        <v>0</v>
      </c>
      <c r="F25">
        <v>0</v>
      </c>
      <c r="G25">
        <v>0</v>
      </c>
      <c r="H25">
        <v>0</v>
      </c>
      <c r="J25">
        <v>0</v>
      </c>
      <c r="K25" s="14">
        <v>0</v>
      </c>
      <c r="L25">
        <v>0</v>
      </c>
      <c r="M25">
        <v>0</v>
      </c>
      <c r="N25">
        <v>0</v>
      </c>
      <c r="O25" s="20"/>
      <c r="P25" s="20"/>
      <c r="Q25" s="438"/>
      <c r="R25" s="197">
        <v>0.3</v>
      </c>
      <c r="S25" s="197">
        <v>2.29</v>
      </c>
      <c r="T25" s="197">
        <v>0.50078889239507718</v>
      </c>
      <c r="U25" s="197">
        <v>0.75268470790377973</v>
      </c>
      <c r="V25" s="20">
        <f t="shared" si="11"/>
        <v>0</v>
      </c>
      <c r="W25" s="20">
        <f t="shared" si="11"/>
        <v>0</v>
      </c>
      <c r="X25" s="20">
        <f t="shared" si="11"/>
        <v>0</v>
      </c>
      <c r="Y25" s="20">
        <f t="shared" si="11"/>
        <v>0</v>
      </c>
      <c r="Z25" s="20">
        <f t="shared" si="12"/>
        <v>0</v>
      </c>
      <c r="AA25" s="20">
        <f t="shared" si="12"/>
        <v>0</v>
      </c>
      <c r="AB25" s="20">
        <f t="shared" si="12"/>
        <v>0</v>
      </c>
      <c r="AC25" s="20">
        <f t="shared" si="12"/>
        <v>0</v>
      </c>
      <c r="AD25" s="20">
        <f t="shared" si="13"/>
        <v>0</v>
      </c>
      <c r="AE25" s="20">
        <f t="shared" si="14"/>
        <v>0</v>
      </c>
      <c r="AF25" s="20">
        <f t="shared" si="14"/>
        <v>0</v>
      </c>
      <c r="AG25" s="20">
        <f t="shared" si="14"/>
        <v>0</v>
      </c>
      <c r="AH25" s="20">
        <f t="shared" si="14"/>
        <v>0</v>
      </c>
      <c r="AI25" s="20">
        <f t="shared" si="15"/>
        <v>0</v>
      </c>
      <c r="AJ25" s="20">
        <f t="shared" si="15"/>
        <v>0</v>
      </c>
      <c r="AK25" s="20">
        <f t="shared" si="15"/>
        <v>0</v>
      </c>
      <c r="AL25" s="20">
        <f t="shared" si="15"/>
        <v>0</v>
      </c>
      <c r="AM25" s="20">
        <f t="shared" si="16"/>
        <v>0</v>
      </c>
      <c r="AO25">
        <f t="shared" si="17"/>
        <v>0</v>
      </c>
      <c r="AP25">
        <f t="shared" si="17"/>
        <v>0</v>
      </c>
      <c r="AQ25">
        <f t="shared" si="17"/>
        <v>0</v>
      </c>
      <c r="AR25">
        <f t="shared" si="17"/>
        <v>0</v>
      </c>
      <c r="AS25">
        <f t="shared" si="18"/>
        <v>0</v>
      </c>
      <c r="AU25">
        <f t="shared" si="19"/>
        <v>0</v>
      </c>
      <c r="AV25">
        <f t="shared" si="19"/>
        <v>0</v>
      </c>
      <c r="AW25">
        <f t="shared" si="19"/>
        <v>0</v>
      </c>
      <c r="AX25">
        <f t="shared" si="19"/>
        <v>0</v>
      </c>
      <c r="AY25">
        <f t="shared" si="20"/>
        <v>0</v>
      </c>
    </row>
    <row r="26" spans="1:53" ht="15" x14ac:dyDescent="0.25">
      <c r="A26" s="1"/>
      <c r="B26" s="2"/>
      <c r="C26" s="1" t="s">
        <v>13</v>
      </c>
      <c r="D26">
        <v>0</v>
      </c>
      <c r="E26" s="360">
        <v>3.5499999999999997E-2</v>
      </c>
      <c r="F26">
        <v>0</v>
      </c>
      <c r="G26">
        <v>0</v>
      </c>
      <c r="H26">
        <v>0</v>
      </c>
      <c r="J26">
        <v>0</v>
      </c>
      <c r="K26" s="14">
        <v>-1.4578033836145998</v>
      </c>
      <c r="L26">
        <v>0</v>
      </c>
      <c r="M26">
        <v>0</v>
      </c>
      <c r="N26">
        <v>0</v>
      </c>
      <c r="O26" s="20"/>
      <c r="P26" s="20"/>
      <c r="Q26" s="438">
        <v>0.16128378636403526</v>
      </c>
      <c r="R26" s="197">
        <v>0.3</v>
      </c>
      <c r="S26" s="197">
        <v>2.29</v>
      </c>
      <c r="T26" s="197">
        <v>0.50078889239507718</v>
      </c>
      <c r="U26" s="197">
        <v>0.75268470790377973</v>
      </c>
      <c r="V26" s="20">
        <f t="shared" si="11"/>
        <v>1.7176723247769754E-2</v>
      </c>
      <c r="W26" s="20">
        <f t="shared" si="11"/>
        <v>0</v>
      </c>
      <c r="X26" s="20">
        <f t="shared" si="11"/>
        <v>0</v>
      </c>
      <c r="Y26" s="20">
        <f t="shared" si="11"/>
        <v>0</v>
      </c>
      <c r="Z26" s="20">
        <f t="shared" si="12"/>
        <v>1.0166838883260714E-2</v>
      </c>
      <c r="AA26" s="20">
        <f t="shared" si="12"/>
        <v>0</v>
      </c>
      <c r="AB26" s="20">
        <f t="shared" si="12"/>
        <v>0</v>
      </c>
      <c r="AC26" s="20">
        <f t="shared" si="12"/>
        <v>0</v>
      </c>
      <c r="AD26" s="20">
        <f t="shared" si="13"/>
        <v>1.0166838883260714E-2</v>
      </c>
      <c r="AE26" s="20">
        <f t="shared" si="14"/>
        <v>0.13111565412464246</v>
      </c>
      <c r="AF26" s="20">
        <f t="shared" si="14"/>
        <v>0</v>
      </c>
      <c r="AG26" s="20">
        <f t="shared" si="14"/>
        <v>0</v>
      </c>
      <c r="AH26" s="20">
        <f t="shared" si="14"/>
        <v>0</v>
      </c>
      <c r="AI26" s="20">
        <f t="shared" si="15"/>
        <v>0.10460674769462253</v>
      </c>
      <c r="AJ26" s="20">
        <f t="shared" si="15"/>
        <v>0</v>
      </c>
      <c r="AK26" s="20">
        <f t="shared" si="15"/>
        <v>0</v>
      </c>
      <c r="AL26" s="20">
        <f t="shared" si="15"/>
        <v>0</v>
      </c>
      <c r="AM26" s="20">
        <f t="shared" si="16"/>
        <v>0.10460674769462253</v>
      </c>
      <c r="AO26">
        <f t="shared" si="17"/>
        <v>1.1549528971384169E-2</v>
      </c>
      <c r="AP26">
        <f t="shared" si="17"/>
        <v>0</v>
      </c>
      <c r="AQ26">
        <f t="shared" si="17"/>
        <v>0</v>
      </c>
      <c r="AR26">
        <f t="shared" si="17"/>
        <v>0</v>
      </c>
      <c r="AS26">
        <f t="shared" si="18"/>
        <v>1.1549528971384169E-2</v>
      </c>
      <c r="AU26">
        <f t="shared" si="19"/>
        <v>0.11883326538109118</v>
      </c>
      <c r="AV26">
        <f t="shared" si="19"/>
        <v>0</v>
      </c>
      <c r="AW26">
        <f t="shared" si="19"/>
        <v>0</v>
      </c>
      <c r="AX26">
        <f t="shared" si="19"/>
        <v>0</v>
      </c>
      <c r="AY26">
        <f t="shared" si="20"/>
        <v>0.11883326538109118</v>
      </c>
    </row>
    <row r="27" spans="1:53" s="319" customFormat="1" ht="15" x14ac:dyDescent="0.25">
      <c r="A27" s="368"/>
      <c r="B27" s="369" t="s">
        <v>14</v>
      </c>
      <c r="C27" s="368"/>
      <c r="D27" s="370">
        <f t="shared" ref="D27:H27" si="21">SUM(D21:D26)</f>
        <v>0</v>
      </c>
      <c r="E27" s="363">
        <f>SUM(E21:E26)</f>
        <v>19.063399999999998</v>
      </c>
      <c r="F27" s="370">
        <f t="shared" si="21"/>
        <v>0</v>
      </c>
      <c r="G27" s="370">
        <f t="shared" si="21"/>
        <v>0</v>
      </c>
      <c r="H27" s="370">
        <f t="shared" si="21"/>
        <v>0</v>
      </c>
      <c r="J27" s="319">
        <v>0</v>
      </c>
      <c r="K27" s="14">
        <v>-51.114502991655911</v>
      </c>
      <c r="L27" s="319">
        <v>0</v>
      </c>
      <c r="M27" s="319">
        <v>0</v>
      </c>
      <c r="N27" s="319">
        <v>0</v>
      </c>
      <c r="O27" s="372"/>
      <c r="P27" s="372"/>
      <c r="Q27" s="438">
        <v>0.1429554249147835</v>
      </c>
      <c r="R27" s="373"/>
      <c r="S27" s="373"/>
      <c r="T27" s="373"/>
      <c r="U27" s="373"/>
      <c r="BA27" s="319">
        <f>(E27*10000*Q27*AU$10)</f>
        <v>30958.458841560689</v>
      </c>
    </row>
    <row r="28" spans="1:53" ht="15" x14ac:dyDescent="0.25">
      <c r="A28" s="5"/>
      <c r="B28" s="9" t="s">
        <v>15</v>
      </c>
      <c r="C28" s="5"/>
      <c r="E28" s="363">
        <f>SUM(E27)</f>
        <v>19.063399999999998</v>
      </c>
      <c r="H28" s="358">
        <f>SUM(D27:H27)</f>
        <v>19.063399999999998</v>
      </c>
      <c r="K28" s="14"/>
      <c r="N28">
        <v>0</v>
      </c>
      <c r="O28" s="20"/>
      <c r="P28" s="20"/>
      <c r="Q28" s="438"/>
      <c r="R28" s="197"/>
      <c r="S28" s="197"/>
      <c r="T28" s="197"/>
      <c r="U28" s="197"/>
    </row>
    <row r="29" spans="1:53" ht="15.75" x14ac:dyDescent="0.25">
      <c r="A29" s="1"/>
      <c r="B29" s="2"/>
      <c r="C29" s="1"/>
      <c r="E29" s="361"/>
      <c r="K29" s="14"/>
      <c r="O29" s="20"/>
      <c r="P29" s="20"/>
      <c r="Q29" s="439"/>
      <c r="R29" s="197"/>
      <c r="S29" s="197"/>
      <c r="T29" s="197"/>
      <c r="U29" s="197"/>
    </row>
    <row r="30" spans="1:53" ht="15" x14ac:dyDescent="0.25">
      <c r="A30" s="1">
        <v>3</v>
      </c>
      <c r="B30" s="2" t="s">
        <v>17</v>
      </c>
      <c r="C30" s="1" t="s">
        <v>8</v>
      </c>
      <c r="D30">
        <v>0</v>
      </c>
      <c r="E30" s="360">
        <v>23.8947</v>
      </c>
      <c r="F30">
        <v>0</v>
      </c>
      <c r="G30">
        <v>0</v>
      </c>
      <c r="H30">
        <v>0</v>
      </c>
      <c r="J30">
        <v>0</v>
      </c>
      <c r="K30" s="14">
        <v>4.2351467865730008</v>
      </c>
      <c r="L30">
        <v>0</v>
      </c>
      <c r="M30">
        <v>0</v>
      </c>
      <c r="N30">
        <v>0</v>
      </c>
      <c r="O30" s="20"/>
      <c r="P30" s="20"/>
      <c r="Q30" s="438">
        <v>0.23079789405089013</v>
      </c>
      <c r="R30" s="197">
        <v>0.49</v>
      </c>
      <c r="S30" s="197">
        <v>2.42</v>
      </c>
      <c r="T30" s="197">
        <v>0.50078889239507718</v>
      </c>
      <c r="U30" s="197">
        <v>0.75268470790377973</v>
      </c>
      <c r="V30" s="20">
        <f t="shared" ref="V30:Y35" si="22">IF(K30&gt;0,((E30-K30)*$Q30*$R30*10)+(K30*$O$12*$Q30*$R30*10),(E30*$Q30*$R30*10))</f>
        <v>23.994552662017274</v>
      </c>
      <c r="W30" s="20">
        <f t="shared" si="22"/>
        <v>0</v>
      </c>
      <c r="X30" s="20">
        <f t="shared" si="22"/>
        <v>0</v>
      </c>
      <c r="Y30" s="20">
        <f t="shared" si="22"/>
        <v>0</v>
      </c>
      <c r="Z30" s="20">
        <f t="shared" ref="Z30:AC35" si="23">V30*(EXP(1.01-0.34*LN(Z$8))*(1-$T30)+(1*$T30))</f>
        <v>14.202286866461488</v>
      </c>
      <c r="AA30" s="20">
        <f t="shared" si="23"/>
        <v>0</v>
      </c>
      <c r="AB30" s="20">
        <f t="shared" si="23"/>
        <v>0</v>
      </c>
      <c r="AC30" s="20">
        <f t="shared" si="23"/>
        <v>0</v>
      </c>
      <c r="AD30" s="20">
        <f t="shared" ref="AD30:AD35" si="24">SUM(Z30:AC30)</f>
        <v>14.202286866461488</v>
      </c>
      <c r="AE30" s="20">
        <f t="shared" ref="AE30:AH35" si="25">IF(K30&gt;0,((E30-K30)*$Q30*$S30*10)+(K30*$P$12*$Q30*$S30)*10,(E30*$Q30*$S30*10))</f>
        <v>123.50377548699538</v>
      </c>
      <c r="AF30" s="20">
        <f t="shared" si="25"/>
        <v>0</v>
      </c>
      <c r="AG30" s="20">
        <f t="shared" si="25"/>
        <v>0</v>
      </c>
      <c r="AH30" s="20">
        <f t="shared" si="25"/>
        <v>0</v>
      </c>
      <c r="AI30" s="20">
        <f t="shared" ref="AI30:AL35" si="26">AE30*(EXP(1.01-0.34*LN(AI$8))*(1-$U30)+(1*$U30))</f>
        <v>98.533835398631595</v>
      </c>
      <c r="AJ30" s="20">
        <f t="shared" si="26"/>
        <v>0</v>
      </c>
      <c r="AK30" s="20">
        <f t="shared" si="26"/>
        <v>0</v>
      </c>
      <c r="AL30" s="20">
        <f t="shared" si="26"/>
        <v>0</v>
      </c>
      <c r="AM30" s="20">
        <f t="shared" ref="AM30:AM35" si="27">SUM(AI30:AL30)</f>
        <v>98.533835398631595</v>
      </c>
      <c r="AO30">
        <f t="shared" ref="AO30:AR35" si="28">Z30*AO$10</f>
        <v>16.13379788030025</v>
      </c>
      <c r="AP30">
        <f t="shared" si="28"/>
        <v>0</v>
      </c>
      <c r="AQ30">
        <f t="shared" si="28"/>
        <v>0</v>
      </c>
      <c r="AR30">
        <f t="shared" si="28"/>
        <v>0</v>
      </c>
      <c r="AS30">
        <f t="shared" ref="AS30:AS35" si="29">SUM(AO30:AR30)</f>
        <v>16.13379788030025</v>
      </c>
      <c r="AU30">
        <f t="shared" ref="AU30:AX35" si="30">AI30*AU$10</f>
        <v>111.93443701284548</v>
      </c>
      <c r="AV30">
        <f t="shared" si="30"/>
        <v>0</v>
      </c>
      <c r="AW30">
        <f t="shared" si="30"/>
        <v>0</v>
      </c>
      <c r="AX30">
        <f t="shared" si="30"/>
        <v>0</v>
      </c>
      <c r="AY30">
        <f t="shared" ref="AY30:AY35" si="31">SUM(AU30:AX30)</f>
        <v>111.93443701284548</v>
      </c>
    </row>
    <row r="31" spans="1:53" ht="15" x14ac:dyDescent="0.25">
      <c r="A31" s="1"/>
      <c r="B31" s="2"/>
      <c r="C31" s="1" t="s">
        <v>9</v>
      </c>
      <c r="D31">
        <v>0</v>
      </c>
      <c r="E31" s="360">
        <v>3.4548999999999999</v>
      </c>
      <c r="F31">
        <v>0</v>
      </c>
      <c r="G31">
        <v>0</v>
      </c>
      <c r="H31">
        <v>0</v>
      </c>
      <c r="J31">
        <v>0</v>
      </c>
      <c r="K31" s="14">
        <v>3.4548999999999999</v>
      </c>
      <c r="L31">
        <v>0</v>
      </c>
      <c r="M31">
        <v>0</v>
      </c>
      <c r="N31">
        <v>0</v>
      </c>
      <c r="O31" s="20"/>
      <c r="P31" s="20"/>
      <c r="Q31" s="438">
        <v>0.23659578810178028</v>
      </c>
      <c r="R31" s="197">
        <v>0.49</v>
      </c>
      <c r="S31" s="197">
        <v>2.42</v>
      </c>
      <c r="T31" s="197">
        <v>0.50078889239507718</v>
      </c>
      <c r="U31" s="197">
        <v>0.75268470790377973</v>
      </c>
      <c r="V31" s="20">
        <f t="shared" si="22"/>
        <v>1.4729692048775869</v>
      </c>
      <c r="W31" s="20">
        <f t="shared" si="22"/>
        <v>0</v>
      </c>
      <c r="X31" s="20">
        <f t="shared" si="22"/>
        <v>0</v>
      </c>
      <c r="Y31" s="20">
        <f t="shared" si="22"/>
        <v>0</v>
      </c>
      <c r="Z31" s="20">
        <f t="shared" si="23"/>
        <v>0.87184501781732415</v>
      </c>
      <c r="AA31" s="20">
        <f t="shared" si="23"/>
        <v>0</v>
      </c>
      <c r="AB31" s="20">
        <f t="shared" si="23"/>
        <v>0</v>
      </c>
      <c r="AC31" s="20">
        <f t="shared" si="23"/>
        <v>0</v>
      </c>
      <c r="AD31" s="20">
        <f t="shared" si="24"/>
        <v>0.87184501781732415</v>
      </c>
      <c r="AE31" s="20">
        <f t="shared" si="25"/>
        <v>11.456028037852775</v>
      </c>
      <c r="AF31" s="20">
        <f t="shared" si="25"/>
        <v>0</v>
      </c>
      <c r="AG31" s="20">
        <f t="shared" si="25"/>
        <v>0</v>
      </c>
      <c r="AH31" s="20">
        <f t="shared" si="25"/>
        <v>0</v>
      </c>
      <c r="AI31" s="20">
        <f t="shared" si="26"/>
        <v>9.1398532275861815</v>
      </c>
      <c r="AJ31" s="20">
        <f t="shared" si="26"/>
        <v>0</v>
      </c>
      <c r="AK31" s="20">
        <f t="shared" si="26"/>
        <v>0</v>
      </c>
      <c r="AL31" s="20">
        <f t="shared" si="26"/>
        <v>0</v>
      </c>
      <c r="AM31" s="20">
        <f t="shared" si="27"/>
        <v>9.1398532275861815</v>
      </c>
      <c r="AO31">
        <f t="shared" si="28"/>
        <v>0.99041594024048019</v>
      </c>
      <c r="AP31">
        <f t="shared" si="28"/>
        <v>0</v>
      </c>
      <c r="AQ31">
        <f t="shared" si="28"/>
        <v>0</v>
      </c>
      <c r="AR31">
        <f t="shared" si="28"/>
        <v>0</v>
      </c>
      <c r="AS31">
        <f t="shared" si="29"/>
        <v>0.99041594024048019</v>
      </c>
      <c r="AU31">
        <f t="shared" si="30"/>
        <v>10.382873266537901</v>
      </c>
      <c r="AV31">
        <f t="shared" si="30"/>
        <v>0</v>
      </c>
      <c r="AW31">
        <f t="shared" si="30"/>
        <v>0</v>
      </c>
      <c r="AX31">
        <f t="shared" si="30"/>
        <v>0</v>
      </c>
      <c r="AY31">
        <f t="shared" si="31"/>
        <v>10.382873266537901</v>
      </c>
    </row>
    <row r="32" spans="1:53" ht="15" x14ac:dyDescent="0.25">
      <c r="A32" s="1"/>
      <c r="B32" s="2"/>
      <c r="C32" s="1" t="s">
        <v>10</v>
      </c>
      <c r="D32">
        <v>0</v>
      </c>
      <c r="E32" s="360">
        <v>1.1971000000000001</v>
      </c>
      <c r="F32">
        <v>0</v>
      </c>
      <c r="G32">
        <v>0</v>
      </c>
      <c r="H32">
        <v>0</v>
      </c>
      <c r="J32">
        <v>0</v>
      </c>
      <c r="K32" s="14">
        <v>2.8251047800000872E-3</v>
      </c>
      <c r="L32">
        <v>0</v>
      </c>
      <c r="M32">
        <v>0</v>
      </c>
      <c r="N32">
        <v>0</v>
      </c>
      <c r="O32" s="20"/>
      <c r="P32" s="20"/>
      <c r="Q32" s="438">
        <v>0.2423936821526704</v>
      </c>
      <c r="R32" s="197">
        <v>0.49</v>
      </c>
      <c r="S32" s="197">
        <v>2.42</v>
      </c>
      <c r="T32" s="197">
        <v>0.50078889239507718</v>
      </c>
      <c r="U32" s="197">
        <v>0.75268470790377973</v>
      </c>
      <c r="V32" s="20">
        <f t="shared" si="22"/>
        <v>1.419708954747027</v>
      </c>
      <c r="W32" s="20">
        <f t="shared" si="22"/>
        <v>0</v>
      </c>
      <c r="X32" s="20">
        <f t="shared" si="22"/>
        <v>0</v>
      </c>
      <c r="Y32" s="20">
        <f t="shared" si="22"/>
        <v>0</v>
      </c>
      <c r="Z32" s="20">
        <f t="shared" si="23"/>
        <v>0.84032047299298607</v>
      </c>
      <c r="AA32" s="20">
        <f t="shared" si="23"/>
        <v>0</v>
      </c>
      <c r="AB32" s="20">
        <f t="shared" si="23"/>
        <v>0</v>
      </c>
      <c r="AC32" s="20">
        <f t="shared" si="23"/>
        <v>0</v>
      </c>
      <c r="AD32" s="20">
        <f t="shared" si="24"/>
        <v>0.84032047299298607</v>
      </c>
      <c r="AE32" s="20">
        <f t="shared" si="25"/>
        <v>7.0151267462078772</v>
      </c>
      <c r="AF32" s="20">
        <f t="shared" si="25"/>
        <v>0</v>
      </c>
      <c r="AG32" s="20">
        <f t="shared" si="25"/>
        <v>0</v>
      </c>
      <c r="AH32" s="20">
        <f t="shared" si="25"/>
        <v>0</v>
      </c>
      <c r="AI32" s="20">
        <f t="shared" si="26"/>
        <v>5.5968114447170842</v>
      </c>
      <c r="AJ32" s="20">
        <f t="shared" si="26"/>
        <v>0</v>
      </c>
      <c r="AK32" s="20">
        <f t="shared" si="26"/>
        <v>0</v>
      </c>
      <c r="AL32" s="20">
        <f t="shared" si="26"/>
        <v>0</v>
      </c>
      <c r="AM32" s="20">
        <f t="shared" si="27"/>
        <v>5.5968114447170842</v>
      </c>
      <c r="AO32">
        <f t="shared" si="28"/>
        <v>0.95460405732003206</v>
      </c>
      <c r="AP32">
        <f t="shared" si="28"/>
        <v>0</v>
      </c>
      <c r="AQ32">
        <f t="shared" si="28"/>
        <v>0</v>
      </c>
      <c r="AR32">
        <f t="shared" si="28"/>
        <v>0</v>
      </c>
      <c r="AS32">
        <f t="shared" si="29"/>
        <v>0.95460405732003206</v>
      </c>
      <c r="AU32">
        <f t="shared" si="30"/>
        <v>6.357977801198607</v>
      </c>
      <c r="AV32">
        <f t="shared" si="30"/>
        <v>0</v>
      </c>
      <c r="AW32">
        <f t="shared" si="30"/>
        <v>0</v>
      </c>
      <c r="AX32">
        <f t="shared" si="30"/>
        <v>0</v>
      </c>
      <c r="AY32">
        <f t="shared" si="31"/>
        <v>6.357977801198607</v>
      </c>
    </row>
    <row r="33" spans="1:53" ht="15" x14ac:dyDescent="0.25">
      <c r="A33" s="1"/>
      <c r="B33" s="2"/>
      <c r="C33" s="1" t="s">
        <v>11</v>
      </c>
      <c r="D33">
        <v>0</v>
      </c>
      <c r="E33" s="360">
        <v>9.5062999999999995</v>
      </c>
      <c r="F33">
        <v>0</v>
      </c>
      <c r="G33">
        <v>0</v>
      </c>
      <c r="H33">
        <v>0</v>
      </c>
      <c r="J33">
        <v>0</v>
      </c>
      <c r="K33" s="14">
        <v>9.3638368422762763</v>
      </c>
      <c r="L33">
        <v>0</v>
      </c>
      <c r="M33">
        <v>0</v>
      </c>
      <c r="N33">
        <v>0</v>
      </c>
      <c r="O33" s="20"/>
      <c r="P33" s="20"/>
      <c r="Q33" s="438">
        <v>0.24819157620356053</v>
      </c>
      <c r="R33" s="197">
        <v>0.49</v>
      </c>
      <c r="S33" s="197">
        <v>2.42</v>
      </c>
      <c r="T33" s="197">
        <v>0.50078889239507718</v>
      </c>
      <c r="U33" s="197">
        <v>0.75268470790377973</v>
      </c>
      <c r="V33" s="20">
        <f t="shared" si="22"/>
        <v>4.3611139685144744</v>
      </c>
      <c r="W33" s="20">
        <f t="shared" si="22"/>
        <v>0</v>
      </c>
      <c r="X33" s="20">
        <f t="shared" si="22"/>
        <v>0</v>
      </c>
      <c r="Y33" s="20">
        <f t="shared" si="22"/>
        <v>0</v>
      </c>
      <c r="Z33" s="20">
        <f t="shared" si="23"/>
        <v>2.58132720833011</v>
      </c>
      <c r="AA33" s="20">
        <f t="shared" si="23"/>
        <v>0</v>
      </c>
      <c r="AB33" s="20">
        <f t="shared" si="23"/>
        <v>0</v>
      </c>
      <c r="AC33" s="20">
        <f t="shared" si="23"/>
        <v>0</v>
      </c>
      <c r="AD33" s="20">
        <f t="shared" si="24"/>
        <v>2.58132720833011</v>
      </c>
      <c r="AE33" s="20">
        <f t="shared" si="25"/>
        <v>33.426769349142511</v>
      </c>
      <c r="AF33" s="20">
        <f t="shared" si="25"/>
        <v>0</v>
      </c>
      <c r="AG33" s="20">
        <f t="shared" si="25"/>
        <v>0</v>
      </c>
      <c r="AH33" s="20">
        <f t="shared" si="25"/>
        <v>0</v>
      </c>
      <c r="AI33" s="20">
        <f t="shared" si="26"/>
        <v>26.66855953163348</v>
      </c>
      <c r="AJ33" s="20">
        <f t="shared" si="26"/>
        <v>0</v>
      </c>
      <c r="AK33" s="20">
        <f t="shared" si="26"/>
        <v>0</v>
      </c>
      <c r="AL33" s="20">
        <f t="shared" si="26"/>
        <v>0</v>
      </c>
      <c r="AM33" s="20">
        <f t="shared" si="27"/>
        <v>26.66855953163348</v>
      </c>
      <c r="AO33">
        <f t="shared" si="28"/>
        <v>2.9323877086630046</v>
      </c>
      <c r="AP33">
        <f t="shared" si="28"/>
        <v>0</v>
      </c>
      <c r="AQ33">
        <f t="shared" si="28"/>
        <v>0</v>
      </c>
      <c r="AR33">
        <f t="shared" si="28"/>
        <v>0</v>
      </c>
      <c r="AS33">
        <f t="shared" si="29"/>
        <v>2.9323877086630046</v>
      </c>
      <c r="AU33">
        <f t="shared" si="30"/>
        <v>30.295483627935631</v>
      </c>
      <c r="AV33">
        <f t="shared" si="30"/>
        <v>0</v>
      </c>
      <c r="AW33">
        <f t="shared" si="30"/>
        <v>0</v>
      </c>
      <c r="AX33">
        <f t="shared" si="30"/>
        <v>0</v>
      </c>
      <c r="AY33">
        <f t="shared" si="31"/>
        <v>30.295483627935631</v>
      </c>
    </row>
    <row r="34" spans="1:53" ht="15" x14ac:dyDescent="0.25">
      <c r="A34" s="1"/>
      <c r="B34" s="2"/>
      <c r="C34" s="1" t="s">
        <v>12</v>
      </c>
      <c r="D34">
        <v>0</v>
      </c>
      <c r="E34" s="360">
        <v>0</v>
      </c>
      <c r="F34">
        <v>0</v>
      </c>
      <c r="G34">
        <v>0</v>
      </c>
      <c r="H34">
        <v>0</v>
      </c>
      <c r="J34">
        <v>0</v>
      </c>
      <c r="K34" s="14">
        <v>0</v>
      </c>
      <c r="L34">
        <v>0</v>
      </c>
      <c r="M34">
        <v>0</v>
      </c>
      <c r="N34">
        <v>0</v>
      </c>
      <c r="O34" s="20"/>
      <c r="P34" s="20"/>
      <c r="Q34" s="438"/>
      <c r="R34" s="197">
        <v>0.49</v>
      </c>
      <c r="S34" s="197">
        <v>2.42</v>
      </c>
      <c r="T34" s="197">
        <v>0.50078889239507718</v>
      </c>
      <c r="U34" s="197">
        <v>0.75268470790377973</v>
      </c>
      <c r="V34" s="20">
        <f t="shared" si="22"/>
        <v>0</v>
      </c>
      <c r="W34" s="20">
        <f t="shared" si="22"/>
        <v>0</v>
      </c>
      <c r="X34" s="20">
        <f t="shared" si="22"/>
        <v>0</v>
      </c>
      <c r="Y34" s="20">
        <f t="shared" si="22"/>
        <v>0</v>
      </c>
      <c r="Z34" s="20">
        <f t="shared" si="23"/>
        <v>0</v>
      </c>
      <c r="AA34" s="20">
        <f t="shared" si="23"/>
        <v>0</v>
      </c>
      <c r="AB34" s="20">
        <f t="shared" si="23"/>
        <v>0</v>
      </c>
      <c r="AC34" s="20">
        <f t="shared" si="23"/>
        <v>0</v>
      </c>
      <c r="AD34" s="20">
        <f t="shared" si="24"/>
        <v>0</v>
      </c>
      <c r="AE34" s="20">
        <f t="shared" si="25"/>
        <v>0</v>
      </c>
      <c r="AF34" s="20">
        <f t="shared" si="25"/>
        <v>0</v>
      </c>
      <c r="AG34" s="20">
        <f t="shared" si="25"/>
        <v>0</v>
      </c>
      <c r="AH34" s="20">
        <f t="shared" si="25"/>
        <v>0</v>
      </c>
      <c r="AI34" s="20">
        <f t="shared" si="26"/>
        <v>0</v>
      </c>
      <c r="AJ34" s="20">
        <f t="shared" si="26"/>
        <v>0</v>
      </c>
      <c r="AK34" s="20">
        <f t="shared" si="26"/>
        <v>0</v>
      </c>
      <c r="AL34" s="20">
        <f t="shared" si="26"/>
        <v>0</v>
      </c>
      <c r="AM34" s="20">
        <f t="shared" si="27"/>
        <v>0</v>
      </c>
      <c r="AO34">
        <f t="shared" si="28"/>
        <v>0</v>
      </c>
      <c r="AP34">
        <f t="shared" si="28"/>
        <v>0</v>
      </c>
      <c r="AQ34">
        <f t="shared" si="28"/>
        <v>0</v>
      </c>
      <c r="AR34">
        <f t="shared" si="28"/>
        <v>0</v>
      </c>
      <c r="AS34">
        <f t="shared" si="29"/>
        <v>0</v>
      </c>
      <c r="AU34">
        <f t="shared" si="30"/>
        <v>0</v>
      </c>
      <c r="AV34">
        <f t="shared" si="30"/>
        <v>0</v>
      </c>
      <c r="AW34">
        <f t="shared" si="30"/>
        <v>0</v>
      </c>
      <c r="AX34">
        <f t="shared" si="30"/>
        <v>0</v>
      </c>
      <c r="AY34">
        <f t="shared" si="31"/>
        <v>0</v>
      </c>
    </row>
    <row r="35" spans="1:53" ht="15" x14ac:dyDescent="0.25">
      <c r="A35" s="1"/>
      <c r="B35" s="2"/>
      <c r="C35" s="1" t="s">
        <v>13</v>
      </c>
      <c r="D35">
        <v>0</v>
      </c>
      <c r="E35" s="360">
        <v>4.8399999999999999E-2</v>
      </c>
      <c r="F35">
        <v>0</v>
      </c>
      <c r="G35">
        <v>0</v>
      </c>
      <c r="H35">
        <v>0</v>
      </c>
      <c r="J35">
        <v>0</v>
      </c>
      <c r="K35" s="14">
        <v>-0.1467011429</v>
      </c>
      <c r="L35">
        <v>0</v>
      </c>
      <c r="M35">
        <v>0</v>
      </c>
      <c r="N35">
        <v>0</v>
      </c>
      <c r="O35" s="20"/>
      <c r="P35" s="20"/>
      <c r="Q35" s="438">
        <v>0.24819157620356053</v>
      </c>
      <c r="R35" s="197">
        <v>0.49</v>
      </c>
      <c r="S35" s="197">
        <v>2.42</v>
      </c>
      <c r="T35" s="197">
        <v>0.50078889239507718</v>
      </c>
      <c r="U35" s="197">
        <v>0.75268470790377973</v>
      </c>
      <c r="V35" s="20">
        <f t="shared" si="22"/>
        <v>5.8861114212436422E-2</v>
      </c>
      <c r="W35" s="20">
        <f t="shared" si="22"/>
        <v>0</v>
      </c>
      <c r="X35" s="20">
        <f t="shared" si="22"/>
        <v>0</v>
      </c>
      <c r="Y35" s="20">
        <f t="shared" si="22"/>
        <v>0</v>
      </c>
      <c r="Z35" s="20">
        <f t="shared" si="23"/>
        <v>3.48396755338507E-2</v>
      </c>
      <c r="AA35" s="20">
        <f t="shared" si="23"/>
        <v>0</v>
      </c>
      <c r="AB35" s="20">
        <f t="shared" si="23"/>
        <v>0</v>
      </c>
      <c r="AC35" s="20">
        <f t="shared" si="23"/>
        <v>0</v>
      </c>
      <c r="AD35" s="20">
        <f t="shared" si="24"/>
        <v>3.48396755338507E-2</v>
      </c>
      <c r="AE35" s="20">
        <f t="shared" si="25"/>
        <v>0.29070182937570638</v>
      </c>
      <c r="AF35" s="20">
        <f t="shared" si="25"/>
        <v>0</v>
      </c>
      <c r="AG35" s="20">
        <f t="shared" si="25"/>
        <v>0</v>
      </c>
      <c r="AH35" s="20">
        <f t="shared" si="25"/>
        <v>0</v>
      </c>
      <c r="AI35" s="20">
        <f t="shared" si="26"/>
        <v>0.23192785882730421</v>
      </c>
      <c r="AJ35" s="20">
        <f t="shared" si="26"/>
        <v>0</v>
      </c>
      <c r="AK35" s="20">
        <f t="shared" si="26"/>
        <v>0</v>
      </c>
      <c r="AL35" s="20">
        <f t="shared" si="26"/>
        <v>0</v>
      </c>
      <c r="AM35" s="20">
        <f t="shared" si="27"/>
        <v>0.23192785882730421</v>
      </c>
      <c r="AO35">
        <f t="shared" si="28"/>
        <v>3.9577871406454392E-2</v>
      </c>
      <c r="AP35">
        <f t="shared" si="28"/>
        <v>0</v>
      </c>
      <c r="AQ35">
        <f t="shared" si="28"/>
        <v>0</v>
      </c>
      <c r="AR35">
        <f t="shared" si="28"/>
        <v>0</v>
      </c>
      <c r="AS35">
        <f t="shared" si="29"/>
        <v>3.9577871406454392E-2</v>
      </c>
      <c r="AU35">
        <f t="shared" si="30"/>
        <v>0.26347004762781756</v>
      </c>
      <c r="AV35">
        <f t="shared" si="30"/>
        <v>0</v>
      </c>
      <c r="AW35">
        <f t="shared" si="30"/>
        <v>0</v>
      </c>
      <c r="AX35">
        <f t="shared" si="30"/>
        <v>0</v>
      </c>
      <c r="AY35">
        <f t="shared" si="31"/>
        <v>0.26347004762781756</v>
      </c>
    </row>
    <row r="36" spans="1:53" s="319" customFormat="1" ht="15" x14ac:dyDescent="0.25">
      <c r="A36" s="368"/>
      <c r="B36" s="369" t="s">
        <v>14</v>
      </c>
      <c r="C36" s="368"/>
      <c r="D36" s="370">
        <f t="shared" ref="D36:H36" si="32">SUM(D30:D35)</f>
        <v>0</v>
      </c>
      <c r="E36" s="363">
        <f>SUM(E30:E35)</f>
        <v>38.101399999999998</v>
      </c>
      <c r="F36" s="370">
        <f t="shared" si="32"/>
        <v>0</v>
      </c>
      <c r="G36" s="370">
        <f t="shared" si="32"/>
        <v>0</v>
      </c>
      <c r="H36" s="370">
        <f t="shared" si="32"/>
        <v>0</v>
      </c>
      <c r="J36" s="319">
        <v>0</v>
      </c>
      <c r="K36" s="14">
        <v>16.910007590729276</v>
      </c>
      <c r="L36" s="319">
        <v>0</v>
      </c>
      <c r="M36" s="319">
        <v>0</v>
      </c>
      <c r="N36" s="319">
        <v>0</v>
      </c>
      <c r="O36" s="372"/>
      <c r="P36" s="372"/>
      <c r="Q36" s="438">
        <v>0.23604977132986629</v>
      </c>
      <c r="R36" s="373"/>
      <c r="S36" s="373"/>
      <c r="T36" s="373"/>
      <c r="U36" s="373"/>
      <c r="BA36" s="319">
        <f>(E36*10000*Q36*AU$10)</f>
        <v>102169.87196347062</v>
      </c>
    </row>
    <row r="37" spans="1:53" ht="15" x14ac:dyDescent="0.25">
      <c r="A37" s="5"/>
      <c r="B37" s="9" t="s">
        <v>15</v>
      </c>
      <c r="C37" s="5"/>
      <c r="E37" s="363">
        <f>SUM(E36)</f>
        <v>38.101399999999998</v>
      </c>
      <c r="H37" s="358">
        <f>SUM(D36:H36)</f>
        <v>38.101399999999998</v>
      </c>
      <c r="K37" s="14"/>
      <c r="N37">
        <v>0</v>
      </c>
      <c r="O37" s="20"/>
      <c r="P37" s="20"/>
      <c r="Q37" s="438"/>
      <c r="R37" s="197"/>
      <c r="S37" s="197"/>
      <c r="T37" s="197"/>
      <c r="U37" s="197"/>
    </row>
    <row r="38" spans="1:53" ht="15.75" x14ac:dyDescent="0.25">
      <c r="A38" s="1"/>
      <c r="B38" s="2"/>
      <c r="C38" s="1"/>
      <c r="E38" s="362"/>
      <c r="K38" s="14"/>
      <c r="O38" s="20"/>
      <c r="P38" s="20"/>
      <c r="Q38" s="439"/>
      <c r="R38" s="197"/>
      <c r="S38" s="197"/>
      <c r="T38" s="197"/>
      <c r="U38" s="197"/>
    </row>
    <row r="39" spans="1:53" ht="15" x14ac:dyDescent="0.25">
      <c r="A39" s="1">
        <v>4</v>
      </c>
      <c r="B39" s="2" t="s">
        <v>18</v>
      </c>
      <c r="C39" s="1" t="s">
        <v>8</v>
      </c>
      <c r="D39">
        <v>0</v>
      </c>
      <c r="E39" s="360">
        <v>96.525899999999993</v>
      </c>
      <c r="F39">
        <v>0</v>
      </c>
      <c r="G39">
        <v>0</v>
      </c>
      <c r="H39">
        <v>0</v>
      </c>
      <c r="J39">
        <v>0</v>
      </c>
      <c r="K39" s="14">
        <v>93.906445392392087</v>
      </c>
      <c r="L39">
        <v>0</v>
      </c>
      <c r="M39">
        <v>0</v>
      </c>
      <c r="N39">
        <v>0</v>
      </c>
      <c r="O39" s="20"/>
      <c r="P39" s="20"/>
      <c r="Q39" s="438">
        <v>0.36463831524071216</v>
      </c>
      <c r="R39" s="197">
        <v>0.19500000000000001</v>
      </c>
      <c r="S39" s="197">
        <v>1.22</v>
      </c>
      <c r="T39" s="197">
        <v>0.4144562334217507</v>
      </c>
      <c r="U39" s="197">
        <v>0.6566321730950142</v>
      </c>
      <c r="V39" s="20">
        <f t="shared" ref="V39:Y44" si="33">IF(K39&gt;0,((E39-K39)*$Q39*$R39*10)+(K39*$O$12*$Q39*$R39*10),(E39*$Q39*$R39*10))</f>
        <v>26.417971851397517</v>
      </c>
      <c r="W39" s="20">
        <f t="shared" si="33"/>
        <v>0</v>
      </c>
      <c r="X39" s="20">
        <f t="shared" si="33"/>
        <v>0</v>
      </c>
      <c r="Y39" s="20">
        <f t="shared" si="33"/>
        <v>0</v>
      </c>
      <c r="Z39" s="20">
        <f t="shared" ref="Z39:AC44" si="34">V39*(EXP(1.01-0.34*LN(Z$8))*(1-$T39)+(1*$T39))</f>
        <v>13.772206158850999</v>
      </c>
      <c r="AA39" s="20">
        <f t="shared" si="34"/>
        <v>0</v>
      </c>
      <c r="AB39" s="20">
        <f t="shared" si="34"/>
        <v>0</v>
      </c>
      <c r="AC39" s="20">
        <f t="shared" si="34"/>
        <v>0</v>
      </c>
      <c r="AD39" s="20">
        <f t="shared" ref="AD39:AD44" si="35">SUM(Z39:AC39)</f>
        <v>13.772206158850999</v>
      </c>
      <c r="AE39" s="20">
        <f t="shared" ref="AE39:AH44" si="36">IF(K39&gt;0,((E39-K39)*$Q39*$S39*10)+(K39*$P$12*$Q39*$S39)*10,(E39*$Q39*$S39*10))</f>
        <v>253.5851120256107</v>
      </c>
      <c r="AF39" s="20">
        <f t="shared" si="36"/>
        <v>0</v>
      </c>
      <c r="AG39" s="20">
        <f t="shared" si="36"/>
        <v>0</v>
      </c>
      <c r="AH39" s="20">
        <f t="shared" si="36"/>
        <v>0</v>
      </c>
      <c r="AI39" s="20">
        <f t="shared" ref="AI39:AL44" si="37">AE39*(EXP(1.01-0.34*LN(AI$8))*(1-$U39)+(1*$U39))</f>
        <v>182.40320023157625</v>
      </c>
      <c r="AJ39" s="20">
        <f t="shared" si="37"/>
        <v>0</v>
      </c>
      <c r="AK39" s="20">
        <f t="shared" si="37"/>
        <v>0</v>
      </c>
      <c r="AL39" s="20">
        <f t="shared" si="37"/>
        <v>0</v>
      </c>
      <c r="AM39" s="20">
        <f t="shared" ref="AM39:AM44" si="38">SUM(AI39:AL39)</f>
        <v>182.40320023157625</v>
      </c>
      <c r="AO39">
        <f t="shared" ref="AO39:AR44" si="39">Z39*AO$10</f>
        <v>15.645226196454733</v>
      </c>
      <c r="AP39">
        <f t="shared" si="39"/>
        <v>0</v>
      </c>
      <c r="AQ39">
        <f t="shared" si="39"/>
        <v>0</v>
      </c>
      <c r="AR39">
        <f t="shared" si="39"/>
        <v>0</v>
      </c>
      <c r="AS39">
        <f t="shared" ref="AS39:AS44" si="40">SUM(AO39:AR39)</f>
        <v>15.645226196454733</v>
      </c>
      <c r="AU39">
        <f t="shared" ref="AU39:AX44" si="41">AI39*AU$10</f>
        <v>207.2100354630706</v>
      </c>
      <c r="AV39">
        <f t="shared" si="41"/>
        <v>0</v>
      </c>
      <c r="AW39">
        <f t="shared" si="41"/>
        <v>0</v>
      </c>
      <c r="AX39">
        <f t="shared" si="41"/>
        <v>0</v>
      </c>
      <c r="AY39">
        <f t="shared" ref="AY39:AY44" si="42">SUM(AU39:AX39)</f>
        <v>207.2100354630706</v>
      </c>
    </row>
    <row r="40" spans="1:53" ht="15" x14ac:dyDescent="0.25">
      <c r="A40" s="1"/>
      <c r="B40" s="2"/>
      <c r="C40" s="1" t="s">
        <v>9</v>
      </c>
      <c r="D40">
        <v>0</v>
      </c>
      <c r="E40" s="360">
        <v>29.336099999999998</v>
      </c>
      <c r="F40">
        <v>0</v>
      </c>
      <c r="G40">
        <v>0</v>
      </c>
      <c r="H40">
        <v>0</v>
      </c>
      <c r="J40">
        <v>0</v>
      </c>
      <c r="K40" s="14">
        <v>29.336099999999998</v>
      </c>
      <c r="L40">
        <v>0</v>
      </c>
      <c r="M40">
        <v>0</v>
      </c>
      <c r="N40">
        <v>0</v>
      </c>
      <c r="O40" s="20"/>
      <c r="P40" s="20"/>
      <c r="Q40" s="438">
        <v>0.36927663048142417</v>
      </c>
      <c r="R40" s="197">
        <v>0.19500000000000001</v>
      </c>
      <c r="S40" s="197">
        <v>1.22</v>
      </c>
      <c r="T40" s="197">
        <v>0.4144562334217507</v>
      </c>
      <c r="U40" s="197">
        <v>0.6566321730950142</v>
      </c>
      <c r="V40" s="20">
        <f t="shared" si="33"/>
        <v>7.7686205582272372</v>
      </c>
      <c r="W40" s="20">
        <f t="shared" si="33"/>
        <v>0</v>
      </c>
      <c r="X40" s="20">
        <f t="shared" si="33"/>
        <v>0</v>
      </c>
      <c r="Y40" s="20">
        <f t="shared" si="33"/>
        <v>0</v>
      </c>
      <c r="Z40" s="20">
        <f t="shared" si="34"/>
        <v>4.0499340562411037</v>
      </c>
      <c r="AA40" s="20">
        <f t="shared" si="34"/>
        <v>0</v>
      </c>
      <c r="AB40" s="20">
        <f t="shared" si="34"/>
        <v>0</v>
      </c>
      <c r="AC40" s="20">
        <f t="shared" si="34"/>
        <v>0</v>
      </c>
      <c r="AD40" s="20">
        <f t="shared" si="35"/>
        <v>4.0499340562411037</v>
      </c>
      <c r="AE40" s="20">
        <f t="shared" si="36"/>
        <v>76.540314747905555</v>
      </c>
      <c r="AF40" s="20">
        <f t="shared" si="36"/>
        <v>0</v>
      </c>
      <c r="AG40" s="20">
        <f t="shared" si="36"/>
        <v>0</v>
      </c>
      <c r="AH40" s="20">
        <f t="shared" si="36"/>
        <v>0</v>
      </c>
      <c r="AI40" s="20">
        <f t="shared" si="37"/>
        <v>55.055276097360483</v>
      </c>
      <c r="AJ40" s="20">
        <f t="shared" si="37"/>
        <v>0</v>
      </c>
      <c r="AK40" s="20">
        <f t="shared" si="37"/>
        <v>0</v>
      </c>
      <c r="AL40" s="20">
        <f t="shared" si="37"/>
        <v>0</v>
      </c>
      <c r="AM40" s="20">
        <f t="shared" si="38"/>
        <v>55.055276097360483</v>
      </c>
      <c r="AO40">
        <f t="shared" si="39"/>
        <v>4.6007250878898933</v>
      </c>
      <c r="AP40">
        <f t="shared" si="39"/>
        <v>0</v>
      </c>
      <c r="AQ40">
        <f t="shared" si="39"/>
        <v>0</v>
      </c>
      <c r="AR40">
        <f t="shared" si="39"/>
        <v>0</v>
      </c>
      <c r="AS40">
        <f t="shared" si="40"/>
        <v>4.6007250878898933</v>
      </c>
      <c r="AU40">
        <f t="shared" si="41"/>
        <v>62.542793646601503</v>
      </c>
      <c r="AV40">
        <f t="shared" si="41"/>
        <v>0</v>
      </c>
      <c r="AW40">
        <f t="shared" si="41"/>
        <v>0</v>
      </c>
      <c r="AX40">
        <f t="shared" si="41"/>
        <v>0</v>
      </c>
      <c r="AY40">
        <f t="shared" si="42"/>
        <v>62.542793646601503</v>
      </c>
    </row>
    <row r="41" spans="1:53" ht="15" x14ac:dyDescent="0.25">
      <c r="A41" s="1"/>
      <c r="B41" s="2"/>
      <c r="C41" s="1" t="s">
        <v>10</v>
      </c>
      <c r="D41">
        <v>0</v>
      </c>
      <c r="E41" s="360">
        <v>0</v>
      </c>
      <c r="F41">
        <v>0</v>
      </c>
      <c r="G41">
        <v>0</v>
      </c>
      <c r="H41">
        <v>0</v>
      </c>
      <c r="J41">
        <v>0</v>
      </c>
      <c r="K41" s="14">
        <v>0</v>
      </c>
      <c r="L41">
        <v>0</v>
      </c>
      <c r="M41">
        <v>0</v>
      </c>
      <c r="N41">
        <v>0</v>
      </c>
      <c r="O41" s="20"/>
      <c r="P41" s="20"/>
      <c r="Q41" s="438"/>
      <c r="R41" s="197">
        <v>0.19500000000000001</v>
      </c>
      <c r="S41" s="197">
        <v>1.22</v>
      </c>
      <c r="T41" s="197">
        <v>0.4144562334217507</v>
      </c>
      <c r="U41" s="197">
        <v>0.6566321730950142</v>
      </c>
      <c r="V41" s="20">
        <f t="shared" si="33"/>
        <v>0</v>
      </c>
      <c r="W41" s="20">
        <f t="shared" si="33"/>
        <v>0</v>
      </c>
      <c r="X41" s="20">
        <f t="shared" si="33"/>
        <v>0</v>
      </c>
      <c r="Y41" s="20">
        <f t="shared" si="33"/>
        <v>0</v>
      </c>
      <c r="Z41" s="20">
        <f t="shared" si="34"/>
        <v>0</v>
      </c>
      <c r="AA41" s="20">
        <f t="shared" si="34"/>
        <v>0</v>
      </c>
      <c r="AB41" s="20">
        <f t="shared" si="34"/>
        <v>0</v>
      </c>
      <c r="AC41" s="20">
        <f t="shared" si="34"/>
        <v>0</v>
      </c>
      <c r="AD41" s="20">
        <f t="shared" si="35"/>
        <v>0</v>
      </c>
      <c r="AE41" s="20">
        <f t="shared" si="36"/>
        <v>0</v>
      </c>
      <c r="AF41" s="20">
        <f t="shared" si="36"/>
        <v>0</v>
      </c>
      <c r="AG41" s="20">
        <f t="shared" si="36"/>
        <v>0</v>
      </c>
      <c r="AH41" s="20">
        <f t="shared" si="36"/>
        <v>0</v>
      </c>
      <c r="AI41" s="20">
        <f t="shared" si="37"/>
        <v>0</v>
      </c>
      <c r="AJ41" s="20">
        <f t="shared" si="37"/>
        <v>0</v>
      </c>
      <c r="AK41" s="20">
        <f t="shared" si="37"/>
        <v>0</v>
      </c>
      <c r="AL41" s="20">
        <f t="shared" si="37"/>
        <v>0</v>
      </c>
      <c r="AM41" s="20">
        <f t="shared" si="38"/>
        <v>0</v>
      </c>
      <c r="AO41">
        <f t="shared" si="39"/>
        <v>0</v>
      </c>
      <c r="AP41">
        <f t="shared" si="39"/>
        <v>0</v>
      </c>
      <c r="AQ41">
        <f t="shared" si="39"/>
        <v>0</v>
      </c>
      <c r="AR41">
        <f t="shared" si="39"/>
        <v>0</v>
      </c>
      <c r="AS41">
        <f t="shared" si="40"/>
        <v>0</v>
      </c>
      <c r="AU41">
        <f t="shared" si="41"/>
        <v>0</v>
      </c>
      <c r="AV41">
        <f t="shared" si="41"/>
        <v>0</v>
      </c>
      <c r="AW41">
        <f t="shared" si="41"/>
        <v>0</v>
      </c>
      <c r="AX41">
        <f t="shared" si="41"/>
        <v>0</v>
      </c>
      <c r="AY41">
        <f t="shared" si="42"/>
        <v>0</v>
      </c>
    </row>
    <row r="42" spans="1:53" ht="15" x14ac:dyDescent="0.25">
      <c r="A42" s="1"/>
      <c r="B42" s="2"/>
      <c r="C42" s="1" t="s">
        <v>11</v>
      </c>
      <c r="D42">
        <v>0</v>
      </c>
      <c r="E42" s="360">
        <v>10.3987</v>
      </c>
      <c r="F42">
        <v>0</v>
      </c>
      <c r="G42">
        <v>0</v>
      </c>
      <c r="H42">
        <v>0</v>
      </c>
      <c r="J42">
        <v>0</v>
      </c>
      <c r="K42" s="14">
        <v>10.3946102895907</v>
      </c>
      <c r="L42">
        <v>0</v>
      </c>
      <c r="M42">
        <v>0</v>
      </c>
      <c r="N42">
        <v>0</v>
      </c>
      <c r="O42" s="20"/>
      <c r="P42" s="20"/>
      <c r="Q42" s="438">
        <v>0.37855326096284847</v>
      </c>
      <c r="R42" s="197">
        <v>0.19500000000000001</v>
      </c>
      <c r="S42" s="197">
        <v>1.22</v>
      </c>
      <c r="T42" s="197">
        <v>0.4144562334217507</v>
      </c>
      <c r="U42" s="197">
        <v>0.6566321730950142</v>
      </c>
      <c r="V42" s="20">
        <f t="shared" si="33"/>
        <v>2.8248103751953235</v>
      </c>
      <c r="W42" s="20">
        <f t="shared" si="33"/>
        <v>0</v>
      </c>
      <c r="X42" s="20">
        <f t="shared" si="33"/>
        <v>0</v>
      </c>
      <c r="Y42" s="20">
        <f t="shared" si="33"/>
        <v>0</v>
      </c>
      <c r="Z42" s="20">
        <f t="shared" si="34"/>
        <v>1.4726289764289082</v>
      </c>
      <c r="AA42" s="20">
        <f t="shared" si="34"/>
        <v>0</v>
      </c>
      <c r="AB42" s="20">
        <f t="shared" si="34"/>
        <v>0</v>
      </c>
      <c r="AC42" s="20">
        <f t="shared" si="34"/>
        <v>0</v>
      </c>
      <c r="AD42" s="20">
        <f t="shared" si="35"/>
        <v>1.4726289764289082</v>
      </c>
      <c r="AE42" s="20">
        <f t="shared" si="36"/>
        <v>27.820580839421307</v>
      </c>
      <c r="AF42" s="20">
        <f t="shared" si="36"/>
        <v>0</v>
      </c>
      <c r="AG42" s="20">
        <f t="shared" si="36"/>
        <v>0</v>
      </c>
      <c r="AH42" s="20">
        <f t="shared" si="36"/>
        <v>0</v>
      </c>
      <c r="AI42" s="20">
        <f t="shared" si="37"/>
        <v>20.011281170557108</v>
      </c>
      <c r="AJ42" s="20">
        <f t="shared" si="37"/>
        <v>0</v>
      </c>
      <c r="AK42" s="20">
        <f t="shared" si="37"/>
        <v>0</v>
      </c>
      <c r="AL42" s="20">
        <f t="shared" si="37"/>
        <v>0</v>
      </c>
      <c r="AM42" s="20">
        <f t="shared" si="38"/>
        <v>20.011281170557108</v>
      </c>
      <c r="AO42">
        <f t="shared" si="39"/>
        <v>1.6729065172232396</v>
      </c>
      <c r="AP42">
        <f t="shared" si="39"/>
        <v>0</v>
      </c>
      <c r="AQ42">
        <f t="shared" si="39"/>
        <v>0</v>
      </c>
      <c r="AR42">
        <f t="shared" si="39"/>
        <v>0</v>
      </c>
      <c r="AS42">
        <f t="shared" si="40"/>
        <v>1.6729065172232396</v>
      </c>
      <c r="AU42">
        <f t="shared" si="41"/>
        <v>22.732815409752874</v>
      </c>
      <c r="AV42">
        <f t="shared" si="41"/>
        <v>0</v>
      </c>
      <c r="AW42">
        <f t="shared" si="41"/>
        <v>0</v>
      </c>
      <c r="AX42">
        <f t="shared" si="41"/>
        <v>0</v>
      </c>
      <c r="AY42">
        <f t="shared" si="42"/>
        <v>22.732815409752874</v>
      </c>
    </row>
    <row r="43" spans="1:53" ht="15" x14ac:dyDescent="0.25">
      <c r="A43" s="1"/>
      <c r="B43" s="2"/>
      <c r="C43" s="1" t="s">
        <v>12</v>
      </c>
      <c r="D43">
        <v>0</v>
      </c>
      <c r="E43" s="360">
        <v>0</v>
      </c>
      <c r="F43">
        <v>0</v>
      </c>
      <c r="G43">
        <v>0</v>
      </c>
      <c r="H43">
        <v>0</v>
      </c>
      <c r="J43">
        <v>0</v>
      </c>
      <c r="K43" s="14">
        <v>0</v>
      </c>
      <c r="L43">
        <v>0</v>
      </c>
      <c r="M43">
        <v>0</v>
      </c>
      <c r="N43">
        <v>0</v>
      </c>
      <c r="O43" s="20"/>
      <c r="P43" s="20"/>
      <c r="Q43" s="438"/>
      <c r="R43" s="197">
        <v>0.19500000000000001</v>
      </c>
      <c r="S43" s="197">
        <v>1.22</v>
      </c>
      <c r="T43" s="197">
        <v>0.4144562334217507</v>
      </c>
      <c r="U43" s="197">
        <v>0.6566321730950142</v>
      </c>
      <c r="V43" s="20">
        <f t="shared" si="33"/>
        <v>0</v>
      </c>
      <c r="W43" s="20">
        <f t="shared" si="33"/>
        <v>0</v>
      </c>
      <c r="X43" s="20">
        <f t="shared" si="33"/>
        <v>0</v>
      </c>
      <c r="Y43" s="20">
        <f t="shared" si="33"/>
        <v>0</v>
      </c>
      <c r="Z43" s="20">
        <f t="shared" si="34"/>
        <v>0</v>
      </c>
      <c r="AA43" s="20">
        <f t="shared" si="34"/>
        <v>0</v>
      </c>
      <c r="AB43" s="20">
        <f t="shared" si="34"/>
        <v>0</v>
      </c>
      <c r="AC43" s="20">
        <f t="shared" si="34"/>
        <v>0</v>
      </c>
      <c r="AD43" s="20">
        <f t="shared" si="35"/>
        <v>0</v>
      </c>
      <c r="AE43" s="20">
        <f t="shared" si="36"/>
        <v>0</v>
      </c>
      <c r="AF43" s="20">
        <f t="shared" si="36"/>
        <v>0</v>
      </c>
      <c r="AG43" s="20">
        <f t="shared" si="36"/>
        <v>0</v>
      </c>
      <c r="AH43" s="20">
        <f t="shared" si="36"/>
        <v>0</v>
      </c>
      <c r="AI43" s="20">
        <f t="shared" si="37"/>
        <v>0</v>
      </c>
      <c r="AJ43" s="20">
        <f t="shared" si="37"/>
        <v>0</v>
      </c>
      <c r="AK43" s="20">
        <f t="shared" si="37"/>
        <v>0</v>
      </c>
      <c r="AL43" s="20">
        <f t="shared" si="37"/>
        <v>0</v>
      </c>
      <c r="AM43" s="20">
        <f t="shared" si="38"/>
        <v>0</v>
      </c>
      <c r="AO43">
        <f t="shared" si="39"/>
        <v>0</v>
      </c>
      <c r="AP43">
        <f t="shared" si="39"/>
        <v>0</v>
      </c>
      <c r="AQ43">
        <f t="shared" si="39"/>
        <v>0</v>
      </c>
      <c r="AR43">
        <f t="shared" si="39"/>
        <v>0</v>
      </c>
      <c r="AS43">
        <f t="shared" si="40"/>
        <v>0</v>
      </c>
      <c r="AU43">
        <f t="shared" si="41"/>
        <v>0</v>
      </c>
      <c r="AV43">
        <f t="shared" si="41"/>
        <v>0</v>
      </c>
      <c r="AW43">
        <f t="shared" si="41"/>
        <v>0</v>
      </c>
      <c r="AX43">
        <f t="shared" si="41"/>
        <v>0</v>
      </c>
      <c r="AY43">
        <f t="shared" si="42"/>
        <v>0</v>
      </c>
    </row>
    <row r="44" spans="1:53" ht="15" x14ac:dyDescent="0.25">
      <c r="A44" s="1"/>
      <c r="B44" s="2"/>
      <c r="C44" s="1" t="s">
        <v>13</v>
      </c>
      <c r="D44">
        <v>0</v>
      </c>
      <c r="E44" s="360">
        <v>2.7449999999999999E-2</v>
      </c>
      <c r="F44">
        <v>0</v>
      </c>
      <c r="G44">
        <v>0</v>
      </c>
      <c r="H44">
        <v>0</v>
      </c>
      <c r="J44">
        <v>0</v>
      </c>
      <c r="K44" s="14">
        <v>2.7449999999999999E-2</v>
      </c>
      <c r="L44">
        <v>0</v>
      </c>
      <c r="M44">
        <v>0</v>
      </c>
      <c r="N44">
        <v>0</v>
      </c>
      <c r="O44" s="20"/>
      <c r="P44" s="20"/>
      <c r="Q44" s="438">
        <v>0.37855326096284847</v>
      </c>
      <c r="R44" s="197">
        <v>0.19500000000000001</v>
      </c>
      <c r="S44" s="197">
        <v>1.22</v>
      </c>
      <c r="T44" s="197">
        <v>0.4144562334217507</v>
      </c>
      <c r="U44" s="197">
        <v>0.6566321730950142</v>
      </c>
      <c r="V44" s="20">
        <f t="shared" si="33"/>
        <v>7.4517632503339577E-3</v>
      </c>
      <c r="W44" s="20">
        <f t="shared" si="33"/>
        <v>0</v>
      </c>
      <c r="X44" s="20">
        <f t="shared" si="33"/>
        <v>0</v>
      </c>
      <c r="Y44" s="20">
        <f t="shared" si="33"/>
        <v>0</v>
      </c>
      <c r="Z44" s="20">
        <f t="shared" si="34"/>
        <v>3.8847501355453165E-3</v>
      </c>
      <c r="AA44" s="20">
        <f t="shared" si="34"/>
        <v>0</v>
      </c>
      <c r="AB44" s="20">
        <f t="shared" si="34"/>
        <v>0</v>
      </c>
      <c r="AC44" s="20">
        <f t="shared" si="34"/>
        <v>0</v>
      </c>
      <c r="AD44" s="20">
        <f t="shared" si="35"/>
        <v>3.8847501355453165E-3</v>
      </c>
      <c r="AE44" s="20">
        <f t="shared" si="36"/>
        <v>7.3418478909155316E-2</v>
      </c>
      <c r="AF44" s="20">
        <f t="shared" si="36"/>
        <v>0</v>
      </c>
      <c r="AG44" s="20">
        <f t="shared" si="36"/>
        <v>0</v>
      </c>
      <c r="AH44" s="20">
        <f t="shared" si="36"/>
        <v>0</v>
      </c>
      <c r="AI44" s="20">
        <f t="shared" si="37"/>
        <v>5.2809746606149024E-2</v>
      </c>
      <c r="AJ44" s="20">
        <f t="shared" si="37"/>
        <v>0</v>
      </c>
      <c r="AK44" s="20">
        <f t="shared" si="37"/>
        <v>0</v>
      </c>
      <c r="AL44" s="20">
        <f t="shared" si="37"/>
        <v>0</v>
      </c>
      <c r="AM44" s="20">
        <f t="shared" si="38"/>
        <v>5.2809746606149024E-2</v>
      </c>
      <c r="AO44">
        <f t="shared" si="39"/>
        <v>4.4130761539794795E-3</v>
      </c>
      <c r="AP44">
        <f t="shared" si="39"/>
        <v>0</v>
      </c>
      <c r="AQ44">
        <f t="shared" si="39"/>
        <v>0</v>
      </c>
      <c r="AR44">
        <f t="shared" si="39"/>
        <v>0</v>
      </c>
      <c r="AS44">
        <f t="shared" si="40"/>
        <v>4.4130761539794795E-3</v>
      </c>
      <c r="AU44">
        <f t="shared" si="41"/>
        <v>5.999187214458529E-2</v>
      </c>
      <c r="AV44">
        <f t="shared" si="41"/>
        <v>0</v>
      </c>
      <c r="AW44">
        <f t="shared" si="41"/>
        <v>0</v>
      </c>
      <c r="AX44">
        <f t="shared" si="41"/>
        <v>0</v>
      </c>
      <c r="AY44">
        <f t="shared" si="42"/>
        <v>5.999187214458529E-2</v>
      </c>
    </row>
    <row r="45" spans="1:53" s="319" customFormat="1" ht="15" x14ac:dyDescent="0.25">
      <c r="A45" s="368"/>
      <c r="B45" s="369" t="s">
        <v>14</v>
      </c>
      <c r="C45" s="368"/>
      <c r="D45" s="370">
        <f t="shared" ref="D45:H45" si="43">SUM(D39:D44)</f>
        <v>0</v>
      </c>
      <c r="E45" s="363">
        <f>SUM(E39:E44)</f>
        <v>136.28814999999997</v>
      </c>
      <c r="F45" s="370">
        <f t="shared" si="43"/>
        <v>0</v>
      </c>
      <c r="G45" s="370">
        <f t="shared" si="43"/>
        <v>0</v>
      </c>
      <c r="H45" s="370">
        <f t="shared" si="43"/>
        <v>0</v>
      </c>
      <c r="J45" s="319">
        <v>0</v>
      </c>
      <c r="K45" s="14">
        <v>133.66460568198278</v>
      </c>
      <c r="L45" s="319">
        <v>0</v>
      </c>
      <c r="M45" s="319">
        <v>0</v>
      </c>
      <c r="N45" s="319">
        <v>0</v>
      </c>
      <c r="O45" s="372"/>
      <c r="P45" s="372"/>
      <c r="Q45" s="438">
        <v>0.36670121939689826</v>
      </c>
      <c r="R45" s="373"/>
      <c r="S45" s="373"/>
      <c r="T45" s="373"/>
      <c r="U45" s="373"/>
      <c r="BA45" s="319">
        <f>(E45*10000*Q45*AU$10)</f>
        <v>567739.06982378603</v>
      </c>
    </row>
    <row r="46" spans="1:53" ht="15" x14ac:dyDescent="0.25">
      <c r="A46" s="10"/>
      <c r="B46" s="9" t="s">
        <v>15</v>
      </c>
      <c r="C46" s="5"/>
      <c r="E46" s="363">
        <f>SUM(E45)</f>
        <v>136.28814999999997</v>
      </c>
      <c r="H46" s="358">
        <f>SUM(D45:H45)</f>
        <v>136.28814999999997</v>
      </c>
      <c r="K46" s="14"/>
      <c r="N46">
        <v>0</v>
      </c>
      <c r="O46" s="20"/>
      <c r="P46" s="20"/>
      <c r="Q46" s="438"/>
      <c r="R46" s="197"/>
      <c r="S46" s="197"/>
      <c r="T46" s="197"/>
      <c r="U46" s="197"/>
    </row>
    <row r="47" spans="1:53" ht="15.75" x14ac:dyDescent="0.25">
      <c r="A47" s="1"/>
      <c r="B47" s="2"/>
      <c r="C47" s="1"/>
      <c r="E47" s="361"/>
      <c r="K47" s="14"/>
      <c r="O47" s="20"/>
      <c r="P47" s="20"/>
      <c r="Q47" s="439"/>
      <c r="R47" s="197"/>
      <c r="S47" s="197"/>
      <c r="T47" s="197"/>
      <c r="U47" s="197"/>
    </row>
    <row r="48" spans="1:53" ht="15" x14ac:dyDescent="0.25">
      <c r="A48" s="1">
        <v>5</v>
      </c>
      <c r="B48" s="2" t="s">
        <v>19</v>
      </c>
      <c r="C48" s="1" t="s">
        <v>8</v>
      </c>
      <c r="D48">
        <v>0</v>
      </c>
      <c r="E48" s="360">
        <v>29.9802</v>
      </c>
      <c r="F48">
        <v>0</v>
      </c>
      <c r="G48">
        <v>0</v>
      </c>
      <c r="H48">
        <v>0</v>
      </c>
      <c r="J48">
        <v>0</v>
      </c>
      <c r="K48" s="14">
        <v>18.336432758681401</v>
      </c>
      <c r="L48">
        <v>0</v>
      </c>
      <c r="M48">
        <v>0</v>
      </c>
      <c r="N48">
        <v>0</v>
      </c>
      <c r="O48" s="20"/>
      <c r="P48" s="20"/>
      <c r="Q48" s="438">
        <v>0.40925178897065279</v>
      </c>
      <c r="R48" s="197">
        <v>0.43</v>
      </c>
      <c r="S48" s="197">
        <v>2.83</v>
      </c>
      <c r="T48" s="197">
        <v>0.76744186046511631</v>
      </c>
      <c r="U48" s="197">
        <v>0.76744186046511631</v>
      </c>
      <c r="V48" s="20">
        <f t="shared" ref="V48:Y53" si="44">IF(K48&gt;0,((E48-K48)*$Q48*$R48*10)+(K48*$O$12*$Q48*$R48*10),(E48*$Q48*$R48*10))</f>
        <v>32.35717344869969</v>
      </c>
      <c r="W48" s="20">
        <f t="shared" si="44"/>
        <v>0</v>
      </c>
      <c r="X48" s="20">
        <f t="shared" si="44"/>
        <v>0</v>
      </c>
      <c r="Y48" s="20">
        <f t="shared" si="44"/>
        <v>0</v>
      </c>
      <c r="Z48" s="20">
        <f t="shared" ref="Z48:AC53" si="45">V48*(EXP(1.01-0.34*LN(Z$8))*(1-$T48)+(1*$T48))</f>
        <v>26.205568793366215</v>
      </c>
      <c r="AA48" s="20">
        <f t="shared" si="45"/>
        <v>0</v>
      </c>
      <c r="AB48" s="20">
        <f t="shared" si="45"/>
        <v>0</v>
      </c>
      <c r="AC48" s="20">
        <f t="shared" si="45"/>
        <v>0</v>
      </c>
      <c r="AD48" s="20">
        <f t="shared" ref="AD48:AD53" si="46">SUM(Z48:AC48)</f>
        <v>26.205568793366215</v>
      </c>
      <c r="AE48" s="20">
        <f t="shared" ref="AE48:AH53" si="47">IF(K48&gt;0,((E48-K48)*$Q48*$S48*10)+(K48*$P$12*$Q48*$S48)*10,(E48*$Q48*$S48*10))</f>
        <v>257.84559534805067</v>
      </c>
      <c r="AF48" s="20">
        <f t="shared" si="47"/>
        <v>0</v>
      </c>
      <c r="AG48" s="20">
        <f t="shared" si="47"/>
        <v>0</v>
      </c>
      <c r="AH48" s="20">
        <f t="shared" si="47"/>
        <v>0</v>
      </c>
      <c r="AI48" s="20">
        <f t="shared" ref="AI48:AL53" si="48">AE48*(EXP(1.01-0.34*LN(AI$8))*(1-$U48)+(1*$U48))</f>
        <v>208.82511563232194</v>
      </c>
      <c r="AJ48" s="20">
        <f t="shared" si="48"/>
        <v>0</v>
      </c>
      <c r="AK48" s="20">
        <f t="shared" si="48"/>
        <v>0</v>
      </c>
      <c r="AL48" s="20">
        <f t="shared" si="48"/>
        <v>0</v>
      </c>
      <c r="AM48" s="20">
        <f t="shared" ref="AM48:AM53" si="49">SUM(AI48:AL48)</f>
        <v>208.82511563232194</v>
      </c>
      <c r="AO48">
        <f t="shared" ref="AO48:AR53" si="50">Z48*AO$10</f>
        <v>29.769526149264017</v>
      </c>
      <c r="AP48">
        <f t="shared" si="50"/>
        <v>0</v>
      </c>
      <c r="AQ48">
        <f t="shared" si="50"/>
        <v>0</v>
      </c>
      <c r="AR48">
        <f t="shared" si="50"/>
        <v>0</v>
      </c>
      <c r="AS48">
        <f t="shared" ref="AS48:AS53" si="51">SUM(AO48:AR48)</f>
        <v>29.769526149264017</v>
      </c>
      <c r="AU48">
        <f t="shared" ref="AU48:AX53" si="52">AI48*AU$10</f>
        <v>237.2253313583177</v>
      </c>
      <c r="AV48">
        <f t="shared" si="52"/>
        <v>0</v>
      </c>
      <c r="AW48">
        <f t="shared" si="52"/>
        <v>0</v>
      </c>
      <c r="AX48">
        <f t="shared" si="52"/>
        <v>0</v>
      </c>
      <c r="AY48">
        <f t="shared" ref="AY48:AY53" si="53">SUM(AU48:AX48)</f>
        <v>237.2253313583177</v>
      </c>
    </row>
    <row r="49" spans="1:53" ht="15" x14ac:dyDescent="0.25">
      <c r="A49" s="1"/>
      <c r="B49" s="2"/>
      <c r="C49" s="1" t="s">
        <v>9</v>
      </c>
      <c r="D49">
        <v>0</v>
      </c>
      <c r="E49" s="360">
        <v>15.0631</v>
      </c>
      <c r="F49">
        <v>0</v>
      </c>
      <c r="G49">
        <v>0</v>
      </c>
      <c r="H49">
        <v>0</v>
      </c>
      <c r="J49">
        <v>0</v>
      </c>
      <c r="K49" s="14">
        <v>3.3047109557028964</v>
      </c>
      <c r="L49">
        <v>0</v>
      </c>
      <c r="M49">
        <v>0</v>
      </c>
      <c r="N49">
        <v>0</v>
      </c>
      <c r="O49" s="20"/>
      <c r="P49" s="20"/>
      <c r="Q49" s="438">
        <v>0.41350357794130554</v>
      </c>
      <c r="R49" s="197">
        <v>0.43</v>
      </c>
      <c r="S49" s="197">
        <v>2.83</v>
      </c>
      <c r="T49" s="197">
        <v>0.76744186046511631</v>
      </c>
      <c r="U49" s="197">
        <v>0.76744186046511631</v>
      </c>
      <c r="V49" s="20">
        <f t="shared" si="44"/>
        <v>23.068092678542818</v>
      </c>
      <c r="W49" s="20">
        <f t="shared" si="44"/>
        <v>0</v>
      </c>
      <c r="X49" s="20">
        <f t="shared" si="44"/>
        <v>0</v>
      </c>
      <c r="Y49" s="20">
        <f t="shared" si="44"/>
        <v>0</v>
      </c>
      <c r="Z49" s="20">
        <f t="shared" si="45"/>
        <v>18.682487534880597</v>
      </c>
      <c r="AA49" s="20">
        <f t="shared" si="45"/>
        <v>0</v>
      </c>
      <c r="AB49" s="20">
        <f t="shared" si="45"/>
        <v>0</v>
      </c>
      <c r="AC49" s="20">
        <f t="shared" si="45"/>
        <v>0</v>
      </c>
      <c r="AD49" s="20">
        <f t="shared" si="46"/>
        <v>18.682487534880597</v>
      </c>
      <c r="AE49" s="20">
        <f t="shared" si="47"/>
        <v>159.99470187277103</v>
      </c>
      <c r="AF49" s="20">
        <f t="shared" si="47"/>
        <v>0</v>
      </c>
      <c r="AG49" s="20">
        <f t="shared" si="47"/>
        <v>0</v>
      </c>
      <c r="AH49" s="20">
        <f t="shared" si="47"/>
        <v>0</v>
      </c>
      <c r="AI49" s="20">
        <f t="shared" si="48"/>
        <v>129.57720714228549</v>
      </c>
      <c r="AJ49" s="20">
        <f t="shared" si="48"/>
        <v>0</v>
      </c>
      <c r="AK49" s="20">
        <f t="shared" si="48"/>
        <v>0</v>
      </c>
      <c r="AL49" s="20">
        <f t="shared" si="48"/>
        <v>0</v>
      </c>
      <c r="AM49" s="20">
        <f t="shared" si="49"/>
        <v>129.57720714228549</v>
      </c>
      <c r="AO49">
        <f t="shared" si="50"/>
        <v>21.223305839624356</v>
      </c>
      <c r="AP49">
        <f t="shared" si="50"/>
        <v>0</v>
      </c>
      <c r="AQ49">
        <f t="shared" si="50"/>
        <v>0</v>
      </c>
      <c r="AR49">
        <f t="shared" si="50"/>
        <v>0</v>
      </c>
      <c r="AS49">
        <f t="shared" si="51"/>
        <v>21.223305839624356</v>
      </c>
      <c r="AU49">
        <f t="shared" si="52"/>
        <v>147.19970731363631</v>
      </c>
      <c r="AV49">
        <f t="shared" si="52"/>
        <v>0</v>
      </c>
      <c r="AW49">
        <f t="shared" si="52"/>
        <v>0</v>
      </c>
      <c r="AX49">
        <f t="shared" si="52"/>
        <v>0</v>
      </c>
      <c r="AY49">
        <f t="shared" si="53"/>
        <v>147.19970731363631</v>
      </c>
    </row>
    <row r="50" spans="1:53" ht="15" x14ac:dyDescent="0.25">
      <c r="A50" s="1"/>
      <c r="B50" s="2"/>
      <c r="C50" s="1" t="s">
        <v>10</v>
      </c>
      <c r="D50">
        <v>0</v>
      </c>
      <c r="E50" s="360">
        <v>2.8757000000000001</v>
      </c>
      <c r="F50">
        <v>0</v>
      </c>
      <c r="G50">
        <v>0</v>
      </c>
      <c r="H50">
        <v>0</v>
      </c>
      <c r="J50">
        <v>0</v>
      </c>
      <c r="K50" s="14">
        <v>1.7039795236300002</v>
      </c>
      <c r="L50">
        <v>0</v>
      </c>
      <c r="M50">
        <v>0</v>
      </c>
      <c r="N50">
        <v>0</v>
      </c>
      <c r="O50" s="20"/>
      <c r="P50" s="20"/>
      <c r="Q50" s="438">
        <v>0.4177553669119583</v>
      </c>
      <c r="R50" s="197">
        <v>0.43</v>
      </c>
      <c r="S50" s="197">
        <v>2.83</v>
      </c>
      <c r="T50" s="197">
        <v>0.76744186046511631</v>
      </c>
      <c r="U50" s="197">
        <v>0.76744186046511631</v>
      </c>
      <c r="V50" s="20">
        <f t="shared" si="44"/>
        <v>3.2304848962688353</v>
      </c>
      <c r="W50" s="20">
        <f t="shared" si="44"/>
        <v>0</v>
      </c>
      <c r="X50" s="20">
        <f t="shared" si="44"/>
        <v>0</v>
      </c>
      <c r="Y50" s="20">
        <f t="shared" si="44"/>
        <v>0</v>
      </c>
      <c r="Z50" s="20">
        <f t="shared" si="45"/>
        <v>2.6163192010365637</v>
      </c>
      <c r="AA50" s="20">
        <f t="shared" si="45"/>
        <v>0</v>
      </c>
      <c r="AB50" s="20">
        <f t="shared" si="45"/>
        <v>0</v>
      </c>
      <c r="AC50" s="20">
        <f t="shared" si="45"/>
        <v>0</v>
      </c>
      <c r="AD50" s="20">
        <f t="shared" si="46"/>
        <v>2.6163192010365637</v>
      </c>
      <c r="AE50" s="20">
        <f t="shared" si="47"/>
        <v>25.519365809549363</v>
      </c>
      <c r="AF50" s="20">
        <f t="shared" si="47"/>
        <v>0</v>
      </c>
      <c r="AG50" s="20">
        <f t="shared" si="47"/>
        <v>0</v>
      </c>
      <c r="AH50" s="20">
        <f t="shared" si="47"/>
        <v>0</v>
      </c>
      <c r="AI50" s="20">
        <f t="shared" si="48"/>
        <v>20.667735312093463</v>
      </c>
      <c r="AJ50" s="20">
        <f t="shared" si="48"/>
        <v>0</v>
      </c>
      <c r="AK50" s="20">
        <f t="shared" si="48"/>
        <v>0</v>
      </c>
      <c r="AL50" s="20">
        <f t="shared" si="48"/>
        <v>0</v>
      </c>
      <c r="AM50" s="20">
        <f t="shared" si="49"/>
        <v>20.667735312093463</v>
      </c>
      <c r="AO50">
        <f t="shared" si="50"/>
        <v>2.972138612377536</v>
      </c>
      <c r="AP50">
        <f t="shared" si="50"/>
        <v>0</v>
      </c>
      <c r="AQ50">
        <f t="shared" si="50"/>
        <v>0</v>
      </c>
      <c r="AR50">
        <f t="shared" si="50"/>
        <v>0</v>
      </c>
      <c r="AS50">
        <f t="shared" si="51"/>
        <v>2.972138612377536</v>
      </c>
      <c r="AU50">
        <f t="shared" si="52"/>
        <v>23.478547314538172</v>
      </c>
      <c r="AV50">
        <f t="shared" si="52"/>
        <v>0</v>
      </c>
      <c r="AW50">
        <f t="shared" si="52"/>
        <v>0</v>
      </c>
      <c r="AX50">
        <f t="shared" si="52"/>
        <v>0</v>
      </c>
      <c r="AY50">
        <f t="shared" si="53"/>
        <v>23.478547314538172</v>
      </c>
    </row>
    <row r="51" spans="1:53" ht="15" x14ac:dyDescent="0.25">
      <c r="A51" s="1"/>
      <c r="B51" s="2"/>
      <c r="C51" s="1" t="s">
        <v>11</v>
      </c>
      <c r="D51">
        <v>0</v>
      </c>
      <c r="E51" s="360">
        <v>27.904800000000002</v>
      </c>
      <c r="F51">
        <v>0</v>
      </c>
      <c r="G51">
        <v>0</v>
      </c>
      <c r="H51">
        <v>0</v>
      </c>
      <c r="J51">
        <v>0</v>
      </c>
      <c r="K51" s="14">
        <v>20.401728580574702</v>
      </c>
      <c r="L51">
        <v>0</v>
      </c>
      <c r="M51">
        <v>0</v>
      </c>
      <c r="N51">
        <v>0</v>
      </c>
      <c r="O51" s="20"/>
      <c r="P51" s="20"/>
      <c r="Q51" s="438">
        <v>0.42200715588261112</v>
      </c>
      <c r="R51" s="197">
        <v>0.43</v>
      </c>
      <c r="S51" s="197">
        <v>2.83</v>
      </c>
      <c r="T51" s="197">
        <v>0.76744186046511631</v>
      </c>
      <c r="U51" s="197">
        <v>0.76744186046511631</v>
      </c>
      <c r="V51" s="20">
        <f t="shared" si="44"/>
        <v>27.230075022323952</v>
      </c>
      <c r="W51" s="20">
        <f t="shared" si="44"/>
        <v>0</v>
      </c>
      <c r="X51" s="20">
        <f t="shared" si="44"/>
        <v>0</v>
      </c>
      <c r="Y51" s="20">
        <f t="shared" si="44"/>
        <v>0</v>
      </c>
      <c r="Z51" s="20">
        <f t="shared" si="45"/>
        <v>22.053211952439852</v>
      </c>
      <c r="AA51" s="20">
        <f t="shared" si="45"/>
        <v>0</v>
      </c>
      <c r="AB51" s="20">
        <f t="shared" si="45"/>
        <v>0</v>
      </c>
      <c r="AC51" s="20">
        <f t="shared" si="45"/>
        <v>0</v>
      </c>
      <c r="AD51" s="20">
        <f t="shared" si="46"/>
        <v>22.053211952439852</v>
      </c>
      <c r="AE51" s="20">
        <f t="shared" si="47"/>
        <v>230.71498254848382</v>
      </c>
      <c r="AF51" s="20">
        <f t="shared" si="47"/>
        <v>0</v>
      </c>
      <c r="AG51" s="20">
        <f t="shared" si="47"/>
        <v>0</v>
      </c>
      <c r="AH51" s="20">
        <f t="shared" si="47"/>
        <v>0</v>
      </c>
      <c r="AI51" s="20">
        <f t="shared" si="48"/>
        <v>186.85245657876044</v>
      </c>
      <c r="AJ51" s="20">
        <f t="shared" si="48"/>
        <v>0</v>
      </c>
      <c r="AK51" s="20">
        <f t="shared" si="48"/>
        <v>0</v>
      </c>
      <c r="AL51" s="20">
        <f t="shared" si="48"/>
        <v>0</v>
      </c>
      <c r="AM51" s="20">
        <f t="shared" si="49"/>
        <v>186.85245657876044</v>
      </c>
      <c r="AO51">
        <f t="shared" si="50"/>
        <v>25.052448777971669</v>
      </c>
      <c r="AP51">
        <f t="shared" si="50"/>
        <v>0</v>
      </c>
      <c r="AQ51">
        <f t="shared" si="50"/>
        <v>0</v>
      </c>
      <c r="AR51">
        <f t="shared" si="50"/>
        <v>0</v>
      </c>
      <c r="AS51">
        <f t="shared" si="51"/>
        <v>25.052448777971669</v>
      </c>
      <c r="AU51">
        <f t="shared" si="52"/>
        <v>212.26439067347184</v>
      </c>
      <c r="AV51">
        <f t="shared" si="52"/>
        <v>0</v>
      </c>
      <c r="AW51">
        <f t="shared" si="52"/>
        <v>0</v>
      </c>
      <c r="AX51">
        <f t="shared" si="52"/>
        <v>0</v>
      </c>
      <c r="AY51">
        <f t="shared" si="53"/>
        <v>212.26439067347184</v>
      </c>
    </row>
    <row r="52" spans="1:53" ht="15" x14ac:dyDescent="0.25">
      <c r="A52" s="1"/>
      <c r="B52" s="2"/>
      <c r="C52" s="1" t="s">
        <v>12</v>
      </c>
      <c r="D52">
        <v>0</v>
      </c>
      <c r="E52" s="360">
        <v>0</v>
      </c>
      <c r="F52">
        <v>0</v>
      </c>
      <c r="G52">
        <v>0</v>
      </c>
      <c r="H52">
        <v>0</v>
      </c>
      <c r="J52">
        <v>0</v>
      </c>
      <c r="K52" s="14">
        <v>0</v>
      </c>
      <c r="L52">
        <v>0</v>
      </c>
      <c r="M52">
        <v>0</v>
      </c>
      <c r="N52">
        <v>0</v>
      </c>
      <c r="O52" s="20"/>
      <c r="P52" s="20"/>
      <c r="Q52" s="438"/>
      <c r="R52" s="197">
        <v>0.43</v>
      </c>
      <c r="S52" s="197">
        <v>2.83</v>
      </c>
      <c r="T52" s="197">
        <v>0.76744186046511631</v>
      </c>
      <c r="U52" s="197">
        <v>0.76744186046511631</v>
      </c>
      <c r="V52" s="20">
        <f t="shared" si="44"/>
        <v>0</v>
      </c>
      <c r="W52" s="20">
        <f t="shared" si="44"/>
        <v>0</v>
      </c>
      <c r="X52" s="20">
        <f t="shared" si="44"/>
        <v>0</v>
      </c>
      <c r="Y52" s="20">
        <f t="shared" si="44"/>
        <v>0</v>
      </c>
      <c r="Z52" s="20">
        <f t="shared" si="45"/>
        <v>0</v>
      </c>
      <c r="AA52" s="20">
        <f t="shared" si="45"/>
        <v>0</v>
      </c>
      <c r="AB52" s="20">
        <f t="shared" si="45"/>
        <v>0</v>
      </c>
      <c r="AC52" s="20">
        <f t="shared" si="45"/>
        <v>0</v>
      </c>
      <c r="AD52" s="20">
        <f t="shared" si="46"/>
        <v>0</v>
      </c>
      <c r="AE52" s="20">
        <f t="shared" si="47"/>
        <v>0</v>
      </c>
      <c r="AF52" s="20">
        <f t="shared" si="47"/>
        <v>0</v>
      </c>
      <c r="AG52" s="20">
        <f t="shared" si="47"/>
        <v>0</v>
      </c>
      <c r="AH52" s="20">
        <f t="shared" si="47"/>
        <v>0</v>
      </c>
      <c r="AI52" s="20">
        <f t="shared" si="48"/>
        <v>0</v>
      </c>
      <c r="AJ52" s="20">
        <f t="shared" si="48"/>
        <v>0</v>
      </c>
      <c r="AK52" s="20">
        <f t="shared" si="48"/>
        <v>0</v>
      </c>
      <c r="AL52" s="20">
        <f t="shared" si="48"/>
        <v>0</v>
      </c>
      <c r="AM52" s="20">
        <f t="shared" si="49"/>
        <v>0</v>
      </c>
      <c r="AO52">
        <f t="shared" si="50"/>
        <v>0</v>
      </c>
      <c r="AP52">
        <f t="shared" si="50"/>
        <v>0</v>
      </c>
      <c r="AQ52">
        <f t="shared" si="50"/>
        <v>0</v>
      </c>
      <c r="AR52">
        <f t="shared" si="50"/>
        <v>0</v>
      </c>
      <c r="AS52">
        <f t="shared" si="51"/>
        <v>0</v>
      </c>
      <c r="AU52">
        <f t="shared" si="52"/>
        <v>0</v>
      </c>
      <c r="AV52">
        <f t="shared" si="52"/>
        <v>0</v>
      </c>
      <c r="AW52">
        <f t="shared" si="52"/>
        <v>0</v>
      </c>
      <c r="AX52">
        <f t="shared" si="52"/>
        <v>0</v>
      </c>
      <c r="AY52">
        <f t="shared" si="53"/>
        <v>0</v>
      </c>
    </row>
    <row r="53" spans="1:53" ht="15" x14ac:dyDescent="0.25">
      <c r="A53" s="1"/>
      <c r="B53" s="2"/>
      <c r="C53" s="1" t="s">
        <v>13</v>
      </c>
      <c r="D53">
        <v>0</v>
      </c>
      <c r="E53" s="360">
        <v>7.3499999999999996E-2</v>
      </c>
      <c r="F53">
        <v>0</v>
      </c>
      <c r="G53">
        <v>0</v>
      </c>
      <c r="H53">
        <v>0</v>
      </c>
      <c r="J53">
        <v>0</v>
      </c>
      <c r="K53" s="14">
        <v>5.4110147222699995E-2</v>
      </c>
      <c r="L53">
        <v>0</v>
      </c>
      <c r="M53">
        <v>0</v>
      </c>
      <c r="N53">
        <v>0</v>
      </c>
      <c r="O53" s="20"/>
      <c r="P53" s="20"/>
      <c r="Q53" s="438">
        <v>0.42200715588261112</v>
      </c>
      <c r="R53" s="197">
        <v>0.43</v>
      </c>
      <c r="S53" s="197">
        <v>2.83</v>
      </c>
      <c r="T53" s="197">
        <v>0.76744186046511631</v>
      </c>
      <c r="U53" s="197">
        <v>0.76744186046511631</v>
      </c>
      <c r="V53" s="20">
        <f t="shared" si="44"/>
        <v>7.1294974048619841E-2</v>
      </c>
      <c r="W53" s="20">
        <f t="shared" si="44"/>
        <v>0</v>
      </c>
      <c r="X53" s="20">
        <f t="shared" si="44"/>
        <v>0</v>
      </c>
      <c r="Y53" s="20">
        <f t="shared" si="44"/>
        <v>0</v>
      </c>
      <c r="Z53" s="20">
        <f t="shared" si="45"/>
        <v>5.774068461247029E-2</v>
      </c>
      <c r="AA53" s="20">
        <f t="shared" si="45"/>
        <v>0</v>
      </c>
      <c r="AB53" s="20">
        <f t="shared" si="45"/>
        <v>0</v>
      </c>
      <c r="AC53" s="20">
        <f t="shared" si="45"/>
        <v>0</v>
      </c>
      <c r="AD53" s="20">
        <f t="shared" si="46"/>
        <v>5.774068461247029E-2</v>
      </c>
      <c r="AE53" s="20">
        <f t="shared" si="47"/>
        <v>0.60581863843515971</v>
      </c>
      <c r="AF53" s="20">
        <f t="shared" si="47"/>
        <v>0</v>
      </c>
      <c r="AG53" s="20">
        <f t="shared" si="47"/>
        <v>0</v>
      </c>
      <c r="AH53" s="20">
        <f t="shared" si="47"/>
        <v>0</v>
      </c>
      <c r="AI53" s="20">
        <f t="shared" si="48"/>
        <v>0.49064304182768537</v>
      </c>
      <c r="AJ53" s="20">
        <f t="shared" si="48"/>
        <v>0</v>
      </c>
      <c r="AK53" s="20">
        <f t="shared" si="48"/>
        <v>0</v>
      </c>
      <c r="AL53" s="20">
        <f t="shared" si="48"/>
        <v>0</v>
      </c>
      <c r="AM53" s="20">
        <f t="shared" si="49"/>
        <v>0.49064304182768537</v>
      </c>
      <c r="AO53">
        <f t="shared" si="50"/>
        <v>6.5593417719766248E-2</v>
      </c>
      <c r="AP53">
        <f t="shared" si="50"/>
        <v>0</v>
      </c>
      <c r="AQ53">
        <f t="shared" si="50"/>
        <v>0</v>
      </c>
      <c r="AR53">
        <f t="shared" si="50"/>
        <v>0</v>
      </c>
      <c r="AS53">
        <f t="shared" si="51"/>
        <v>6.5593417719766248E-2</v>
      </c>
      <c r="AU53">
        <f t="shared" si="52"/>
        <v>0.55737049551625051</v>
      </c>
      <c r="AV53">
        <f t="shared" si="52"/>
        <v>0</v>
      </c>
      <c r="AW53">
        <f t="shared" si="52"/>
        <v>0</v>
      </c>
      <c r="AX53">
        <f t="shared" si="52"/>
        <v>0</v>
      </c>
      <c r="AY53">
        <f t="shared" si="53"/>
        <v>0.55737049551625051</v>
      </c>
    </row>
    <row r="54" spans="1:53" s="319" customFormat="1" ht="15" x14ac:dyDescent="0.25">
      <c r="A54" s="368"/>
      <c r="B54" s="369" t="s">
        <v>14</v>
      </c>
      <c r="C54" s="368"/>
      <c r="D54" s="370">
        <f t="shared" ref="D54:H54" si="54">SUM(D48:D53)</f>
        <v>0</v>
      </c>
      <c r="E54" s="363">
        <f>SUM(E48:E53)</f>
        <v>75.897300000000001</v>
      </c>
      <c r="F54" s="370">
        <f t="shared" si="54"/>
        <v>0</v>
      </c>
      <c r="G54" s="370">
        <f t="shared" si="54"/>
        <v>0</v>
      </c>
      <c r="H54" s="370">
        <f t="shared" si="54"/>
        <v>0</v>
      </c>
      <c r="J54" s="319">
        <v>0</v>
      </c>
      <c r="K54" s="14">
        <v>43.800961965811702</v>
      </c>
      <c r="L54" s="319">
        <v>0</v>
      </c>
      <c r="M54" s="319">
        <v>0</v>
      </c>
      <c r="N54" s="319">
        <v>0</v>
      </c>
      <c r="O54" s="372"/>
      <c r="P54" s="372"/>
      <c r="Q54" s="438">
        <v>0.41511988103193159</v>
      </c>
      <c r="R54" s="373"/>
      <c r="S54" s="373"/>
      <c r="T54" s="373"/>
      <c r="U54" s="373"/>
      <c r="BA54" s="319">
        <f>(E54*10000*Q54*AU$10)</f>
        <v>357913.59174588515</v>
      </c>
    </row>
    <row r="55" spans="1:53" ht="15" x14ac:dyDescent="0.25">
      <c r="A55" s="10"/>
      <c r="B55" s="9" t="s">
        <v>15</v>
      </c>
      <c r="C55" s="5"/>
      <c r="E55" s="363">
        <f>SUM(E54)</f>
        <v>75.897300000000001</v>
      </c>
      <c r="H55" s="358">
        <f>SUM(D54:H54)</f>
        <v>75.897300000000001</v>
      </c>
      <c r="K55" s="14"/>
      <c r="N55">
        <v>0</v>
      </c>
      <c r="O55" s="20"/>
      <c r="P55" s="20"/>
      <c r="Q55" s="438"/>
      <c r="R55" s="197"/>
      <c r="S55" s="197"/>
      <c r="T55" s="197"/>
      <c r="U55" s="197"/>
    </row>
    <row r="56" spans="1:53" ht="15.75" x14ac:dyDescent="0.25">
      <c r="A56" s="1"/>
      <c r="B56" s="2"/>
      <c r="C56" s="1"/>
      <c r="E56" s="361"/>
      <c r="K56" s="14"/>
      <c r="O56" s="20"/>
      <c r="P56" s="20"/>
      <c r="Q56" s="439"/>
      <c r="R56" s="197"/>
      <c r="S56" s="197"/>
      <c r="T56" s="197"/>
      <c r="U56" s="197"/>
    </row>
    <row r="57" spans="1:53" ht="15" x14ac:dyDescent="0.25">
      <c r="A57" s="1">
        <v>6</v>
      </c>
      <c r="B57" s="2" t="s">
        <v>20</v>
      </c>
      <c r="C57" s="1" t="s">
        <v>8</v>
      </c>
      <c r="D57">
        <v>0</v>
      </c>
      <c r="E57" s="360">
        <v>11.9978</v>
      </c>
      <c r="F57">
        <v>0</v>
      </c>
      <c r="G57">
        <v>0</v>
      </c>
      <c r="H57">
        <v>0</v>
      </c>
      <c r="J57">
        <v>0</v>
      </c>
      <c r="K57" s="14">
        <v>11.908647118760999</v>
      </c>
      <c r="L57">
        <v>0</v>
      </c>
      <c r="M57">
        <v>0</v>
      </c>
      <c r="N57">
        <v>0</v>
      </c>
      <c r="O57" s="20"/>
      <c r="P57" s="20"/>
      <c r="Q57" s="438">
        <v>0.45386526270059341</v>
      </c>
      <c r="R57" s="197">
        <v>0.33900000000000002</v>
      </c>
      <c r="S57" s="197">
        <v>1.9830000000000001</v>
      </c>
      <c r="T57" s="197">
        <v>0.76146788990825687</v>
      </c>
      <c r="U57" s="197">
        <v>0.76146788990825687</v>
      </c>
      <c r="V57" s="20">
        <f t="shared" ref="V57:Y62" si="55">IF(K57&gt;0,((E57-K57)*$Q57*$R57*10)+(K57*$O$12*$Q57*$R57*10),(E57*$Q57*$R57*10))</f>
        <v>6.8753750762750103</v>
      </c>
      <c r="W57" s="20">
        <f t="shared" si="55"/>
        <v>0</v>
      </c>
      <c r="X57" s="20">
        <f t="shared" si="55"/>
        <v>0</v>
      </c>
      <c r="Y57" s="20">
        <f t="shared" si="55"/>
        <v>0</v>
      </c>
      <c r="Z57" s="20">
        <f t="shared" ref="Z57:AC62" si="56">V57*(EXP(1.01-0.34*LN(Z$8))*(1-$T57)+(1*$T57))</f>
        <v>5.5346814613039408</v>
      </c>
      <c r="AA57" s="20">
        <f t="shared" si="56"/>
        <v>0</v>
      </c>
      <c r="AB57" s="20">
        <f t="shared" si="56"/>
        <v>0</v>
      </c>
      <c r="AC57" s="20">
        <f t="shared" si="56"/>
        <v>0</v>
      </c>
      <c r="AD57" s="20">
        <f t="shared" ref="AD57:AD62" si="57">SUM(Z57:AC57)</f>
        <v>5.5346814613039408</v>
      </c>
      <c r="AE57" s="20">
        <f t="shared" ref="AE57:AH62" si="58">IF(K57&gt;0,((E57-K57)*$Q57*$S57*10)+(K57*$P$12*$Q57*$S57)*10,(E57*$Q57*$S57*10))</f>
        <v>62.873325436447736</v>
      </c>
      <c r="AF57" s="20">
        <f t="shared" si="58"/>
        <v>0</v>
      </c>
      <c r="AG57" s="20">
        <f t="shared" si="58"/>
        <v>0</v>
      </c>
      <c r="AH57" s="20">
        <f t="shared" si="58"/>
        <v>0</v>
      </c>
      <c r="AI57" s="20">
        <f t="shared" ref="AI57:AL62" si="59">AE57*(EXP(1.01-0.34*LN(AI$8))*(1-$U57)+(1*$U57))</f>
        <v>50.613068355271452</v>
      </c>
      <c r="AJ57" s="20">
        <f t="shared" si="59"/>
        <v>0</v>
      </c>
      <c r="AK57" s="20">
        <f t="shared" si="59"/>
        <v>0</v>
      </c>
      <c r="AL57" s="20">
        <f t="shared" si="59"/>
        <v>0</v>
      </c>
      <c r="AM57" s="20">
        <f t="shared" ref="AM57:AM62" si="60">SUM(AI57:AL57)</f>
        <v>50.613068355271452</v>
      </c>
      <c r="AO57">
        <f t="shared" ref="AO57:AR62" si="61">Z57*AO$10</f>
        <v>6.287398140041276</v>
      </c>
      <c r="AP57">
        <f t="shared" si="61"/>
        <v>0</v>
      </c>
      <c r="AQ57">
        <f t="shared" si="61"/>
        <v>0</v>
      </c>
      <c r="AR57">
        <f t="shared" si="61"/>
        <v>0</v>
      </c>
      <c r="AS57">
        <f t="shared" ref="AS57:AS62" si="62">SUM(AO57:AR57)</f>
        <v>6.287398140041276</v>
      </c>
      <c r="AU57">
        <f t="shared" ref="AU57:AX62" si="63">AI57*AU$10</f>
        <v>57.496445651588367</v>
      </c>
      <c r="AV57">
        <f t="shared" si="63"/>
        <v>0</v>
      </c>
      <c r="AW57">
        <f t="shared" si="63"/>
        <v>0</v>
      </c>
      <c r="AX57">
        <f t="shared" si="63"/>
        <v>0</v>
      </c>
      <c r="AY57">
        <f t="shared" ref="AY57:AY62" si="64">SUM(AU57:AX57)</f>
        <v>57.496445651588367</v>
      </c>
    </row>
    <row r="58" spans="1:53" ht="15" x14ac:dyDescent="0.25">
      <c r="A58" s="1"/>
      <c r="B58" s="2"/>
      <c r="C58" s="1" t="s">
        <v>9</v>
      </c>
      <c r="D58">
        <v>0</v>
      </c>
      <c r="E58" s="360">
        <v>3.8092000000000001</v>
      </c>
      <c r="F58">
        <v>0</v>
      </c>
      <c r="G58">
        <v>0</v>
      </c>
      <c r="H58">
        <v>0</v>
      </c>
      <c r="J58">
        <v>0</v>
      </c>
      <c r="K58" s="14">
        <v>2.2897921524700005</v>
      </c>
      <c r="L58">
        <v>0</v>
      </c>
      <c r="M58">
        <v>0</v>
      </c>
      <c r="N58">
        <v>0</v>
      </c>
      <c r="O58" s="20"/>
      <c r="P58" s="20"/>
      <c r="Q58" s="438">
        <v>0.45773052540118681</v>
      </c>
      <c r="R58" s="197">
        <v>0.33900000000000002</v>
      </c>
      <c r="S58" s="197">
        <v>1.9830000000000001</v>
      </c>
      <c r="T58" s="197">
        <v>0.76146788990825687</v>
      </c>
      <c r="U58" s="197">
        <v>0.76146788990825687</v>
      </c>
      <c r="V58" s="20">
        <f t="shared" si="55"/>
        <v>3.6643293989071966</v>
      </c>
      <c r="W58" s="20">
        <f t="shared" si="55"/>
        <v>0</v>
      </c>
      <c r="X58" s="20">
        <f t="shared" si="55"/>
        <v>0</v>
      </c>
      <c r="Y58" s="20">
        <f t="shared" si="55"/>
        <v>0</v>
      </c>
      <c r="Z58" s="20">
        <f t="shared" si="56"/>
        <v>2.9497875777317737</v>
      </c>
      <c r="AA58" s="20">
        <f t="shared" si="56"/>
        <v>0</v>
      </c>
      <c r="AB58" s="20">
        <f t="shared" si="56"/>
        <v>0</v>
      </c>
      <c r="AC58" s="20">
        <f t="shared" si="56"/>
        <v>0</v>
      </c>
      <c r="AD58" s="20">
        <f t="shared" si="57"/>
        <v>2.9497875777317737</v>
      </c>
      <c r="AE58" s="20">
        <f t="shared" si="58"/>
        <v>25.827984264299374</v>
      </c>
      <c r="AF58" s="20">
        <f t="shared" si="58"/>
        <v>0</v>
      </c>
      <c r="AG58" s="20">
        <f t="shared" si="58"/>
        <v>0</v>
      </c>
      <c r="AH58" s="20">
        <f t="shared" si="58"/>
        <v>0</v>
      </c>
      <c r="AI58" s="20">
        <f t="shared" si="59"/>
        <v>20.791544330977203</v>
      </c>
      <c r="AJ58" s="20">
        <f t="shared" si="59"/>
        <v>0</v>
      </c>
      <c r="AK58" s="20">
        <f t="shared" si="59"/>
        <v>0</v>
      </c>
      <c r="AL58" s="20">
        <f t="shared" si="59"/>
        <v>0</v>
      </c>
      <c r="AM58" s="20">
        <f t="shared" si="60"/>
        <v>20.791544330977203</v>
      </c>
      <c r="AO58">
        <f t="shared" si="61"/>
        <v>3.3509586883032947</v>
      </c>
      <c r="AP58">
        <f t="shared" si="61"/>
        <v>0</v>
      </c>
      <c r="AQ58">
        <f t="shared" si="61"/>
        <v>0</v>
      </c>
      <c r="AR58">
        <f t="shared" si="61"/>
        <v>0</v>
      </c>
      <c r="AS58">
        <f t="shared" si="62"/>
        <v>3.3509586883032947</v>
      </c>
      <c r="AU58">
        <f t="shared" si="63"/>
        <v>23.6191943599901</v>
      </c>
      <c r="AV58">
        <f t="shared" si="63"/>
        <v>0</v>
      </c>
      <c r="AW58">
        <f t="shared" si="63"/>
        <v>0</v>
      </c>
      <c r="AX58">
        <f t="shared" si="63"/>
        <v>0</v>
      </c>
      <c r="AY58">
        <f t="shared" si="64"/>
        <v>23.6191943599901</v>
      </c>
    </row>
    <row r="59" spans="1:53" ht="15" x14ac:dyDescent="0.25">
      <c r="A59" s="1"/>
      <c r="B59" s="2"/>
      <c r="C59" s="1" t="s">
        <v>10</v>
      </c>
      <c r="D59">
        <v>0</v>
      </c>
      <c r="E59" s="360">
        <v>0.1384</v>
      </c>
      <c r="F59">
        <v>0</v>
      </c>
      <c r="G59">
        <v>0</v>
      </c>
      <c r="H59">
        <v>0</v>
      </c>
      <c r="J59">
        <v>0</v>
      </c>
      <c r="K59" s="14">
        <v>-8.809080921500001E-2</v>
      </c>
      <c r="L59">
        <v>0</v>
      </c>
      <c r="M59">
        <v>0</v>
      </c>
      <c r="N59">
        <v>0</v>
      </c>
      <c r="O59" s="20"/>
      <c r="P59" s="20"/>
      <c r="Q59" s="438">
        <v>0.46159578810178031</v>
      </c>
      <c r="R59" s="197">
        <v>0.33900000000000002</v>
      </c>
      <c r="S59" s="197">
        <v>1.9830000000000001</v>
      </c>
      <c r="T59" s="197">
        <v>0.76146788990825687</v>
      </c>
      <c r="U59" s="197">
        <v>0.76146788990825687</v>
      </c>
      <c r="V59" s="20">
        <f t="shared" si="55"/>
        <v>0.21656966547844089</v>
      </c>
      <c r="W59" s="20">
        <f t="shared" si="55"/>
        <v>0</v>
      </c>
      <c r="X59" s="20">
        <f t="shared" si="55"/>
        <v>0</v>
      </c>
      <c r="Y59" s="20">
        <f t="shared" si="55"/>
        <v>0</v>
      </c>
      <c r="Z59" s="20">
        <f t="shared" si="56"/>
        <v>0.17433872324151553</v>
      </c>
      <c r="AA59" s="20">
        <f t="shared" si="56"/>
        <v>0</v>
      </c>
      <c r="AB59" s="20">
        <f t="shared" si="56"/>
        <v>0</v>
      </c>
      <c r="AC59" s="20">
        <f t="shared" si="56"/>
        <v>0</v>
      </c>
      <c r="AD59" s="20">
        <f t="shared" si="57"/>
        <v>0.17433872324151553</v>
      </c>
      <c r="AE59" s="20">
        <f t="shared" si="58"/>
        <v>1.2668367157632692</v>
      </c>
      <c r="AF59" s="20">
        <f t="shared" si="58"/>
        <v>0</v>
      </c>
      <c r="AG59" s="20">
        <f t="shared" si="58"/>
        <v>0</v>
      </c>
      <c r="AH59" s="20">
        <f t="shared" si="58"/>
        <v>0</v>
      </c>
      <c r="AI59" s="20">
        <f t="shared" si="59"/>
        <v>1.0198043899348828</v>
      </c>
      <c r="AJ59" s="20">
        <f t="shared" si="59"/>
        <v>0</v>
      </c>
      <c r="AK59" s="20">
        <f t="shared" si="59"/>
        <v>0</v>
      </c>
      <c r="AL59" s="20">
        <f t="shared" si="59"/>
        <v>0</v>
      </c>
      <c r="AM59" s="20">
        <f t="shared" si="60"/>
        <v>1.0198043899348828</v>
      </c>
      <c r="AO59">
        <f t="shared" si="61"/>
        <v>0.19804878960236164</v>
      </c>
      <c r="AP59">
        <f t="shared" si="61"/>
        <v>0</v>
      </c>
      <c r="AQ59">
        <f t="shared" si="61"/>
        <v>0</v>
      </c>
      <c r="AR59">
        <f t="shared" si="61"/>
        <v>0</v>
      </c>
      <c r="AS59">
        <f t="shared" si="62"/>
        <v>0.19804878960236164</v>
      </c>
      <c r="AU59">
        <f t="shared" si="63"/>
        <v>1.1584977869660267</v>
      </c>
      <c r="AV59">
        <f t="shared" si="63"/>
        <v>0</v>
      </c>
      <c r="AW59">
        <f t="shared" si="63"/>
        <v>0</v>
      </c>
      <c r="AX59">
        <f t="shared" si="63"/>
        <v>0</v>
      </c>
      <c r="AY59">
        <f t="shared" si="64"/>
        <v>1.1584977869660267</v>
      </c>
    </row>
    <row r="60" spans="1:53" ht="15" x14ac:dyDescent="0.25">
      <c r="A60" s="1"/>
      <c r="B60" s="2"/>
      <c r="C60" s="1" t="s">
        <v>11</v>
      </c>
      <c r="D60">
        <v>0</v>
      </c>
      <c r="E60" s="360">
        <v>2.6183000000000001</v>
      </c>
      <c r="F60">
        <v>0</v>
      </c>
      <c r="G60">
        <v>0</v>
      </c>
      <c r="H60">
        <v>0</v>
      </c>
      <c r="J60">
        <v>0</v>
      </c>
      <c r="K60" s="14">
        <v>2.1201244640930001</v>
      </c>
      <c r="L60">
        <v>0</v>
      </c>
      <c r="M60">
        <v>0</v>
      </c>
      <c r="N60">
        <v>0</v>
      </c>
      <c r="O60" s="20"/>
      <c r="P60" s="20"/>
      <c r="Q60" s="438">
        <v>0.46546105080237371</v>
      </c>
      <c r="R60" s="197">
        <v>0.33900000000000002</v>
      </c>
      <c r="S60" s="197">
        <v>1.9830000000000001</v>
      </c>
      <c r="T60" s="197">
        <v>0.76146788990825687</v>
      </c>
      <c r="U60" s="197">
        <v>0.76146788990825687</v>
      </c>
      <c r="V60" s="20">
        <f t="shared" si="55"/>
        <v>2.0163449839717957</v>
      </c>
      <c r="W60" s="20">
        <f t="shared" si="55"/>
        <v>0</v>
      </c>
      <c r="X60" s="20">
        <f t="shared" si="55"/>
        <v>0</v>
      </c>
      <c r="Y60" s="20">
        <f t="shared" si="55"/>
        <v>0</v>
      </c>
      <c r="Z60" s="20">
        <f t="shared" si="56"/>
        <v>1.6231590391179269</v>
      </c>
      <c r="AA60" s="20">
        <f t="shared" si="56"/>
        <v>0</v>
      </c>
      <c r="AB60" s="20">
        <f t="shared" si="56"/>
        <v>0</v>
      </c>
      <c r="AC60" s="20">
        <f t="shared" si="56"/>
        <v>0</v>
      </c>
      <c r="AD60" s="20">
        <f t="shared" si="57"/>
        <v>1.6231590391179269</v>
      </c>
      <c r="AE60" s="20">
        <f t="shared" si="58"/>
        <v>15.931173461445116</v>
      </c>
      <c r="AF60" s="20">
        <f t="shared" si="58"/>
        <v>0</v>
      </c>
      <c r="AG60" s="20">
        <f t="shared" si="58"/>
        <v>0</v>
      </c>
      <c r="AH60" s="20">
        <f t="shared" si="58"/>
        <v>0</v>
      </c>
      <c r="AI60" s="20">
        <f t="shared" si="59"/>
        <v>12.824605121274217</v>
      </c>
      <c r="AJ60" s="20">
        <f t="shared" si="59"/>
        <v>0</v>
      </c>
      <c r="AK60" s="20">
        <f t="shared" si="59"/>
        <v>0</v>
      </c>
      <c r="AL60" s="20">
        <f t="shared" si="59"/>
        <v>0</v>
      </c>
      <c r="AM60" s="20">
        <f t="shared" si="60"/>
        <v>12.824605121274217</v>
      </c>
      <c r="AO60">
        <f t="shared" si="61"/>
        <v>1.8439086684379649</v>
      </c>
      <c r="AP60">
        <f t="shared" si="61"/>
        <v>0</v>
      </c>
      <c r="AQ60">
        <f t="shared" si="61"/>
        <v>0</v>
      </c>
      <c r="AR60">
        <f t="shared" si="61"/>
        <v>0</v>
      </c>
      <c r="AS60">
        <f t="shared" si="62"/>
        <v>1.8439086684379649</v>
      </c>
      <c r="AU60">
        <f t="shared" si="63"/>
        <v>14.56875141776751</v>
      </c>
      <c r="AV60">
        <f t="shared" si="63"/>
        <v>0</v>
      </c>
      <c r="AW60">
        <f t="shared" si="63"/>
        <v>0</v>
      </c>
      <c r="AX60">
        <f t="shared" si="63"/>
        <v>0</v>
      </c>
      <c r="AY60">
        <f t="shared" si="64"/>
        <v>14.56875141776751</v>
      </c>
    </row>
    <row r="61" spans="1:53" ht="15" x14ac:dyDescent="0.25">
      <c r="A61" s="1"/>
      <c r="B61" s="2"/>
      <c r="C61" s="1" t="s">
        <v>12</v>
      </c>
      <c r="D61">
        <v>0</v>
      </c>
      <c r="E61" s="360">
        <v>0</v>
      </c>
      <c r="F61">
        <v>0</v>
      </c>
      <c r="G61">
        <v>0</v>
      </c>
      <c r="H61">
        <v>0</v>
      </c>
      <c r="J61">
        <v>0</v>
      </c>
      <c r="K61" s="14">
        <v>0</v>
      </c>
      <c r="L61">
        <v>0</v>
      </c>
      <c r="M61">
        <v>0</v>
      </c>
      <c r="N61">
        <v>0</v>
      </c>
      <c r="O61" s="20"/>
      <c r="P61" s="20"/>
      <c r="Q61" s="438"/>
      <c r="R61" s="197">
        <v>0.33900000000000002</v>
      </c>
      <c r="S61" s="197">
        <v>1.9830000000000001</v>
      </c>
      <c r="T61" s="197">
        <v>0.76146788990825687</v>
      </c>
      <c r="U61" s="197">
        <v>0.76146788990825687</v>
      </c>
      <c r="V61" s="20">
        <f t="shared" si="55"/>
        <v>0</v>
      </c>
      <c r="W61" s="20">
        <f t="shared" si="55"/>
        <v>0</v>
      </c>
      <c r="X61" s="20">
        <f t="shared" si="55"/>
        <v>0</v>
      </c>
      <c r="Y61" s="20">
        <f t="shared" si="55"/>
        <v>0</v>
      </c>
      <c r="Z61" s="20">
        <f t="shared" si="56"/>
        <v>0</v>
      </c>
      <c r="AA61" s="20">
        <f t="shared" si="56"/>
        <v>0</v>
      </c>
      <c r="AB61" s="20">
        <f t="shared" si="56"/>
        <v>0</v>
      </c>
      <c r="AC61" s="20">
        <f t="shared" si="56"/>
        <v>0</v>
      </c>
      <c r="AD61" s="20">
        <f t="shared" si="57"/>
        <v>0</v>
      </c>
      <c r="AE61" s="20">
        <f t="shared" si="58"/>
        <v>0</v>
      </c>
      <c r="AF61" s="20">
        <f t="shared" si="58"/>
        <v>0</v>
      </c>
      <c r="AG61" s="20">
        <f t="shared" si="58"/>
        <v>0</v>
      </c>
      <c r="AH61" s="20">
        <f t="shared" si="58"/>
        <v>0</v>
      </c>
      <c r="AI61" s="20">
        <f t="shared" si="59"/>
        <v>0</v>
      </c>
      <c r="AJ61" s="20">
        <f t="shared" si="59"/>
        <v>0</v>
      </c>
      <c r="AK61" s="20">
        <f t="shared" si="59"/>
        <v>0</v>
      </c>
      <c r="AL61" s="20">
        <f t="shared" si="59"/>
        <v>0</v>
      </c>
      <c r="AM61" s="20">
        <f t="shared" si="60"/>
        <v>0</v>
      </c>
      <c r="AO61">
        <f t="shared" si="61"/>
        <v>0</v>
      </c>
      <c r="AP61">
        <f t="shared" si="61"/>
        <v>0</v>
      </c>
      <c r="AQ61">
        <f t="shared" si="61"/>
        <v>0</v>
      </c>
      <c r="AR61">
        <f t="shared" si="61"/>
        <v>0</v>
      </c>
      <c r="AS61">
        <f t="shared" si="62"/>
        <v>0</v>
      </c>
      <c r="AU61">
        <f t="shared" si="63"/>
        <v>0</v>
      </c>
      <c r="AV61">
        <f t="shared" si="63"/>
        <v>0</v>
      </c>
      <c r="AW61">
        <f t="shared" si="63"/>
        <v>0</v>
      </c>
      <c r="AX61">
        <f t="shared" si="63"/>
        <v>0</v>
      </c>
      <c r="AY61">
        <f t="shared" si="64"/>
        <v>0</v>
      </c>
    </row>
    <row r="62" spans="1:53" ht="15" x14ac:dyDescent="0.25">
      <c r="A62" s="1"/>
      <c r="B62" s="2"/>
      <c r="C62" s="1" t="s">
        <v>13</v>
      </c>
      <c r="D62">
        <v>0</v>
      </c>
      <c r="E62" s="360">
        <v>1.4E-3</v>
      </c>
      <c r="F62">
        <v>0</v>
      </c>
      <c r="G62">
        <v>0</v>
      </c>
      <c r="H62">
        <v>0</v>
      </c>
      <c r="J62">
        <v>0</v>
      </c>
      <c r="K62" s="14">
        <v>1.4E-3</v>
      </c>
      <c r="L62">
        <v>0</v>
      </c>
      <c r="M62">
        <v>0</v>
      </c>
      <c r="N62">
        <v>0</v>
      </c>
      <c r="O62" s="20"/>
      <c r="P62" s="20"/>
      <c r="Q62" s="438">
        <v>0.46546105080237365</v>
      </c>
      <c r="R62" s="197">
        <v>0.33900000000000002</v>
      </c>
      <c r="S62" s="197">
        <v>1.9830000000000001</v>
      </c>
      <c r="T62" s="197">
        <v>0.76146788990825687</v>
      </c>
      <c r="U62" s="197">
        <v>0.76146788990825687</v>
      </c>
      <c r="V62" s="20">
        <f t="shared" si="55"/>
        <v>8.1239300660650171E-4</v>
      </c>
      <c r="W62" s="20">
        <f t="shared" si="55"/>
        <v>0</v>
      </c>
      <c r="X62" s="20">
        <f t="shared" si="55"/>
        <v>0</v>
      </c>
      <c r="Y62" s="20">
        <f t="shared" si="55"/>
        <v>0</v>
      </c>
      <c r="Z62" s="20">
        <f t="shared" si="56"/>
        <v>6.5397690497985626E-4</v>
      </c>
      <c r="AA62" s="20">
        <f t="shared" si="56"/>
        <v>0</v>
      </c>
      <c r="AB62" s="20">
        <f t="shared" si="56"/>
        <v>0</v>
      </c>
      <c r="AC62" s="20">
        <f t="shared" si="56"/>
        <v>0</v>
      </c>
      <c r="AD62" s="20">
        <f t="shared" si="57"/>
        <v>6.5397690497985626E-4</v>
      </c>
      <c r="AE62" s="20">
        <f t="shared" si="58"/>
        <v>7.483595529497301E-3</v>
      </c>
      <c r="AF62" s="20">
        <f t="shared" si="58"/>
        <v>0</v>
      </c>
      <c r="AG62" s="20">
        <f t="shared" si="58"/>
        <v>0</v>
      </c>
      <c r="AH62" s="20">
        <f t="shared" si="58"/>
        <v>0</v>
      </c>
      <c r="AI62" s="20">
        <f t="shared" si="59"/>
        <v>6.0242993264370695E-3</v>
      </c>
      <c r="AJ62" s="20">
        <f t="shared" si="59"/>
        <v>0</v>
      </c>
      <c r="AK62" s="20">
        <f t="shared" si="59"/>
        <v>0</v>
      </c>
      <c r="AL62" s="20">
        <f t="shared" si="59"/>
        <v>0</v>
      </c>
      <c r="AM62" s="20">
        <f t="shared" si="60"/>
        <v>6.0242993264370695E-3</v>
      </c>
      <c r="AO62">
        <f t="shared" si="61"/>
        <v>7.4291776405711668E-4</v>
      </c>
      <c r="AP62">
        <f t="shared" si="61"/>
        <v>0</v>
      </c>
      <c r="AQ62">
        <f t="shared" si="61"/>
        <v>0</v>
      </c>
      <c r="AR62">
        <f t="shared" si="61"/>
        <v>0</v>
      </c>
      <c r="AS62">
        <f t="shared" si="62"/>
        <v>7.4291776405711668E-4</v>
      </c>
      <c r="AU62">
        <f t="shared" si="63"/>
        <v>6.8436040348325107E-3</v>
      </c>
      <c r="AV62">
        <f t="shared" si="63"/>
        <v>0</v>
      </c>
      <c r="AW62">
        <f t="shared" si="63"/>
        <v>0</v>
      </c>
      <c r="AX62">
        <f t="shared" si="63"/>
        <v>0</v>
      </c>
      <c r="AY62">
        <f t="shared" si="64"/>
        <v>6.8436040348325107E-3</v>
      </c>
    </row>
    <row r="63" spans="1:53" s="319" customFormat="1" ht="15" x14ac:dyDescent="0.25">
      <c r="A63" s="368"/>
      <c r="B63" s="369" t="s">
        <v>14</v>
      </c>
      <c r="C63" s="368"/>
      <c r="D63" s="370">
        <f t="shared" ref="D63:H63" si="65">SUM(D57:D62)</f>
        <v>0</v>
      </c>
      <c r="E63" s="363">
        <f>SUM(E57:E62)</f>
        <v>18.565100000000001</v>
      </c>
      <c r="F63" s="370">
        <f t="shared" si="65"/>
        <v>0</v>
      </c>
      <c r="G63" s="370">
        <f t="shared" si="65"/>
        <v>0</v>
      </c>
      <c r="H63" s="370">
        <f t="shared" si="65"/>
        <v>0</v>
      </c>
      <c r="J63" s="319">
        <v>0</v>
      </c>
      <c r="K63" s="14">
        <v>16.231872926109002</v>
      </c>
      <c r="L63" s="319">
        <v>0</v>
      </c>
      <c r="M63" s="319">
        <v>0</v>
      </c>
      <c r="N63" s="319">
        <v>0</v>
      </c>
      <c r="O63" s="372"/>
      <c r="P63" s="372"/>
      <c r="Q63" s="438">
        <v>0.45635223823451765</v>
      </c>
      <c r="R63" s="373"/>
      <c r="S63" s="373"/>
      <c r="T63" s="373"/>
      <c r="U63" s="373"/>
      <c r="BA63" s="319">
        <f>(E63*10000*Q63*AU$10)</f>
        <v>96244.475296221222</v>
      </c>
    </row>
    <row r="64" spans="1:53" ht="15" x14ac:dyDescent="0.25">
      <c r="A64" s="10"/>
      <c r="B64" s="9" t="s">
        <v>15</v>
      </c>
      <c r="C64" s="5"/>
      <c r="E64" s="363">
        <f>SUM(E63)</f>
        <v>18.565100000000001</v>
      </c>
      <c r="H64" s="358">
        <f>SUM(D63:H63)</f>
        <v>18.565100000000001</v>
      </c>
      <c r="K64" s="14"/>
      <c r="N64">
        <v>0</v>
      </c>
      <c r="O64" s="20"/>
      <c r="P64" s="20"/>
      <c r="Q64" s="438"/>
      <c r="R64" s="197"/>
      <c r="S64" s="197"/>
      <c r="T64" s="197"/>
      <c r="U64" s="197"/>
    </row>
    <row r="65" spans="1:53" ht="15.75" x14ac:dyDescent="0.25">
      <c r="A65" s="3"/>
      <c r="B65" s="11"/>
      <c r="C65" s="3"/>
      <c r="E65" s="361"/>
      <c r="K65" s="14"/>
      <c r="O65" s="20"/>
      <c r="P65" s="20"/>
      <c r="Q65" s="439"/>
      <c r="R65" s="197"/>
      <c r="S65" s="197"/>
      <c r="T65" s="197"/>
      <c r="U65" s="197"/>
    </row>
    <row r="66" spans="1:53" ht="15" x14ac:dyDescent="0.25">
      <c r="A66" s="3">
        <v>7</v>
      </c>
      <c r="B66" s="11" t="s">
        <v>21</v>
      </c>
      <c r="C66" s="3" t="s">
        <v>8</v>
      </c>
      <c r="D66">
        <v>0</v>
      </c>
      <c r="E66" s="360">
        <v>6.2215999999999996</v>
      </c>
      <c r="F66">
        <v>0</v>
      </c>
      <c r="G66">
        <v>0</v>
      </c>
      <c r="H66">
        <v>0</v>
      </c>
      <c r="J66">
        <v>0</v>
      </c>
      <c r="K66" s="14">
        <v>3.0276691686005992</v>
      </c>
      <c r="L66">
        <v>0</v>
      </c>
      <c r="M66">
        <v>0</v>
      </c>
      <c r="N66">
        <v>0</v>
      </c>
      <c r="O66" s="20"/>
      <c r="P66" s="20"/>
      <c r="Q66" s="438">
        <v>1.6653220147174977E-2</v>
      </c>
      <c r="R66" s="197">
        <v>0.15</v>
      </c>
      <c r="S66" s="197">
        <v>1.18</v>
      </c>
      <c r="T66" s="197">
        <v>0.46666666666666673</v>
      </c>
      <c r="U66" s="197">
        <v>0.6566321730950142</v>
      </c>
      <c r="V66" s="20">
        <f t="shared" ref="V66:Y71" si="66">IF(K66&gt;0,((E66-K66)*$Q66*$R66*10)+(K66*$O$12*$Q66*$R66*10),(E66*$Q66*$R66*10))</f>
        <v>0.10759718046065747</v>
      </c>
      <c r="W66" s="20">
        <f t="shared" si="66"/>
        <v>0</v>
      </c>
      <c r="X66" s="20">
        <f t="shared" si="66"/>
        <v>0</v>
      </c>
      <c r="Y66" s="20">
        <f t="shared" si="66"/>
        <v>0</v>
      </c>
      <c r="Z66" s="20">
        <f t="shared" ref="Z66:AC71" si="67">V66*(EXP(1.01-0.34*LN(Z$8))*(1-$T66)+(1*$T66))</f>
        <v>6.0684968110683177E-2</v>
      </c>
      <c r="AA66" s="20">
        <f t="shared" si="67"/>
        <v>0</v>
      </c>
      <c r="AB66" s="20">
        <f t="shared" si="67"/>
        <v>0</v>
      </c>
      <c r="AC66" s="20">
        <f t="shared" si="67"/>
        <v>0</v>
      </c>
      <c r="AD66" s="20">
        <f t="shared" ref="AD66:AD71" si="68">SUM(Z66:AC66)</f>
        <v>6.0684968110683177E-2</v>
      </c>
      <c r="AE66" s="20">
        <f t="shared" ref="AE66:AH71" si="69">IF(K66&gt;0,((E66-K66)*$Q66*$S66*10)+(K66*$P$12*$Q66*$S66)*10,(E66*$Q66*$S66*10))</f>
        <v>0.97219295379642934</v>
      </c>
      <c r="AF66" s="20">
        <f t="shared" si="69"/>
        <v>0</v>
      </c>
      <c r="AG66" s="20">
        <f t="shared" si="69"/>
        <v>0</v>
      </c>
      <c r="AH66" s="20">
        <f t="shared" si="69"/>
        <v>0</v>
      </c>
      <c r="AI66" s="20">
        <f t="shared" ref="AI66:AL71" si="70">AE66*(EXP(1.01-0.34*LN(AI$8))*(1-$U66)+(1*$U66))</f>
        <v>0.6992962031507125</v>
      </c>
      <c r="AJ66" s="20">
        <f t="shared" si="70"/>
        <v>0</v>
      </c>
      <c r="AK66" s="20">
        <f t="shared" si="70"/>
        <v>0</v>
      </c>
      <c r="AL66" s="20">
        <f t="shared" si="70"/>
        <v>0</v>
      </c>
      <c r="AM66" s="20">
        <f t="shared" ref="AM66:AM71" si="71">SUM(AI66:AL66)</f>
        <v>0.6992962031507125</v>
      </c>
      <c r="AO66">
        <f t="shared" ref="AO66:AR71" si="72">Z66*AO$10</f>
        <v>6.8938123773736079E-2</v>
      </c>
      <c r="AP66">
        <f t="shared" si="72"/>
        <v>0</v>
      </c>
      <c r="AQ66">
        <f t="shared" si="72"/>
        <v>0</v>
      </c>
      <c r="AR66">
        <f t="shared" si="72"/>
        <v>0</v>
      </c>
      <c r="AS66">
        <f t="shared" ref="AS66:AS71" si="73">SUM(AO66:AR66)</f>
        <v>6.8938123773736079E-2</v>
      </c>
      <c r="AU66">
        <f t="shared" ref="AU66:AX71" si="74">AI66*AU$10</f>
        <v>0.79440048677920938</v>
      </c>
      <c r="AV66">
        <f t="shared" si="74"/>
        <v>0</v>
      </c>
      <c r="AW66">
        <f t="shared" si="74"/>
        <v>0</v>
      </c>
      <c r="AX66">
        <f t="shared" si="74"/>
        <v>0</v>
      </c>
      <c r="AY66">
        <f t="shared" ref="AY66:AY71" si="75">SUM(AU66:AX66)</f>
        <v>0.79440048677920938</v>
      </c>
    </row>
    <row r="67" spans="1:53" ht="15" x14ac:dyDescent="0.25">
      <c r="A67" s="3"/>
      <c r="B67" s="11"/>
      <c r="C67" s="3" t="s">
        <v>9</v>
      </c>
      <c r="D67">
        <v>0</v>
      </c>
      <c r="E67" s="360">
        <v>3.8833000000000002</v>
      </c>
      <c r="F67">
        <v>0</v>
      </c>
      <c r="G67">
        <v>0</v>
      </c>
      <c r="H67">
        <v>0</v>
      </c>
      <c r="J67">
        <v>0</v>
      </c>
      <c r="K67" s="14">
        <v>-24.426011909499998</v>
      </c>
      <c r="L67">
        <v>0</v>
      </c>
      <c r="M67">
        <v>0</v>
      </c>
      <c r="N67">
        <v>0</v>
      </c>
      <c r="O67" s="20"/>
      <c r="P67" s="20"/>
      <c r="Q67" s="438">
        <v>2.4306440294349956E-2</v>
      </c>
      <c r="R67" s="197">
        <v>0.15</v>
      </c>
      <c r="S67" s="197">
        <v>1.18</v>
      </c>
      <c r="T67" s="197">
        <v>0.46666666666666673</v>
      </c>
      <c r="U67" s="197">
        <v>0.6566321730950142</v>
      </c>
      <c r="V67" s="20">
        <f t="shared" si="66"/>
        <v>0.14158379939257376</v>
      </c>
      <c r="W67" s="20">
        <f t="shared" si="66"/>
        <v>0</v>
      </c>
      <c r="X67" s="20">
        <f t="shared" si="66"/>
        <v>0</v>
      </c>
      <c r="Y67" s="20">
        <f t="shared" si="66"/>
        <v>0</v>
      </c>
      <c r="Z67" s="20">
        <f t="shared" si="67"/>
        <v>7.9853471200105844E-2</v>
      </c>
      <c r="AA67" s="20">
        <f t="shared" si="67"/>
        <v>0</v>
      </c>
      <c r="AB67" s="20">
        <f t="shared" si="67"/>
        <v>0</v>
      </c>
      <c r="AC67" s="20">
        <f t="shared" si="67"/>
        <v>0</v>
      </c>
      <c r="AD67" s="20">
        <f t="shared" si="68"/>
        <v>7.9853471200105844E-2</v>
      </c>
      <c r="AE67" s="20">
        <f t="shared" si="69"/>
        <v>1.1137925552215804</v>
      </c>
      <c r="AF67" s="20">
        <f t="shared" si="69"/>
        <v>0</v>
      </c>
      <c r="AG67" s="20">
        <f t="shared" si="69"/>
        <v>0</v>
      </c>
      <c r="AH67" s="20">
        <f t="shared" si="69"/>
        <v>0</v>
      </c>
      <c r="AI67" s="20">
        <f t="shared" si="70"/>
        <v>0.80114847769928577</v>
      </c>
      <c r="AJ67" s="20">
        <f t="shared" si="70"/>
        <v>0</v>
      </c>
      <c r="AK67" s="20">
        <f t="shared" si="70"/>
        <v>0</v>
      </c>
      <c r="AL67" s="20">
        <f t="shared" si="70"/>
        <v>0</v>
      </c>
      <c r="AM67" s="20">
        <f t="shared" si="71"/>
        <v>0.80114847769928577</v>
      </c>
      <c r="AO67">
        <f t="shared" si="72"/>
        <v>9.0713543283320236E-2</v>
      </c>
      <c r="AP67">
        <f t="shared" si="72"/>
        <v>0</v>
      </c>
      <c r="AQ67">
        <f t="shared" si="72"/>
        <v>0</v>
      </c>
      <c r="AR67">
        <f t="shared" si="72"/>
        <v>0</v>
      </c>
      <c r="AS67">
        <f t="shared" si="73"/>
        <v>9.0713543283320236E-2</v>
      </c>
      <c r="AU67">
        <f t="shared" si="74"/>
        <v>0.91010467066638856</v>
      </c>
      <c r="AV67">
        <f t="shared" si="74"/>
        <v>0</v>
      </c>
      <c r="AW67">
        <f t="shared" si="74"/>
        <v>0</v>
      </c>
      <c r="AX67">
        <f t="shared" si="74"/>
        <v>0</v>
      </c>
      <c r="AY67">
        <f t="shared" si="75"/>
        <v>0.91010467066638856</v>
      </c>
    </row>
    <row r="68" spans="1:53" ht="15" x14ac:dyDescent="0.25">
      <c r="A68" s="3"/>
      <c r="B68" s="11"/>
      <c r="C68" s="3" t="s">
        <v>10</v>
      </c>
      <c r="D68">
        <v>0</v>
      </c>
      <c r="E68" s="360">
        <v>0</v>
      </c>
      <c r="F68">
        <v>0</v>
      </c>
      <c r="G68">
        <v>0</v>
      </c>
      <c r="H68">
        <v>0</v>
      </c>
      <c r="J68">
        <v>0</v>
      </c>
      <c r="K68" s="14">
        <v>0</v>
      </c>
      <c r="L68">
        <v>0</v>
      </c>
      <c r="M68">
        <v>0</v>
      </c>
      <c r="N68">
        <v>0</v>
      </c>
      <c r="O68" s="20"/>
      <c r="P68" s="20"/>
      <c r="Q68" s="438"/>
      <c r="R68" s="197">
        <v>0.15</v>
      </c>
      <c r="S68" s="197">
        <v>1.18</v>
      </c>
      <c r="T68" s="197">
        <v>0.46666666666666673</v>
      </c>
      <c r="U68" s="197">
        <v>0.6566321730950142</v>
      </c>
      <c r="V68" s="20">
        <f t="shared" si="66"/>
        <v>0</v>
      </c>
      <c r="W68" s="20">
        <f t="shared" si="66"/>
        <v>0</v>
      </c>
      <c r="X68" s="20">
        <f t="shared" si="66"/>
        <v>0</v>
      </c>
      <c r="Y68" s="20">
        <f t="shared" si="66"/>
        <v>0</v>
      </c>
      <c r="Z68" s="20">
        <f t="shared" si="67"/>
        <v>0</v>
      </c>
      <c r="AA68" s="20">
        <f t="shared" si="67"/>
        <v>0</v>
      </c>
      <c r="AB68" s="20">
        <f t="shared" si="67"/>
        <v>0</v>
      </c>
      <c r="AC68" s="20">
        <f t="shared" si="67"/>
        <v>0</v>
      </c>
      <c r="AD68" s="20">
        <f t="shared" si="68"/>
        <v>0</v>
      </c>
      <c r="AE68" s="20">
        <f t="shared" si="69"/>
        <v>0</v>
      </c>
      <c r="AF68" s="20">
        <f t="shared" si="69"/>
        <v>0</v>
      </c>
      <c r="AG68" s="20">
        <f t="shared" si="69"/>
        <v>0</v>
      </c>
      <c r="AH68" s="20">
        <f t="shared" si="69"/>
        <v>0</v>
      </c>
      <c r="AI68" s="20">
        <f t="shared" si="70"/>
        <v>0</v>
      </c>
      <c r="AJ68" s="20">
        <f t="shared" si="70"/>
        <v>0</v>
      </c>
      <c r="AK68" s="20">
        <f t="shared" si="70"/>
        <v>0</v>
      </c>
      <c r="AL68" s="20">
        <f t="shared" si="70"/>
        <v>0</v>
      </c>
      <c r="AM68" s="20">
        <f t="shared" si="71"/>
        <v>0</v>
      </c>
      <c r="AO68">
        <f t="shared" si="72"/>
        <v>0</v>
      </c>
      <c r="AP68">
        <f t="shared" si="72"/>
        <v>0</v>
      </c>
      <c r="AQ68">
        <f t="shared" si="72"/>
        <v>0</v>
      </c>
      <c r="AR68">
        <f t="shared" si="72"/>
        <v>0</v>
      </c>
      <c r="AS68">
        <f t="shared" si="73"/>
        <v>0</v>
      </c>
      <c r="AU68">
        <f t="shared" si="74"/>
        <v>0</v>
      </c>
      <c r="AV68">
        <f t="shared" si="74"/>
        <v>0</v>
      </c>
      <c r="AW68">
        <f t="shared" si="74"/>
        <v>0</v>
      </c>
      <c r="AX68">
        <f t="shared" si="74"/>
        <v>0</v>
      </c>
      <c r="AY68">
        <f t="shared" si="75"/>
        <v>0</v>
      </c>
    </row>
    <row r="69" spans="1:53" ht="15" x14ac:dyDescent="0.25">
      <c r="A69" s="3"/>
      <c r="B69" s="11"/>
      <c r="C69" s="3" t="s">
        <v>11</v>
      </c>
      <c r="D69">
        <v>0</v>
      </c>
      <c r="E69" s="360">
        <v>0.13730000000000001</v>
      </c>
      <c r="F69">
        <v>0</v>
      </c>
      <c r="G69">
        <v>0</v>
      </c>
      <c r="H69">
        <v>0</v>
      </c>
      <c r="J69">
        <v>0</v>
      </c>
      <c r="K69" s="14">
        <v>-0.29315512371429997</v>
      </c>
      <c r="L69">
        <v>0</v>
      </c>
      <c r="M69">
        <v>0</v>
      </c>
      <c r="N69">
        <v>0</v>
      </c>
      <c r="O69" s="20"/>
      <c r="P69" s="20"/>
      <c r="Q69" s="438">
        <v>3.9612880588699911E-2</v>
      </c>
      <c r="R69" s="197">
        <v>0.15</v>
      </c>
      <c r="S69" s="197">
        <v>1.18</v>
      </c>
      <c r="T69" s="197">
        <v>0.46666666666666673</v>
      </c>
      <c r="U69" s="197">
        <v>0.6566321730950142</v>
      </c>
      <c r="V69" s="20">
        <f t="shared" si="66"/>
        <v>8.1582727572427471E-3</v>
      </c>
      <c r="W69" s="20">
        <f t="shared" si="66"/>
        <v>0</v>
      </c>
      <c r="X69" s="20">
        <f t="shared" si="66"/>
        <v>0</v>
      </c>
      <c r="Y69" s="20">
        <f t="shared" si="66"/>
        <v>0</v>
      </c>
      <c r="Z69" s="20">
        <f t="shared" si="67"/>
        <v>4.6012778401062042E-3</v>
      </c>
      <c r="AA69" s="20">
        <f t="shared" si="67"/>
        <v>0</v>
      </c>
      <c r="AB69" s="20">
        <f t="shared" si="67"/>
        <v>0</v>
      </c>
      <c r="AC69" s="20">
        <f t="shared" si="67"/>
        <v>0</v>
      </c>
      <c r="AD69" s="20">
        <f t="shared" si="68"/>
        <v>4.6012778401062042E-3</v>
      </c>
      <c r="AE69" s="20">
        <f t="shared" si="69"/>
        <v>6.4178412356976272E-2</v>
      </c>
      <c r="AF69" s="20">
        <f t="shared" si="69"/>
        <v>0</v>
      </c>
      <c r="AG69" s="20">
        <f t="shared" si="69"/>
        <v>0</v>
      </c>
      <c r="AH69" s="20">
        <f t="shared" si="69"/>
        <v>0</v>
      </c>
      <c r="AI69" s="20">
        <f t="shared" si="70"/>
        <v>4.616338753558976E-2</v>
      </c>
      <c r="AJ69" s="20">
        <f t="shared" si="70"/>
        <v>0</v>
      </c>
      <c r="AK69" s="20">
        <f t="shared" si="70"/>
        <v>0</v>
      </c>
      <c r="AL69" s="20">
        <f t="shared" si="70"/>
        <v>0</v>
      </c>
      <c r="AM69" s="20">
        <f t="shared" si="71"/>
        <v>4.616338753558976E-2</v>
      </c>
      <c r="AO69">
        <f t="shared" si="72"/>
        <v>5.2270516263606473E-3</v>
      </c>
      <c r="AP69">
        <f t="shared" si="72"/>
        <v>0</v>
      </c>
      <c r="AQ69">
        <f t="shared" si="72"/>
        <v>0</v>
      </c>
      <c r="AR69">
        <f t="shared" si="72"/>
        <v>0</v>
      </c>
      <c r="AS69">
        <f t="shared" si="73"/>
        <v>5.2270516263606473E-3</v>
      </c>
      <c r="AU69">
        <f t="shared" si="74"/>
        <v>5.2441608240429961E-2</v>
      </c>
      <c r="AV69">
        <f t="shared" si="74"/>
        <v>0</v>
      </c>
      <c r="AW69">
        <f t="shared" si="74"/>
        <v>0</v>
      </c>
      <c r="AX69">
        <f t="shared" si="74"/>
        <v>0</v>
      </c>
      <c r="AY69">
        <f t="shared" si="75"/>
        <v>5.2441608240429961E-2</v>
      </c>
    </row>
    <row r="70" spans="1:53" ht="15" x14ac:dyDescent="0.25">
      <c r="A70" s="3"/>
      <c r="B70" s="12"/>
      <c r="C70" s="3" t="s">
        <v>12</v>
      </c>
      <c r="D70">
        <v>0</v>
      </c>
      <c r="E70" s="360">
        <v>0</v>
      </c>
      <c r="F70">
        <v>0</v>
      </c>
      <c r="G70">
        <v>0</v>
      </c>
      <c r="H70">
        <v>0</v>
      </c>
      <c r="J70">
        <v>0</v>
      </c>
      <c r="K70" s="14">
        <v>0</v>
      </c>
      <c r="L70">
        <v>0</v>
      </c>
      <c r="M70">
        <v>0</v>
      </c>
      <c r="N70">
        <v>0</v>
      </c>
      <c r="O70" s="20"/>
      <c r="P70" s="20"/>
      <c r="Q70" s="438"/>
      <c r="R70" s="197">
        <v>0.15</v>
      </c>
      <c r="S70" s="197">
        <v>1.18</v>
      </c>
      <c r="T70" s="197">
        <v>0.46666666666666673</v>
      </c>
      <c r="U70" s="197">
        <v>0.6566321730950142</v>
      </c>
      <c r="V70" s="20">
        <f t="shared" si="66"/>
        <v>0</v>
      </c>
      <c r="W70" s="20">
        <f t="shared" si="66"/>
        <v>0</v>
      </c>
      <c r="X70" s="20">
        <f t="shared" si="66"/>
        <v>0</v>
      </c>
      <c r="Y70" s="20">
        <f t="shared" si="66"/>
        <v>0</v>
      </c>
      <c r="Z70" s="20">
        <f t="shared" si="67"/>
        <v>0</v>
      </c>
      <c r="AA70" s="20">
        <f t="shared" si="67"/>
        <v>0</v>
      </c>
      <c r="AB70" s="20">
        <f t="shared" si="67"/>
        <v>0</v>
      </c>
      <c r="AC70" s="20">
        <f t="shared" si="67"/>
        <v>0</v>
      </c>
      <c r="AD70" s="20">
        <f t="shared" si="68"/>
        <v>0</v>
      </c>
      <c r="AE70" s="20">
        <f t="shared" si="69"/>
        <v>0</v>
      </c>
      <c r="AF70" s="20">
        <f t="shared" si="69"/>
        <v>0</v>
      </c>
      <c r="AG70" s="20">
        <f t="shared" si="69"/>
        <v>0</v>
      </c>
      <c r="AH70" s="20">
        <f t="shared" si="69"/>
        <v>0</v>
      </c>
      <c r="AI70" s="20">
        <f t="shared" si="70"/>
        <v>0</v>
      </c>
      <c r="AJ70" s="20">
        <f t="shared" si="70"/>
        <v>0</v>
      </c>
      <c r="AK70" s="20">
        <f t="shared" si="70"/>
        <v>0</v>
      </c>
      <c r="AL70" s="20">
        <f t="shared" si="70"/>
        <v>0</v>
      </c>
      <c r="AM70" s="20">
        <f t="shared" si="71"/>
        <v>0</v>
      </c>
      <c r="AO70">
        <f t="shared" si="72"/>
        <v>0</v>
      </c>
      <c r="AP70">
        <f t="shared" si="72"/>
        <v>0</v>
      </c>
      <c r="AQ70">
        <f t="shared" si="72"/>
        <v>0</v>
      </c>
      <c r="AR70">
        <f t="shared" si="72"/>
        <v>0</v>
      </c>
      <c r="AS70">
        <f t="shared" si="73"/>
        <v>0</v>
      </c>
      <c r="AU70">
        <f t="shared" si="74"/>
        <v>0</v>
      </c>
      <c r="AV70">
        <f t="shared" si="74"/>
        <v>0</v>
      </c>
      <c r="AW70">
        <f t="shared" si="74"/>
        <v>0</v>
      </c>
      <c r="AX70">
        <f t="shared" si="74"/>
        <v>0</v>
      </c>
      <c r="AY70">
        <f t="shared" si="75"/>
        <v>0</v>
      </c>
    </row>
    <row r="71" spans="1:53" ht="15" x14ac:dyDescent="0.25">
      <c r="A71" s="3"/>
      <c r="B71" s="12"/>
      <c r="C71" s="3" t="s">
        <v>13</v>
      </c>
      <c r="D71">
        <v>0</v>
      </c>
      <c r="E71" s="360">
        <v>0</v>
      </c>
      <c r="F71">
        <v>0</v>
      </c>
      <c r="G71">
        <v>0</v>
      </c>
      <c r="H71">
        <v>0</v>
      </c>
      <c r="J71">
        <v>0</v>
      </c>
      <c r="K71" s="14">
        <v>-3.8476341248699999</v>
      </c>
      <c r="L71">
        <v>0</v>
      </c>
      <c r="M71">
        <v>0</v>
      </c>
      <c r="N71">
        <v>0</v>
      </c>
      <c r="O71" s="20"/>
      <c r="P71" s="20"/>
      <c r="Q71" s="438"/>
      <c r="R71" s="197">
        <v>0.15</v>
      </c>
      <c r="S71" s="197">
        <v>1.18</v>
      </c>
      <c r="T71" s="197">
        <v>0.46666666666666673</v>
      </c>
      <c r="U71" s="197">
        <v>0.6566321730950142</v>
      </c>
      <c r="V71" s="20">
        <f t="shared" si="66"/>
        <v>0</v>
      </c>
      <c r="W71" s="20">
        <f t="shared" si="66"/>
        <v>0</v>
      </c>
      <c r="X71" s="20">
        <f t="shared" si="66"/>
        <v>0</v>
      </c>
      <c r="Y71" s="20">
        <f t="shared" si="66"/>
        <v>0</v>
      </c>
      <c r="Z71" s="20">
        <f t="shared" si="67"/>
        <v>0</v>
      </c>
      <c r="AA71" s="20">
        <f t="shared" si="67"/>
        <v>0</v>
      </c>
      <c r="AB71" s="20">
        <f t="shared" si="67"/>
        <v>0</v>
      </c>
      <c r="AC71" s="20">
        <f t="shared" si="67"/>
        <v>0</v>
      </c>
      <c r="AD71" s="20">
        <f t="shared" si="68"/>
        <v>0</v>
      </c>
      <c r="AE71" s="20">
        <f t="shared" si="69"/>
        <v>0</v>
      </c>
      <c r="AF71" s="20">
        <f t="shared" si="69"/>
        <v>0</v>
      </c>
      <c r="AG71" s="20">
        <f t="shared" si="69"/>
        <v>0</v>
      </c>
      <c r="AH71" s="20">
        <f t="shared" si="69"/>
        <v>0</v>
      </c>
      <c r="AI71" s="20">
        <f t="shared" si="70"/>
        <v>0</v>
      </c>
      <c r="AJ71" s="20">
        <f t="shared" si="70"/>
        <v>0</v>
      </c>
      <c r="AK71" s="20">
        <f t="shared" si="70"/>
        <v>0</v>
      </c>
      <c r="AL71" s="20">
        <f t="shared" si="70"/>
        <v>0</v>
      </c>
      <c r="AM71" s="20">
        <f t="shared" si="71"/>
        <v>0</v>
      </c>
      <c r="AO71">
        <f t="shared" si="72"/>
        <v>0</v>
      </c>
      <c r="AP71">
        <f t="shared" si="72"/>
        <v>0</v>
      </c>
      <c r="AQ71">
        <f t="shared" si="72"/>
        <v>0</v>
      </c>
      <c r="AR71">
        <f t="shared" si="72"/>
        <v>0</v>
      </c>
      <c r="AS71">
        <f t="shared" si="73"/>
        <v>0</v>
      </c>
      <c r="AU71">
        <f t="shared" si="74"/>
        <v>0</v>
      </c>
      <c r="AV71">
        <f t="shared" si="74"/>
        <v>0</v>
      </c>
      <c r="AW71">
        <f t="shared" si="74"/>
        <v>0</v>
      </c>
      <c r="AX71">
        <f t="shared" si="74"/>
        <v>0</v>
      </c>
      <c r="AY71">
        <f t="shared" si="75"/>
        <v>0</v>
      </c>
    </row>
    <row r="72" spans="1:53" s="319" customFormat="1" ht="15" x14ac:dyDescent="0.25">
      <c r="A72" s="368"/>
      <c r="B72" s="369" t="s">
        <v>14</v>
      </c>
      <c r="C72" s="368"/>
      <c r="D72" s="370">
        <f t="shared" ref="D72:H72" si="76">SUM(D66:D71)</f>
        <v>0</v>
      </c>
      <c r="E72" s="363">
        <f>SUM(E66:E71)</f>
        <v>10.2422</v>
      </c>
      <c r="F72" s="370">
        <f t="shared" si="76"/>
        <v>0</v>
      </c>
      <c r="G72" s="370">
        <f t="shared" si="76"/>
        <v>0</v>
      </c>
      <c r="H72" s="370">
        <f t="shared" si="76"/>
        <v>0</v>
      </c>
      <c r="J72" s="319">
        <v>0</v>
      </c>
      <c r="K72" s="14">
        <v>-25.539131989483696</v>
      </c>
      <c r="L72" s="319">
        <v>0</v>
      </c>
      <c r="M72" s="319">
        <v>0</v>
      </c>
      <c r="N72" s="319">
        <v>0</v>
      </c>
      <c r="O72" s="372"/>
      <c r="P72" s="372"/>
      <c r="Q72" s="438">
        <v>1.9862697718023618E-2</v>
      </c>
      <c r="R72" s="373"/>
      <c r="S72" s="373"/>
      <c r="T72" s="373"/>
      <c r="U72" s="373"/>
      <c r="BA72" s="319">
        <f>(E72*10000*Q72*AU$10)</f>
        <v>2311.0525283672714</v>
      </c>
    </row>
    <row r="73" spans="1:53" ht="15" x14ac:dyDescent="0.25">
      <c r="A73" s="10"/>
      <c r="B73" s="9" t="s">
        <v>15</v>
      </c>
      <c r="C73" s="5"/>
      <c r="E73" s="363">
        <f>SUM(E72)</f>
        <v>10.2422</v>
      </c>
      <c r="H73" s="358">
        <f>SUM(D72:H72)</f>
        <v>10.2422</v>
      </c>
      <c r="K73" s="14"/>
      <c r="N73">
        <v>0</v>
      </c>
      <c r="O73" s="20"/>
      <c r="P73" s="20"/>
      <c r="Q73" s="438"/>
      <c r="R73" s="197"/>
      <c r="S73" s="197"/>
      <c r="T73" s="197"/>
      <c r="U73" s="197"/>
    </row>
    <row r="74" spans="1:53" ht="15.75" x14ac:dyDescent="0.25">
      <c r="A74" s="1"/>
      <c r="B74" s="2"/>
      <c r="C74" s="1"/>
      <c r="E74" s="361"/>
      <c r="K74" s="14"/>
      <c r="O74" s="20"/>
      <c r="P74" s="20"/>
      <c r="Q74" s="439"/>
      <c r="R74" s="197"/>
      <c r="S74" s="197"/>
      <c r="T74" s="197"/>
      <c r="U74" s="197"/>
    </row>
    <row r="75" spans="1:53" ht="15" x14ac:dyDescent="0.25">
      <c r="A75" s="1">
        <v>8</v>
      </c>
      <c r="B75" s="2" t="s">
        <v>22</v>
      </c>
      <c r="C75" s="1" t="s">
        <v>8</v>
      </c>
      <c r="D75">
        <v>0</v>
      </c>
      <c r="E75" s="360">
        <v>7.4356</v>
      </c>
      <c r="F75">
        <v>0</v>
      </c>
      <c r="G75">
        <v>0</v>
      </c>
      <c r="H75">
        <v>0</v>
      </c>
      <c r="J75">
        <v>0</v>
      </c>
      <c r="K75">
        <v>0</v>
      </c>
      <c r="L75">
        <v>0</v>
      </c>
      <c r="M75">
        <v>0</v>
      </c>
      <c r="N75">
        <v>0</v>
      </c>
      <c r="O75" s="20"/>
      <c r="P75" s="20"/>
      <c r="Q75" s="438">
        <v>1.6653220147174977E-2</v>
      </c>
      <c r="R75" s="197">
        <v>5.6499999999999995E-2</v>
      </c>
      <c r="S75" s="197">
        <v>1.25</v>
      </c>
      <c r="T75" s="197">
        <v>0.50078889239507718</v>
      </c>
      <c r="U75" s="197">
        <v>0.75268470790377973</v>
      </c>
      <c r="V75" s="20">
        <f t="shared" ref="V75:Y80" si="77">IF(K75&gt;0,((E75-K75)*$Q75*$R75*10)+(K75*$O$12*$Q75*$R75*10),(E75*$Q75*$R75*10))</f>
        <v>6.9962076305378845E-2</v>
      </c>
      <c r="W75" s="20">
        <f t="shared" si="77"/>
        <v>0</v>
      </c>
      <c r="X75" s="20">
        <f t="shared" si="77"/>
        <v>0</v>
      </c>
      <c r="Y75" s="20">
        <f t="shared" si="77"/>
        <v>0</v>
      </c>
      <c r="Z75" s="20">
        <f t="shared" ref="Z75:AC80" si="78">V75*(EXP(1.01-0.34*LN(Z$8))*(1-$T75)+(1*$T75))</f>
        <v>4.1410293888709759E-2</v>
      </c>
      <c r="AA75" s="20">
        <f t="shared" si="78"/>
        <v>0</v>
      </c>
      <c r="AB75" s="20">
        <f t="shared" si="78"/>
        <v>0</v>
      </c>
      <c r="AC75" s="20">
        <f t="shared" si="78"/>
        <v>0</v>
      </c>
      <c r="AD75" s="20">
        <f t="shared" ref="AD75:AD80" si="79">SUM(Z75:AC75)</f>
        <v>4.1410293888709759E-2</v>
      </c>
      <c r="AE75" s="20">
        <f t="shared" ref="AE75:AH80" si="80">IF(K75&gt;0,((E75-K75)*$Q75*$S75*10)+(K75*$P$12*$Q75*$S75)*10,(E75*$Q75*$S75*10))</f>
        <v>1.5478335465791782</v>
      </c>
      <c r="AF75" s="20">
        <f t="shared" si="80"/>
        <v>0</v>
      </c>
      <c r="AG75" s="20">
        <f t="shared" si="80"/>
        <v>0</v>
      </c>
      <c r="AH75" s="20">
        <f t="shared" si="80"/>
        <v>0</v>
      </c>
      <c r="AI75" s="20">
        <f t="shared" ref="AI75:AL80" si="81">AE75*(EXP(1.01-0.34*LN(AI$8))*(1-$U75)+(1*$U75))</f>
        <v>1.2348932273667392</v>
      </c>
      <c r="AJ75" s="20">
        <f t="shared" si="81"/>
        <v>0</v>
      </c>
      <c r="AK75" s="20">
        <f t="shared" si="81"/>
        <v>0</v>
      </c>
      <c r="AL75" s="20">
        <f t="shared" si="81"/>
        <v>0</v>
      </c>
      <c r="AM75" s="20">
        <f t="shared" ref="AM75:AM80" si="82">SUM(AI75:AL75)</f>
        <v>1.2348932273667392</v>
      </c>
      <c r="AO75">
        <f t="shared" ref="AO75:AR80" si="83">Z75*AO$10</f>
        <v>4.7042093857574283E-2</v>
      </c>
      <c r="AP75">
        <f t="shared" si="83"/>
        <v>0</v>
      </c>
      <c r="AQ75">
        <f t="shared" si="83"/>
        <v>0</v>
      </c>
      <c r="AR75">
        <f t="shared" si="83"/>
        <v>0</v>
      </c>
      <c r="AS75">
        <f t="shared" ref="AS75:AS80" si="84">SUM(AO75:AR75)</f>
        <v>4.7042093857574283E-2</v>
      </c>
      <c r="AU75">
        <f t="shared" ref="AU75:AX80" si="85">AI75*AU$10</f>
        <v>1.4028387062886156</v>
      </c>
      <c r="AV75">
        <f t="shared" si="85"/>
        <v>0</v>
      </c>
      <c r="AW75">
        <f t="shared" si="85"/>
        <v>0</v>
      </c>
      <c r="AX75">
        <f t="shared" si="85"/>
        <v>0</v>
      </c>
      <c r="AY75">
        <f t="shared" ref="AY75:AY80" si="86">SUM(AU75:AX75)</f>
        <v>1.4028387062886156</v>
      </c>
    </row>
    <row r="76" spans="1:53" ht="15" x14ac:dyDescent="0.25">
      <c r="A76" s="1"/>
      <c r="B76" s="2"/>
      <c r="C76" s="1" t="s">
        <v>9</v>
      </c>
      <c r="D76">
        <v>0</v>
      </c>
      <c r="E76" s="360">
        <v>0</v>
      </c>
      <c r="F76">
        <v>0</v>
      </c>
      <c r="G76">
        <v>0</v>
      </c>
      <c r="H76">
        <v>0</v>
      </c>
      <c r="J76">
        <v>0</v>
      </c>
      <c r="K76">
        <v>0</v>
      </c>
      <c r="L76">
        <v>0</v>
      </c>
      <c r="M76">
        <v>0</v>
      </c>
      <c r="N76">
        <v>0</v>
      </c>
      <c r="O76" s="20"/>
      <c r="P76" s="20"/>
      <c r="Q76" s="438"/>
      <c r="R76" s="197">
        <v>5.6499999999999995E-2</v>
      </c>
      <c r="S76" s="197">
        <v>1.25</v>
      </c>
      <c r="T76" s="197">
        <v>0.50078889239507718</v>
      </c>
      <c r="U76" s="197">
        <v>0.75268470790377973</v>
      </c>
      <c r="V76" s="20">
        <f t="shared" si="77"/>
        <v>0</v>
      </c>
      <c r="W76" s="20">
        <f t="shared" si="77"/>
        <v>0</v>
      </c>
      <c r="X76" s="20">
        <f t="shared" si="77"/>
        <v>0</v>
      </c>
      <c r="Y76" s="20">
        <f t="shared" si="77"/>
        <v>0</v>
      </c>
      <c r="Z76" s="20">
        <f t="shared" si="78"/>
        <v>0</v>
      </c>
      <c r="AA76" s="20">
        <f t="shared" si="78"/>
        <v>0</v>
      </c>
      <c r="AB76" s="20">
        <f t="shared" si="78"/>
        <v>0</v>
      </c>
      <c r="AC76" s="20">
        <f t="shared" si="78"/>
        <v>0</v>
      </c>
      <c r="AD76" s="20">
        <f t="shared" si="79"/>
        <v>0</v>
      </c>
      <c r="AE76" s="20">
        <f t="shared" si="80"/>
        <v>0</v>
      </c>
      <c r="AF76" s="20">
        <f t="shared" si="80"/>
        <v>0</v>
      </c>
      <c r="AG76" s="20">
        <f t="shared" si="80"/>
        <v>0</v>
      </c>
      <c r="AH76" s="20">
        <f t="shared" si="80"/>
        <v>0</v>
      </c>
      <c r="AI76" s="20">
        <f t="shared" si="81"/>
        <v>0</v>
      </c>
      <c r="AJ76" s="20">
        <f t="shared" si="81"/>
        <v>0</v>
      </c>
      <c r="AK76" s="20">
        <f t="shared" si="81"/>
        <v>0</v>
      </c>
      <c r="AL76" s="20">
        <f t="shared" si="81"/>
        <v>0</v>
      </c>
      <c r="AM76" s="20">
        <f t="shared" si="82"/>
        <v>0</v>
      </c>
      <c r="AO76">
        <f t="shared" si="83"/>
        <v>0</v>
      </c>
      <c r="AP76">
        <f t="shared" si="83"/>
        <v>0</v>
      </c>
      <c r="AQ76">
        <f t="shared" si="83"/>
        <v>0</v>
      </c>
      <c r="AR76">
        <f t="shared" si="83"/>
        <v>0</v>
      </c>
      <c r="AS76">
        <f t="shared" si="84"/>
        <v>0</v>
      </c>
      <c r="AU76">
        <f t="shared" si="85"/>
        <v>0</v>
      </c>
      <c r="AV76">
        <f t="shared" si="85"/>
        <v>0</v>
      </c>
      <c r="AW76">
        <f t="shared" si="85"/>
        <v>0</v>
      </c>
      <c r="AX76">
        <f t="shared" si="85"/>
        <v>0</v>
      </c>
      <c r="AY76">
        <f t="shared" si="86"/>
        <v>0</v>
      </c>
    </row>
    <row r="77" spans="1:53" ht="15" x14ac:dyDescent="0.25">
      <c r="A77" s="1"/>
      <c r="B77" s="2"/>
      <c r="C77" s="1" t="s">
        <v>10</v>
      </c>
      <c r="D77">
        <v>0</v>
      </c>
      <c r="E77" s="360">
        <v>0</v>
      </c>
      <c r="F77">
        <v>0</v>
      </c>
      <c r="G77">
        <v>0</v>
      </c>
      <c r="H77">
        <v>0</v>
      </c>
      <c r="J77">
        <v>0</v>
      </c>
      <c r="K77">
        <v>0</v>
      </c>
      <c r="L77">
        <v>0</v>
      </c>
      <c r="M77">
        <v>0</v>
      </c>
      <c r="N77">
        <v>0</v>
      </c>
      <c r="O77" s="20"/>
      <c r="P77" s="20"/>
      <c r="Q77" s="438"/>
      <c r="R77" s="197">
        <v>5.6499999999999995E-2</v>
      </c>
      <c r="S77" s="197">
        <v>1.25</v>
      </c>
      <c r="T77" s="197">
        <v>0.50078889239507718</v>
      </c>
      <c r="U77" s="197">
        <v>0.75268470790377973</v>
      </c>
      <c r="V77" s="20">
        <f t="shared" si="77"/>
        <v>0</v>
      </c>
      <c r="W77" s="20">
        <f t="shared" si="77"/>
        <v>0</v>
      </c>
      <c r="X77" s="20">
        <f t="shared" si="77"/>
        <v>0</v>
      </c>
      <c r="Y77" s="20">
        <f t="shared" si="77"/>
        <v>0</v>
      </c>
      <c r="Z77" s="20">
        <f t="shared" si="78"/>
        <v>0</v>
      </c>
      <c r="AA77" s="20">
        <f t="shared" si="78"/>
        <v>0</v>
      </c>
      <c r="AB77" s="20">
        <f t="shared" si="78"/>
        <v>0</v>
      </c>
      <c r="AC77" s="20">
        <f t="shared" si="78"/>
        <v>0</v>
      </c>
      <c r="AD77" s="20">
        <f t="shared" si="79"/>
        <v>0</v>
      </c>
      <c r="AE77" s="20">
        <f t="shared" si="80"/>
        <v>0</v>
      </c>
      <c r="AF77" s="20">
        <f t="shared" si="80"/>
        <v>0</v>
      </c>
      <c r="AG77" s="20">
        <f t="shared" si="80"/>
        <v>0</v>
      </c>
      <c r="AH77" s="20">
        <f t="shared" si="80"/>
        <v>0</v>
      </c>
      <c r="AI77" s="20">
        <f t="shared" si="81"/>
        <v>0</v>
      </c>
      <c r="AJ77" s="20">
        <f t="shared" si="81"/>
        <v>0</v>
      </c>
      <c r="AK77" s="20">
        <f t="shared" si="81"/>
        <v>0</v>
      </c>
      <c r="AL77" s="20">
        <f t="shared" si="81"/>
        <v>0</v>
      </c>
      <c r="AM77" s="20">
        <f t="shared" si="82"/>
        <v>0</v>
      </c>
      <c r="AO77">
        <f t="shared" si="83"/>
        <v>0</v>
      </c>
      <c r="AP77">
        <f t="shared" si="83"/>
        <v>0</v>
      </c>
      <c r="AQ77">
        <f t="shared" si="83"/>
        <v>0</v>
      </c>
      <c r="AR77">
        <f t="shared" si="83"/>
        <v>0</v>
      </c>
      <c r="AS77">
        <f t="shared" si="84"/>
        <v>0</v>
      </c>
      <c r="AU77">
        <f t="shared" si="85"/>
        <v>0</v>
      </c>
      <c r="AV77">
        <f t="shared" si="85"/>
        <v>0</v>
      </c>
      <c r="AW77">
        <f t="shared" si="85"/>
        <v>0</v>
      </c>
      <c r="AX77">
        <f t="shared" si="85"/>
        <v>0</v>
      </c>
      <c r="AY77">
        <f t="shared" si="86"/>
        <v>0</v>
      </c>
    </row>
    <row r="78" spans="1:53" ht="15" x14ac:dyDescent="0.25">
      <c r="A78" s="1"/>
      <c r="B78" s="2"/>
      <c r="C78" s="1" t="s">
        <v>11</v>
      </c>
      <c r="D78">
        <v>0</v>
      </c>
      <c r="E78" s="360">
        <v>0.4214</v>
      </c>
      <c r="F78">
        <v>0</v>
      </c>
      <c r="G78">
        <v>0</v>
      </c>
      <c r="H78">
        <v>0</v>
      </c>
      <c r="J78">
        <v>0</v>
      </c>
      <c r="K78">
        <v>0</v>
      </c>
      <c r="L78">
        <v>0</v>
      </c>
      <c r="M78">
        <v>0</v>
      </c>
      <c r="N78">
        <v>0</v>
      </c>
      <c r="O78" s="20"/>
      <c r="P78" s="20"/>
      <c r="Q78" s="438">
        <v>3.9612880588699911E-2</v>
      </c>
      <c r="R78" s="197">
        <v>5.6499999999999995E-2</v>
      </c>
      <c r="S78" s="197">
        <v>1.25</v>
      </c>
      <c r="T78" s="197">
        <v>0.50078889239507718</v>
      </c>
      <c r="U78" s="197">
        <v>0.75268470790377973</v>
      </c>
      <c r="V78" s="20">
        <f t="shared" si="77"/>
        <v>9.4314703522441496E-3</v>
      </c>
      <c r="W78" s="20">
        <f t="shared" si="77"/>
        <v>0</v>
      </c>
      <c r="X78" s="20">
        <f t="shared" si="77"/>
        <v>0</v>
      </c>
      <c r="Y78" s="20">
        <f t="shared" si="77"/>
        <v>0</v>
      </c>
      <c r="Z78" s="20">
        <f t="shared" si="78"/>
        <v>5.5824523758317346E-3</v>
      </c>
      <c r="AA78" s="20">
        <f t="shared" si="78"/>
        <v>0</v>
      </c>
      <c r="AB78" s="20">
        <f t="shared" si="78"/>
        <v>0</v>
      </c>
      <c r="AC78" s="20">
        <f t="shared" si="78"/>
        <v>0</v>
      </c>
      <c r="AD78" s="20">
        <f t="shared" si="79"/>
        <v>5.5824523758317346E-3</v>
      </c>
      <c r="AE78" s="20">
        <f t="shared" si="80"/>
        <v>0.2086608485009768</v>
      </c>
      <c r="AF78" s="20">
        <f t="shared" si="80"/>
        <v>0</v>
      </c>
      <c r="AG78" s="20">
        <f t="shared" si="80"/>
        <v>0</v>
      </c>
      <c r="AH78" s="20">
        <f t="shared" si="80"/>
        <v>0</v>
      </c>
      <c r="AI78" s="20">
        <f t="shared" si="81"/>
        <v>0.16647388809987418</v>
      </c>
      <c r="AJ78" s="20">
        <f t="shared" si="81"/>
        <v>0</v>
      </c>
      <c r="AK78" s="20">
        <f t="shared" si="81"/>
        <v>0</v>
      </c>
      <c r="AL78" s="20">
        <f t="shared" si="81"/>
        <v>0</v>
      </c>
      <c r="AM78" s="20">
        <f t="shared" si="82"/>
        <v>0.16647388809987418</v>
      </c>
      <c r="AO78">
        <f t="shared" si="83"/>
        <v>6.3416658989448498E-3</v>
      </c>
      <c r="AP78">
        <f t="shared" si="83"/>
        <v>0</v>
      </c>
      <c r="AQ78">
        <f t="shared" si="83"/>
        <v>0</v>
      </c>
      <c r="AR78">
        <f t="shared" si="83"/>
        <v>0</v>
      </c>
      <c r="AS78">
        <f t="shared" si="84"/>
        <v>6.3416658989448498E-3</v>
      </c>
      <c r="AU78">
        <f t="shared" si="85"/>
        <v>0.18911433688145704</v>
      </c>
      <c r="AV78">
        <f t="shared" si="85"/>
        <v>0</v>
      </c>
      <c r="AW78">
        <f t="shared" si="85"/>
        <v>0</v>
      </c>
      <c r="AX78">
        <f t="shared" si="85"/>
        <v>0</v>
      </c>
      <c r="AY78">
        <f t="shared" si="86"/>
        <v>0.18911433688145704</v>
      </c>
    </row>
    <row r="79" spans="1:53" ht="15" x14ac:dyDescent="0.25">
      <c r="A79" s="1"/>
      <c r="B79" s="13"/>
      <c r="C79" s="1" t="s">
        <v>12</v>
      </c>
      <c r="D79">
        <v>0</v>
      </c>
      <c r="E79" s="360">
        <v>0</v>
      </c>
      <c r="F79">
        <v>0</v>
      </c>
      <c r="G79">
        <v>0</v>
      </c>
      <c r="H79">
        <v>0</v>
      </c>
      <c r="J79">
        <v>0</v>
      </c>
      <c r="K79">
        <v>0</v>
      </c>
      <c r="L79">
        <v>0</v>
      </c>
      <c r="M79">
        <v>0</v>
      </c>
      <c r="N79">
        <v>0</v>
      </c>
      <c r="O79" s="20"/>
      <c r="P79" s="20"/>
      <c r="Q79" s="438"/>
      <c r="R79" s="197">
        <v>5.6499999999999995E-2</v>
      </c>
      <c r="S79" s="197">
        <v>1.25</v>
      </c>
      <c r="T79" s="197">
        <v>0.50078889239507718</v>
      </c>
      <c r="U79" s="197">
        <v>0.75268470790377973</v>
      </c>
      <c r="V79" s="20">
        <f t="shared" si="77"/>
        <v>0</v>
      </c>
      <c r="W79" s="20">
        <f t="shared" si="77"/>
        <v>0</v>
      </c>
      <c r="X79" s="20">
        <f t="shared" si="77"/>
        <v>0</v>
      </c>
      <c r="Y79" s="20">
        <f t="shared" si="77"/>
        <v>0</v>
      </c>
      <c r="Z79" s="20">
        <f t="shared" si="78"/>
        <v>0</v>
      </c>
      <c r="AA79" s="20">
        <f t="shared" si="78"/>
        <v>0</v>
      </c>
      <c r="AB79" s="20">
        <f t="shared" si="78"/>
        <v>0</v>
      </c>
      <c r="AC79" s="20">
        <f t="shared" si="78"/>
        <v>0</v>
      </c>
      <c r="AD79" s="20">
        <f t="shared" si="79"/>
        <v>0</v>
      </c>
      <c r="AE79" s="20">
        <f t="shared" si="80"/>
        <v>0</v>
      </c>
      <c r="AF79" s="20">
        <f t="shared" si="80"/>
        <v>0</v>
      </c>
      <c r="AG79" s="20">
        <f t="shared" si="80"/>
        <v>0</v>
      </c>
      <c r="AH79" s="20">
        <f t="shared" si="80"/>
        <v>0</v>
      </c>
      <c r="AI79" s="20">
        <f t="shared" si="81"/>
        <v>0</v>
      </c>
      <c r="AJ79" s="20">
        <f t="shared" si="81"/>
        <v>0</v>
      </c>
      <c r="AK79" s="20">
        <f t="shared" si="81"/>
        <v>0</v>
      </c>
      <c r="AL79" s="20">
        <f t="shared" si="81"/>
        <v>0</v>
      </c>
      <c r="AM79" s="20">
        <f t="shared" si="82"/>
        <v>0</v>
      </c>
      <c r="AO79">
        <f t="shared" si="83"/>
        <v>0</v>
      </c>
      <c r="AP79">
        <f t="shared" si="83"/>
        <v>0</v>
      </c>
      <c r="AQ79">
        <f t="shared" si="83"/>
        <v>0</v>
      </c>
      <c r="AR79">
        <f t="shared" si="83"/>
        <v>0</v>
      </c>
      <c r="AS79">
        <f t="shared" si="84"/>
        <v>0</v>
      </c>
      <c r="AU79">
        <f t="shared" si="85"/>
        <v>0</v>
      </c>
      <c r="AV79">
        <f t="shared" si="85"/>
        <v>0</v>
      </c>
      <c r="AW79">
        <f t="shared" si="85"/>
        <v>0</v>
      </c>
      <c r="AX79">
        <f t="shared" si="85"/>
        <v>0</v>
      </c>
      <c r="AY79">
        <f t="shared" si="86"/>
        <v>0</v>
      </c>
    </row>
    <row r="80" spans="1:53" ht="15" x14ac:dyDescent="0.25">
      <c r="A80" s="1"/>
      <c r="B80" s="13"/>
      <c r="C80" s="1" t="s">
        <v>13</v>
      </c>
      <c r="D80">
        <v>0</v>
      </c>
      <c r="E80" s="360">
        <v>0</v>
      </c>
      <c r="F80">
        <v>0</v>
      </c>
      <c r="G80">
        <v>0</v>
      </c>
      <c r="H80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20"/>
      <c r="P80" s="20"/>
      <c r="Q80" s="438"/>
      <c r="R80" s="197">
        <v>5.6499999999999995E-2</v>
      </c>
      <c r="S80" s="197">
        <v>1.25</v>
      </c>
      <c r="T80" s="197">
        <v>0.50078889239507718</v>
      </c>
      <c r="U80" s="197">
        <v>0.75268470790377973</v>
      </c>
      <c r="V80" s="20">
        <f t="shared" si="77"/>
        <v>0</v>
      </c>
      <c r="W80" s="20">
        <f t="shared" si="77"/>
        <v>0</v>
      </c>
      <c r="X80" s="20">
        <f t="shared" si="77"/>
        <v>0</v>
      </c>
      <c r="Y80" s="20">
        <f t="shared" si="77"/>
        <v>0</v>
      </c>
      <c r="Z80" s="20">
        <f t="shared" si="78"/>
        <v>0</v>
      </c>
      <c r="AA80" s="20">
        <f t="shared" si="78"/>
        <v>0</v>
      </c>
      <c r="AB80" s="20">
        <f t="shared" si="78"/>
        <v>0</v>
      </c>
      <c r="AC80" s="20">
        <f t="shared" si="78"/>
        <v>0</v>
      </c>
      <c r="AD80" s="20">
        <f t="shared" si="79"/>
        <v>0</v>
      </c>
      <c r="AE80" s="20">
        <f t="shared" si="80"/>
        <v>0</v>
      </c>
      <c r="AF80" s="20">
        <f t="shared" si="80"/>
        <v>0</v>
      </c>
      <c r="AG80" s="20">
        <f t="shared" si="80"/>
        <v>0</v>
      </c>
      <c r="AH80" s="20">
        <f t="shared" si="80"/>
        <v>0</v>
      </c>
      <c r="AI80" s="20">
        <f t="shared" si="81"/>
        <v>0</v>
      </c>
      <c r="AJ80" s="20">
        <f t="shared" si="81"/>
        <v>0</v>
      </c>
      <c r="AK80" s="20">
        <f t="shared" si="81"/>
        <v>0</v>
      </c>
      <c r="AL80" s="20">
        <f t="shared" si="81"/>
        <v>0</v>
      </c>
      <c r="AM80" s="20">
        <f t="shared" si="82"/>
        <v>0</v>
      </c>
      <c r="AO80">
        <f t="shared" si="83"/>
        <v>0</v>
      </c>
      <c r="AP80">
        <f t="shared" si="83"/>
        <v>0</v>
      </c>
      <c r="AQ80">
        <f t="shared" si="83"/>
        <v>0</v>
      </c>
      <c r="AR80">
        <f t="shared" si="83"/>
        <v>0</v>
      </c>
      <c r="AS80">
        <f t="shared" si="84"/>
        <v>0</v>
      </c>
      <c r="AU80">
        <f t="shared" si="85"/>
        <v>0</v>
      </c>
      <c r="AV80">
        <f t="shared" si="85"/>
        <v>0</v>
      </c>
      <c r="AW80">
        <f t="shared" si="85"/>
        <v>0</v>
      </c>
      <c r="AX80">
        <f t="shared" si="85"/>
        <v>0</v>
      </c>
      <c r="AY80">
        <f t="shared" si="86"/>
        <v>0</v>
      </c>
    </row>
    <row r="81" spans="1:53" s="319" customFormat="1" ht="15" x14ac:dyDescent="0.25">
      <c r="A81" s="368"/>
      <c r="B81" s="369" t="s">
        <v>14</v>
      </c>
      <c r="C81" s="368"/>
      <c r="D81" s="370">
        <f t="shared" ref="D81:H81" si="87">SUM(D75:D80)</f>
        <v>0</v>
      </c>
      <c r="E81" s="363">
        <f>SUM(E75:E80)</f>
        <v>7.8570000000000002</v>
      </c>
      <c r="F81" s="370">
        <f t="shared" si="87"/>
        <v>0</v>
      </c>
      <c r="G81" s="370">
        <f t="shared" si="87"/>
        <v>0</v>
      </c>
      <c r="H81" s="370">
        <f t="shared" si="87"/>
        <v>0</v>
      </c>
      <c r="J81" s="319">
        <v>0</v>
      </c>
      <c r="K81">
        <v>0</v>
      </c>
      <c r="L81" s="319">
        <v>0</v>
      </c>
      <c r="M81" s="319">
        <v>0</v>
      </c>
      <c r="N81" s="319">
        <v>0</v>
      </c>
      <c r="O81" s="372"/>
      <c r="P81" s="372"/>
      <c r="Q81" s="438">
        <v>1.7884631743211456E-2</v>
      </c>
      <c r="R81" s="373"/>
      <c r="S81" s="373"/>
      <c r="T81" s="373"/>
      <c r="U81" s="373"/>
      <c r="BA81" s="319">
        <f>(E81*10000*Q81*AU$10)</f>
        <v>1596.3021062488449</v>
      </c>
    </row>
    <row r="82" spans="1:53" ht="15" x14ac:dyDescent="0.25">
      <c r="A82" s="10"/>
      <c r="B82" s="9" t="s">
        <v>15</v>
      </c>
      <c r="C82" s="5"/>
      <c r="E82" s="363">
        <f>SUM(E81)</f>
        <v>7.8570000000000002</v>
      </c>
      <c r="H82" s="358">
        <f>SUM(D81:H81)</f>
        <v>7.8570000000000002</v>
      </c>
      <c r="K82" s="14"/>
      <c r="N82">
        <v>0</v>
      </c>
      <c r="O82" s="20"/>
      <c r="P82" s="20"/>
      <c r="Q82" s="438"/>
      <c r="R82" s="197"/>
      <c r="S82" s="197"/>
      <c r="T82" s="197"/>
      <c r="U82" s="197"/>
    </row>
    <row r="83" spans="1:53" ht="15.75" x14ac:dyDescent="0.25">
      <c r="A83" s="1"/>
      <c r="B83" s="2"/>
      <c r="C83" s="1"/>
      <c r="E83" s="361"/>
      <c r="K83" s="14"/>
      <c r="O83" s="20"/>
      <c r="P83" s="20"/>
      <c r="Q83" s="439"/>
      <c r="R83" s="197"/>
      <c r="S83" s="197"/>
      <c r="T83" s="197"/>
      <c r="U83" s="197"/>
    </row>
    <row r="84" spans="1:53" ht="15" x14ac:dyDescent="0.25">
      <c r="A84" s="1">
        <v>9</v>
      </c>
      <c r="B84" s="2" t="s">
        <v>23</v>
      </c>
      <c r="C84" s="1" t="s">
        <v>8</v>
      </c>
      <c r="D84">
        <v>0</v>
      </c>
      <c r="E84" s="360">
        <v>112.6026</v>
      </c>
      <c r="F84">
        <v>0</v>
      </c>
      <c r="G84">
        <v>0</v>
      </c>
      <c r="H84">
        <v>0</v>
      </c>
      <c r="J84">
        <v>0</v>
      </c>
      <c r="K84">
        <v>0</v>
      </c>
      <c r="L84">
        <v>0</v>
      </c>
      <c r="M84">
        <v>0</v>
      </c>
      <c r="N84">
        <v>0</v>
      </c>
      <c r="O84" s="20"/>
      <c r="P84" s="20"/>
      <c r="Q84" s="438">
        <v>1.6653220147174977E-2</v>
      </c>
      <c r="R84" s="197">
        <v>0.38700000000000001</v>
      </c>
      <c r="S84" s="197">
        <v>2.48</v>
      </c>
      <c r="T84" s="197">
        <v>0.72182006204756977</v>
      </c>
      <c r="U84" s="197">
        <v>0.90789473684210531</v>
      </c>
      <c r="V84" s="20">
        <f t="shared" ref="V84:Y89" si="88">IF(K84&gt;0,((E84-K84)*$Q84*$R84*10)+(K84*$O$12*$Q84*$R84*10),(E84*$Q84*$R84*10))</f>
        <v>7.2570080824743837</v>
      </c>
      <c r="W84" s="20">
        <f t="shared" si="88"/>
        <v>0</v>
      </c>
      <c r="X84" s="20">
        <f t="shared" si="88"/>
        <v>0</v>
      </c>
      <c r="Y84" s="20">
        <f t="shared" si="88"/>
        <v>0</v>
      </c>
      <c r="Z84" s="20">
        <f t="shared" ref="Z84:AC89" si="89">V84*(EXP(1.01-0.34*LN(Z$8))*(1-$T84)+(1*$T84))</f>
        <v>5.6066822099008284</v>
      </c>
      <c r="AA84" s="20">
        <f t="shared" si="89"/>
        <v>0</v>
      </c>
      <c r="AB84" s="20">
        <f t="shared" si="89"/>
        <v>0</v>
      </c>
      <c r="AC84" s="20">
        <f t="shared" si="89"/>
        <v>0</v>
      </c>
      <c r="AD84" s="20">
        <f t="shared" ref="AD84:AD89" si="90">SUM(Z84:AC84)</f>
        <v>5.6066822099008284</v>
      </c>
      <c r="AE84" s="20">
        <f t="shared" ref="AE84:AH89" si="91">IF(K84&gt;0,((E84-K84)*$Q84*$S84*10)+(K84*$P$12*$Q84*$S84)*10,(E84*$Q84*$S84*10))</f>
        <v>46.50485799621827</v>
      </c>
      <c r="AF84" s="20">
        <f t="shared" si="91"/>
        <v>0</v>
      </c>
      <c r="AG84" s="20">
        <f t="shared" si="91"/>
        <v>0</v>
      </c>
      <c r="AH84" s="20">
        <f t="shared" si="91"/>
        <v>0</v>
      </c>
      <c r="AI84" s="20">
        <f t="shared" ref="AI84:AL89" si="92">AE84*(EXP(1.01-0.34*LN(AI$8))*(1-$U84)+(1*$U84))</f>
        <v>43.003237579040729</v>
      </c>
      <c r="AJ84" s="20">
        <f t="shared" si="92"/>
        <v>0</v>
      </c>
      <c r="AK84" s="20">
        <f t="shared" si="92"/>
        <v>0</v>
      </c>
      <c r="AL84" s="20">
        <f t="shared" si="92"/>
        <v>0</v>
      </c>
      <c r="AM84" s="20">
        <f t="shared" ref="AM84:AM89" si="93">SUM(AI84:AL84)</f>
        <v>43.003237579040729</v>
      </c>
      <c r="AO84">
        <f t="shared" ref="AO84:AR89" si="94">Z84*AO$10</f>
        <v>6.3691909904473407</v>
      </c>
      <c r="AP84">
        <f t="shared" si="94"/>
        <v>0</v>
      </c>
      <c r="AQ84">
        <f t="shared" si="94"/>
        <v>0</v>
      </c>
      <c r="AR84">
        <f t="shared" si="94"/>
        <v>0</v>
      </c>
      <c r="AS84">
        <f t="shared" ref="AS84:AS89" si="95">SUM(AO84:AR84)</f>
        <v>6.3691909904473407</v>
      </c>
      <c r="AU84">
        <f t="shared" ref="AU84:AX89" si="96">AI84*AU$10</f>
        <v>48.851677889790267</v>
      </c>
      <c r="AV84">
        <f t="shared" si="96"/>
        <v>0</v>
      </c>
      <c r="AW84">
        <f t="shared" si="96"/>
        <v>0</v>
      </c>
      <c r="AX84">
        <f t="shared" si="96"/>
        <v>0</v>
      </c>
      <c r="AY84">
        <f t="shared" ref="AY84:AY89" si="97">SUM(AU84:AX84)</f>
        <v>48.851677889790267</v>
      </c>
    </row>
    <row r="85" spans="1:53" ht="15" x14ac:dyDescent="0.25">
      <c r="A85" s="1"/>
      <c r="B85" s="2"/>
      <c r="C85" s="1" t="s">
        <v>9</v>
      </c>
      <c r="D85">
        <v>0</v>
      </c>
      <c r="E85" s="360">
        <v>16.2562</v>
      </c>
      <c r="F85">
        <v>0</v>
      </c>
      <c r="G85">
        <v>0</v>
      </c>
      <c r="H85">
        <v>0</v>
      </c>
      <c r="J85">
        <v>0</v>
      </c>
      <c r="K85">
        <v>0</v>
      </c>
      <c r="L85">
        <v>0</v>
      </c>
      <c r="M85">
        <v>0</v>
      </c>
      <c r="N85">
        <v>0</v>
      </c>
      <c r="O85" s="20"/>
      <c r="P85" s="20"/>
      <c r="Q85" s="438">
        <v>2.4306440294349953E-2</v>
      </c>
      <c r="R85" s="197">
        <v>0.38700000000000001</v>
      </c>
      <c r="S85" s="197">
        <v>2.48</v>
      </c>
      <c r="T85" s="197">
        <v>0.72182006204756977</v>
      </c>
      <c r="U85" s="197">
        <v>0.90789473684210531</v>
      </c>
      <c r="V85" s="20">
        <f t="shared" si="88"/>
        <v>1.5291544727393556</v>
      </c>
      <c r="W85" s="20">
        <f t="shared" si="88"/>
        <v>0</v>
      </c>
      <c r="X85" s="20">
        <f t="shared" si="88"/>
        <v>0</v>
      </c>
      <c r="Y85" s="20">
        <f t="shared" si="88"/>
        <v>0</v>
      </c>
      <c r="Z85" s="20">
        <f t="shared" si="89"/>
        <v>1.1814074176385334</v>
      </c>
      <c r="AA85" s="20">
        <f t="shared" si="89"/>
        <v>0</v>
      </c>
      <c r="AB85" s="20">
        <f t="shared" si="89"/>
        <v>0</v>
      </c>
      <c r="AC85" s="20">
        <f t="shared" si="89"/>
        <v>0</v>
      </c>
      <c r="AD85" s="20">
        <f t="shared" si="90"/>
        <v>1.1814074176385334</v>
      </c>
      <c r="AE85" s="20">
        <f t="shared" si="91"/>
        <v>9.7992327968826913</v>
      </c>
      <c r="AF85" s="20">
        <f t="shared" si="91"/>
        <v>0</v>
      </c>
      <c r="AG85" s="20">
        <f t="shared" si="91"/>
        <v>0</v>
      </c>
      <c r="AH85" s="20">
        <f t="shared" si="91"/>
        <v>0</v>
      </c>
      <c r="AI85" s="20">
        <f t="shared" si="92"/>
        <v>9.0613917387069929</v>
      </c>
      <c r="AJ85" s="20">
        <f t="shared" si="92"/>
        <v>0</v>
      </c>
      <c r="AK85" s="20">
        <f t="shared" si="92"/>
        <v>0</v>
      </c>
      <c r="AL85" s="20">
        <f t="shared" si="92"/>
        <v>0</v>
      </c>
      <c r="AM85" s="20">
        <f t="shared" si="93"/>
        <v>9.0613917387069929</v>
      </c>
      <c r="AO85">
        <f t="shared" si="94"/>
        <v>1.3420788264373738</v>
      </c>
      <c r="AP85">
        <f t="shared" si="94"/>
        <v>0</v>
      </c>
      <c r="AQ85">
        <f t="shared" si="94"/>
        <v>0</v>
      </c>
      <c r="AR85">
        <f t="shared" si="94"/>
        <v>0</v>
      </c>
      <c r="AS85">
        <f t="shared" si="95"/>
        <v>1.3420788264373738</v>
      </c>
      <c r="AU85">
        <f t="shared" si="96"/>
        <v>10.293741015171143</v>
      </c>
      <c r="AV85">
        <f t="shared" si="96"/>
        <v>0</v>
      </c>
      <c r="AW85">
        <f t="shared" si="96"/>
        <v>0</v>
      </c>
      <c r="AX85">
        <f t="shared" si="96"/>
        <v>0</v>
      </c>
      <c r="AY85">
        <f t="shared" si="97"/>
        <v>10.293741015171143</v>
      </c>
    </row>
    <row r="86" spans="1:53" ht="15" x14ac:dyDescent="0.25">
      <c r="A86" s="1"/>
      <c r="B86" s="2"/>
      <c r="C86" s="1" t="s">
        <v>10</v>
      </c>
      <c r="D86">
        <v>0</v>
      </c>
      <c r="E86" s="360">
        <v>0.92589999999999995</v>
      </c>
      <c r="F86">
        <v>0</v>
      </c>
      <c r="G86">
        <v>0</v>
      </c>
      <c r="H86">
        <v>0</v>
      </c>
      <c r="J86">
        <v>0</v>
      </c>
      <c r="K86">
        <v>0</v>
      </c>
      <c r="L86">
        <v>0</v>
      </c>
      <c r="M86">
        <v>0</v>
      </c>
      <c r="N86">
        <v>0</v>
      </c>
      <c r="O86" s="20"/>
      <c r="P86" s="20"/>
      <c r="Q86" s="438">
        <v>3.1959660441524936E-2</v>
      </c>
      <c r="R86" s="197">
        <v>0.38700000000000001</v>
      </c>
      <c r="S86" s="197">
        <v>2.48</v>
      </c>
      <c r="T86" s="197">
        <v>0.72182006204756977</v>
      </c>
      <c r="U86" s="197">
        <v>0.90789473684210531</v>
      </c>
      <c r="V86" s="20">
        <f t="shared" si="88"/>
        <v>0.11451890996286671</v>
      </c>
      <c r="W86" s="20">
        <f t="shared" si="88"/>
        <v>0</v>
      </c>
      <c r="X86" s="20">
        <f t="shared" si="88"/>
        <v>0</v>
      </c>
      <c r="Y86" s="20">
        <f t="shared" si="88"/>
        <v>0</v>
      </c>
      <c r="Z86" s="20">
        <f t="shared" si="89"/>
        <v>8.847601213737602E-2</v>
      </c>
      <c r="AA86" s="20">
        <f t="shared" si="89"/>
        <v>0</v>
      </c>
      <c r="AB86" s="20">
        <f t="shared" si="89"/>
        <v>0</v>
      </c>
      <c r="AC86" s="20">
        <f t="shared" si="89"/>
        <v>0</v>
      </c>
      <c r="AD86" s="20">
        <f t="shared" si="90"/>
        <v>8.847601213737602E-2</v>
      </c>
      <c r="AE86" s="20">
        <f t="shared" si="91"/>
        <v>0.73386795014963679</v>
      </c>
      <c r="AF86" s="20">
        <f t="shared" si="91"/>
        <v>0</v>
      </c>
      <c r="AG86" s="20">
        <f t="shared" si="91"/>
        <v>0</v>
      </c>
      <c r="AH86" s="20">
        <f t="shared" si="91"/>
        <v>0</v>
      </c>
      <c r="AI86" s="20">
        <f t="shared" si="92"/>
        <v>0.67861077684603976</v>
      </c>
      <c r="AJ86" s="20">
        <f t="shared" si="92"/>
        <v>0</v>
      </c>
      <c r="AK86" s="20">
        <f t="shared" si="92"/>
        <v>0</v>
      </c>
      <c r="AL86" s="20">
        <f t="shared" si="92"/>
        <v>0</v>
      </c>
      <c r="AM86" s="20">
        <f t="shared" si="93"/>
        <v>0.67861077684603976</v>
      </c>
      <c r="AO86">
        <f t="shared" si="94"/>
        <v>0.10050874978805915</v>
      </c>
      <c r="AP86">
        <f t="shared" si="94"/>
        <v>0</v>
      </c>
      <c r="AQ86">
        <f t="shared" si="94"/>
        <v>0</v>
      </c>
      <c r="AR86">
        <f t="shared" si="94"/>
        <v>0</v>
      </c>
      <c r="AS86">
        <f t="shared" si="95"/>
        <v>0.10050874978805915</v>
      </c>
      <c r="AU86">
        <f t="shared" si="96"/>
        <v>0.77090184249710114</v>
      </c>
      <c r="AV86">
        <f t="shared" si="96"/>
        <v>0</v>
      </c>
      <c r="AW86">
        <f t="shared" si="96"/>
        <v>0</v>
      </c>
      <c r="AX86">
        <f t="shared" si="96"/>
        <v>0</v>
      </c>
      <c r="AY86">
        <f t="shared" si="97"/>
        <v>0.77090184249710114</v>
      </c>
    </row>
    <row r="87" spans="1:53" ht="15" x14ac:dyDescent="0.25">
      <c r="A87" s="1"/>
      <c r="B87" s="2"/>
      <c r="C87" s="1" t="s">
        <v>11</v>
      </c>
      <c r="D87">
        <v>0</v>
      </c>
      <c r="E87" s="360">
        <v>101.6451</v>
      </c>
      <c r="F87">
        <v>0</v>
      </c>
      <c r="G87">
        <v>0</v>
      </c>
      <c r="H87">
        <v>0</v>
      </c>
      <c r="J87">
        <v>0</v>
      </c>
      <c r="K87">
        <v>0</v>
      </c>
      <c r="L87">
        <v>0</v>
      </c>
      <c r="M87">
        <v>0</v>
      </c>
      <c r="N87">
        <v>0</v>
      </c>
      <c r="O87" s="20"/>
      <c r="P87" s="20"/>
      <c r="Q87" s="438">
        <v>3.9612880588699911E-2</v>
      </c>
      <c r="R87" s="197">
        <v>0.38700000000000001</v>
      </c>
      <c r="S87" s="197">
        <v>2.48</v>
      </c>
      <c r="T87" s="197">
        <v>0.72182006204756977</v>
      </c>
      <c r="U87" s="197">
        <v>0.90789473684210531</v>
      </c>
      <c r="V87" s="20">
        <f t="shared" si="88"/>
        <v>15.582381657771407</v>
      </c>
      <c r="W87" s="20">
        <f t="shared" si="88"/>
        <v>0</v>
      </c>
      <c r="X87" s="20">
        <f t="shared" si="88"/>
        <v>0</v>
      </c>
      <c r="Y87" s="20">
        <f t="shared" si="88"/>
        <v>0</v>
      </c>
      <c r="Z87" s="20">
        <f t="shared" si="89"/>
        <v>12.038771493103173</v>
      </c>
      <c r="AA87" s="20">
        <f t="shared" si="89"/>
        <v>0</v>
      </c>
      <c r="AB87" s="20">
        <f t="shared" si="89"/>
        <v>0</v>
      </c>
      <c r="AC87" s="20">
        <f t="shared" si="89"/>
        <v>0</v>
      </c>
      <c r="AD87" s="20">
        <f t="shared" si="90"/>
        <v>12.038771493103173</v>
      </c>
      <c r="AE87" s="20">
        <f t="shared" si="91"/>
        <v>99.856089176416248</v>
      </c>
      <c r="AF87" s="20">
        <f t="shared" si="91"/>
        <v>0</v>
      </c>
      <c r="AG87" s="20">
        <f t="shared" si="91"/>
        <v>0</v>
      </c>
      <c r="AH87" s="20">
        <f t="shared" si="91"/>
        <v>0</v>
      </c>
      <c r="AI87" s="20">
        <f t="shared" si="92"/>
        <v>92.337345206311568</v>
      </c>
      <c r="AJ87" s="20">
        <f t="shared" si="92"/>
        <v>0</v>
      </c>
      <c r="AK87" s="20">
        <f t="shared" si="92"/>
        <v>0</v>
      </c>
      <c r="AL87" s="20">
        <f t="shared" si="92"/>
        <v>0</v>
      </c>
      <c r="AM87" s="20">
        <f t="shared" si="93"/>
        <v>92.337345206311568</v>
      </c>
      <c r="AO87">
        <f t="shared" si="94"/>
        <v>13.676044416165203</v>
      </c>
      <c r="AP87">
        <f t="shared" si="94"/>
        <v>0</v>
      </c>
      <c r="AQ87">
        <f t="shared" si="94"/>
        <v>0</v>
      </c>
      <c r="AR87">
        <f t="shared" si="94"/>
        <v>0</v>
      </c>
      <c r="AS87">
        <f t="shared" si="95"/>
        <v>13.676044416165203</v>
      </c>
      <c r="AU87">
        <f t="shared" si="96"/>
        <v>104.89522415436993</v>
      </c>
      <c r="AV87">
        <f t="shared" si="96"/>
        <v>0</v>
      </c>
      <c r="AW87">
        <f t="shared" si="96"/>
        <v>0</v>
      </c>
      <c r="AX87">
        <f t="shared" si="96"/>
        <v>0</v>
      </c>
      <c r="AY87">
        <f t="shared" si="97"/>
        <v>104.89522415436993</v>
      </c>
    </row>
    <row r="88" spans="1:53" ht="15" x14ac:dyDescent="0.25">
      <c r="A88" s="1"/>
      <c r="B88" s="2"/>
      <c r="C88" s="1" t="s">
        <v>12</v>
      </c>
      <c r="D88">
        <v>0</v>
      </c>
      <c r="E88" s="360">
        <v>0</v>
      </c>
      <c r="F88">
        <v>0</v>
      </c>
      <c r="G88">
        <v>0</v>
      </c>
      <c r="H88">
        <v>0</v>
      </c>
      <c r="J88">
        <v>0</v>
      </c>
      <c r="K88">
        <v>0</v>
      </c>
      <c r="L88">
        <v>0</v>
      </c>
      <c r="M88">
        <v>0</v>
      </c>
      <c r="N88">
        <v>0</v>
      </c>
      <c r="O88" s="20"/>
      <c r="P88" s="20"/>
      <c r="Q88" s="438"/>
      <c r="R88" s="197">
        <v>0.38700000000000001</v>
      </c>
      <c r="S88" s="197">
        <v>2.48</v>
      </c>
      <c r="T88" s="197">
        <v>0.72182006204756977</v>
      </c>
      <c r="U88" s="197">
        <v>0.90789473684210531</v>
      </c>
      <c r="V88" s="20">
        <f t="shared" si="88"/>
        <v>0</v>
      </c>
      <c r="W88" s="20">
        <f t="shared" si="88"/>
        <v>0</v>
      </c>
      <c r="X88" s="20">
        <f t="shared" si="88"/>
        <v>0</v>
      </c>
      <c r="Y88" s="20">
        <f t="shared" si="88"/>
        <v>0</v>
      </c>
      <c r="Z88" s="20">
        <f t="shared" si="89"/>
        <v>0</v>
      </c>
      <c r="AA88" s="20">
        <f t="shared" si="89"/>
        <v>0</v>
      </c>
      <c r="AB88" s="20">
        <f t="shared" si="89"/>
        <v>0</v>
      </c>
      <c r="AC88" s="20">
        <f t="shared" si="89"/>
        <v>0</v>
      </c>
      <c r="AD88" s="20">
        <f t="shared" si="90"/>
        <v>0</v>
      </c>
      <c r="AE88" s="20">
        <f t="shared" si="91"/>
        <v>0</v>
      </c>
      <c r="AF88" s="20">
        <f t="shared" si="91"/>
        <v>0</v>
      </c>
      <c r="AG88" s="20">
        <f t="shared" si="91"/>
        <v>0</v>
      </c>
      <c r="AH88" s="20">
        <f t="shared" si="91"/>
        <v>0</v>
      </c>
      <c r="AI88" s="20">
        <f t="shared" si="92"/>
        <v>0</v>
      </c>
      <c r="AJ88" s="20">
        <f t="shared" si="92"/>
        <v>0</v>
      </c>
      <c r="AK88" s="20">
        <f t="shared" si="92"/>
        <v>0</v>
      </c>
      <c r="AL88" s="20">
        <f t="shared" si="92"/>
        <v>0</v>
      </c>
      <c r="AM88" s="20">
        <f t="shared" si="93"/>
        <v>0</v>
      </c>
      <c r="AO88">
        <f t="shared" si="94"/>
        <v>0</v>
      </c>
      <c r="AP88">
        <f t="shared" si="94"/>
        <v>0</v>
      </c>
      <c r="AQ88">
        <f t="shared" si="94"/>
        <v>0</v>
      </c>
      <c r="AR88">
        <f t="shared" si="94"/>
        <v>0</v>
      </c>
      <c r="AS88">
        <f t="shared" si="95"/>
        <v>0</v>
      </c>
      <c r="AU88">
        <f t="shared" si="96"/>
        <v>0</v>
      </c>
      <c r="AV88">
        <f t="shared" si="96"/>
        <v>0</v>
      </c>
      <c r="AW88">
        <f t="shared" si="96"/>
        <v>0</v>
      </c>
      <c r="AX88">
        <f t="shared" si="96"/>
        <v>0</v>
      </c>
      <c r="AY88">
        <f t="shared" si="97"/>
        <v>0</v>
      </c>
    </row>
    <row r="89" spans="1:53" ht="15" x14ac:dyDescent="0.25">
      <c r="A89" s="1"/>
      <c r="B89" s="2"/>
      <c r="C89" s="1" t="s">
        <v>13</v>
      </c>
      <c r="D89">
        <v>0</v>
      </c>
      <c r="E89" s="360">
        <v>0.3357</v>
      </c>
      <c r="F89">
        <v>0</v>
      </c>
      <c r="G89">
        <v>0</v>
      </c>
      <c r="H89">
        <v>0</v>
      </c>
      <c r="J89">
        <v>0</v>
      </c>
      <c r="K89">
        <v>0</v>
      </c>
      <c r="L89">
        <v>0</v>
      </c>
      <c r="M89">
        <v>0</v>
      </c>
      <c r="N89">
        <v>0</v>
      </c>
      <c r="O89" s="20"/>
      <c r="P89" s="20"/>
      <c r="Q89" s="438">
        <v>3.9612880588699911E-2</v>
      </c>
      <c r="R89" s="197">
        <v>0.38700000000000001</v>
      </c>
      <c r="S89" s="197">
        <v>2.48</v>
      </c>
      <c r="T89" s="197">
        <v>0.72182006204756977</v>
      </c>
      <c r="U89" s="197">
        <v>0.90789473684210531</v>
      </c>
      <c r="V89" s="20">
        <f t="shared" si="88"/>
        <v>5.1463430332734789E-2</v>
      </c>
      <c r="W89" s="20">
        <f t="shared" si="88"/>
        <v>0</v>
      </c>
      <c r="X89" s="20">
        <f t="shared" si="88"/>
        <v>0</v>
      </c>
      <c r="Y89" s="20">
        <f t="shared" si="88"/>
        <v>0</v>
      </c>
      <c r="Z89" s="20">
        <f t="shared" si="89"/>
        <v>3.9760063104219825E-2</v>
      </c>
      <c r="AA89" s="20">
        <f t="shared" si="89"/>
        <v>0</v>
      </c>
      <c r="AB89" s="20">
        <f t="shared" si="89"/>
        <v>0</v>
      </c>
      <c r="AC89" s="20">
        <f t="shared" si="89"/>
        <v>0</v>
      </c>
      <c r="AD89" s="20">
        <f t="shared" si="90"/>
        <v>3.9760063104219825E-2</v>
      </c>
      <c r="AE89" s="20">
        <f t="shared" si="91"/>
        <v>0.32979149153793863</v>
      </c>
      <c r="AF89" s="20">
        <f t="shared" si="91"/>
        <v>0</v>
      </c>
      <c r="AG89" s="20">
        <f t="shared" si="91"/>
        <v>0</v>
      </c>
      <c r="AH89" s="20">
        <f t="shared" si="91"/>
        <v>0</v>
      </c>
      <c r="AI89" s="20">
        <f t="shared" si="92"/>
        <v>0.30495957784250088</v>
      </c>
      <c r="AJ89" s="20">
        <f t="shared" si="92"/>
        <v>0</v>
      </c>
      <c r="AK89" s="20">
        <f t="shared" si="92"/>
        <v>0</v>
      </c>
      <c r="AL89" s="20">
        <f t="shared" si="92"/>
        <v>0</v>
      </c>
      <c r="AM89" s="20">
        <f t="shared" si="93"/>
        <v>0.30495957784250088</v>
      </c>
      <c r="AO89">
        <f t="shared" si="94"/>
        <v>4.5167431686393721E-2</v>
      </c>
      <c r="AP89">
        <f t="shared" si="94"/>
        <v>0</v>
      </c>
      <c r="AQ89">
        <f t="shared" si="94"/>
        <v>0</v>
      </c>
      <c r="AR89">
        <f t="shared" si="94"/>
        <v>0</v>
      </c>
      <c r="AS89">
        <f t="shared" si="95"/>
        <v>4.5167431686393721E-2</v>
      </c>
      <c r="AU89">
        <f t="shared" si="96"/>
        <v>0.34643408042908097</v>
      </c>
      <c r="AV89">
        <f t="shared" si="96"/>
        <v>0</v>
      </c>
      <c r="AW89">
        <f t="shared" si="96"/>
        <v>0</v>
      </c>
      <c r="AX89">
        <f t="shared" si="96"/>
        <v>0</v>
      </c>
      <c r="AY89">
        <f t="shared" si="97"/>
        <v>0.34643408042908097</v>
      </c>
    </row>
    <row r="90" spans="1:53" s="319" customFormat="1" ht="15" x14ac:dyDescent="0.25">
      <c r="A90" s="368"/>
      <c r="B90" s="369" t="s">
        <v>14</v>
      </c>
      <c r="C90" s="368"/>
      <c r="D90" s="370">
        <f t="shared" ref="D90:H90" si="98">SUM(D84:D89)</f>
        <v>0</v>
      </c>
      <c r="E90" s="363">
        <f>SUM(E84:E89)</f>
        <v>231.7655</v>
      </c>
      <c r="F90" s="370">
        <f t="shared" si="98"/>
        <v>0</v>
      </c>
      <c r="G90" s="370">
        <f t="shared" si="98"/>
        <v>0</v>
      </c>
      <c r="H90" s="370">
        <f t="shared" si="98"/>
        <v>0</v>
      </c>
      <c r="J90" s="319">
        <v>0</v>
      </c>
      <c r="K90">
        <v>0</v>
      </c>
      <c r="L90" s="319">
        <v>0</v>
      </c>
      <c r="M90" s="319">
        <v>0</v>
      </c>
      <c r="N90" s="319">
        <v>0</v>
      </c>
      <c r="O90" s="372"/>
      <c r="P90" s="372"/>
      <c r="Q90" s="438">
        <v>2.7353816439462272E-2</v>
      </c>
      <c r="R90" s="373"/>
      <c r="S90" s="373"/>
      <c r="T90" s="373"/>
      <c r="U90" s="373"/>
      <c r="BA90" s="319">
        <f>(E90*10000*Q90*AU$10)</f>
        <v>72018.661923842184</v>
      </c>
    </row>
    <row r="91" spans="1:53" ht="15" x14ac:dyDescent="0.25">
      <c r="A91" s="10"/>
      <c r="B91" s="9" t="s">
        <v>15</v>
      </c>
      <c r="C91" s="5"/>
      <c r="E91" s="363">
        <f>SUM(E90)</f>
        <v>231.7655</v>
      </c>
      <c r="H91" s="358">
        <f>SUM(D90:H90)</f>
        <v>231.7655</v>
      </c>
      <c r="K91" s="14"/>
      <c r="N91">
        <v>0</v>
      </c>
      <c r="O91" s="20"/>
      <c r="P91" s="20"/>
      <c r="Q91" s="438"/>
      <c r="R91" s="197"/>
      <c r="S91" s="197"/>
      <c r="T91" s="197"/>
      <c r="U91" s="197"/>
    </row>
    <row r="92" spans="1:53" ht="15.75" x14ac:dyDescent="0.25">
      <c r="A92" s="1"/>
      <c r="B92" s="2"/>
      <c r="C92" s="1"/>
      <c r="E92" s="361"/>
      <c r="K92" s="14"/>
      <c r="O92" s="20"/>
      <c r="P92" s="20"/>
      <c r="Q92" s="439"/>
      <c r="R92" s="197"/>
      <c r="S92" s="197"/>
      <c r="T92" s="197"/>
      <c r="U92" s="197"/>
    </row>
    <row r="93" spans="1:53" ht="15" x14ac:dyDescent="0.25">
      <c r="A93" s="1">
        <v>10</v>
      </c>
      <c r="B93" s="2" t="s">
        <v>24</v>
      </c>
      <c r="C93" s="1" t="s">
        <v>8</v>
      </c>
      <c r="D93">
        <v>0</v>
      </c>
      <c r="E93" s="360">
        <v>125.95440000000001</v>
      </c>
      <c r="F93">
        <v>0</v>
      </c>
      <c r="G93">
        <v>0</v>
      </c>
      <c r="H93">
        <v>0</v>
      </c>
      <c r="J93">
        <v>0</v>
      </c>
      <c r="K93">
        <v>0</v>
      </c>
      <c r="L93">
        <v>0</v>
      </c>
      <c r="M93">
        <v>0</v>
      </c>
      <c r="N93">
        <v>0</v>
      </c>
      <c r="O93" s="20"/>
      <c r="P93" s="20"/>
      <c r="Q93" s="438">
        <v>1.665322014717498E-2</v>
      </c>
      <c r="R93" s="197">
        <v>0.66599999999999993</v>
      </c>
      <c r="S93" s="197">
        <v>4.5549999999999997</v>
      </c>
      <c r="T93" s="197">
        <v>0.60039794540960334</v>
      </c>
      <c r="U93" s="197">
        <v>0.90789473684210531</v>
      </c>
      <c r="V93" s="20">
        <f t="shared" ref="V93:Y98" si="99">IF(K93&gt;0,((E93-K93)*$Q93*$R93*10)+(K93*$O$12*$Q93*$R93*10),(E93*$Q93*$R93*10))</f>
        <v>13.969658702357538</v>
      </c>
      <c r="W93" s="20">
        <f t="shared" si="99"/>
        <v>0</v>
      </c>
      <c r="X93" s="20">
        <f t="shared" si="99"/>
        <v>0</v>
      </c>
      <c r="Y93" s="20">
        <f t="shared" si="99"/>
        <v>0</v>
      </c>
      <c r="Z93" s="20">
        <f t="shared" ref="Z93:AC98" si="100">V93*(EXP(1.01-0.34*LN(Z$8))*(1-$T93)+(1*$T93))</f>
        <v>9.406140323341516</v>
      </c>
      <c r="AA93" s="20">
        <f t="shared" si="100"/>
        <v>0</v>
      </c>
      <c r="AB93" s="20">
        <f t="shared" si="100"/>
        <v>0</v>
      </c>
      <c r="AC93" s="20">
        <f t="shared" si="100"/>
        <v>0</v>
      </c>
      <c r="AD93" s="20">
        <f t="shared" ref="AD93:AD98" si="101">SUM(Z93:AC93)</f>
        <v>9.406140323341516</v>
      </c>
      <c r="AE93" s="20">
        <f t="shared" ref="AE93:AH98" si="102">IF(K93&gt;0,((E93-K93)*$Q93*$S93*10)+(K93*$P$12*$Q93*$S93)*10,(E93*$Q93*$S93*10))</f>
        <v>95.543236320178067</v>
      </c>
      <c r="AF93" s="20">
        <f t="shared" si="102"/>
        <v>0</v>
      </c>
      <c r="AG93" s="20">
        <f t="shared" si="102"/>
        <v>0</v>
      </c>
      <c r="AH93" s="20">
        <f t="shared" si="102"/>
        <v>0</v>
      </c>
      <c r="AI93" s="20">
        <f t="shared" ref="AI93:AL98" si="103">AE93*(EXP(1.01-0.34*LN(AI$8))*(1-$U93)+(1*$U93))</f>
        <v>88.349232049717543</v>
      </c>
      <c r="AJ93" s="20">
        <f t="shared" si="103"/>
        <v>0</v>
      </c>
      <c r="AK93" s="20">
        <f t="shared" si="103"/>
        <v>0</v>
      </c>
      <c r="AL93" s="20">
        <f t="shared" si="103"/>
        <v>0</v>
      </c>
      <c r="AM93" s="20">
        <f t="shared" ref="AM93:AM98" si="104">SUM(AI93:AL93)</f>
        <v>88.349232049717543</v>
      </c>
      <c r="AO93">
        <f t="shared" ref="AO93:AR98" si="105">Z93*AO$10</f>
        <v>10.685375407315961</v>
      </c>
      <c r="AP93">
        <f t="shared" si="105"/>
        <v>0</v>
      </c>
      <c r="AQ93">
        <f t="shared" si="105"/>
        <v>0</v>
      </c>
      <c r="AR93">
        <f t="shared" si="105"/>
        <v>0</v>
      </c>
      <c r="AS93">
        <f t="shared" ref="AS93:AS98" si="106">SUM(AO93:AR93)</f>
        <v>10.685375407315961</v>
      </c>
      <c r="AU93">
        <f t="shared" ref="AU93:AX98" si="107">AI93*AU$10</f>
        <v>100.36472760847911</v>
      </c>
      <c r="AV93">
        <f t="shared" si="107"/>
        <v>0</v>
      </c>
      <c r="AW93">
        <f t="shared" si="107"/>
        <v>0</v>
      </c>
      <c r="AX93">
        <f t="shared" si="107"/>
        <v>0</v>
      </c>
      <c r="AY93">
        <f t="shared" ref="AY93:AY98" si="108">SUM(AU93:AX93)</f>
        <v>100.36472760847911</v>
      </c>
    </row>
    <row r="94" spans="1:53" ht="15" x14ac:dyDescent="0.25">
      <c r="A94" s="1"/>
      <c r="B94" s="2"/>
      <c r="C94" s="1" t="s">
        <v>9</v>
      </c>
      <c r="D94">
        <v>0</v>
      </c>
      <c r="E94" s="360">
        <v>5.7535999999999996</v>
      </c>
      <c r="F94">
        <v>0</v>
      </c>
      <c r="G94">
        <v>0</v>
      </c>
      <c r="H94">
        <v>0</v>
      </c>
      <c r="J94">
        <v>0</v>
      </c>
      <c r="K94">
        <v>0</v>
      </c>
      <c r="L94">
        <v>0</v>
      </c>
      <c r="M94">
        <v>0</v>
      </c>
      <c r="N94">
        <v>0</v>
      </c>
      <c r="O94" s="20"/>
      <c r="P94" s="20"/>
      <c r="Q94" s="438">
        <v>2.4306440294349956E-2</v>
      </c>
      <c r="R94" s="197">
        <v>0.66599999999999993</v>
      </c>
      <c r="S94" s="197">
        <v>4.5549999999999997</v>
      </c>
      <c r="T94" s="197">
        <v>0.60039794540960334</v>
      </c>
      <c r="U94" s="197">
        <v>0.90789473684210531</v>
      </c>
      <c r="V94" s="20">
        <f t="shared" si="99"/>
        <v>0.93139790228462871</v>
      </c>
      <c r="W94" s="20">
        <f t="shared" si="99"/>
        <v>0</v>
      </c>
      <c r="X94" s="20">
        <f t="shared" si="99"/>
        <v>0</v>
      </c>
      <c r="Y94" s="20">
        <f t="shared" si="99"/>
        <v>0</v>
      </c>
      <c r="Z94" s="20">
        <f t="shared" si="100"/>
        <v>0.62713481785182434</v>
      </c>
      <c r="AA94" s="20">
        <f t="shared" si="100"/>
        <v>0</v>
      </c>
      <c r="AB94" s="20">
        <f t="shared" si="100"/>
        <v>0</v>
      </c>
      <c r="AC94" s="20">
        <f t="shared" si="100"/>
        <v>0</v>
      </c>
      <c r="AD94" s="20">
        <f t="shared" si="101"/>
        <v>0.62713481785182434</v>
      </c>
      <c r="AE94" s="20">
        <f t="shared" si="102"/>
        <v>6.3701463136733993</v>
      </c>
      <c r="AF94" s="20">
        <f t="shared" si="102"/>
        <v>0</v>
      </c>
      <c r="AG94" s="20">
        <f t="shared" si="102"/>
        <v>0</v>
      </c>
      <c r="AH94" s="20">
        <f t="shared" si="102"/>
        <v>0</v>
      </c>
      <c r="AI94" s="20">
        <f t="shared" si="103"/>
        <v>5.8905010603929586</v>
      </c>
      <c r="AJ94" s="20">
        <f t="shared" si="103"/>
        <v>0</v>
      </c>
      <c r="AK94" s="20">
        <f t="shared" si="103"/>
        <v>0</v>
      </c>
      <c r="AL94" s="20">
        <f t="shared" si="103"/>
        <v>0</v>
      </c>
      <c r="AM94" s="20">
        <f t="shared" si="104"/>
        <v>5.8905010603929586</v>
      </c>
      <c r="AO94">
        <f t="shared" si="105"/>
        <v>0.71242515307967236</v>
      </c>
      <c r="AP94">
        <f t="shared" si="105"/>
        <v>0</v>
      </c>
      <c r="AQ94">
        <f t="shared" si="105"/>
        <v>0</v>
      </c>
      <c r="AR94">
        <f t="shared" si="105"/>
        <v>0</v>
      </c>
      <c r="AS94">
        <f t="shared" si="106"/>
        <v>0.71242515307967236</v>
      </c>
      <c r="AU94">
        <f t="shared" si="107"/>
        <v>6.6916092046064</v>
      </c>
      <c r="AV94">
        <f t="shared" si="107"/>
        <v>0</v>
      </c>
      <c r="AW94">
        <f t="shared" si="107"/>
        <v>0</v>
      </c>
      <c r="AX94">
        <f t="shared" si="107"/>
        <v>0</v>
      </c>
      <c r="AY94">
        <f t="shared" si="108"/>
        <v>6.6916092046064</v>
      </c>
    </row>
    <row r="95" spans="1:53" ht="15" x14ac:dyDescent="0.25">
      <c r="A95" s="1"/>
      <c r="B95" s="2"/>
      <c r="C95" s="1" t="s">
        <v>10</v>
      </c>
      <c r="D95">
        <v>0</v>
      </c>
      <c r="E95" s="360"/>
      <c r="F95">
        <v>0</v>
      </c>
      <c r="G95">
        <v>0</v>
      </c>
      <c r="H95">
        <v>0</v>
      </c>
      <c r="J95">
        <v>0</v>
      </c>
      <c r="K95">
        <v>0</v>
      </c>
      <c r="L95">
        <v>0</v>
      </c>
      <c r="M95">
        <v>0</v>
      </c>
      <c r="N95">
        <v>0</v>
      </c>
      <c r="O95" s="20"/>
      <c r="P95" s="20"/>
      <c r="Q95" s="438"/>
      <c r="R95" s="197">
        <v>0.66599999999999993</v>
      </c>
      <c r="S95" s="197">
        <v>4.5549999999999997</v>
      </c>
      <c r="T95" s="197">
        <v>0.60039794540960334</v>
      </c>
      <c r="U95" s="197">
        <v>0.90789473684210531</v>
      </c>
      <c r="V95" s="20">
        <f t="shared" si="99"/>
        <v>0</v>
      </c>
      <c r="W95" s="20">
        <f t="shared" si="99"/>
        <v>0</v>
      </c>
      <c r="X95" s="20">
        <f t="shared" si="99"/>
        <v>0</v>
      </c>
      <c r="Y95" s="20">
        <f t="shared" si="99"/>
        <v>0</v>
      </c>
      <c r="Z95" s="20">
        <f t="shared" si="100"/>
        <v>0</v>
      </c>
      <c r="AA95" s="20">
        <f t="shared" si="100"/>
        <v>0</v>
      </c>
      <c r="AB95" s="20">
        <f t="shared" si="100"/>
        <v>0</v>
      </c>
      <c r="AC95" s="20">
        <f t="shared" si="100"/>
        <v>0</v>
      </c>
      <c r="AD95" s="20">
        <f t="shared" si="101"/>
        <v>0</v>
      </c>
      <c r="AE95" s="20">
        <f t="shared" si="102"/>
        <v>0</v>
      </c>
      <c r="AF95" s="20">
        <f t="shared" si="102"/>
        <v>0</v>
      </c>
      <c r="AG95" s="20">
        <f t="shared" si="102"/>
        <v>0</v>
      </c>
      <c r="AH95" s="20">
        <f t="shared" si="102"/>
        <v>0</v>
      </c>
      <c r="AI95" s="20">
        <f t="shared" si="103"/>
        <v>0</v>
      </c>
      <c r="AJ95" s="20">
        <f t="shared" si="103"/>
        <v>0</v>
      </c>
      <c r="AK95" s="20">
        <f t="shared" si="103"/>
        <v>0</v>
      </c>
      <c r="AL95" s="20">
        <f t="shared" si="103"/>
        <v>0</v>
      </c>
      <c r="AM95" s="20">
        <f t="shared" si="104"/>
        <v>0</v>
      </c>
      <c r="AO95">
        <f t="shared" si="105"/>
        <v>0</v>
      </c>
      <c r="AP95">
        <f t="shared" si="105"/>
        <v>0</v>
      </c>
      <c r="AQ95">
        <f t="shared" si="105"/>
        <v>0</v>
      </c>
      <c r="AR95">
        <f t="shared" si="105"/>
        <v>0</v>
      </c>
      <c r="AS95">
        <f t="shared" si="106"/>
        <v>0</v>
      </c>
      <c r="AU95">
        <f t="shared" si="107"/>
        <v>0</v>
      </c>
      <c r="AV95">
        <f t="shared" si="107"/>
        <v>0</v>
      </c>
      <c r="AW95">
        <f t="shared" si="107"/>
        <v>0</v>
      </c>
      <c r="AX95">
        <f t="shared" si="107"/>
        <v>0</v>
      </c>
      <c r="AY95">
        <f t="shared" si="108"/>
        <v>0</v>
      </c>
    </row>
    <row r="96" spans="1:53" ht="15" x14ac:dyDescent="0.25">
      <c r="A96" s="1"/>
      <c r="B96" s="2"/>
      <c r="C96" s="1" t="s">
        <v>11</v>
      </c>
      <c r="D96">
        <v>0</v>
      </c>
      <c r="E96" s="360">
        <v>55.817700000000002</v>
      </c>
      <c r="F96">
        <v>0</v>
      </c>
      <c r="G96">
        <v>0</v>
      </c>
      <c r="H96">
        <v>0</v>
      </c>
      <c r="J96">
        <v>0</v>
      </c>
      <c r="K96">
        <v>0</v>
      </c>
      <c r="L96">
        <v>0</v>
      </c>
      <c r="M96">
        <v>0</v>
      </c>
      <c r="N96">
        <v>0</v>
      </c>
      <c r="O96" s="20"/>
      <c r="P96" s="20"/>
      <c r="Q96" s="438">
        <v>3.9612880588699911E-2</v>
      </c>
      <c r="R96" s="197">
        <v>0.66599999999999993</v>
      </c>
      <c r="S96" s="197">
        <v>4.5549999999999997</v>
      </c>
      <c r="T96" s="197">
        <v>0.60039794540960334</v>
      </c>
      <c r="U96" s="197">
        <v>0.90789473684210531</v>
      </c>
      <c r="V96" s="20">
        <f t="shared" si="99"/>
        <v>14.725925233006926</v>
      </c>
      <c r="W96" s="20">
        <f t="shared" si="99"/>
        <v>0</v>
      </c>
      <c r="X96" s="20">
        <f t="shared" si="99"/>
        <v>0</v>
      </c>
      <c r="Y96" s="20">
        <f t="shared" si="99"/>
        <v>0</v>
      </c>
      <c r="Z96" s="20">
        <f t="shared" si="100"/>
        <v>9.9153545611907425</v>
      </c>
      <c r="AA96" s="20">
        <f t="shared" si="100"/>
        <v>0</v>
      </c>
      <c r="AB96" s="20">
        <f t="shared" si="100"/>
        <v>0</v>
      </c>
      <c r="AC96" s="20">
        <f t="shared" si="100"/>
        <v>0</v>
      </c>
      <c r="AD96" s="20">
        <f t="shared" si="101"/>
        <v>9.9153545611907425</v>
      </c>
      <c r="AE96" s="20">
        <f t="shared" si="102"/>
        <v>100.71559975427411</v>
      </c>
      <c r="AF96" s="20">
        <f t="shared" si="102"/>
        <v>0</v>
      </c>
      <c r="AG96" s="20">
        <f t="shared" si="102"/>
        <v>0</v>
      </c>
      <c r="AH96" s="20">
        <f t="shared" si="102"/>
        <v>0</v>
      </c>
      <c r="AI96" s="20">
        <f t="shared" si="103"/>
        <v>93.132138248886292</v>
      </c>
      <c r="AJ96" s="20">
        <f t="shared" si="103"/>
        <v>0</v>
      </c>
      <c r="AK96" s="20">
        <f t="shared" si="103"/>
        <v>0</v>
      </c>
      <c r="AL96" s="20">
        <f t="shared" si="103"/>
        <v>0</v>
      </c>
      <c r="AM96" s="20">
        <f t="shared" si="104"/>
        <v>93.132138248886292</v>
      </c>
      <c r="AO96">
        <f t="shared" si="105"/>
        <v>11.263842781512682</v>
      </c>
      <c r="AP96">
        <f t="shared" si="105"/>
        <v>0</v>
      </c>
      <c r="AQ96">
        <f t="shared" si="105"/>
        <v>0</v>
      </c>
      <c r="AR96">
        <f t="shared" si="105"/>
        <v>0</v>
      </c>
      <c r="AS96">
        <f t="shared" si="106"/>
        <v>11.263842781512682</v>
      </c>
      <c r="AU96">
        <f t="shared" si="107"/>
        <v>105.79810905073482</v>
      </c>
      <c r="AV96">
        <f t="shared" si="107"/>
        <v>0</v>
      </c>
      <c r="AW96">
        <f t="shared" si="107"/>
        <v>0</v>
      </c>
      <c r="AX96">
        <f t="shared" si="107"/>
        <v>0</v>
      </c>
      <c r="AY96">
        <f t="shared" si="108"/>
        <v>105.79810905073482</v>
      </c>
    </row>
    <row r="97" spans="1:53" ht="15" x14ac:dyDescent="0.25">
      <c r="A97" s="1"/>
      <c r="B97" s="2"/>
      <c r="C97" s="1" t="s">
        <v>12</v>
      </c>
      <c r="D97">
        <v>0</v>
      </c>
      <c r="E97" s="360">
        <v>0</v>
      </c>
      <c r="F97">
        <v>0</v>
      </c>
      <c r="G97">
        <v>0</v>
      </c>
      <c r="H9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20"/>
      <c r="P97" s="20"/>
      <c r="Q97" s="438"/>
      <c r="R97" s="197">
        <v>0.66599999999999993</v>
      </c>
      <c r="S97" s="197">
        <v>4.5549999999999997</v>
      </c>
      <c r="T97" s="197">
        <v>0.60039794540960334</v>
      </c>
      <c r="U97" s="197">
        <v>0.90789473684210531</v>
      </c>
      <c r="V97" s="20">
        <f t="shared" si="99"/>
        <v>0</v>
      </c>
      <c r="W97" s="20">
        <f t="shared" si="99"/>
        <v>0</v>
      </c>
      <c r="X97" s="20">
        <f t="shared" si="99"/>
        <v>0</v>
      </c>
      <c r="Y97" s="20">
        <f t="shared" si="99"/>
        <v>0</v>
      </c>
      <c r="Z97" s="20">
        <f t="shared" si="100"/>
        <v>0</v>
      </c>
      <c r="AA97" s="20">
        <f t="shared" si="100"/>
        <v>0</v>
      </c>
      <c r="AB97" s="20">
        <f t="shared" si="100"/>
        <v>0</v>
      </c>
      <c r="AC97" s="20">
        <f t="shared" si="100"/>
        <v>0</v>
      </c>
      <c r="AD97" s="20">
        <f t="shared" si="101"/>
        <v>0</v>
      </c>
      <c r="AE97" s="20">
        <f t="shared" si="102"/>
        <v>0</v>
      </c>
      <c r="AF97" s="20">
        <f t="shared" si="102"/>
        <v>0</v>
      </c>
      <c r="AG97" s="20">
        <f t="shared" si="102"/>
        <v>0</v>
      </c>
      <c r="AH97" s="20">
        <f t="shared" si="102"/>
        <v>0</v>
      </c>
      <c r="AI97" s="20">
        <f t="shared" si="103"/>
        <v>0</v>
      </c>
      <c r="AJ97" s="20">
        <f t="shared" si="103"/>
        <v>0</v>
      </c>
      <c r="AK97" s="20">
        <f t="shared" si="103"/>
        <v>0</v>
      </c>
      <c r="AL97" s="20">
        <f t="shared" si="103"/>
        <v>0</v>
      </c>
      <c r="AM97" s="20">
        <f t="shared" si="104"/>
        <v>0</v>
      </c>
      <c r="AO97">
        <f t="shared" si="105"/>
        <v>0</v>
      </c>
      <c r="AP97">
        <f t="shared" si="105"/>
        <v>0</v>
      </c>
      <c r="AQ97">
        <f t="shared" si="105"/>
        <v>0</v>
      </c>
      <c r="AR97">
        <f t="shared" si="105"/>
        <v>0</v>
      </c>
      <c r="AS97">
        <f t="shared" si="106"/>
        <v>0</v>
      </c>
      <c r="AU97">
        <f t="shared" si="107"/>
        <v>0</v>
      </c>
      <c r="AV97">
        <f t="shared" si="107"/>
        <v>0</v>
      </c>
      <c r="AW97">
        <f t="shared" si="107"/>
        <v>0</v>
      </c>
      <c r="AX97">
        <f t="shared" si="107"/>
        <v>0</v>
      </c>
      <c r="AY97">
        <f t="shared" si="108"/>
        <v>0</v>
      </c>
    </row>
    <row r="98" spans="1:53" ht="15" x14ac:dyDescent="0.25">
      <c r="A98" s="1"/>
      <c r="B98" s="2"/>
      <c r="C98" s="1" t="s">
        <v>13</v>
      </c>
      <c r="D98">
        <v>0</v>
      </c>
      <c r="E98" s="360">
        <v>0.22670000000000001</v>
      </c>
      <c r="F98">
        <v>0</v>
      </c>
      <c r="G98">
        <v>0</v>
      </c>
      <c r="H98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20"/>
      <c r="P98" s="20"/>
      <c r="Q98" s="438">
        <v>3.9612880588699918E-2</v>
      </c>
      <c r="R98" s="197">
        <v>0.66599999999999993</v>
      </c>
      <c r="S98" s="197">
        <v>4.5549999999999997</v>
      </c>
      <c r="T98" s="197">
        <v>0.60039794540960334</v>
      </c>
      <c r="U98" s="197">
        <v>0.90789473684210531</v>
      </c>
      <c r="V98" s="20">
        <f t="shared" si="99"/>
        <v>5.9808398596192081E-2</v>
      </c>
      <c r="W98" s="20">
        <f t="shared" si="99"/>
        <v>0</v>
      </c>
      <c r="X98" s="20">
        <f t="shared" si="99"/>
        <v>0</v>
      </c>
      <c r="Y98" s="20">
        <f t="shared" si="99"/>
        <v>0</v>
      </c>
      <c r="Z98" s="20">
        <f t="shared" si="100"/>
        <v>4.0270575086790425E-2</v>
      </c>
      <c r="AA98" s="20">
        <f t="shared" si="100"/>
        <v>0</v>
      </c>
      <c r="AB98" s="20">
        <f t="shared" si="100"/>
        <v>0</v>
      </c>
      <c r="AC98" s="20">
        <f t="shared" si="100"/>
        <v>0</v>
      </c>
      <c r="AD98" s="20">
        <f t="shared" si="101"/>
        <v>4.0270575086790425E-2</v>
      </c>
      <c r="AE98" s="20">
        <f t="shared" si="102"/>
        <v>0.40904993334182427</v>
      </c>
      <c r="AF98" s="20">
        <f t="shared" si="102"/>
        <v>0</v>
      </c>
      <c r="AG98" s="20">
        <f t="shared" si="102"/>
        <v>0</v>
      </c>
      <c r="AH98" s="20">
        <f t="shared" si="102"/>
        <v>0</v>
      </c>
      <c r="AI98" s="20">
        <f t="shared" si="103"/>
        <v>0.3782501919825168</v>
      </c>
      <c r="AJ98" s="20">
        <f t="shared" si="103"/>
        <v>0</v>
      </c>
      <c r="AK98" s="20">
        <f t="shared" si="103"/>
        <v>0</v>
      </c>
      <c r="AL98" s="20">
        <f t="shared" si="103"/>
        <v>0</v>
      </c>
      <c r="AM98" s="20">
        <f t="shared" si="104"/>
        <v>0.3782501919825168</v>
      </c>
      <c r="AO98">
        <f t="shared" si="105"/>
        <v>4.5747373298593921E-2</v>
      </c>
      <c r="AP98">
        <f t="shared" si="105"/>
        <v>0</v>
      </c>
      <c r="AQ98">
        <f t="shared" si="105"/>
        <v>0</v>
      </c>
      <c r="AR98">
        <f t="shared" si="105"/>
        <v>0</v>
      </c>
      <c r="AS98">
        <f t="shared" si="106"/>
        <v>4.5747373298593921E-2</v>
      </c>
      <c r="AU98">
        <f t="shared" si="107"/>
        <v>0.42969221809213903</v>
      </c>
      <c r="AV98">
        <f t="shared" si="107"/>
        <v>0</v>
      </c>
      <c r="AW98">
        <f t="shared" si="107"/>
        <v>0</v>
      </c>
      <c r="AX98">
        <f t="shared" si="107"/>
        <v>0</v>
      </c>
      <c r="AY98">
        <f t="shared" si="108"/>
        <v>0.42969221809213903</v>
      </c>
    </row>
    <row r="99" spans="1:53" s="319" customFormat="1" ht="15" x14ac:dyDescent="0.25">
      <c r="A99" s="368"/>
      <c r="B99" s="369" t="s">
        <v>14</v>
      </c>
      <c r="C99" s="368"/>
      <c r="D99" s="370">
        <f t="shared" ref="D99:H99" si="109">SUM(D93:D98)</f>
        <v>0</v>
      </c>
      <c r="E99" s="363">
        <f>SUM(E93:E98)</f>
        <v>187.75239999999999</v>
      </c>
      <c r="F99" s="370">
        <f t="shared" si="109"/>
        <v>0</v>
      </c>
      <c r="G99" s="370">
        <f t="shared" si="109"/>
        <v>0</v>
      </c>
      <c r="H99" s="370">
        <f t="shared" si="109"/>
        <v>0</v>
      </c>
      <c r="J99" s="319">
        <v>0</v>
      </c>
      <c r="K99">
        <v>0</v>
      </c>
      <c r="L99" s="319">
        <v>0</v>
      </c>
      <c r="M99" s="319">
        <v>0</v>
      </c>
      <c r="N99" s="319">
        <v>0</v>
      </c>
      <c r="O99" s="372"/>
      <c r="P99" s="372"/>
      <c r="Q99" s="438">
        <v>2.3741246511087163E-2</v>
      </c>
      <c r="R99" s="373"/>
      <c r="S99" s="373"/>
      <c r="T99" s="373"/>
      <c r="U99" s="373"/>
      <c r="BA99" s="319">
        <f>(E99*10000*Q99*AU$10)</f>
        <v>50636.927490052018</v>
      </c>
    </row>
    <row r="100" spans="1:53" ht="15" x14ac:dyDescent="0.25">
      <c r="A100" s="10"/>
      <c r="B100" s="9" t="s">
        <v>15</v>
      </c>
      <c r="C100" s="5"/>
      <c r="E100" s="363">
        <f>SUM(E99)</f>
        <v>187.75239999999999</v>
      </c>
      <c r="H100" s="358">
        <f>SUM(D99:H99)</f>
        <v>187.75239999999999</v>
      </c>
      <c r="K100" s="14"/>
      <c r="N100">
        <v>0</v>
      </c>
      <c r="O100" s="20"/>
      <c r="P100" s="20"/>
      <c r="Q100" s="438"/>
      <c r="R100" s="197"/>
      <c r="S100" s="197"/>
      <c r="T100" s="197"/>
      <c r="U100" s="197"/>
    </row>
    <row r="101" spans="1:53" ht="15.75" x14ac:dyDescent="0.25">
      <c r="A101" s="1"/>
      <c r="B101" s="2"/>
      <c r="C101" s="1"/>
      <c r="E101" s="361"/>
      <c r="K101" s="14"/>
      <c r="O101" s="20"/>
      <c r="P101" s="20"/>
      <c r="Q101" s="439"/>
      <c r="R101" s="197"/>
      <c r="S101" s="197"/>
      <c r="T101" s="197"/>
      <c r="U101" s="197"/>
    </row>
    <row r="102" spans="1:53" ht="15" x14ac:dyDescent="0.25">
      <c r="A102" s="1">
        <v>11</v>
      </c>
      <c r="B102" s="2" t="s">
        <v>25</v>
      </c>
      <c r="C102" s="1" t="s">
        <v>8</v>
      </c>
      <c r="D102">
        <v>0</v>
      </c>
      <c r="E102" s="360">
        <v>9.1846999999999994</v>
      </c>
      <c r="F102">
        <v>0</v>
      </c>
      <c r="G102">
        <v>0</v>
      </c>
      <c r="H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 s="20"/>
      <c r="P102" s="20"/>
      <c r="Q102" s="438">
        <v>1.665322014717498E-2</v>
      </c>
      <c r="R102" s="197">
        <v>0.14000000000000001</v>
      </c>
      <c r="S102" s="197">
        <v>2.0499999999999998</v>
      </c>
      <c r="T102" s="197">
        <v>0.62857142857142845</v>
      </c>
      <c r="U102" s="197">
        <v>0.90789473684210531</v>
      </c>
      <c r="V102" s="20">
        <f t="shared" ref="V102:Y107" si="110">IF(K102&gt;0,((E102-K102)*$Q102*$R102*10)+(K102*$O$12*$Q102*$R102*10),(E102*$Q102*$R102*10))</f>
        <v>0.21413676352006125</v>
      </c>
      <c r="W102" s="20">
        <f t="shared" si="110"/>
        <v>0</v>
      </c>
      <c r="X102" s="20">
        <f t="shared" si="110"/>
        <v>0</v>
      </c>
      <c r="Y102" s="20">
        <f t="shared" si="110"/>
        <v>0</v>
      </c>
      <c r="Z102" s="20">
        <f t="shared" ref="Z102:AC107" si="111">V102*(EXP(1.01-0.34*LN(Z$8))*(1-$T102)+(1*$T102))</f>
        <v>0.14911588427396075</v>
      </c>
      <c r="AA102" s="20">
        <f t="shared" si="111"/>
        <v>0</v>
      </c>
      <c r="AB102" s="20">
        <f t="shared" si="111"/>
        <v>0</v>
      </c>
      <c r="AC102" s="20">
        <f t="shared" si="111"/>
        <v>0</v>
      </c>
      <c r="AD102" s="20">
        <f t="shared" ref="AD102:AD107" si="112">SUM(Z102:AC102)</f>
        <v>0.14911588427396075</v>
      </c>
      <c r="AE102" s="20">
        <f t="shared" ref="AE102:AH107" si="113">IF(K102&gt;0,((E102-K102)*$Q102*$S102*10)+(K102*$P$12*$Q102*$S102)*10,(E102*$Q102*$S102*10))</f>
        <v>3.1355740372580394</v>
      </c>
      <c r="AF102" s="20">
        <f t="shared" si="113"/>
        <v>0</v>
      </c>
      <c r="AG102" s="20">
        <f t="shared" si="113"/>
        <v>0</v>
      </c>
      <c r="AH102" s="20">
        <f t="shared" si="113"/>
        <v>0</v>
      </c>
      <c r="AI102" s="20">
        <f t="shared" ref="AI102:AL107" si="114">AE102*(EXP(1.01-0.34*LN(AI$8))*(1-$U102)+(1*$U102))</f>
        <v>2.8994784863517786</v>
      </c>
      <c r="AJ102" s="20">
        <f t="shared" si="114"/>
        <v>0</v>
      </c>
      <c r="AK102" s="20">
        <f t="shared" si="114"/>
        <v>0</v>
      </c>
      <c r="AL102" s="20">
        <f t="shared" si="114"/>
        <v>0</v>
      </c>
      <c r="AM102" s="20">
        <f t="shared" ref="AM102:AM107" si="115">SUM(AI102:AL102)</f>
        <v>2.8994784863517786</v>
      </c>
      <c r="AO102">
        <f t="shared" ref="AO102:AR107" si="116">Z102*AO$10</f>
        <v>0.16939564453521938</v>
      </c>
      <c r="AP102">
        <f t="shared" si="116"/>
        <v>0</v>
      </c>
      <c r="AQ102">
        <f t="shared" si="116"/>
        <v>0</v>
      </c>
      <c r="AR102">
        <f t="shared" si="116"/>
        <v>0</v>
      </c>
      <c r="AS102">
        <f t="shared" ref="AS102:AS107" si="117">SUM(AO102:AR102)</f>
        <v>0.16939564453521938</v>
      </c>
      <c r="AU102">
        <f t="shared" ref="AU102:AX107" si="118">AI102*AU$10</f>
        <v>3.2938075604956203</v>
      </c>
      <c r="AV102">
        <f t="shared" si="118"/>
        <v>0</v>
      </c>
      <c r="AW102">
        <f t="shared" si="118"/>
        <v>0</v>
      </c>
      <c r="AX102">
        <f t="shared" si="118"/>
        <v>0</v>
      </c>
      <c r="AY102">
        <f t="shared" ref="AY102:AY107" si="119">SUM(AU102:AX102)</f>
        <v>3.2938075604956203</v>
      </c>
    </row>
    <row r="103" spans="1:53" ht="15" x14ac:dyDescent="0.25">
      <c r="A103" s="1"/>
      <c r="B103" s="2"/>
      <c r="C103" s="1" t="s">
        <v>9</v>
      </c>
      <c r="D103">
        <v>0</v>
      </c>
      <c r="E103" s="360">
        <v>0</v>
      </c>
      <c r="F103">
        <v>0</v>
      </c>
      <c r="G103">
        <v>0</v>
      </c>
      <c r="H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 s="20"/>
      <c r="P103" s="20"/>
      <c r="Q103" s="438"/>
      <c r="R103" s="197">
        <v>0.14000000000000001</v>
      </c>
      <c r="S103" s="197">
        <v>2.0499999999999998</v>
      </c>
      <c r="T103" s="197">
        <v>0.62857142857142845</v>
      </c>
      <c r="U103" s="197">
        <v>0.90789473684210531</v>
      </c>
      <c r="V103" s="20">
        <f t="shared" si="110"/>
        <v>0</v>
      </c>
      <c r="W103" s="20">
        <f t="shared" si="110"/>
        <v>0</v>
      </c>
      <c r="X103" s="20">
        <f t="shared" si="110"/>
        <v>0</v>
      </c>
      <c r="Y103" s="20">
        <f t="shared" si="110"/>
        <v>0</v>
      </c>
      <c r="Z103" s="20">
        <f t="shared" si="111"/>
        <v>0</v>
      </c>
      <c r="AA103" s="20">
        <f t="shared" si="111"/>
        <v>0</v>
      </c>
      <c r="AB103" s="20">
        <f t="shared" si="111"/>
        <v>0</v>
      </c>
      <c r="AC103" s="20">
        <f t="shared" si="111"/>
        <v>0</v>
      </c>
      <c r="AD103" s="20">
        <f t="shared" si="112"/>
        <v>0</v>
      </c>
      <c r="AE103" s="20">
        <f t="shared" si="113"/>
        <v>0</v>
      </c>
      <c r="AF103" s="20">
        <f t="shared" si="113"/>
        <v>0</v>
      </c>
      <c r="AG103" s="20">
        <f t="shared" si="113"/>
        <v>0</v>
      </c>
      <c r="AH103" s="20">
        <f t="shared" si="113"/>
        <v>0</v>
      </c>
      <c r="AI103" s="20">
        <f t="shared" si="114"/>
        <v>0</v>
      </c>
      <c r="AJ103" s="20">
        <f t="shared" si="114"/>
        <v>0</v>
      </c>
      <c r="AK103" s="20">
        <f t="shared" si="114"/>
        <v>0</v>
      </c>
      <c r="AL103" s="20">
        <f t="shared" si="114"/>
        <v>0</v>
      </c>
      <c r="AM103" s="20">
        <f t="shared" si="115"/>
        <v>0</v>
      </c>
      <c r="AO103">
        <f t="shared" si="116"/>
        <v>0</v>
      </c>
      <c r="AP103">
        <f t="shared" si="116"/>
        <v>0</v>
      </c>
      <c r="AQ103">
        <f t="shared" si="116"/>
        <v>0</v>
      </c>
      <c r="AR103">
        <f t="shared" si="116"/>
        <v>0</v>
      </c>
      <c r="AS103">
        <f t="shared" si="117"/>
        <v>0</v>
      </c>
      <c r="AU103">
        <f t="shared" si="118"/>
        <v>0</v>
      </c>
      <c r="AV103">
        <f t="shared" si="118"/>
        <v>0</v>
      </c>
      <c r="AW103">
        <f t="shared" si="118"/>
        <v>0</v>
      </c>
      <c r="AX103">
        <f t="shared" si="118"/>
        <v>0</v>
      </c>
      <c r="AY103">
        <f t="shared" si="119"/>
        <v>0</v>
      </c>
    </row>
    <row r="104" spans="1:53" ht="15" x14ac:dyDescent="0.25">
      <c r="A104" s="1"/>
      <c r="B104" s="2"/>
      <c r="C104" s="1" t="s">
        <v>10</v>
      </c>
      <c r="D104">
        <v>0</v>
      </c>
      <c r="E104" s="360">
        <v>0</v>
      </c>
      <c r="F104">
        <v>0</v>
      </c>
      <c r="G104">
        <v>0</v>
      </c>
      <c r="H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 s="20"/>
      <c r="P104" s="20"/>
      <c r="Q104" s="438"/>
      <c r="R104" s="197">
        <v>0.14000000000000001</v>
      </c>
      <c r="S104" s="197">
        <v>2.0499999999999998</v>
      </c>
      <c r="T104" s="197">
        <v>0.62857142857142845</v>
      </c>
      <c r="U104" s="197">
        <v>0.90789473684210531</v>
      </c>
      <c r="V104" s="20">
        <f t="shared" si="110"/>
        <v>0</v>
      </c>
      <c r="W104" s="20">
        <f t="shared" si="110"/>
        <v>0</v>
      </c>
      <c r="X104" s="20">
        <f t="shared" si="110"/>
        <v>0</v>
      </c>
      <c r="Y104" s="20">
        <f t="shared" si="110"/>
        <v>0</v>
      </c>
      <c r="Z104" s="20">
        <f t="shared" si="111"/>
        <v>0</v>
      </c>
      <c r="AA104" s="20">
        <f t="shared" si="111"/>
        <v>0</v>
      </c>
      <c r="AB104" s="20">
        <f t="shared" si="111"/>
        <v>0</v>
      </c>
      <c r="AC104" s="20">
        <f t="shared" si="111"/>
        <v>0</v>
      </c>
      <c r="AD104" s="20">
        <f t="shared" si="112"/>
        <v>0</v>
      </c>
      <c r="AE104" s="20">
        <f t="shared" si="113"/>
        <v>0</v>
      </c>
      <c r="AF104" s="20">
        <f t="shared" si="113"/>
        <v>0</v>
      </c>
      <c r="AG104" s="20">
        <f t="shared" si="113"/>
        <v>0</v>
      </c>
      <c r="AH104" s="20">
        <f t="shared" si="113"/>
        <v>0</v>
      </c>
      <c r="AI104" s="20">
        <f t="shared" si="114"/>
        <v>0</v>
      </c>
      <c r="AJ104" s="20">
        <f t="shared" si="114"/>
        <v>0</v>
      </c>
      <c r="AK104" s="20">
        <f t="shared" si="114"/>
        <v>0</v>
      </c>
      <c r="AL104" s="20">
        <f t="shared" si="114"/>
        <v>0</v>
      </c>
      <c r="AM104" s="20">
        <f t="shared" si="115"/>
        <v>0</v>
      </c>
      <c r="AO104">
        <f t="shared" si="116"/>
        <v>0</v>
      </c>
      <c r="AP104">
        <f t="shared" si="116"/>
        <v>0</v>
      </c>
      <c r="AQ104">
        <f t="shared" si="116"/>
        <v>0</v>
      </c>
      <c r="AR104">
        <f t="shared" si="116"/>
        <v>0</v>
      </c>
      <c r="AS104">
        <f t="shared" si="117"/>
        <v>0</v>
      </c>
      <c r="AU104">
        <f t="shared" si="118"/>
        <v>0</v>
      </c>
      <c r="AV104">
        <f t="shared" si="118"/>
        <v>0</v>
      </c>
      <c r="AW104">
        <f t="shared" si="118"/>
        <v>0</v>
      </c>
      <c r="AX104">
        <f t="shared" si="118"/>
        <v>0</v>
      </c>
      <c r="AY104">
        <f t="shared" si="119"/>
        <v>0</v>
      </c>
    </row>
    <row r="105" spans="1:53" ht="15" x14ac:dyDescent="0.25">
      <c r="A105" s="1"/>
      <c r="B105" s="2"/>
      <c r="C105" s="1" t="s">
        <v>11</v>
      </c>
      <c r="D105">
        <v>0</v>
      </c>
      <c r="E105" s="360">
        <v>6.8199999999999997E-2</v>
      </c>
      <c r="F105">
        <v>0</v>
      </c>
      <c r="G105">
        <v>0</v>
      </c>
      <c r="H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 s="20"/>
      <c r="P105" s="20"/>
      <c r="Q105" s="438">
        <v>3.9612880588699904E-2</v>
      </c>
      <c r="R105" s="197">
        <v>0.14000000000000001</v>
      </c>
      <c r="S105" s="197">
        <v>2.0499999999999998</v>
      </c>
      <c r="T105" s="197">
        <v>0.62857142857142845</v>
      </c>
      <c r="U105" s="197">
        <v>0.90789473684210531</v>
      </c>
      <c r="V105" s="20">
        <f t="shared" si="110"/>
        <v>3.7822378386090675E-3</v>
      </c>
      <c r="W105" s="20">
        <f t="shared" si="110"/>
        <v>0</v>
      </c>
      <c r="X105" s="20">
        <f t="shared" si="110"/>
        <v>0</v>
      </c>
      <c r="Y105" s="20">
        <f t="shared" si="110"/>
        <v>0</v>
      </c>
      <c r="Z105" s="20">
        <f t="shared" si="111"/>
        <v>2.6337922109567515E-3</v>
      </c>
      <c r="AA105" s="20">
        <f t="shared" si="111"/>
        <v>0</v>
      </c>
      <c r="AB105" s="20">
        <f t="shared" si="111"/>
        <v>0</v>
      </c>
      <c r="AC105" s="20">
        <f t="shared" si="111"/>
        <v>0</v>
      </c>
      <c r="AD105" s="20">
        <f t="shared" si="112"/>
        <v>2.6337922109567515E-3</v>
      </c>
      <c r="AE105" s="20">
        <f t="shared" si="113"/>
        <v>5.5382768351061332E-2</v>
      </c>
      <c r="AF105" s="20">
        <f t="shared" si="113"/>
        <v>0</v>
      </c>
      <c r="AG105" s="20">
        <f t="shared" si="113"/>
        <v>0</v>
      </c>
      <c r="AH105" s="20">
        <f t="shared" si="113"/>
        <v>0</v>
      </c>
      <c r="AI105" s="20">
        <f t="shared" si="114"/>
        <v>5.1212678584661858E-2</v>
      </c>
      <c r="AJ105" s="20">
        <f t="shared" si="114"/>
        <v>0</v>
      </c>
      <c r="AK105" s="20">
        <f t="shared" si="114"/>
        <v>0</v>
      </c>
      <c r="AL105" s="20">
        <f t="shared" si="114"/>
        <v>0</v>
      </c>
      <c r="AM105" s="20">
        <f t="shared" si="115"/>
        <v>5.1212678584661858E-2</v>
      </c>
      <c r="AO105">
        <f t="shared" si="116"/>
        <v>2.9919879516468696E-3</v>
      </c>
      <c r="AP105">
        <f t="shared" si="116"/>
        <v>0</v>
      </c>
      <c r="AQ105">
        <f t="shared" si="116"/>
        <v>0</v>
      </c>
      <c r="AR105">
        <f t="shared" si="116"/>
        <v>0</v>
      </c>
      <c r="AS105">
        <f t="shared" si="117"/>
        <v>2.9919879516468696E-3</v>
      </c>
      <c r="AU105">
        <f t="shared" si="118"/>
        <v>5.8177602872175868E-2</v>
      </c>
      <c r="AV105">
        <f t="shared" si="118"/>
        <v>0</v>
      </c>
      <c r="AW105">
        <f t="shared" si="118"/>
        <v>0</v>
      </c>
      <c r="AX105">
        <f t="shared" si="118"/>
        <v>0</v>
      </c>
      <c r="AY105">
        <f t="shared" si="119"/>
        <v>5.8177602872175868E-2</v>
      </c>
    </row>
    <row r="106" spans="1:53" ht="15" x14ac:dyDescent="0.25">
      <c r="A106" s="1"/>
      <c r="B106" s="2"/>
      <c r="C106" s="1" t="s">
        <v>12</v>
      </c>
      <c r="D106">
        <v>0</v>
      </c>
      <c r="E106" s="360">
        <v>0</v>
      </c>
      <c r="F106">
        <v>0</v>
      </c>
      <c r="G106">
        <v>0</v>
      </c>
      <c r="H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 s="20"/>
      <c r="P106" s="20"/>
      <c r="Q106" s="438"/>
      <c r="R106" s="197">
        <v>0.14000000000000001</v>
      </c>
      <c r="S106" s="197">
        <v>2.0499999999999998</v>
      </c>
      <c r="T106" s="197">
        <v>0.62857142857142845</v>
      </c>
      <c r="U106" s="197">
        <v>0.90789473684210531</v>
      </c>
      <c r="V106" s="20">
        <f t="shared" si="110"/>
        <v>0</v>
      </c>
      <c r="W106" s="20">
        <f t="shared" si="110"/>
        <v>0</v>
      </c>
      <c r="X106" s="20">
        <f t="shared" si="110"/>
        <v>0</v>
      </c>
      <c r="Y106" s="20">
        <f t="shared" si="110"/>
        <v>0</v>
      </c>
      <c r="Z106" s="20">
        <f t="shared" si="111"/>
        <v>0</v>
      </c>
      <c r="AA106" s="20">
        <f t="shared" si="111"/>
        <v>0</v>
      </c>
      <c r="AB106" s="20">
        <f t="shared" si="111"/>
        <v>0</v>
      </c>
      <c r="AC106" s="20">
        <f t="shared" si="111"/>
        <v>0</v>
      </c>
      <c r="AD106" s="20">
        <f t="shared" si="112"/>
        <v>0</v>
      </c>
      <c r="AE106" s="20">
        <f t="shared" si="113"/>
        <v>0</v>
      </c>
      <c r="AF106" s="20">
        <f t="shared" si="113"/>
        <v>0</v>
      </c>
      <c r="AG106" s="20">
        <f t="shared" si="113"/>
        <v>0</v>
      </c>
      <c r="AH106" s="20">
        <f t="shared" si="113"/>
        <v>0</v>
      </c>
      <c r="AI106" s="20">
        <f t="shared" si="114"/>
        <v>0</v>
      </c>
      <c r="AJ106" s="20">
        <f t="shared" si="114"/>
        <v>0</v>
      </c>
      <c r="AK106" s="20">
        <f t="shared" si="114"/>
        <v>0</v>
      </c>
      <c r="AL106" s="20">
        <f t="shared" si="114"/>
        <v>0</v>
      </c>
      <c r="AM106" s="20">
        <f t="shared" si="115"/>
        <v>0</v>
      </c>
      <c r="AO106">
        <f t="shared" si="116"/>
        <v>0</v>
      </c>
      <c r="AP106">
        <f t="shared" si="116"/>
        <v>0</v>
      </c>
      <c r="AQ106">
        <f t="shared" si="116"/>
        <v>0</v>
      </c>
      <c r="AR106">
        <f t="shared" si="116"/>
        <v>0</v>
      </c>
      <c r="AS106">
        <f t="shared" si="117"/>
        <v>0</v>
      </c>
      <c r="AU106">
        <f t="shared" si="118"/>
        <v>0</v>
      </c>
      <c r="AV106">
        <f t="shared" si="118"/>
        <v>0</v>
      </c>
      <c r="AW106">
        <f t="shared" si="118"/>
        <v>0</v>
      </c>
      <c r="AX106">
        <f t="shared" si="118"/>
        <v>0</v>
      </c>
      <c r="AY106">
        <f t="shared" si="119"/>
        <v>0</v>
      </c>
    </row>
    <row r="107" spans="1:53" ht="15" x14ac:dyDescent="0.25">
      <c r="A107" s="1"/>
      <c r="B107" s="2"/>
      <c r="C107" s="1" t="s">
        <v>13</v>
      </c>
      <c r="D107">
        <v>0</v>
      </c>
      <c r="E107" s="360">
        <v>2.5700000000000001E-2</v>
      </c>
      <c r="F107">
        <v>0</v>
      </c>
      <c r="G107">
        <v>0</v>
      </c>
      <c r="H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0"/>
      <c r="P107" s="20"/>
      <c r="Q107" s="438">
        <v>3.9612880588699911E-2</v>
      </c>
      <c r="R107" s="197">
        <v>0.14000000000000001</v>
      </c>
      <c r="S107" s="197">
        <v>2.0499999999999998</v>
      </c>
      <c r="T107" s="197">
        <v>0.62857142857142845</v>
      </c>
      <c r="U107" s="197">
        <v>0.90789473684210531</v>
      </c>
      <c r="V107" s="20">
        <f t="shared" si="110"/>
        <v>1.425271443581423E-3</v>
      </c>
      <c r="W107" s="20">
        <f t="shared" si="110"/>
        <v>0</v>
      </c>
      <c r="X107" s="20">
        <f t="shared" si="110"/>
        <v>0</v>
      </c>
      <c r="Y107" s="20">
        <f t="shared" si="110"/>
        <v>0</v>
      </c>
      <c r="Z107" s="20">
        <f t="shared" si="111"/>
        <v>9.9249941087373194E-4</v>
      </c>
      <c r="AA107" s="20">
        <f t="shared" si="111"/>
        <v>0</v>
      </c>
      <c r="AB107" s="20">
        <f t="shared" si="111"/>
        <v>0</v>
      </c>
      <c r="AC107" s="20">
        <f t="shared" si="111"/>
        <v>0</v>
      </c>
      <c r="AD107" s="20">
        <f t="shared" si="112"/>
        <v>9.9249941087373194E-4</v>
      </c>
      <c r="AE107" s="20">
        <f t="shared" si="113"/>
        <v>2.0870046138156545E-2</v>
      </c>
      <c r="AF107" s="20">
        <f t="shared" si="113"/>
        <v>0</v>
      </c>
      <c r="AG107" s="20">
        <f t="shared" si="113"/>
        <v>0</v>
      </c>
      <c r="AH107" s="20">
        <f t="shared" si="113"/>
        <v>0</v>
      </c>
      <c r="AI107" s="20">
        <f t="shared" si="114"/>
        <v>1.929861934935205E-2</v>
      </c>
      <c r="AJ107" s="20">
        <f t="shared" si="114"/>
        <v>0</v>
      </c>
      <c r="AK107" s="20">
        <f t="shared" si="114"/>
        <v>0</v>
      </c>
      <c r="AL107" s="20">
        <f t="shared" si="114"/>
        <v>0</v>
      </c>
      <c r="AM107" s="20">
        <f t="shared" si="115"/>
        <v>1.929861934935205E-2</v>
      </c>
      <c r="AO107">
        <f t="shared" si="116"/>
        <v>1.1274793307525595E-3</v>
      </c>
      <c r="AP107">
        <f t="shared" si="116"/>
        <v>0</v>
      </c>
      <c r="AQ107">
        <f t="shared" si="116"/>
        <v>0</v>
      </c>
      <c r="AR107">
        <f t="shared" si="116"/>
        <v>0</v>
      </c>
      <c r="AS107">
        <f t="shared" si="117"/>
        <v>1.1274793307525595E-3</v>
      </c>
      <c r="AU107">
        <f t="shared" si="118"/>
        <v>2.1923231580863928E-2</v>
      </c>
      <c r="AV107">
        <f t="shared" si="118"/>
        <v>0</v>
      </c>
      <c r="AW107">
        <f t="shared" si="118"/>
        <v>0</v>
      </c>
      <c r="AX107">
        <f t="shared" si="118"/>
        <v>0</v>
      </c>
      <c r="AY107">
        <f t="shared" si="119"/>
        <v>2.1923231580863928E-2</v>
      </c>
    </row>
    <row r="108" spans="1:53" s="319" customFormat="1" ht="15" x14ac:dyDescent="0.25">
      <c r="A108" s="368"/>
      <c r="B108" s="369" t="s">
        <v>14</v>
      </c>
      <c r="C108" s="368"/>
      <c r="D108" s="370">
        <f t="shared" ref="D108:H108" si="120">SUM(D102:D107)</f>
        <v>0</v>
      </c>
      <c r="E108" s="363">
        <f>SUM(E102:E107)</f>
        <v>9.2785999999999991</v>
      </c>
      <c r="F108" s="370">
        <f t="shared" si="120"/>
        <v>0</v>
      </c>
      <c r="G108" s="370">
        <f t="shared" si="120"/>
        <v>0</v>
      </c>
      <c r="H108" s="370">
        <f t="shared" si="120"/>
        <v>0</v>
      </c>
      <c r="J108" s="319">
        <v>0</v>
      </c>
      <c r="K108">
        <v>0</v>
      </c>
      <c r="L108" s="319">
        <v>0</v>
      </c>
      <c r="M108" s="319">
        <v>0</v>
      </c>
      <c r="N108" s="319">
        <v>0</v>
      </c>
      <c r="O108" s="372"/>
      <c r="P108" s="372"/>
      <c r="Q108" s="438">
        <v>1.6885573316344809E-2</v>
      </c>
      <c r="R108" s="373"/>
      <c r="S108" s="373"/>
      <c r="T108" s="373"/>
      <c r="U108" s="373"/>
      <c r="BA108" s="319">
        <f>(E108*10000*Q108*AU$10)</f>
        <v>1779.8220993096993</v>
      </c>
    </row>
    <row r="109" spans="1:53" ht="15" x14ac:dyDescent="0.25">
      <c r="A109" s="10"/>
      <c r="B109" s="9" t="s">
        <v>15</v>
      </c>
      <c r="C109" s="5"/>
      <c r="E109" s="363">
        <f>SUM(E108)</f>
        <v>9.2785999999999991</v>
      </c>
      <c r="H109" s="358">
        <f>SUM(D108:H108)</f>
        <v>9.2785999999999991</v>
      </c>
      <c r="K109" s="14"/>
      <c r="N109">
        <v>0</v>
      </c>
      <c r="O109" s="20"/>
      <c r="P109" s="20"/>
      <c r="Q109" s="438"/>
      <c r="R109" s="197"/>
      <c r="S109" s="197"/>
      <c r="T109" s="197"/>
      <c r="U109" s="197"/>
    </row>
    <row r="110" spans="1:53" ht="15.75" x14ac:dyDescent="0.25">
      <c r="A110" s="1"/>
      <c r="B110" s="2"/>
      <c r="C110" s="1"/>
      <c r="E110" s="361"/>
      <c r="K110" s="14"/>
      <c r="O110" s="20"/>
      <c r="P110" s="20"/>
      <c r="Q110" s="439"/>
      <c r="R110" s="197"/>
      <c r="S110" s="197"/>
      <c r="T110" s="197"/>
      <c r="U110" s="197"/>
    </row>
    <row r="111" spans="1:53" ht="15" x14ac:dyDescent="0.25">
      <c r="A111" s="1">
        <v>12</v>
      </c>
      <c r="B111" s="2" t="s">
        <v>26</v>
      </c>
      <c r="C111" s="1" t="s">
        <v>8</v>
      </c>
      <c r="D111">
        <v>0</v>
      </c>
      <c r="E111" s="360"/>
      <c r="F111">
        <v>0</v>
      </c>
      <c r="G111">
        <v>0</v>
      </c>
      <c r="H111">
        <v>0</v>
      </c>
      <c r="J111">
        <v>0</v>
      </c>
      <c r="K111" s="14">
        <v>0</v>
      </c>
      <c r="L111">
        <v>0</v>
      </c>
      <c r="M111">
        <v>0</v>
      </c>
      <c r="N111">
        <v>0</v>
      </c>
      <c r="O111" s="20"/>
      <c r="P111" s="20"/>
      <c r="Q111" s="438"/>
      <c r="R111" s="197">
        <v>6.531704360902256</v>
      </c>
      <c r="S111" s="197">
        <v>78.227142857142866</v>
      </c>
      <c r="T111" s="197">
        <v>0.5825685654008439</v>
      </c>
      <c r="U111" s="197">
        <v>0.90789473684210531</v>
      </c>
      <c r="V111" s="20">
        <f t="shared" ref="V111:Y116" si="121">IF(K111&gt;0,((E111-K111)*$Q111*$R111*10)+(K111*$O$12*$Q111*$R111*10),(E111*$Q111*$R111*10))</f>
        <v>0</v>
      </c>
      <c r="W111" s="20">
        <f t="shared" si="121"/>
        <v>0</v>
      </c>
      <c r="X111" s="20">
        <f t="shared" si="121"/>
        <v>0</v>
      </c>
      <c r="Y111" s="20">
        <f t="shared" si="121"/>
        <v>0</v>
      </c>
      <c r="Z111" s="20">
        <f t="shared" ref="Z111:AC116" si="122">V111*(EXP(1.01-0.34*LN(Z$8))*(1-$T111)+(1*$T111))</f>
        <v>0</v>
      </c>
      <c r="AA111" s="20">
        <f t="shared" si="122"/>
        <v>0</v>
      </c>
      <c r="AB111" s="20">
        <f t="shared" si="122"/>
        <v>0</v>
      </c>
      <c r="AC111" s="20">
        <f t="shared" si="122"/>
        <v>0</v>
      </c>
      <c r="AD111" s="20">
        <f t="shared" ref="AD111:AD116" si="123">SUM(Z111:AC111)</f>
        <v>0</v>
      </c>
      <c r="AE111" s="20">
        <f t="shared" ref="AE111:AH116" si="124">IF(K111&gt;0,((E111-K111)*$Q111*$S111*10)+(K111*$P$12*$Q111*$S111)*10,(E111*$Q111*$S111*10))</f>
        <v>0</v>
      </c>
      <c r="AF111" s="20">
        <f t="shared" si="124"/>
        <v>0</v>
      </c>
      <c r="AG111" s="20">
        <f t="shared" si="124"/>
        <v>0</v>
      </c>
      <c r="AH111" s="20">
        <f t="shared" si="124"/>
        <v>0</v>
      </c>
      <c r="AI111" s="20">
        <f t="shared" ref="AI111:AL116" si="125">AE111*(EXP(1.01-0.34*LN(AI$8))*(1-$U111)+(1*$U111))</f>
        <v>0</v>
      </c>
      <c r="AJ111" s="20">
        <f t="shared" si="125"/>
        <v>0</v>
      </c>
      <c r="AK111" s="20">
        <f t="shared" si="125"/>
        <v>0</v>
      </c>
      <c r="AL111" s="20">
        <f t="shared" si="125"/>
        <v>0</v>
      </c>
      <c r="AM111" s="20">
        <f t="shared" ref="AM111:AM116" si="126">SUM(AI111:AL111)</f>
        <v>0</v>
      </c>
      <c r="AO111">
        <f t="shared" ref="AO111:AR116" si="127">Z111*AO$10</f>
        <v>0</v>
      </c>
      <c r="AP111">
        <f t="shared" si="127"/>
        <v>0</v>
      </c>
      <c r="AQ111">
        <f t="shared" si="127"/>
        <v>0</v>
      </c>
      <c r="AR111">
        <f t="shared" si="127"/>
        <v>0</v>
      </c>
      <c r="AS111">
        <f t="shared" ref="AS111:AS116" si="128">SUM(AO111:AR111)</f>
        <v>0</v>
      </c>
      <c r="AU111">
        <f t="shared" ref="AU111:AX116" si="129">AI111*AU$10</f>
        <v>0</v>
      </c>
      <c r="AV111">
        <f t="shared" si="129"/>
        <v>0</v>
      </c>
      <c r="AW111">
        <f t="shared" si="129"/>
        <v>0</v>
      </c>
      <c r="AX111">
        <f t="shared" si="129"/>
        <v>0</v>
      </c>
      <c r="AY111">
        <f t="shared" ref="AY111:AY116" si="130">SUM(AU111:AX111)</f>
        <v>0</v>
      </c>
    </row>
    <row r="112" spans="1:53" ht="15" x14ac:dyDescent="0.25">
      <c r="A112" s="1"/>
      <c r="B112" s="2"/>
      <c r="C112" s="1" t="s">
        <v>9</v>
      </c>
      <c r="D112">
        <v>0</v>
      </c>
      <c r="E112" s="360"/>
      <c r="F112">
        <v>0</v>
      </c>
      <c r="G112">
        <v>0</v>
      </c>
      <c r="H112">
        <v>0</v>
      </c>
      <c r="J112">
        <v>0</v>
      </c>
      <c r="K112" s="14">
        <v>0</v>
      </c>
      <c r="L112">
        <v>0</v>
      </c>
      <c r="M112">
        <v>0</v>
      </c>
      <c r="N112">
        <v>0</v>
      </c>
      <c r="O112" s="20"/>
      <c r="P112" s="20"/>
      <c r="Q112" s="438"/>
      <c r="R112" s="197">
        <v>6.531704360902256</v>
      </c>
      <c r="S112" s="197">
        <v>78.227142857142866</v>
      </c>
      <c r="T112" s="197">
        <v>0.5825685654008439</v>
      </c>
      <c r="U112" s="197">
        <v>0.90789473684210531</v>
      </c>
      <c r="V112" s="20">
        <f t="shared" si="121"/>
        <v>0</v>
      </c>
      <c r="W112" s="20">
        <f t="shared" si="121"/>
        <v>0</v>
      </c>
      <c r="X112" s="20">
        <f t="shared" si="121"/>
        <v>0</v>
      </c>
      <c r="Y112" s="20">
        <f t="shared" si="121"/>
        <v>0</v>
      </c>
      <c r="Z112" s="20">
        <f t="shared" si="122"/>
        <v>0</v>
      </c>
      <c r="AA112" s="20">
        <f t="shared" si="122"/>
        <v>0</v>
      </c>
      <c r="AB112" s="20">
        <f t="shared" si="122"/>
        <v>0</v>
      </c>
      <c r="AC112" s="20">
        <f t="shared" si="122"/>
        <v>0</v>
      </c>
      <c r="AD112" s="20">
        <f t="shared" si="123"/>
        <v>0</v>
      </c>
      <c r="AE112" s="20">
        <f t="shared" si="124"/>
        <v>0</v>
      </c>
      <c r="AF112" s="20">
        <f t="shared" si="124"/>
        <v>0</v>
      </c>
      <c r="AG112" s="20">
        <f t="shared" si="124"/>
        <v>0</v>
      </c>
      <c r="AH112" s="20">
        <f t="shared" si="124"/>
        <v>0</v>
      </c>
      <c r="AI112" s="20">
        <f t="shared" si="125"/>
        <v>0</v>
      </c>
      <c r="AJ112" s="20">
        <f t="shared" si="125"/>
        <v>0</v>
      </c>
      <c r="AK112" s="20">
        <f t="shared" si="125"/>
        <v>0</v>
      </c>
      <c r="AL112" s="20">
        <f t="shared" si="125"/>
        <v>0</v>
      </c>
      <c r="AM112" s="20">
        <f t="shared" si="126"/>
        <v>0</v>
      </c>
      <c r="AO112">
        <f t="shared" si="127"/>
        <v>0</v>
      </c>
      <c r="AP112">
        <f t="shared" si="127"/>
        <v>0</v>
      </c>
      <c r="AQ112">
        <f t="shared" si="127"/>
        <v>0</v>
      </c>
      <c r="AR112">
        <f t="shared" si="127"/>
        <v>0</v>
      </c>
      <c r="AS112">
        <f t="shared" si="128"/>
        <v>0</v>
      </c>
      <c r="AU112">
        <f t="shared" si="129"/>
        <v>0</v>
      </c>
      <c r="AV112">
        <f t="shared" si="129"/>
        <v>0</v>
      </c>
      <c r="AW112">
        <f t="shared" si="129"/>
        <v>0</v>
      </c>
      <c r="AX112">
        <f t="shared" si="129"/>
        <v>0</v>
      </c>
      <c r="AY112">
        <f t="shared" si="130"/>
        <v>0</v>
      </c>
    </row>
    <row r="113" spans="1:53" ht="15" x14ac:dyDescent="0.25">
      <c r="A113" s="1"/>
      <c r="B113" s="2"/>
      <c r="C113" s="1" t="s">
        <v>10</v>
      </c>
      <c r="D113">
        <v>0</v>
      </c>
      <c r="E113" s="360"/>
      <c r="F113">
        <v>0</v>
      </c>
      <c r="G113">
        <v>0</v>
      </c>
      <c r="H113">
        <v>0</v>
      </c>
      <c r="J113">
        <v>0</v>
      </c>
      <c r="K113" s="14">
        <v>0</v>
      </c>
      <c r="L113">
        <v>0</v>
      </c>
      <c r="M113">
        <v>0</v>
      </c>
      <c r="N113">
        <v>0</v>
      </c>
      <c r="O113" s="20"/>
      <c r="P113" s="20"/>
      <c r="Q113" s="438"/>
      <c r="R113" s="197">
        <v>6.531704360902256</v>
      </c>
      <c r="S113" s="197">
        <v>78.227142857142866</v>
      </c>
      <c r="T113" s="197">
        <v>0.5825685654008439</v>
      </c>
      <c r="U113" s="197">
        <v>0.90789473684210531</v>
      </c>
      <c r="V113" s="20">
        <f t="shared" si="121"/>
        <v>0</v>
      </c>
      <c r="W113" s="20">
        <f t="shared" si="121"/>
        <v>0</v>
      </c>
      <c r="X113" s="20">
        <f t="shared" si="121"/>
        <v>0</v>
      </c>
      <c r="Y113" s="20">
        <f t="shared" si="121"/>
        <v>0</v>
      </c>
      <c r="Z113" s="20">
        <f t="shared" si="122"/>
        <v>0</v>
      </c>
      <c r="AA113" s="20">
        <f t="shared" si="122"/>
        <v>0</v>
      </c>
      <c r="AB113" s="20">
        <f t="shared" si="122"/>
        <v>0</v>
      </c>
      <c r="AC113" s="20">
        <f t="shared" si="122"/>
        <v>0</v>
      </c>
      <c r="AD113" s="20">
        <f t="shared" si="123"/>
        <v>0</v>
      </c>
      <c r="AE113" s="20">
        <f t="shared" si="124"/>
        <v>0</v>
      </c>
      <c r="AF113" s="20">
        <f t="shared" si="124"/>
        <v>0</v>
      </c>
      <c r="AG113" s="20">
        <f t="shared" si="124"/>
        <v>0</v>
      </c>
      <c r="AH113" s="20">
        <f t="shared" si="124"/>
        <v>0</v>
      </c>
      <c r="AI113" s="20">
        <f t="shared" si="125"/>
        <v>0</v>
      </c>
      <c r="AJ113" s="20">
        <f t="shared" si="125"/>
        <v>0</v>
      </c>
      <c r="AK113" s="20">
        <f t="shared" si="125"/>
        <v>0</v>
      </c>
      <c r="AL113" s="20">
        <f t="shared" si="125"/>
        <v>0</v>
      </c>
      <c r="AM113" s="20">
        <f t="shared" si="126"/>
        <v>0</v>
      </c>
      <c r="AO113">
        <f t="shared" si="127"/>
        <v>0</v>
      </c>
      <c r="AP113">
        <f t="shared" si="127"/>
        <v>0</v>
      </c>
      <c r="AQ113">
        <f t="shared" si="127"/>
        <v>0</v>
      </c>
      <c r="AR113">
        <f t="shared" si="127"/>
        <v>0</v>
      </c>
      <c r="AS113">
        <f t="shared" si="128"/>
        <v>0</v>
      </c>
      <c r="AU113">
        <f t="shared" si="129"/>
        <v>0</v>
      </c>
      <c r="AV113">
        <f t="shared" si="129"/>
        <v>0</v>
      </c>
      <c r="AW113">
        <f t="shared" si="129"/>
        <v>0</v>
      </c>
      <c r="AX113">
        <f t="shared" si="129"/>
        <v>0</v>
      </c>
      <c r="AY113">
        <f t="shared" si="130"/>
        <v>0</v>
      </c>
    </row>
    <row r="114" spans="1:53" ht="15" x14ac:dyDescent="0.25">
      <c r="A114" s="1"/>
      <c r="B114" s="2"/>
      <c r="C114" s="1" t="s">
        <v>11</v>
      </c>
      <c r="D114">
        <v>0</v>
      </c>
      <c r="E114" s="360"/>
      <c r="F114">
        <v>0</v>
      </c>
      <c r="G114">
        <v>0</v>
      </c>
      <c r="H114">
        <v>0</v>
      </c>
      <c r="J114">
        <v>0</v>
      </c>
      <c r="K114" s="14">
        <v>0</v>
      </c>
      <c r="L114">
        <v>0</v>
      </c>
      <c r="M114">
        <v>0</v>
      </c>
      <c r="N114">
        <v>0</v>
      </c>
      <c r="O114" s="20"/>
      <c r="P114" s="20"/>
      <c r="Q114" s="438"/>
      <c r="R114" s="197">
        <v>6.531704360902256</v>
      </c>
      <c r="S114" s="197">
        <v>78.227142857142866</v>
      </c>
      <c r="T114" s="197">
        <v>0.5825685654008439</v>
      </c>
      <c r="U114" s="197">
        <v>0.90789473684210531</v>
      </c>
      <c r="V114" s="20">
        <f t="shared" si="121"/>
        <v>0</v>
      </c>
      <c r="W114" s="20">
        <f t="shared" si="121"/>
        <v>0</v>
      </c>
      <c r="X114" s="20">
        <f t="shared" si="121"/>
        <v>0</v>
      </c>
      <c r="Y114" s="20">
        <f t="shared" si="121"/>
        <v>0</v>
      </c>
      <c r="Z114" s="20">
        <f t="shared" si="122"/>
        <v>0</v>
      </c>
      <c r="AA114" s="20">
        <f t="shared" si="122"/>
        <v>0</v>
      </c>
      <c r="AB114" s="20">
        <f t="shared" si="122"/>
        <v>0</v>
      </c>
      <c r="AC114" s="20">
        <f t="shared" si="122"/>
        <v>0</v>
      </c>
      <c r="AD114" s="20">
        <f t="shared" si="123"/>
        <v>0</v>
      </c>
      <c r="AE114" s="20">
        <f t="shared" si="124"/>
        <v>0</v>
      </c>
      <c r="AF114" s="20">
        <f t="shared" si="124"/>
        <v>0</v>
      </c>
      <c r="AG114" s="20">
        <f t="shared" si="124"/>
        <v>0</v>
      </c>
      <c r="AH114" s="20">
        <f t="shared" si="124"/>
        <v>0</v>
      </c>
      <c r="AI114" s="20">
        <f t="shared" si="125"/>
        <v>0</v>
      </c>
      <c r="AJ114" s="20">
        <f t="shared" si="125"/>
        <v>0</v>
      </c>
      <c r="AK114" s="20">
        <f t="shared" si="125"/>
        <v>0</v>
      </c>
      <c r="AL114" s="20">
        <f t="shared" si="125"/>
        <v>0</v>
      </c>
      <c r="AM114" s="20">
        <f t="shared" si="126"/>
        <v>0</v>
      </c>
      <c r="AO114">
        <f t="shared" si="127"/>
        <v>0</v>
      </c>
      <c r="AP114">
        <f t="shared" si="127"/>
        <v>0</v>
      </c>
      <c r="AQ114">
        <f t="shared" si="127"/>
        <v>0</v>
      </c>
      <c r="AR114">
        <f t="shared" si="127"/>
        <v>0</v>
      </c>
      <c r="AS114">
        <f t="shared" si="128"/>
        <v>0</v>
      </c>
      <c r="AU114">
        <f t="shared" si="129"/>
        <v>0</v>
      </c>
      <c r="AV114">
        <f t="shared" si="129"/>
        <v>0</v>
      </c>
      <c r="AW114">
        <f t="shared" si="129"/>
        <v>0</v>
      </c>
      <c r="AX114">
        <f t="shared" si="129"/>
        <v>0</v>
      </c>
      <c r="AY114">
        <f t="shared" si="130"/>
        <v>0</v>
      </c>
    </row>
    <row r="115" spans="1:53" ht="15" x14ac:dyDescent="0.25">
      <c r="A115" s="1"/>
      <c r="B115" s="2"/>
      <c r="C115" s="1" t="s">
        <v>12</v>
      </c>
      <c r="D115">
        <v>0</v>
      </c>
      <c r="E115" s="360"/>
      <c r="F115">
        <v>0</v>
      </c>
      <c r="G115">
        <v>0</v>
      </c>
      <c r="H115">
        <v>0</v>
      </c>
      <c r="J115">
        <v>0</v>
      </c>
      <c r="K115" s="14">
        <v>0</v>
      </c>
      <c r="L115">
        <v>0</v>
      </c>
      <c r="M115">
        <v>0</v>
      </c>
      <c r="N115">
        <v>0</v>
      </c>
      <c r="O115" s="20"/>
      <c r="P115" s="20"/>
      <c r="Q115" s="438"/>
      <c r="R115" s="197">
        <v>6.531704360902256</v>
      </c>
      <c r="S115" s="197">
        <v>78.227142857142866</v>
      </c>
      <c r="T115" s="197">
        <v>0.5825685654008439</v>
      </c>
      <c r="U115" s="197">
        <v>0.90789473684210531</v>
      </c>
      <c r="V115" s="20">
        <f t="shared" si="121"/>
        <v>0</v>
      </c>
      <c r="W115" s="20">
        <f t="shared" si="121"/>
        <v>0</v>
      </c>
      <c r="X115" s="20">
        <f t="shared" si="121"/>
        <v>0</v>
      </c>
      <c r="Y115" s="20">
        <f t="shared" si="121"/>
        <v>0</v>
      </c>
      <c r="Z115" s="20">
        <f t="shared" si="122"/>
        <v>0</v>
      </c>
      <c r="AA115" s="20">
        <f t="shared" si="122"/>
        <v>0</v>
      </c>
      <c r="AB115" s="20">
        <f t="shared" si="122"/>
        <v>0</v>
      </c>
      <c r="AC115" s="20">
        <f t="shared" si="122"/>
        <v>0</v>
      </c>
      <c r="AD115" s="20">
        <f t="shared" si="123"/>
        <v>0</v>
      </c>
      <c r="AE115" s="20">
        <f t="shared" si="124"/>
        <v>0</v>
      </c>
      <c r="AF115" s="20">
        <f t="shared" si="124"/>
        <v>0</v>
      </c>
      <c r="AG115" s="20">
        <f t="shared" si="124"/>
        <v>0</v>
      </c>
      <c r="AH115" s="20">
        <f t="shared" si="124"/>
        <v>0</v>
      </c>
      <c r="AI115" s="20">
        <f t="shared" si="125"/>
        <v>0</v>
      </c>
      <c r="AJ115" s="20">
        <f t="shared" si="125"/>
        <v>0</v>
      </c>
      <c r="AK115" s="20">
        <f t="shared" si="125"/>
        <v>0</v>
      </c>
      <c r="AL115" s="20">
        <f t="shared" si="125"/>
        <v>0</v>
      </c>
      <c r="AM115" s="20">
        <f t="shared" si="126"/>
        <v>0</v>
      </c>
      <c r="AO115">
        <f t="shared" si="127"/>
        <v>0</v>
      </c>
      <c r="AP115">
        <f t="shared" si="127"/>
        <v>0</v>
      </c>
      <c r="AQ115">
        <f t="shared" si="127"/>
        <v>0</v>
      </c>
      <c r="AR115">
        <f t="shared" si="127"/>
        <v>0</v>
      </c>
      <c r="AS115">
        <f t="shared" si="128"/>
        <v>0</v>
      </c>
      <c r="AU115">
        <f t="shared" si="129"/>
        <v>0</v>
      </c>
      <c r="AV115">
        <f t="shared" si="129"/>
        <v>0</v>
      </c>
      <c r="AW115">
        <f t="shared" si="129"/>
        <v>0</v>
      </c>
      <c r="AX115">
        <f t="shared" si="129"/>
        <v>0</v>
      </c>
      <c r="AY115">
        <f t="shared" si="130"/>
        <v>0</v>
      </c>
    </row>
    <row r="116" spans="1:53" ht="15" x14ac:dyDescent="0.25">
      <c r="A116" s="1"/>
      <c r="B116" s="2"/>
      <c r="C116" s="1" t="s">
        <v>13</v>
      </c>
      <c r="D116">
        <v>0</v>
      </c>
      <c r="E116" s="360"/>
      <c r="F116">
        <v>0</v>
      </c>
      <c r="G116">
        <v>0</v>
      </c>
      <c r="H116">
        <v>0</v>
      </c>
      <c r="J116">
        <v>0</v>
      </c>
      <c r="K116" s="14">
        <v>0</v>
      </c>
      <c r="L116">
        <v>0</v>
      </c>
      <c r="M116">
        <v>0</v>
      </c>
      <c r="N116">
        <v>0</v>
      </c>
      <c r="O116" s="20"/>
      <c r="P116" s="20"/>
      <c r="Q116" s="438"/>
      <c r="R116" s="197">
        <v>6.531704360902256</v>
      </c>
      <c r="S116" s="197">
        <v>78.227142857142866</v>
      </c>
      <c r="T116" s="197">
        <v>0.5825685654008439</v>
      </c>
      <c r="U116" s="197">
        <v>0.90789473684210531</v>
      </c>
      <c r="V116" s="20">
        <f t="shared" si="121"/>
        <v>0</v>
      </c>
      <c r="W116" s="20">
        <f t="shared" si="121"/>
        <v>0</v>
      </c>
      <c r="X116" s="20">
        <f t="shared" si="121"/>
        <v>0</v>
      </c>
      <c r="Y116" s="20">
        <f t="shared" si="121"/>
        <v>0</v>
      </c>
      <c r="Z116" s="20">
        <f t="shared" si="122"/>
        <v>0</v>
      </c>
      <c r="AA116" s="20">
        <f t="shared" si="122"/>
        <v>0</v>
      </c>
      <c r="AB116" s="20">
        <f t="shared" si="122"/>
        <v>0</v>
      </c>
      <c r="AC116" s="20">
        <f t="shared" si="122"/>
        <v>0</v>
      </c>
      <c r="AD116" s="20">
        <f t="shared" si="123"/>
        <v>0</v>
      </c>
      <c r="AE116" s="20">
        <f t="shared" si="124"/>
        <v>0</v>
      </c>
      <c r="AF116" s="20">
        <f t="shared" si="124"/>
        <v>0</v>
      </c>
      <c r="AG116" s="20">
        <f t="shared" si="124"/>
        <v>0</v>
      </c>
      <c r="AH116" s="20">
        <f t="shared" si="124"/>
        <v>0</v>
      </c>
      <c r="AI116" s="20">
        <f t="shared" si="125"/>
        <v>0</v>
      </c>
      <c r="AJ116" s="20">
        <f t="shared" si="125"/>
        <v>0</v>
      </c>
      <c r="AK116" s="20">
        <f t="shared" si="125"/>
        <v>0</v>
      </c>
      <c r="AL116" s="20">
        <f t="shared" si="125"/>
        <v>0</v>
      </c>
      <c r="AM116" s="20">
        <f t="shared" si="126"/>
        <v>0</v>
      </c>
      <c r="AO116">
        <f t="shared" si="127"/>
        <v>0</v>
      </c>
      <c r="AP116">
        <f t="shared" si="127"/>
        <v>0</v>
      </c>
      <c r="AQ116">
        <f t="shared" si="127"/>
        <v>0</v>
      </c>
      <c r="AR116">
        <f t="shared" si="127"/>
        <v>0</v>
      </c>
      <c r="AS116">
        <f t="shared" si="128"/>
        <v>0</v>
      </c>
      <c r="AU116">
        <f t="shared" si="129"/>
        <v>0</v>
      </c>
      <c r="AV116">
        <f t="shared" si="129"/>
        <v>0</v>
      </c>
      <c r="AW116">
        <f t="shared" si="129"/>
        <v>0</v>
      </c>
      <c r="AX116">
        <f t="shared" si="129"/>
        <v>0</v>
      </c>
      <c r="AY116">
        <f t="shared" si="130"/>
        <v>0</v>
      </c>
    </row>
    <row r="117" spans="1:53" s="319" customFormat="1" ht="15" x14ac:dyDescent="0.25">
      <c r="A117" s="368"/>
      <c r="B117" s="369" t="s">
        <v>14</v>
      </c>
      <c r="C117" s="368"/>
      <c r="D117" s="370">
        <f t="shared" ref="D117:H117" si="131">SUM(D111:D116)</f>
        <v>0</v>
      </c>
      <c r="E117" s="363">
        <f>SUM(E111:E116)</f>
        <v>0</v>
      </c>
      <c r="F117" s="370">
        <f t="shared" si="131"/>
        <v>0</v>
      </c>
      <c r="G117" s="370">
        <f t="shared" si="131"/>
        <v>0</v>
      </c>
      <c r="H117" s="370">
        <f t="shared" si="131"/>
        <v>0</v>
      </c>
      <c r="J117" s="319">
        <v>0</v>
      </c>
      <c r="K117" s="14">
        <v>0</v>
      </c>
      <c r="L117" s="319">
        <v>0</v>
      </c>
      <c r="M117" s="319">
        <v>0</v>
      </c>
      <c r="N117" s="319">
        <v>0</v>
      </c>
      <c r="O117" s="372"/>
      <c r="P117" s="372"/>
      <c r="Q117" s="438"/>
      <c r="R117" s="373"/>
      <c r="S117" s="373"/>
      <c r="T117" s="373"/>
      <c r="U117" s="373"/>
      <c r="BA117" s="319">
        <f>(E117*10000*Q117*AU$10)</f>
        <v>0</v>
      </c>
    </row>
    <row r="118" spans="1:53" ht="15" x14ac:dyDescent="0.25">
      <c r="A118" s="10"/>
      <c r="B118" s="9" t="s">
        <v>15</v>
      </c>
      <c r="C118" s="5"/>
      <c r="E118" s="363">
        <f>SUM(E117)</f>
        <v>0</v>
      </c>
      <c r="H118" s="358">
        <f>SUM(D117:H117)</f>
        <v>0</v>
      </c>
      <c r="K118" s="14"/>
      <c r="N118">
        <v>0</v>
      </c>
      <c r="O118" s="20"/>
      <c r="P118" s="20"/>
      <c r="Q118" s="438"/>
      <c r="R118" s="197"/>
      <c r="S118" s="197"/>
      <c r="T118" s="197"/>
      <c r="U118" s="197"/>
    </row>
    <row r="119" spans="1:53" ht="15.75" x14ac:dyDescent="0.25">
      <c r="A119" s="1"/>
      <c r="B119" s="2"/>
      <c r="C119" s="1"/>
      <c r="E119" s="361"/>
      <c r="K119" s="14"/>
      <c r="O119" s="20"/>
      <c r="P119" s="20"/>
      <c r="Q119" s="439"/>
      <c r="R119" s="197"/>
      <c r="S119" s="197"/>
      <c r="T119" s="197"/>
      <c r="U119" s="197"/>
    </row>
    <row r="120" spans="1:53" ht="15" x14ac:dyDescent="0.25">
      <c r="A120" s="1">
        <v>13</v>
      </c>
      <c r="B120" s="2" t="s">
        <v>27</v>
      </c>
      <c r="C120" s="1" t="s">
        <v>8</v>
      </c>
      <c r="D120">
        <v>0</v>
      </c>
      <c r="E120" s="360">
        <v>6.2455999999999996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 s="20"/>
      <c r="P120" s="20"/>
      <c r="Q120" s="438">
        <v>1.6653220147174977E-2</v>
      </c>
      <c r="R120" s="197">
        <v>0.49226666666666663</v>
      </c>
      <c r="S120" s="197">
        <v>2.8337500000000002</v>
      </c>
      <c r="T120" s="197">
        <v>0.68718466195761863</v>
      </c>
      <c r="U120" s="197">
        <v>0.90789473684210531</v>
      </c>
      <c r="V120" s="20">
        <f t="shared" ref="V120:Y125" si="132">IF(K120&gt;0,((E120-K120)*$Q120*$R120*10)+(K120*$O$12*$Q120*$R120*10),(E120*$Q120*$R120*10))</f>
        <v>0.51200336888722098</v>
      </c>
      <c r="W120" s="20">
        <f t="shared" si="132"/>
        <v>0</v>
      </c>
      <c r="X120" s="20">
        <f t="shared" si="132"/>
        <v>0</v>
      </c>
      <c r="Y120" s="20">
        <f t="shared" si="132"/>
        <v>0</v>
      </c>
      <c r="Z120" s="20">
        <f t="shared" ref="Z120:AC125" si="133">V120*(EXP(1.01-0.34*LN(Z$8))*(1-$T120)+(1*$T120))</f>
        <v>0.38107096138522484</v>
      </c>
      <c r="AA120" s="20">
        <f t="shared" si="133"/>
        <v>0</v>
      </c>
      <c r="AB120" s="20">
        <f t="shared" si="133"/>
        <v>0</v>
      </c>
      <c r="AC120" s="20">
        <f t="shared" si="133"/>
        <v>0</v>
      </c>
      <c r="AD120" s="20">
        <f t="shared" ref="AD120:AD125" si="134">SUM(Z120:AC120)</f>
        <v>0.38107096138522484</v>
      </c>
      <c r="AE120" s="20">
        <f t="shared" ref="AE120:AH125" si="135">IF(K120&gt;0,((E120-K120)*$Q120*$S120*10)+(K120*$P$12*$Q120*$S120)*10,(E120*$Q120*$S120*10))</f>
        <v>2.9473650052495177</v>
      </c>
      <c r="AF120" s="20">
        <f t="shared" si="135"/>
        <v>0</v>
      </c>
      <c r="AG120" s="20">
        <f t="shared" si="135"/>
        <v>0</v>
      </c>
      <c r="AH120" s="20">
        <f t="shared" si="135"/>
        <v>0</v>
      </c>
      <c r="AI120" s="20">
        <f t="shared" ref="AI120:AL125" si="136">AE120*(EXP(1.01-0.34*LN(AI$8))*(1-$U120)+(1*$U120))</f>
        <v>2.7254408036941542</v>
      </c>
      <c r="AJ120" s="20">
        <f t="shared" si="136"/>
        <v>0</v>
      </c>
      <c r="AK120" s="20">
        <f t="shared" si="136"/>
        <v>0</v>
      </c>
      <c r="AL120" s="20">
        <f t="shared" si="136"/>
        <v>0</v>
      </c>
      <c r="AM120" s="20">
        <f t="shared" ref="AM120:AM125" si="137">SUM(AI120:AL120)</f>
        <v>2.7254408036941542</v>
      </c>
      <c r="AO120">
        <f t="shared" ref="AO120:AR125" si="138">Z120*AO$10</f>
        <v>0.43289661213361535</v>
      </c>
      <c r="AP120">
        <f t="shared" si="138"/>
        <v>0</v>
      </c>
      <c r="AQ120">
        <f t="shared" si="138"/>
        <v>0</v>
      </c>
      <c r="AR120">
        <f t="shared" si="138"/>
        <v>0</v>
      </c>
      <c r="AS120">
        <f t="shared" ref="AS120:AS125" si="139">SUM(AO120:AR120)</f>
        <v>0.43289661213361535</v>
      </c>
      <c r="AU120">
        <f t="shared" ref="AU120:AX125" si="140">AI120*AU$10</f>
        <v>3.0961007529965587</v>
      </c>
      <c r="AV120">
        <f t="shared" si="140"/>
        <v>0</v>
      </c>
      <c r="AW120">
        <f t="shared" si="140"/>
        <v>0</v>
      </c>
      <c r="AX120">
        <f t="shared" si="140"/>
        <v>0</v>
      </c>
      <c r="AY120">
        <f t="shared" ref="AY120:AY125" si="141">SUM(AU120:AX120)</f>
        <v>3.0961007529965587</v>
      </c>
    </row>
    <row r="121" spans="1:53" ht="15" x14ac:dyDescent="0.25">
      <c r="A121" s="1"/>
      <c r="B121" s="2"/>
      <c r="C121" s="1" t="s">
        <v>9</v>
      </c>
      <c r="D121">
        <v>0</v>
      </c>
      <c r="E121" s="360">
        <v>0.30580000000000002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20"/>
      <c r="P121" s="20"/>
      <c r="Q121" s="438">
        <v>2.4306440294349953E-2</v>
      </c>
      <c r="R121" s="197">
        <v>0.49226666666666663</v>
      </c>
      <c r="S121" s="197">
        <v>2.8337500000000002</v>
      </c>
      <c r="T121" s="197">
        <v>0.68718466195761863</v>
      </c>
      <c r="U121" s="197">
        <v>0.90789473684210531</v>
      </c>
      <c r="V121" s="20">
        <f t="shared" si="132"/>
        <v>3.6589735546545467E-2</v>
      </c>
      <c r="W121" s="20">
        <f t="shared" si="132"/>
        <v>0</v>
      </c>
      <c r="X121" s="20">
        <f t="shared" si="132"/>
        <v>0</v>
      </c>
      <c r="Y121" s="20">
        <f t="shared" si="132"/>
        <v>0</v>
      </c>
      <c r="Z121" s="20">
        <f t="shared" si="133"/>
        <v>2.7232800697888582E-2</v>
      </c>
      <c r="AA121" s="20">
        <f t="shared" si="133"/>
        <v>0</v>
      </c>
      <c r="AB121" s="20">
        <f t="shared" si="133"/>
        <v>0</v>
      </c>
      <c r="AC121" s="20">
        <f t="shared" si="133"/>
        <v>0</v>
      </c>
      <c r="AD121" s="20">
        <f t="shared" si="134"/>
        <v>2.7232800697888582E-2</v>
      </c>
      <c r="AE121" s="20">
        <f t="shared" si="135"/>
        <v>0.21063007131302117</v>
      </c>
      <c r="AF121" s="20">
        <f t="shared" si="135"/>
        <v>0</v>
      </c>
      <c r="AG121" s="20">
        <f t="shared" si="135"/>
        <v>0</v>
      </c>
      <c r="AH121" s="20">
        <f t="shared" si="135"/>
        <v>0</v>
      </c>
      <c r="AI121" s="20">
        <f t="shared" si="136"/>
        <v>0.19477051190438446</v>
      </c>
      <c r="AJ121" s="20">
        <f t="shared" si="136"/>
        <v>0</v>
      </c>
      <c r="AK121" s="20">
        <f t="shared" si="136"/>
        <v>0</v>
      </c>
      <c r="AL121" s="20">
        <f t="shared" si="136"/>
        <v>0</v>
      </c>
      <c r="AM121" s="20">
        <f t="shared" si="137"/>
        <v>0.19477051190438446</v>
      </c>
      <c r="AO121">
        <f t="shared" si="138"/>
        <v>3.0936461592801424E-2</v>
      </c>
      <c r="AP121">
        <f t="shared" si="138"/>
        <v>0</v>
      </c>
      <c r="AQ121">
        <f t="shared" si="138"/>
        <v>0</v>
      </c>
      <c r="AR121">
        <f t="shared" si="138"/>
        <v>0</v>
      </c>
      <c r="AS121">
        <f t="shared" si="139"/>
        <v>3.0936461592801424E-2</v>
      </c>
      <c r="AU121">
        <f t="shared" si="140"/>
        <v>0.22125930152338072</v>
      </c>
      <c r="AV121">
        <f t="shared" si="140"/>
        <v>0</v>
      </c>
      <c r="AW121">
        <f t="shared" si="140"/>
        <v>0</v>
      </c>
      <c r="AX121">
        <f t="shared" si="140"/>
        <v>0</v>
      </c>
      <c r="AY121">
        <f t="shared" si="141"/>
        <v>0.22125930152338072</v>
      </c>
    </row>
    <row r="122" spans="1:53" ht="15" x14ac:dyDescent="0.25">
      <c r="A122" s="1"/>
      <c r="B122" s="2"/>
      <c r="C122" s="1" t="s">
        <v>10</v>
      </c>
      <c r="D122">
        <v>0</v>
      </c>
      <c r="E122" s="360"/>
      <c r="F122">
        <v>0</v>
      </c>
      <c r="G122">
        <v>0</v>
      </c>
      <c r="H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s="20"/>
      <c r="P122" s="20"/>
      <c r="Q122" s="438"/>
      <c r="R122" s="197">
        <v>0.49226666666666663</v>
      </c>
      <c r="S122" s="197">
        <v>2.8337500000000002</v>
      </c>
      <c r="T122" s="197">
        <v>0.68718466195761863</v>
      </c>
      <c r="U122" s="197">
        <v>0.90789473684210531</v>
      </c>
      <c r="V122" s="20">
        <f t="shared" si="132"/>
        <v>0</v>
      </c>
      <c r="W122" s="20">
        <f t="shared" si="132"/>
        <v>0</v>
      </c>
      <c r="X122" s="20">
        <f t="shared" si="132"/>
        <v>0</v>
      </c>
      <c r="Y122" s="20">
        <f t="shared" si="132"/>
        <v>0</v>
      </c>
      <c r="Z122" s="20">
        <f t="shared" si="133"/>
        <v>0</v>
      </c>
      <c r="AA122" s="20">
        <f t="shared" si="133"/>
        <v>0</v>
      </c>
      <c r="AB122" s="20">
        <f t="shared" si="133"/>
        <v>0</v>
      </c>
      <c r="AC122" s="20">
        <f t="shared" si="133"/>
        <v>0</v>
      </c>
      <c r="AD122" s="20">
        <f t="shared" si="134"/>
        <v>0</v>
      </c>
      <c r="AE122" s="20">
        <f t="shared" si="135"/>
        <v>0</v>
      </c>
      <c r="AF122" s="20">
        <f t="shared" si="135"/>
        <v>0</v>
      </c>
      <c r="AG122" s="20">
        <f t="shared" si="135"/>
        <v>0</v>
      </c>
      <c r="AH122" s="20">
        <f t="shared" si="135"/>
        <v>0</v>
      </c>
      <c r="AI122" s="20">
        <f t="shared" si="136"/>
        <v>0</v>
      </c>
      <c r="AJ122" s="20">
        <f t="shared" si="136"/>
        <v>0</v>
      </c>
      <c r="AK122" s="20">
        <f t="shared" si="136"/>
        <v>0</v>
      </c>
      <c r="AL122" s="20">
        <f t="shared" si="136"/>
        <v>0</v>
      </c>
      <c r="AM122" s="20">
        <f t="shared" si="137"/>
        <v>0</v>
      </c>
      <c r="AO122">
        <f t="shared" si="138"/>
        <v>0</v>
      </c>
      <c r="AP122">
        <f t="shared" si="138"/>
        <v>0</v>
      </c>
      <c r="AQ122">
        <f t="shared" si="138"/>
        <v>0</v>
      </c>
      <c r="AR122">
        <f t="shared" si="138"/>
        <v>0</v>
      </c>
      <c r="AS122">
        <f t="shared" si="139"/>
        <v>0</v>
      </c>
      <c r="AU122">
        <f t="shared" si="140"/>
        <v>0</v>
      </c>
      <c r="AV122">
        <f t="shared" si="140"/>
        <v>0</v>
      </c>
      <c r="AW122">
        <f t="shared" si="140"/>
        <v>0</v>
      </c>
      <c r="AX122">
        <f t="shared" si="140"/>
        <v>0</v>
      </c>
      <c r="AY122">
        <f t="shared" si="141"/>
        <v>0</v>
      </c>
    </row>
    <row r="123" spans="1:53" ht="15" x14ac:dyDescent="0.25">
      <c r="A123" s="1"/>
      <c r="B123" s="2"/>
      <c r="C123" s="1" t="s">
        <v>11</v>
      </c>
      <c r="D123">
        <v>0</v>
      </c>
      <c r="E123" s="360">
        <v>1.7323999999999999</v>
      </c>
      <c r="F123">
        <v>0</v>
      </c>
      <c r="G123">
        <v>0</v>
      </c>
      <c r="H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 s="20"/>
      <c r="P123" s="20"/>
      <c r="Q123" s="438">
        <v>3.9612880588699904E-2</v>
      </c>
      <c r="R123" s="197">
        <v>0.49226666666666663</v>
      </c>
      <c r="S123" s="197">
        <v>2.8337500000000002</v>
      </c>
      <c r="T123" s="197">
        <v>0.68718466195761863</v>
      </c>
      <c r="U123" s="197">
        <v>0.90789473684210531</v>
      </c>
      <c r="V123" s="20">
        <f t="shared" si="132"/>
        <v>0.33781974425765443</v>
      </c>
      <c r="W123" s="20">
        <f t="shared" si="132"/>
        <v>0</v>
      </c>
      <c r="X123" s="20">
        <f t="shared" si="132"/>
        <v>0</v>
      </c>
      <c r="Y123" s="20">
        <f t="shared" si="132"/>
        <v>0</v>
      </c>
      <c r="Z123" s="20">
        <f t="shared" si="133"/>
        <v>0.25143056187103185</v>
      </c>
      <c r="AA123" s="20">
        <f t="shared" si="133"/>
        <v>0</v>
      </c>
      <c r="AB123" s="20">
        <f t="shared" si="133"/>
        <v>0</v>
      </c>
      <c r="AC123" s="20">
        <f t="shared" si="133"/>
        <v>0</v>
      </c>
      <c r="AD123" s="20">
        <f t="shared" si="134"/>
        <v>0.25143056187103185</v>
      </c>
      <c r="AE123" s="20">
        <f t="shared" si="135"/>
        <v>1.9446709783791882</v>
      </c>
      <c r="AF123" s="20">
        <f t="shared" si="135"/>
        <v>0</v>
      </c>
      <c r="AG123" s="20">
        <f t="shared" si="135"/>
        <v>0</v>
      </c>
      <c r="AH123" s="20">
        <f t="shared" si="135"/>
        <v>0</v>
      </c>
      <c r="AI123" s="20">
        <f t="shared" si="136"/>
        <v>1.7982454242330184</v>
      </c>
      <c r="AJ123" s="20">
        <f t="shared" si="136"/>
        <v>0</v>
      </c>
      <c r="AK123" s="20">
        <f t="shared" si="136"/>
        <v>0</v>
      </c>
      <c r="AL123" s="20">
        <f t="shared" si="136"/>
        <v>0</v>
      </c>
      <c r="AM123" s="20">
        <f t="shared" si="137"/>
        <v>1.7982454242330184</v>
      </c>
      <c r="AO123">
        <f t="shared" si="138"/>
        <v>0.28562511828549214</v>
      </c>
      <c r="AP123">
        <f t="shared" si="138"/>
        <v>0</v>
      </c>
      <c r="AQ123">
        <f t="shared" si="138"/>
        <v>0</v>
      </c>
      <c r="AR123">
        <f t="shared" si="138"/>
        <v>0</v>
      </c>
      <c r="AS123">
        <f t="shared" si="139"/>
        <v>0.28562511828549214</v>
      </c>
      <c r="AU123">
        <f t="shared" si="140"/>
        <v>2.0428068019287089</v>
      </c>
      <c r="AV123">
        <f t="shared" si="140"/>
        <v>0</v>
      </c>
      <c r="AW123">
        <f t="shared" si="140"/>
        <v>0</v>
      </c>
      <c r="AX123">
        <f t="shared" si="140"/>
        <v>0</v>
      </c>
      <c r="AY123">
        <f t="shared" si="141"/>
        <v>2.0428068019287089</v>
      </c>
    </row>
    <row r="124" spans="1:53" ht="15" x14ac:dyDescent="0.25">
      <c r="A124" s="1"/>
      <c r="B124" s="2"/>
      <c r="C124" s="1" t="s">
        <v>12</v>
      </c>
      <c r="D124">
        <v>0</v>
      </c>
      <c r="E124" s="360"/>
      <c r="F124">
        <v>0</v>
      </c>
      <c r="G124">
        <v>0</v>
      </c>
      <c r="H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 s="20"/>
      <c r="P124" s="20"/>
      <c r="Q124" s="438"/>
      <c r="R124" s="197">
        <v>0.49226666666666663</v>
      </c>
      <c r="S124" s="197">
        <v>2.8337500000000002</v>
      </c>
      <c r="T124" s="197">
        <v>0.68718466195761863</v>
      </c>
      <c r="U124" s="197">
        <v>0.90789473684210531</v>
      </c>
      <c r="V124" s="20">
        <f t="shared" si="132"/>
        <v>0</v>
      </c>
      <c r="W124" s="20">
        <f t="shared" si="132"/>
        <v>0</v>
      </c>
      <c r="X124" s="20">
        <f t="shared" si="132"/>
        <v>0</v>
      </c>
      <c r="Y124" s="20">
        <f t="shared" si="132"/>
        <v>0</v>
      </c>
      <c r="Z124" s="20">
        <f t="shared" si="133"/>
        <v>0</v>
      </c>
      <c r="AA124" s="20">
        <f t="shared" si="133"/>
        <v>0</v>
      </c>
      <c r="AB124" s="20">
        <f t="shared" si="133"/>
        <v>0</v>
      </c>
      <c r="AC124" s="20">
        <f t="shared" si="133"/>
        <v>0</v>
      </c>
      <c r="AD124" s="20">
        <f t="shared" si="134"/>
        <v>0</v>
      </c>
      <c r="AE124" s="20">
        <f t="shared" si="135"/>
        <v>0</v>
      </c>
      <c r="AF124" s="20">
        <f t="shared" si="135"/>
        <v>0</v>
      </c>
      <c r="AG124" s="20">
        <f t="shared" si="135"/>
        <v>0</v>
      </c>
      <c r="AH124" s="20">
        <f t="shared" si="135"/>
        <v>0</v>
      </c>
      <c r="AI124" s="20">
        <f t="shared" si="136"/>
        <v>0</v>
      </c>
      <c r="AJ124" s="20">
        <f t="shared" si="136"/>
        <v>0</v>
      </c>
      <c r="AK124" s="20">
        <f t="shared" si="136"/>
        <v>0</v>
      </c>
      <c r="AL124" s="20">
        <f t="shared" si="136"/>
        <v>0</v>
      </c>
      <c r="AM124" s="20">
        <f t="shared" si="137"/>
        <v>0</v>
      </c>
      <c r="AO124">
        <f t="shared" si="138"/>
        <v>0</v>
      </c>
      <c r="AP124">
        <f t="shared" si="138"/>
        <v>0</v>
      </c>
      <c r="AQ124">
        <f t="shared" si="138"/>
        <v>0</v>
      </c>
      <c r="AR124">
        <f t="shared" si="138"/>
        <v>0</v>
      </c>
      <c r="AS124">
        <f t="shared" si="139"/>
        <v>0</v>
      </c>
      <c r="AU124">
        <f t="shared" si="140"/>
        <v>0</v>
      </c>
      <c r="AV124">
        <f t="shared" si="140"/>
        <v>0</v>
      </c>
      <c r="AW124">
        <f t="shared" si="140"/>
        <v>0</v>
      </c>
      <c r="AX124">
        <f t="shared" si="140"/>
        <v>0</v>
      </c>
      <c r="AY124">
        <f t="shared" si="141"/>
        <v>0</v>
      </c>
    </row>
    <row r="125" spans="1:53" ht="15" x14ac:dyDescent="0.25">
      <c r="A125" s="1"/>
      <c r="B125" s="2"/>
      <c r="C125" s="1" t="s">
        <v>13</v>
      </c>
      <c r="D125">
        <v>0</v>
      </c>
      <c r="E125" s="360"/>
      <c r="F125">
        <v>0</v>
      </c>
      <c r="G125">
        <v>0</v>
      </c>
      <c r="H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20"/>
      <c r="P125" s="20"/>
      <c r="Q125" s="438"/>
      <c r="R125" s="197">
        <v>0.49226666666666663</v>
      </c>
      <c r="S125" s="197">
        <v>2.8337500000000002</v>
      </c>
      <c r="T125" s="197">
        <v>0.68718466195761863</v>
      </c>
      <c r="U125" s="197">
        <v>0.90789473684210531</v>
      </c>
      <c r="V125" s="20">
        <f t="shared" si="132"/>
        <v>0</v>
      </c>
      <c r="W125" s="20">
        <f t="shared" si="132"/>
        <v>0</v>
      </c>
      <c r="X125" s="20">
        <f t="shared" si="132"/>
        <v>0</v>
      </c>
      <c r="Y125" s="20">
        <f t="shared" si="132"/>
        <v>0</v>
      </c>
      <c r="Z125" s="20">
        <f t="shared" si="133"/>
        <v>0</v>
      </c>
      <c r="AA125" s="20">
        <f t="shared" si="133"/>
        <v>0</v>
      </c>
      <c r="AB125" s="20">
        <f t="shared" si="133"/>
        <v>0</v>
      </c>
      <c r="AC125" s="20">
        <f t="shared" si="133"/>
        <v>0</v>
      </c>
      <c r="AD125" s="20">
        <f t="shared" si="134"/>
        <v>0</v>
      </c>
      <c r="AE125" s="20">
        <f t="shared" si="135"/>
        <v>0</v>
      </c>
      <c r="AF125" s="20">
        <f t="shared" si="135"/>
        <v>0</v>
      </c>
      <c r="AG125" s="20">
        <f t="shared" si="135"/>
        <v>0</v>
      </c>
      <c r="AH125" s="20">
        <f t="shared" si="135"/>
        <v>0</v>
      </c>
      <c r="AI125" s="20">
        <f t="shared" si="136"/>
        <v>0</v>
      </c>
      <c r="AJ125" s="20">
        <f t="shared" si="136"/>
        <v>0</v>
      </c>
      <c r="AK125" s="20">
        <f t="shared" si="136"/>
        <v>0</v>
      </c>
      <c r="AL125" s="20">
        <f t="shared" si="136"/>
        <v>0</v>
      </c>
      <c r="AM125" s="20">
        <f t="shared" si="137"/>
        <v>0</v>
      </c>
      <c r="AO125">
        <f t="shared" si="138"/>
        <v>0</v>
      </c>
      <c r="AP125">
        <f t="shared" si="138"/>
        <v>0</v>
      </c>
      <c r="AQ125">
        <f t="shared" si="138"/>
        <v>0</v>
      </c>
      <c r="AR125">
        <f t="shared" si="138"/>
        <v>0</v>
      </c>
      <c r="AS125">
        <f t="shared" si="139"/>
        <v>0</v>
      </c>
      <c r="AU125">
        <f t="shared" si="140"/>
        <v>0</v>
      </c>
      <c r="AV125">
        <f t="shared" si="140"/>
        <v>0</v>
      </c>
      <c r="AW125">
        <f t="shared" si="140"/>
        <v>0</v>
      </c>
      <c r="AX125">
        <f t="shared" si="140"/>
        <v>0</v>
      </c>
      <c r="AY125">
        <f t="shared" si="141"/>
        <v>0</v>
      </c>
    </row>
    <row r="126" spans="1:53" s="319" customFormat="1" ht="15" x14ac:dyDescent="0.25">
      <c r="A126" s="368"/>
      <c r="B126" s="369" t="s">
        <v>14</v>
      </c>
      <c r="C126" s="368"/>
      <c r="D126" s="370">
        <f t="shared" ref="D126:H126" si="142">SUM(D120:D125)</f>
        <v>0</v>
      </c>
      <c r="E126" s="363">
        <f>SUM(E120:E125)</f>
        <v>8.2837999999999994</v>
      </c>
      <c r="F126" s="370">
        <f t="shared" si="142"/>
        <v>0</v>
      </c>
      <c r="G126" s="370">
        <f t="shared" si="142"/>
        <v>0</v>
      </c>
      <c r="H126" s="370">
        <f t="shared" si="142"/>
        <v>0</v>
      </c>
      <c r="J126" s="319">
        <v>0</v>
      </c>
      <c r="K126">
        <v>0</v>
      </c>
      <c r="L126" s="319">
        <v>0</v>
      </c>
      <c r="M126" s="319">
        <v>0</v>
      </c>
      <c r="N126" s="319">
        <v>0</v>
      </c>
      <c r="O126" s="372"/>
      <c r="P126" s="372"/>
      <c r="Q126" s="438">
        <v>2.1737320496037084E-2</v>
      </c>
      <c r="R126" s="373"/>
      <c r="S126" s="373"/>
      <c r="T126" s="373"/>
      <c r="U126" s="373"/>
      <c r="BA126" s="319">
        <f>(E126*10000*Q126*AU$10)</f>
        <v>2045.5681123648178</v>
      </c>
    </row>
    <row r="127" spans="1:53" ht="15" x14ac:dyDescent="0.25">
      <c r="A127" s="10"/>
      <c r="B127" s="9" t="s">
        <v>15</v>
      </c>
      <c r="C127" s="5"/>
      <c r="E127" s="363">
        <f>SUM(E126)</f>
        <v>8.2837999999999994</v>
      </c>
      <c r="H127" s="358">
        <f>SUM(D126:H126)</f>
        <v>8.2837999999999994</v>
      </c>
      <c r="K127" s="14"/>
      <c r="N127">
        <v>0</v>
      </c>
      <c r="O127" s="20"/>
      <c r="P127" s="20"/>
      <c r="Q127" s="438"/>
      <c r="R127" s="197"/>
      <c r="S127" s="197"/>
      <c r="T127" s="197"/>
      <c r="U127" s="197"/>
    </row>
    <row r="128" spans="1:53" ht="15.75" x14ac:dyDescent="0.25">
      <c r="A128" s="1"/>
      <c r="B128" s="2"/>
      <c r="C128" s="1"/>
      <c r="E128" s="361"/>
      <c r="K128" s="14"/>
      <c r="O128" s="20"/>
      <c r="P128" s="20"/>
      <c r="Q128" s="439"/>
      <c r="R128" s="197"/>
      <c r="S128" s="197"/>
      <c r="T128" s="197"/>
      <c r="U128" s="197"/>
    </row>
    <row r="129" spans="1:53" ht="15" x14ac:dyDescent="0.25">
      <c r="A129" s="1">
        <v>14</v>
      </c>
      <c r="B129" s="2" t="s">
        <v>28</v>
      </c>
      <c r="C129" s="1" t="s">
        <v>8</v>
      </c>
      <c r="D129">
        <v>0</v>
      </c>
      <c r="E129" s="360">
        <v>216.33430000000001</v>
      </c>
      <c r="F129">
        <v>0</v>
      </c>
      <c r="G129">
        <v>0</v>
      </c>
      <c r="H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 s="20"/>
      <c r="P129" s="20"/>
      <c r="Q129" s="438">
        <v>1.6653220147174977E-2</v>
      </c>
      <c r="R129" s="197">
        <v>5.6499999999999995E-2</v>
      </c>
      <c r="S129" s="197">
        <v>1.25</v>
      </c>
      <c r="T129" s="197">
        <v>0.50078889239507718</v>
      </c>
      <c r="U129" s="197">
        <v>0.75268470790377973</v>
      </c>
      <c r="V129" s="20">
        <f t="shared" ref="V129:Y134" si="143">E129*$Q129*$R129*10</f>
        <v>2.0355044386560226</v>
      </c>
      <c r="W129" s="20">
        <f t="shared" si="143"/>
        <v>0</v>
      </c>
      <c r="X129" s="20">
        <f t="shared" si="143"/>
        <v>0</v>
      </c>
      <c r="Y129" s="20">
        <f t="shared" si="143"/>
        <v>0</v>
      </c>
      <c r="Z129" s="20">
        <f t="shared" ref="Z129:AC134" si="144">V129*(EXP(1.01-0.34*LN(Z$8))*(1-$T129)+(1*$T129))</f>
        <v>1.2048075395675273</v>
      </c>
      <c r="AA129" s="20">
        <f t="shared" si="144"/>
        <v>0</v>
      </c>
      <c r="AB129" s="20">
        <f t="shared" si="144"/>
        <v>0</v>
      </c>
      <c r="AC129" s="20">
        <f t="shared" si="144"/>
        <v>0</v>
      </c>
      <c r="AD129" s="20">
        <f t="shared" ref="AD129:AD134" si="145">SUM(Z129:AC129)</f>
        <v>1.2048075395675273</v>
      </c>
      <c r="AE129" s="20">
        <f t="shared" ref="AE129:AH134" si="146">E129*$Q129*$S129*10</f>
        <v>45.033284041062451</v>
      </c>
      <c r="AF129" s="20">
        <f t="shared" si="146"/>
        <v>0</v>
      </c>
      <c r="AG129" s="20">
        <f t="shared" si="146"/>
        <v>0</v>
      </c>
      <c r="AH129" s="20">
        <f t="shared" si="146"/>
        <v>0</v>
      </c>
      <c r="AI129" s="20">
        <f t="shared" ref="AI129:AL134" si="147">AE129*(EXP(1.01-0.34*LN(AI$8))*(1-$U129)+(1*$U129))</f>
        <v>35.928474086438811</v>
      </c>
      <c r="AJ129" s="20">
        <f t="shared" si="147"/>
        <v>0</v>
      </c>
      <c r="AK129" s="20">
        <f t="shared" si="147"/>
        <v>0</v>
      </c>
      <c r="AL129" s="20">
        <f t="shared" si="147"/>
        <v>0</v>
      </c>
      <c r="AM129" s="20">
        <f t="shared" ref="AM129:AM134" si="148">SUM(AI129:AL129)</f>
        <v>35.928474086438811</v>
      </c>
      <c r="AO129">
        <f t="shared" ref="AO129:AR134" si="149">Z129*AO$10</f>
        <v>1.3686613649487109</v>
      </c>
      <c r="AP129">
        <f t="shared" si="149"/>
        <v>0</v>
      </c>
      <c r="AQ129">
        <f t="shared" si="149"/>
        <v>0</v>
      </c>
      <c r="AR129">
        <f t="shared" si="149"/>
        <v>0</v>
      </c>
      <c r="AS129">
        <f t="shared" ref="AS129:AS134" si="150">SUM(AO129:AR129)</f>
        <v>1.3686613649487109</v>
      </c>
      <c r="AU129">
        <f t="shared" ref="AU129:AX134" si="151">AI129*AU$10</f>
        <v>40.814746562194486</v>
      </c>
      <c r="AV129">
        <f t="shared" si="151"/>
        <v>0</v>
      </c>
      <c r="AW129">
        <f t="shared" si="151"/>
        <v>0</v>
      </c>
      <c r="AX129">
        <f t="shared" si="151"/>
        <v>0</v>
      </c>
      <c r="AY129">
        <f t="shared" ref="AY129:AY134" si="152">SUM(AU129:AX129)</f>
        <v>40.814746562194486</v>
      </c>
    </row>
    <row r="130" spans="1:53" ht="15" x14ac:dyDescent="0.25">
      <c r="A130" s="1"/>
      <c r="B130" s="2"/>
      <c r="C130" s="1" t="s">
        <v>9</v>
      </c>
      <c r="D130">
        <v>0</v>
      </c>
      <c r="E130" s="360">
        <v>4.1064999999999996</v>
      </c>
      <c r="F130">
        <v>0</v>
      </c>
      <c r="G130">
        <v>0</v>
      </c>
      <c r="H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 s="20"/>
      <c r="P130" s="20"/>
      <c r="Q130" s="438">
        <v>2.4306440294349956E-2</v>
      </c>
      <c r="R130" s="197">
        <v>5.6499999999999995E-2</v>
      </c>
      <c r="S130" s="197">
        <v>1.25</v>
      </c>
      <c r="T130" s="197">
        <v>0.50078889239507718</v>
      </c>
      <c r="U130" s="197">
        <v>0.75268470790377973</v>
      </c>
      <c r="V130" s="20">
        <f t="shared" si="143"/>
        <v>5.6395134343842669E-2</v>
      </c>
      <c r="W130" s="20">
        <f t="shared" si="143"/>
        <v>0</v>
      </c>
      <c r="X130" s="20">
        <f t="shared" si="143"/>
        <v>0</v>
      </c>
      <c r="Y130" s="20">
        <f t="shared" si="143"/>
        <v>0</v>
      </c>
      <c r="Z130" s="20">
        <f t="shared" si="144"/>
        <v>3.3380071181395854E-2</v>
      </c>
      <c r="AA130" s="20">
        <f t="shared" si="144"/>
        <v>0</v>
      </c>
      <c r="AB130" s="20">
        <f t="shared" si="144"/>
        <v>0</v>
      </c>
      <c r="AC130" s="20">
        <f t="shared" si="144"/>
        <v>0</v>
      </c>
      <c r="AD130" s="20">
        <f t="shared" si="145"/>
        <v>3.3380071181395854E-2</v>
      </c>
      <c r="AE130" s="20">
        <f t="shared" si="146"/>
        <v>1.2476799633593512</v>
      </c>
      <c r="AF130" s="20">
        <f t="shared" si="146"/>
        <v>0</v>
      </c>
      <c r="AG130" s="20">
        <f t="shared" si="146"/>
        <v>0</v>
      </c>
      <c r="AH130" s="20">
        <f t="shared" si="146"/>
        <v>0</v>
      </c>
      <c r="AI130" s="20">
        <f t="shared" si="147"/>
        <v>0.99542456621308817</v>
      </c>
      <c r="AJ130" s="20">
        <f t="shared" si="147"/>
        <v>0</v>
      </c>
      <c r="AK130" s="20">
        <f t="shared" si="147"/>
        <v>0</v>
      </c>
      <c r="AL130" s="20">
        <f t="shared" si="147"/>
        <v>0</v>
      </c>
      <c r="AM130" s="20">
        <f t="shared" si="148"/>
        <v>0.99542456621308817</v>
      </c>
      <c r="AO130">
        <f t="shared" si="149"/>
        <v>3.7919760862065686E-2</v>
      </c>
      <c r="AP130">
        <f t="shared" si="149"/>
        <v>0</v>
      </c>
      <c r="AQ130">
        <f t="shared" si="149"/>
        <v>0</v>
      </c>
      <c r="AR130">
        <f t="shared" si="149"/>
        <v>0</v>
      </c>
      <c r="AS130">
        <f t="shared" si="150"/>
        <v>3.7919760862065686E-2</v>
      </c>
      <c r="AU130">
        <f t="shared" si="151"/>
        <v>1.130802307218068</v>
      </c>
      <c r="AV130">
        <f t="shared" si="151"/>
        <v>0</v>
      </c>
      <c r="AW130">
        <f t="shared" si="151"/>
        <v>0</v>
      </c>
      <c r="AX130">
        <f t="shared" si="151"/>
        <v>0</v>
      </c>
      <c r="AY130">
        <f t="shared" si="152"/>
        <v>1.130802307218068</v>
      </c>
    </row>
    <row r="131" spans="1:53" ht="15" x14ac:dyDescent="0.25">
      <c r="A131" s="1"/>
      <c r="B131" s="2"/>
      <c r="C131" s="1" t="s">
        <v>10</v>
      </c>
      <c r="D131">
        <v>0</v>
      </c>
      <c r="E131" s="360">
        <v>9.0899999999999995E-2</v>
      </c>
      <c r="F131">
        <v>0</v>
      </c>
      <c r="G131">
        <v>0</v>
      </c>
      <c r="H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 s="20"/>
      <c r="P131" s="20"/>
      <c r="Q131" s="438">
        <v>3.1959660441524929E-2</v>
      </c>
      <c r="R131" s="197">
        <v>5.6499999999999995E-2</v>
      </c>
      <c r="S131" s="197">
        <v>1.25</v>
      </c>
      <c r="T131" s="197">
        <v>0.50078889239507718</v>
      </c>
      <c r="U131" s="197">
        <v>0.75268470790377973</v>
      </c>
      <c r="V131" s="20">
        <f t="shared" si="143"/>
        <v>1.6414002207860579E-3</v>
      </c>
      <c r="W131" s="20">
        <f t="shared" si="143"/>
        <v>0</v>
      </c>
      <c r="X131" s="20">
        <f t="shared" si="143"/>
        <v>0</v>
      </c>
      <c r="Y131" s="20">
        <f t="shared" si="143"/>
        <v>0</v>
      </c>
      <c r="Z131" s="20">
        <f t="shared" si="144"/>
        <v>9.7153871241694399E-4</v>
      </c>
      <c r="AA131" s="20">
        <f t="shared" si="144"/>
        <v>0</v>
      </c>
      <c r="AB131" s="20">
        <f t="shared" si="144"/>
        <v>0</v>
      </c>
      <c r="AC131" s="20">
        <f t="shared" si="144"/>
        <v>0</v>
      </c>
      <c r="AD131" s="20">
        <f t="shared" si="145"/>
        <v>9.7153871241694399E-4</v>
      </c>
      <c r="AE131" s="20">
        <f t="shared" si="146"/>
        <v>3.6314164176682699E-2</v>
      </c>
      <c r="AF131" s="20">
        <f t="shared" si="146"/>
        <v>0</v>
      </c>
      <c r="AG131" s="20">
        <f t="shared" si="146"/>
        <v>0</v>
      </c>
      <c r="AH131" s="20">
        <f t="shared" si="146"/>
        <v>0</v>
      </c>
      <c r="AI131" s="20">
        <f t="shared" si="147"/>
        <v>2.8972182117630155E-2</v>
      </c>
      <c r="AJ131" s="20">
        <f t="shared" si="147"/>
        <v>0</v>
      </c>
      <c r="AK131" s="20">
        <f t="shared" si="147"/>
        <v>0</v>
      </c>
      <c r="AL131" s="20">
        <f t="shared" si="147"/>
        <v>0</v>
      </c>
      <c r="AM131" s="20">
        <f t="shared" si="148"/>
        <v>2.8972182117630155E-2</v>
      </c>
      <c r="AO131">
        <f t="shared" si="149"/>
        <v>1.1036679773056483E-3</v>
      </c>
      <c r="AP131">
        <f t="shared" si="149"/>
        <v>0</v>
      </c>
      <c r="AQ131">
        <f t="shared" si="149"/>
        <v>0</v>
      </c>
      <c r="AR131">
        <f t="shared" si="149"/>
        <v>0</v>
      </c>
      <c r="AS131">
        <f t="shared" si="150"/>
        <v>1.1036679773056483E-3</v>
      </c>
      <c r="AU131">
        <f t="shared" si="151"/>
        <v>3.2912398885627851E-2</v>
      </c>
      <c r="AV131">
        <f t="shared" si="151"/>
        <v>0</v>
      </c>
      <c r="AW131">
        <f t="shared" si="151"/>
        <v>0</v>
      </c>
      <c r="AX131">
        <f t="shared" si="151"/>
        <v>0</v>
      </c>
      <c r="AY131">
        <f t="shared" si="152"/>
        <v>3.2912398885627851E-2</v>
      </c>
    </row>
    <row r="132" spans="1:53" ht="15" x14ac:dyDescent="0.25">
      <c r="A132" s="1"/>
      <c r="B132" s="2"/>
      <c r="C132" s="1" t="s">
        <v>11</v>
      </c>
      <c r="D132">
        <v>0</v>
      </c>
      <c r="E132" s="360">
        <v>98.100099999999998</v>
      </c>
      <c r="F132">
        <v>0</v>
      </c>
      <c r="G132">
        <v>0</v>
      </c>
      <c r="H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 s="20"/>
      <c r="P132" s="20"/>
      <c r="Q132" s="438">
        <v>3.9612880588699911E-2</v>
      </c>
      <c r="R132" s="197">
        <v>5.6499999999999995E-2</v>
      </c>
      <c r="S132" s="197">
        <v>1.25</v>
      </c>
      <c r="T132" s="197">
        <v>0.50078889239507718</v>
      </c>
      <c r="U132" s="197">
        <v>0.75268470790377973</v>
      </c>
      <c r="V132" s="20">
        <f t="shared" si="143"/>
        <v>2.1956055640773284</v>
      </c>
      <c r="W132" s="20">
        <f t="shared" si="143"/>
        <v>0</v>
      </c>
      <c r="X132" s="20">
        <f t="shared" si="143"/>
        <v>0</v>
      </c>
      <c r="Y132" s="20">
        <f t="shared" si="143"/>
        <v>0</v>
      </c>
      <c r="Z132" s="20">
        <f t="shared" si="144"/>
        <v>1.299570802834197</v>
      </c>
      <c r="AA132" s="20">
        <f t="shared" si="144"/>
        <v>0</v>
      </c>
      <c r="AB132" s="20">
        <f t="shared" si="144"/>
        <v>0</v>
      </c>
      <c r="AC132" s="20">
        <f t="shared" si="144"/>
        <v>0</v>
      </c>
      <c r="AD132" s="20">
        <f t="shared" si="145"/>
        <v>1.299570802834197</v>
      </c>
      <c r="AE132" s="20">
        <f t="shared" si="146"/>
        <v>48.575344337994004</v>
      </c>
      <c r="AF132" s="20">
        <f t="shared" si="146"/>
        <v>0</v>
      </c>
      <c r="AG132" s="20">
        <f t="shared" si="146"/>
        <v>0</v>
      </c>
      <c r="AH132" s="20">
        <f t="shared" si="146"/>
        <v>0</v>
      </c>
      <c r="AI132" s="20">
        <f t="shared" si="147"/>
        <v>38.754402159436324</v>
      </c>
      <c r="AJ132" s="20">
        <f t="shared" si="147"/>
        <v>0</v>
      </c>
      <c r="AK132" s="20">
        <f t="shared" si="147"/>
        <v>0</v>
      </c>
      <c r="AL132" s="20">
        <f t="shared" si="147"/>
        <v>0</v>
      </c>
      <c r="AM132" s="20">
        <f t="shared" si="148"/>
        <v>38.754402159436324</v>
      </c>
      <c r="AO132">
        <f t="shared" si="149"/>
        <v>1.4763124320196477</v>
      </c>
      <c r="AP132">
        <f t="shared" si="149"/>
        <v>0</v>
      </c>
      <c r="AQ132">
        <f t="shared" si="149"/>
        <v>0</v>
      </c>
      <c r="AR132">
        <f t="shared" si="149"/>
        <v>0</v>
      </c>
      <c r="AS132">
        <f t="shared" si="150"/>
        <v>1.4763124320196477</v>
      </c>
      <c r="AU132">
        <f t="shared" si="151"/>
        <v>44.025000853119657</v>
      </c>
      <c r="AV132">
        <f t="shared" si="151"/>
        <v>0</v>
      </c>
      <c r="AW132">
        <f t="shared" si="151"/>
        <v>0</v>
      </c>
      <c r="AX132">
        <f t="shared" si="151"/>
        <v>0</v>
      </c>
      <c r="AY132">
        <f t="shared" si="152"/>
        <v>44.025000853119657</v>
      </c>
    </row>
    <row r="133" spans="1:53" ht="15" x14ac:dyDescent="0.25">
      <c r="A133" s="1"/>
      <c r="B133" s="2"/>
      <c r="C133" s="1" t="s">
        <v>12</v>
      </c>
      <c r="D133">
        <v>0</v>
      </c>
      <c r="E133" s="360">
        <v>0</v>
      </c>
      <c r="F133">
        <v>0</v>
      </c>
      <c r="G133">
        <v>0</v>
      </c>
      <c r="H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 s="20"/>
      <c r="P133" s="20"/>
      <c r="Q133" s="438"/>
      <c r="R133" s="197">
        <v>5.6499999999999995E-2</v>
      </c>
      <c r="S133" s="197">
        <v>1.25</v>
      </c>
      <c r="T133" s="197">
        <v>0.50078889239507718</v>
      </c>
      <c r="U133" s="197">
        <v>0.75268470790377973</v>
      </c>
      <c r="V133" s="20">
        <f t="shared" si="143"/>
        <v>0</v>
      </c>
      <c r="W133" s="20">
        <f t="shared" si="143"/>
        <v>0</v>
      </c>
      <c r="X133" s="20">
        <f t="shared" si="143"/>
        <v>0</v>
      </c>
      <c r="Y133" s="20">
        <f t="shared" si="143"/>
        <v>0</v>
      </c>
      <c r="Z133" s="20">
        <f t="shared" si="144"/>
        <v>0</v>
      </c>
      <c r="AA133" s="20">
        <f t="shared" si="144"/>
        <v>0</v>
      </c>
      <c r="AB133" s="20">
        <f t="shared" si="144"/>
        <v>0</v>
      </c>
      <c r="AC133" s="20">
        <f t="shared" si="144"/>
        <v>0</v>
      </c>
      <c r="AD133" s="20">
        <f t="shared" si="145"/>
        <v>0</v>
      </c>
      <c r="AE133" s="20">
        <f t="shared" si="146"/>
        <v>0</v>
      </c>
      <c r="AF133" s="20">
        <f t="shared" si="146"/>
        <v>0</v>
      </c>
      <c r="AG133" s="20">
        <f t="shared" si="146"/>
        <v>0</v>
      </c>
      <c r="AH133" s="20">
        <f t="shared" si="146"/>
        <v>0</v>
      </c>
      <c r="AI133" s="20">
        <f t="shared" si="147"/>
        <v>0</v>
      </c>
      <c r="AJ133" s="20">
        <f t="shared" si="147"/>
        <v>0</v>
      </c>
      <c r="AK133" s="20">
        <f t="shared" si="147"/>
        <v>0</v>
      </c>
      <c r="AL133" s="20">
        <f t="shared" si="147"/>
        <v>0</v>
      </c>
      <c r="AM133" s="20">
        <f t="shared" si="148"/>
        <v>0</v>
      </c>
      <c r="AO133">
        <f t="shared" si="149"/>
        <v>0</v>
      </c>
      <c r="AP133">
        <f t="shared" si="149"/>
        <v>0</v>
      </c>
      <c r="AQ133">
        <f t="shared" si="149"/>
        <v>0</v>
      </c>
      <c r="AR133">
        <f t="shared" si="149"/>
        <v>0</v>
      </c>
      <c r="AS133">
        <f t="shared" si="150"/>
        <v>0</v>
      </c>
      <c r="AU133">
        <f t="shared" si="151"/>
        <v>0</v>
      </c>
      <c r="AV133">
        <f t="shared" si="151"/>
        <v>0</v>
      </c>
      <c r="AW133">
        <f t="shared" si="151"/>
        <v>0</v>
      </c>
      <c r="AX133">
        <f t="shared" si="151"/>
        <v>0</v>
      </c>
      <c r="AY133">
        <f t="shared" si="152"/>
        <v>0</v>
      </c>
    </row>
    <row r="134" spans="1:53" ht="15" x14ac:dyDescent="0.25">
      <c r="A134" s="1"/>
      <c r="B134" s="2"/>
      <c r="C134" s="1" t="s">
        <v>13</v>
      </c>
      <c r="D134">
        <v>0</v>
      </c>
      <c r="E134" s="360">
        <v>0.71750000000000003</v>
      </c>
      <c r="F134">
        <v>0</v>
      </c>
      <c r="G134">
        <v>0</v>
      </c>
      <c r="H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20"/>
      <c r="P134" s="20"/>
      <c r="Q134" s="438">
        <v>3.9612880588699911E-2</v>
      </c>
      <c r="R134" s="197">
        <v>5.6499999999999995E-2</v>
      </c>
      <c r="S134" s="197">
        <v>1.25</v>
      </c>
      <c r="T134" s="197">
        <v>0.50078889239507718</v>
      </c>
      <c r="U134" s="197">
        <v>0.75268470790377973</v>
      </c>
      <c r="V134" s="20">
        <f t="shared" si="143"/>
        <v>1.6058566629651584E-2</v>
      </c>
      <c r="W134" s="20">
        <f t="shared" si="143"/>
        <v>0</v>
      </c>
      <c r="X134" s="20">
        <f t="shared" si="143"/>
        <v>0</v>
      </c>
      <c r="Y134" s="20">
        <f t="shared" si="143"/>
        <v>0</v>
      </c>
      <c r="Z134" s="20">
        <f t="shared" si="144"/>
        <v>9.5050061216404112E-3</v>
      </c>
      <c r="AA134" s="20">
        <f t="shared" si="144"/>
        <v>0</v>
      </c>
      <c r="AB134" s="20">
        <f t="shared" si="144"/>
        <v>0</v>
      </c>
      <c r="AC134" s="20">
        <f t="shared" si="144"/>
        <v>0</v>
      </c>
      <c r="AD134" s="20">
        <f t="shared" si="145"/>
        <v>9.5050061216404112E-3</v>
      </c>
      <c r="AE134" s="20">
        <f t="shared" si="146"/>
        <v>0.35527802277990234</v>
      </c>
      <c r="AF134" s="20">
        <f t="shared" si="146"/>
        <v>0</v>
      </c>
      <c r="AG134" s="20">
        <f t="shared" si="146"/>
        <v>0</v>
      </c>
      <c r="AH134" s="20">
        <f t="shared" si="146"/>
        <v>0</v>
      </c>
      <c r="AI134" s="20">
        <f t="shared" si="147"/>
        <v>0.2834480652863306</v>
      </c>
      <c r="AJ134" s="20">
        <f t="shared" si="147"/>
        <v>0</v>
      </c>
      <c r="AK134" s="20">
        <f t="shared" si="147"/>
        <v>0</v>
      </c>
      <c r="AL134" s="20">
        <f t="shared" si="147"/>
        <v>0</v>
      </c>
      <c r="AM134" s="20">
        <f t="shared" si="148"/>
        <v>0.2834480652863306</v>
      </c>
      <c r="AO134">
        <f t="shared" si="149"/>
        <v>1.0797686954183506E-2</v>
      </c>
      <c r="AP134">
        <f t="shared" si="149"/>
        <v>0</v>
      </c>
      <c r="AQ134">
        <f t="shared" si="149"/>
        <v>0</v>
      </c>
      <c r="AR134">
        <f t="shared" si="149"/>
        <v>0</v>
      </c>
      <c r="AS134">
        <f t="shared" si="150"/>
        <v>1.0797686954183506E-2</v>
      </c>
      <c r="AU134">
        <f t="shared" si="151"/>
        <v>0.32199700216527155</v>
      </c>
      <c r="AV134">
        <f t="shared" si="151"/>
        <v>0</v>
      </c>
      <c r="AW134">
        <f t="shared" si="151"/>
        <v>0</v>
      </c>
      <c r="AX134">
        <f t="shared" si="151"/>
        <v>0</v>
      </c>
      <c r="AY134">
        <f t="shared" si="152"/>
        <v>0.32199700216527155</v>
      </c>
    </row>
    <row r="135" spans="1:53" s="319" customFormat="1" ht="15" x14ac:dyDescent="0.25">
      <c r="A135" s="368"/>
      <c r="B135" s="369" t="s">
        <v>14</v>
      </c>
      <c r="C135" s="368"/>
      <c r="D135" s="370">
        <f t="shared" ref="D135:H135" si="153">SUM(D129:D134)</f>
        <v>0</v>
      </c>
      <c r="E135" s="363">
        <f>SUM(E129:E134)</f>
        <v>319.34929999999997</v>
      </c>
      <c r="F135" s="370">
        <f t="shared" si="153"/>
        <v>0</v>
      </c>
      <c r="G135" s="370">
        <f t="shared" si="153"/>
        <v>0</v>
      </c>
      <c r="H135" s="370">
        <f t="shared" si="153"/>
        <v>0</v>
      </c>
      <c r="J135" s="319">
        <v>0</v>
      </c>
      <c r="K135">
        <v>0</v>
      </c>
      <c r="L135" s="319">
        <v>0</v>
      </c>
      <c r="M135" s="319">
        <v>0</v>
      </c>
      <c r="N135" s="319">
        <v>0</v>
      </c>
      <c r="O135" s="372"/>
      <c r="P135" s="372"/>
      <c r="Q135" s="438">
        <v>2.3860493955520777E-2</v>
      </c>
      <c r="R135" s="373"/>
      <c r="S135" s="373"/>
      <c r="T135" s="373"/>
      <c r="U135" s="373"/>
      <c r="BA135" s="319">
        <f>(E135*10000*Q135*AU$10)</f>
        <v>86561.292001093607</v>
      </c>
    </row>
    <row r="136" spans="1:53" ht="15" x14ac:dyDescent="0.25">
      <c r="A136" s="10"/>
      <c r="B136" s="9" t="s">
        <v>15</v>
      </c>
      <c r="C136" s="5"/>
      <c r="E136" s="363">
        <f>SUM(E135)</f>
        <v>319.34929999999997</v>
      </c>
      <c r="H136" s="358">
        <f>SUM(D135:H135)</f>
        <v>319.34929999999997</v>
      </c>
      <c r="K136" s="14"/>
      <c r="N136">
        <v>0</v>
      </c>
      <c r="O136" s="20"/>
      <c r="P136" s="20"/>
      <c r="Q136" s="438"/>
      <c r="R136" s="197"/>
      <c r="S136" s="197"/>
      <c r="T136" s="197"/>
      <c r="U136" s="197"/>
    </row>
    <row r="137" spans="1:53" ht="15.75" x14ac:dyDescent="0.25">
      <c r="A137" s="1"/>
      <c r="B137" s="2"/>
      <c r="C137" s="1"/>
      <c r="E137" s="361"/>
      <c r="K137" s="14"/>
      <c r="O137" s="20"/>
      <c r="P137" s="20"/>
      <c r="Q137" s="439"/>
      <c r="R137" s="197"/>
      <c r="S137" s="197"/>
      <c r="T137" s="197"/>
      <c r="U137" s="197"/>
    </row>
    <row r="138" spans="1:53" ht="15" x14ac:dyDescent="0.25">
      <c r="A138" s="1">
        <v>15</v>
      </c>
      <c r="B138" s="2" t="s">
        <v>29</v>
      </c>
      <c r="C138" s="1" t="s">
        <v>8</v>
      </c>
      <c r="D138">
        <v>0</v>
      </c>
      <c r="E138" s="360">
        <v>2.8900999999999999</v>
      </c>
      <c r="F138">
        <v>0</v>
      </c>
      <c r="G138">
        <v>0</v>
      </c>
      <c r="H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 s="20"/>
      <c r="P138" s="20"/>
      <c r="Q138" s="438">
        <v>0.76615957881017815</v>
      </c>
      <c r="R138" s="197">
        <v>2.5000000000000001E-2</v>
      </c>
      <c r="S138" s="197">
        <v>0.71599999999999997</v>
      </c>
      <c r="T138" s="197">
        <v>0.11808671869809276</v>
      </c>
      <c r="U138" s="197">
        <v>0.41263016220713056</v>
      </c>
      <c r="V138" s="20">
        <f t="shared" ref="V138:Y143" si="154">E138*$Q138*$R138*10</f>
        <v>0.55356944967982391</v>
      </c>
      <c r="W138" s="20">
        <f t="shared" si="154"/>
        <v>0</v>
      </c>
      <c r="X138" s="20">
        <f t="shared" si="154"/>
        <v>0</v>
      </c>
      <c r="Y138" s="20">
        <f t="shared" si="154"/>
        <v>0</v>
      </c>
      <c r="Z138" s="20">
        <f t="shared" ref="Z138:AC143" si="155">V138*(EXP(1.01-0.34*LN(Z$8))*(1-$T138)+(1*$T138))</f>
        <v>0.15446709246069579</v>
      </c>
      <c r="AA138" s="20">
        <f t="shared" si="155"/>
        <v>0</v>
      </c>
      <c r="AB138" s="20">
        <f t="shared" si="155"/>
        <v>0</v>
      </c>
      <c r="AC138" s="20">
        <f t="shared" si="155"/>
        <v>0</v>
      </c>
      <c r="AD138" s="20">
        <f t="shared" ref="AD138:AD143" si="156">SUM(Z138:AC138)</f>
        <v>0.15446709246069579</v>
      </c>
      <c r="AE138" s="20">
        <f t="shared" ref="AE138:AH143" si="157">E138*$Q138*$S138*10</f>
        <v>15.854229038830157</v>
      </c>
      <c r="AF138" s="20">
        <f t="shared" si="157"/>
        <v>0</v>
      </c>
      <c r="AG138" s="20">
        <f t="shared" si="157"/>
        <v>0</v>
      </c>
      <c r="AH138" s="20">
        <f t="shared" si="157"/>
        <v>0</v>
      </c>
      <c r="AI138" s="20">
        <f t="shared" ref="AI138:AL143" si="158">AE138*(EXP(1.01-0.34*LN(AI$8))*(1-$U138)+(1*$U138))</f>
        <v>8.2414528022746349</v>
      </c>
      <c r="AJ138" s="20">
        <f t="shared" si="158"/>
        <v>0</v>
      </c>
      <c r="AK138" s="20">
        <f t="shared" si="158"/>
        <v>0</v>
      </c>
      <c r="AL138" s="20">
        <f t="shared" si="158"/>
        <v>0</v>
      </c>
      <c r="AM138" s="20">
        <f t="shared" ref="AM138:AM143" si="159">SUM(AI138:AL138)</f>
        <v>8.2414528022746349</v>
      </c>
      <c r="AO138">
        <f t="shared" ref="AO138:AR143" si="160">Z138*AO$10</f>
        <v>0.17547461703535039</v>
      </c>
      <c r="AP138">
        <f t="shared" si="160"/>
        <v>0</v>
      </c>
      <c r="AQ138">
        <f t="shared" si="160"/>
        <v>0</v>
      </c>
      <c r="AR138">
        <f t="shared" si="160"/>
        <v>0</v>
      </c>
      <c r="AS138">
        <f t="shared" ref="AS138:AS143" si="161">SUM(AO138:AR138)</f>
        <v>0.17547461703535039</v>
      </c>
      <c r="AU138">
        <f t="shared" ref="AU138:AX143" si="162">AI138*AU$10</f>
        <v>9.3622903833839839</v>
      </c>
      <c r="AV138">
        <f t="shared" si="162"/>
        <v>0</v>
      </c>
      <c r="AW138">
        <f t="shared" si="162"/>
        <v>0</v>
      </c>
      <c r="AX138">
        <f t="shared" si="162"/>
        <v>0</v>
      </c>
      <c r="AY138">
        <f t="shared" ref="AY138:AY143" si="163">SUM(AU138:AX138)</f>
        <v>9.3622903833839839</v>
      </c>
    </row>
    <row r="139" spans="1:53" ht="15" x14ac:dyDescent="0.25">
      <c r="A139" s="1"/>
      <c r="B139" s="2"/>
      <c r="C139" s="1" t="s">
        <v>9</v>
      </c>
      <c r="D139">
        <v>0</v>
      </c>
      <c r="E139" s="360">
        <v>0.32750000000000001</v>
      </c>
      <c r="F139">
        <v>0</v>
      </c>
      <c r="G139">
        <v>0</v>
      </c>
      <c r="H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 s="20"/>
      <c r="P139" s="20"/>
      <c r="Q139" s="438">
        <v>0.76731915762035585</v>
      </c>
      <c r="R139" s="197">
        <v>2.5000000000000001E-2</v>
      </c>
      <c r="S139" s="197">
        <v>0.71599999999999997</v>
      </c>
      <c r="T139" s="197">
        <v>0.11808671869809276</v>
      </c>
      <c r="U139" s="197">
        <v>0.41263016220713056</v>
      </c>
      <c r="V139" s="20">
        <f t="shared" si="154"/>
        <v>6.2824256030166642E-2</v>
      </c>
      <c r="W139" s="20">
        <f t="shared" si="154"/>
        <v>0</v>
      </c>
      <c r="X139" s="20">
        <f t="shared" si="154"/>
        <v>0</v>
      </c>
      <c r="Y139" s="20">
        <f t="shared" si="154"/>
        <v>0</v>
      </c>
      <c r="Z139" s="20">
        <f t="shared" si="155"/>
        <v>1.7530375223197347E-2</v>
      </c>
      <c r="AA139" s="20">
        <f t="shared" si="155"/>
        <v>0</v>
      </c>
      <c r="AB139" s="20">
        <f t="shared" si="155"/>
        <v>0</v>
      </c>
      <c r="AC139" s="20">
        <f t="shared" si="155"/>
        <v>0</v>
      </c>
      <c r="AD139" s="20">
        <f t="shared" si="156"/>
        <v>1.7530375223197347E-2</v>
      </c>
      <c r="AE139" s="20">
        <f t="shared" si="157"/>
        <v>1.7992866927039723</v>
      </c>
      <c r="AF139" s="20">
        <f t="shared" si="157"/>
        <v>0</v>
      </c>
      <c r="AG139" s="20">
        <f t="shared" si="157"/>
        <v>0</v>
      </c>
      <c r="AH139" s="20">
        <f t="shared" si="157"/>
        <v>0</v>
      </c>
      <c r="AI139" s="20">
        <f t="shared" si="158"/>
        <v>0.93531740454626289</v>
      </c>
      <c r="AJ139" s="20">
        <f t="shared" si="158"/>
        <v>0</v>
      </c>
      <c r="AK139" s="20">
        <f t="shared" si="158"/>
        <v>0</v>
      </c>
      <c r="AL139" s="20">
        <f t="shared" si="158"/>
        <v>0</v>
      </c>
      <c r="AM139" s="20">
        <f t="shared" si="159"/>
        <v>0.93531740454626289</v>
      </c>
      <c r="AO139">
        <f t="shared" si="160"/>
        <v>1.9914506253552185E-2</v>
      </c>
      <c r="AP139">
        <f t="shared" si="160"/>
        <v>0</v>
      </c>
      <c r="AQ139">
        <f t="shared" si="160"/>
        <v>0</v>
      </c>
      <c r="AR139">
        <f t="shared" si="160"/>
        <v>0</v>
      </c>
      <c r="AS139">
        <f t="shared" si="161"/>
        <v>1.9914506253552185E-2</v>
      </c>
      <c r="AU139">
        <f t="shared" si="162"/>
        <v>1.0625205715645545</v>
      </c>
      <c r="AV139">
        <f t="shared" si="162"/>
        <v>0</v>
      </c>
      <c r="AW139">
        <f t="shared" si="162"/>
        <v>0</v>
      </c>
      <c r="AX139">
        <f t="shared" si="162"/>
        <v>0</v>
      </c>
      <c r="AY139">
        <f t="shared" si="163"/>
        <v>1.0625205715645545</v>
      </c>
    </row>
    <row r="140" spans="1:53" ht="15" x14ac:dyDescent="0.25">
      <c r="A140" s="1"/>
      <c r="B140" s="2"/>
      <c r="C140" s="1" t="s">
        <v>10</v>
      </c>
      <c r="D140">
        <v>0</v>
      </c>
      <c r="E140" s="360">
        <v>0</v>
      </c>
      <c r="F140">
        <v>0</v>
      </c>
      <c r="G140">
        <v>0</v>
      </c>
      <c r="H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 s="20"/>
      <c r="P140" s="20"/>
      <c r="Q140" s="438"/>
      <c r="R140" s="197">
        <v>2.5000000000000001E-2</v>
      </c>
      <c r="S140" s="197">
        <v>0.71599999999999997</v>
      </c>
      <c r="T140" s="197">
        <v>0.11808671869809276</v>
      </c>
      <c r="U140" s="197">
        <v>0.41263016220713056</v>
      </c>
      <c r="V140" s="20">
        <f t="shared" si="154"/>
        <v>0</v>
      </c>
      <c r="W140" s="20">
        <f t="shared" si="154"/>
        <v>0</v>
      </c>
      <c r="X140" s="20">
        <f t="shared" si="154"/>
        <v>0</v>
      </c>
      <c r="Y140" s="20">
        <f t="shared" si="154"/>
        <v>0</v>
      </c>
      <c r="Z140" s="20">
        <f t="shared" si="155"/>
        <v>0</v>
      </c>
      <c r="AA140" s="20">
        <f t="shared" si="155"/>
        <v>0</v>
      </c>
      <c r="AB140" s="20">
        <f t="shared" si="155"/>
        <v>0</v>
      </c>
      <c r="AC140" s="20">
        <f t="shared" si="155"/>
        <v>0</v>
      </c>
      <c r="AD140" s="20">
        <f t="shared" si="156"/>
        <v>0</v>
      </c>
      <c r="AE140" s="20">
        <f t="shared" si="157"/>
        <v>0</v>
      </c>
      <c r="AF140" s="20">
        <f t="shared" si="157"/>
        <v>0</v>
      </c>
      <c r="AG140" s="20">
        <f t="shared" si="157"/>
        <v>0</v>
      </c>
      <c r="AH140" s="20">
        <f t="shared" si="157"/>
        <v>0</v>
      </c>
      <c r="AI140" s="20">
        <f t="shared" si="158"/>
        <v>0</v>
      </c>
      <c r="AJ140" s="20">
        <f t="shared" si="158"/>
        <v>0</v>
      </c>
      <c r="AK140" s="20">
        <f t="shared" si="158"/>
        <v>0</v>
      </c>
      <c r="AL140" s="20">
        <f t="shared" si="158"/>
        <v>0</v>
      </c>
      <c r="AM140" s="20">
        <f t="shared" si="159"/>
        <v>0</v>
      </c>
      <c r="AO140">
        <f t="shared" si="160"/>
        <v>0</v>
      </c>
      <c r="AP140">
        <f t="shared" si="160"/>
        <v>0</v>
      </c>
      <c r="AQ140">
        <f t="shared" si="160"/>
        <v>0</v>
      </c>
      <c r="AR140">
        <f t="shared" si="160"/>
        <v>0</v>
      </c>
      <c r="AS140">
        <f t="shared" si="161"/>
        <v>0</v>
      </c>
      <c r="AU140">
        <f t="shared" si="162"/>
        <v>0</v>
      </c>
      <c r="AV140">
        <f t="shared" si="162"/>
        <v>0</v>
      </c>
      <c r="AW140">
        <f t="shared" si="162"/>
        <v>0</v>
      </c>
      <c r="AX140">
        <f t="shared" si="162"/>
        <v>0</v>
      </c>
      <c r="AY140">
        <f t="shared" si="163"/>
        <v>0</v>
      </c>
    </row>
    <row r="141" spans="1:53" ht="15" x14ac:dyDescent="0.25">
      <c r="A141" s="1"/>
      <c r="B141" s="2"/>
      <c r="C141" s="1" t="s">
        <v>11</v>
      </c>
      <c r="D141">
        <v>0</v>
      </c>
      <c r="E141" s="360">
        <v>10.4046</v>
      </c>
      <c r="F141">
        <v>0</v>
      </c>
      <c r="G141">
        <v>0</v>
      </c>
      <c r="H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 s="20"/>
      <c r="P141" s="20"/>
      <c r="Q141" s="438">
        <v>0.76963831524071202</v>
      </c>
      <c r="R141" s="197">
        <v>2.5000000000000001E-2</v>
      </c>
      <c r="S141" s="197">
        <v>0.71599999999999997</v>
      </c>
      <c r="T141" s="197">
        <v>0.11808671869809276</v>
      </c>
      <c r="U141" s="197">
        <v>0.41263016220713056</v>
      </c>
      <c r="V141" s="20">
        <f t="shared" si="154"/>
        <v>2.0019447036883782</v>
      </c>
      <c r="W141" s="20">
        <f t="shared" si="154"/>
        <v>0</v>
      </c>
      <c r="X141" s="20">
        <f t="shared" si="154"/>
        <v>0</v>
      </c>
      <c r="Y141" s="20">
        <f t="shared" si="154"/>
        <v>0</v>
      </c>
      <c r="Z141" s="20">
        <f t="shared" si="155"/>
        <v>0.55861929849035108</v>
      </c>
      <c r="AA141" s="20">
        <f t="shared" si="155"/>
        <v>0</v>
      </c>
      <c r="AB141" s="20">
        <f t="shared" si="155"/>
        <v>0</v>
      </c>
      <c r="AC141" s="20">
        <f t="shared" si="155"/>
        <v>0</v>
      </c>
      <c r="AD141" s="20">
        <f t="shared" si="156"/>
        <v>0.55861929849035108</v>
      </c>
      <c r="AE141" s="20">
        <f t="shared" si="157"/>
        <v>57.335696313635147</v>
      </c>
      <c r="AF141" s="20">
        <f t="shared" si="157"/>
        <v>0</v>
      </c>
      <c r="AG141" s="20">
        <f t="shared" si="157"/>
        <v>0</v>
      </c>
      <c r="AH141" s="20">
        <f t="shared" si="157"/>
        <v>0</v>
      </c>
      <c r="AI141" s="20">
        <f t="shared" si="158"/>
        <v>29.804630291202265</v>
      </c>
      <c r="AJ141" s="20">
        <f t="shared" si="158"/>
        <v>0</v>
      </c>
      <c r="AK141" s="20">
        <f t="shared" si="158"/>
        <v>0</v>
      </c>
      <c r="AL141" s="20">
        <f t="shared" si="158"/>
        <v>0</v>
      </c>
      <c r="AM141" s="20">
        <f t="shared" si="159"/>
        <v>29.804630291202265</v>
      </c>
      <c r="AO141">
        <f t="shared" si="160"/>
        <v>0.63459152308503874</v>
      </c>
      <c r="AP141">
        <f t="shared" si="160"/>
        <v>0</v>
      </c>
      <c r="AQ141">
        <f t="shared" si="160"/>
        <v>0</v>
      </c>
      <c r="AR141">
        <f t="shared" si="160"/>
        <v>0</v>
      </c>
      <c r="AS141">
        <f t="shared" si="161"/>
        <v>0.63459152308503874</v>
      </c>
      <c r="AU141">
        <f t="shared" si="162"/>
        <v>33.858060010805772</v>
      </c>
      <c r="AV141">
        <f t="shared" si="162"/>
        <v>0</v>
      </c>
      <c r="AW141">
        <f t="shared" si="162"/>
        <v>0</v>
      </c>
      <c r="AX141">
        <f t="shared" si="162"/>
        <v>0</v>
      </c>
      <c r="AY141">
        <f t="shared" si="163"/>
        <v>33.858060010805772</v>
      </c>
    </row>
    <row r="142" spans="1:53" ht="15" x14ac:dyDescent="0.25">
      <c r="A142" s="1"/>
      <c r="B142" s="2"/>
      <c r="C142" s="1" t="s">
        <v>12</v>
      </c>
      <c r="D142">
        <v>0</v>
      </c>
      <c r="E142" s="360">
        <v>0</v>
      </c>
      <c r="F142">
        <v>0</v>
      </c>
      <c r="G142">
        <v>0</v>
      </c>
      <c r="H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 s="20"/>
      <c r="P142" s="20"/>
      <c r="Q142" s="438"/>
      <c r="R142" s="197">
        <v>2.5000000000000001E-2</v>
      </c>
      <c r="S142" s="197">
        <v>0.71599999999999997</v>
      </c>
      <c r="T142" s="197">
        <v>0.11808671869809276</v>
      </c>
      <c r="U142" s="197">
        <v>0.41263016220713056</v>
      </c>
      <c r="V142" s="20">
        <f t="shared" si="154"/>
        <v>0</v>
      </c>
      <c r="W142" s="20">
        <f t="shared" si="154"/>
        <v>0</v>
      </c>
      <c r="X142" s="20">
        <f t="shared" si="154"/>
        <v>0</v>
      </c>
      <c r="Y142" s="20">
        <f t="shared" si="154"/>
        <v>0</v>
      </c>
      <c r="Z142" s="20">
        <f t="shared" si="155"/>
        <v>0</v>
      </c>
      <c r="AA142" s="20">
        <f t="shared" si="155"/>
        <v>0</v>
      </c>
      <c r="AB142" s="20">
        <f t="shared" si="155"/>
        <v>0</v>
      </c>
      <c r="AC142" s="20">
        <f t="shared" si="155"/>
        <v>0</v>
      </c>
      <c r="AD142" s="20">
        <f t="shared" si="156"/>
        <v>0</v>
      </c>
      <c r="AE142" s="20">
        <f t="shared" si="157"/>
        <v>0</v>
      </c>
      <c r="AF142" s="20">
        <f t="shared" si="157"/>
        <v>0</v>
      </c>
      <c r="AG142" s="20">
        <f t="shared" si="157"/>
        <v>0</v>
      </c>
      <c r="AH142" s="20">
        <f t="shared" si="157"/>
        <v>0</v>
      </c>
      <c r="AI142" s="20">
        <f t="shared" si="158"/>
        <v>0</v>
      </c>
      <c r="AJ142" s="20">
        <f t="shared" si="158"/>
        <v>0</v>
      </c>
      <c r="AK142" s="20">
        <f t="shared" si="158"/>
        <v>0</v>
      </c>
      <c r="AL142" s="20">
        <f t="shared" si="158"/>
        <v>0</v>
      </c>
      <c r="AM142" s="20">
        <f t="shared" si="159"/>
        <v>0</v>
      </c>
      <c r="AO142">
        <f t="shared" si="160"/>
        <v>0</v>
      </c>
      <c r="AP142">
        <f t="shared" si="160"/>
        <v>0</v>
      </c>
      <c r="AQ142">
        <f t="shared" si="160"/>
        <v>0</v>
      </c>
      <c r="AR142">
        <f t="shared" si="160"/>
        <v>0</v>
      </c>
      <c r="AS142">
        <f t="shared" si="161"/>
        <v>0</v>
      </c>
      <c r="AU142">
        <f t="shared" si="162"/>
        <v>0</v>
      </c>
      <c r="AV142">
        <f t="shared" si="162"/>
        <v>0</v>
      </c>
      <c r="AW142">
        <f t="shared" si="162"/>
        <v>0</v>
      </c>
      <c r="AX142">
        <f t="shared" si="162"/>
        <v>0</v>
      </c>
      <c r="AY142">
        <f t="shared" si="163"/>
        <v>0</v>
      </c>
    </row>
    <row r="143" spans="1:53" ht="15" x14ac:dyDescent="0.25">
      <c r="A143" s="1"/>
      <c r="B143" s="2"/>
      <c r="C143" s="1" t="s">
        <v>13</v>
      </c>
      <c r="D143">
        <v>0</v>
      </c>
      <c r="E143" s="360">
        <v>9.9110999999999994</v>
      </c>
      <c r="F143">
        <v>0</v>
      </c>
      <c r="G143">
        <v>0</v>
      </c>
      <c r="H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20"/>
      <c r="P143" s="20"/>
      <c r="Q143" s="438">
        <v>0.76963831524071213</v>
      </c>
      <c r="R143" s="197">
        <v>2.5000000000000001E-2</v>
      </c>
      <c r="S143" s="197">
        <v>0.71599999999999997</v>
      </c>
      <c r="T143" s="197">
        <v>0.11808671869809276</v>
      </c>
      <c r="U143" s="197">
        <v>0.41263016220713056</v>
      </c>
      <c r="V143" s="20">
        <f t="shared" si="154"/>
        <v>1.9069905765455555</v>
      </c>
      <c r="W143" s="20">
        <f t="shared" si="154"/>
        <v>0</v>
      </c>
      <c r="X143" s="20">
        <f t="shared" si="154"/>
        <v>0</v>
      </c>
      <c r="Y143" s="20">
        <f t="shared" si="154"/>
        <v>0</v>
      </c>
      <c r="Z143" s="20">
        <f t="shared" si="155"/>
        <v>0.53212345782324344</v>
      </c>
      <c r="AA143" s="20">
        <f t="shared" si="155"/>
        <v>0</v>
      </c>
      <c r="AB143" s="20">
        <f t="shared" si="155"/>
        <v>0</v>
      </c>
      <c r="AC143" s="20">
        <f t="shared" si="155"/>
        <v>0</v>
      </c>
      <c r="AD143" s="20">
        <f t="shared" si="156"/>
        <v>0.53212345782324344</v>
      </c>
      <c r="AE143" s="20">
        <f t="shared" si="157"/>
        <v>54.616210112264703</v>
      </c>
      <c r="AF143" s="20">
        <f t="shared" si="157"/>
        <v>0</v>
      </c>
      <c r="AG143" s="20">
        <f t="shared" si="157"/>
        <v>0</v>
      </c>
      <c r="AH143" s="20">
        <f t="shared" si="157"/>
        <v>0</v>
      </c>
      <c r="AI143" s="20">
        <f t="shared" si="158"/>
        <v>28.39096854075455</v>
      </c>
      <c r="AJ143" s="20">
        <f t="shared" si="158"/>
        <v>0</v>
      </c>
      <c r="AK143" s="20">
        <f t="shared" si="158"/>
        <v>0</v>
      </c>
      <c r="AL143" s="20">
        <f t="shared" si="158"/>
        <v>0</v>
      </c>
      <c r="AM143" s="20">
        <f t="shared" si="159"/>
        <v>28.39096854075455</v>
      </c>
      <c r="AO143">
        <f t="shared" si="160"/>
        <v>0.60449224808720448</v>
      </c>
      <c r="AP143">
        <f t="shared" si="160"/>
        <v>0</v>
      </c>
      <c r="AQ143">
        <f t="shared" si="160"/>
        <v>0</v>
      </c>
      <c r="AR143">
        <f t="shared" si="160"/>
        <v>0</v>
      </c>
      <c r="AS143">
        <f t="shared" si="161"/>
        <v>0.60449224808720448</v>
      </c>
      <c r="AU143">
        <f t="shared" si="162"/>
        <v>32.252140262297168</v>
      </c>
      <c r="AV143">
        <f t="shared" si="162"/>
        <v>0</v>
      </c>
      <c r="AW143">
        <f t="shared" si="162"/>
        <v>0</v>
      </c>
      <c r="AX143">
        <f t="shared" si="162"/>
        <v>0</v>
      </c>
      <c r="AY143">
        <f t="shared" si="163"/>
        <v>32.252140262297168</v>
      </c>
    </row>
    <row r="144" spans="1:53" s="319" customFormat="1" ht="15" x14ac:dyDescent="0.25">
      <c r="A144" s="368"/>
      <c r="B144" s="369" t="s">
        <v>14</v>
      </c>
      <c r="C144" s="368"/>
      <c r="D144" s="370">
        <f t="shared" ref="D144:H144" si="164">SUM(D138:D143)</f>
        <v>0</v>
      </c>
      <c r="E144" s="363">
        <f>SUM(E138:E143)</f>
        <v>23.533299999999997</v>
      </c>
      <c r="F144" s="370">
        <f t="shared" si="164"/>
        <v>0</v>
      </c>
      <c r="G144" s="370">
        <f t="shared" si="164"/>
        <v>0</v>
      </c>
      <c r="H144" s="370">
        <f t="shared" si="164"/>
        <v>0</v>
      </c>
      <c r="J144" s="319">
        <v>0</v>
      </c>
      <c r="K144">
        <v>0</v>
      </c>
      <c r="L144" s="319">
        <v>0</v>
      </c>
      <c r="M144" s="319">
        <v>0</v>
      </c>
      <c r="N144" s="319">
        <v>0</v>
      </c>
      <c r="O144" s="372"/>
      <c r="P144" s="372"/>
      <c r="Q144" s="438">
        <v>0.7691788208103284</v>
      </c>
      <c r="R144" s="373"/>
      <c r="S144" s="373"/>
      <c r="T144" s="373"/>
      <c r="U144" s="373"/>
      <c r="BA144" s="319">
        <f>(E144*10000*Q144*AU$10)</f>
        <v>205630.94912129192</v>
      </c>
    </row>
    <row r="145" spans="1:53" ht="15" x14ac:dyDescent="0.25">
      <c r="A145" s="10"/>
      <c r="B145" s="9" t="s">
        <v>15</v>
      </c>
      <c r="C145" s="5"/>
      <c r="E145" s="363">
        <f>SUM(E144)</f>
        <v>23.533299999999997</v>
      </c>
      <c r="H145" s="358">
        <f>SUM(D144:H144)</f>
        <v>23.533299999999997</v>
      </c>
      <c r="K145" s="14"/>
      <c r="N145">
        <v>0</v>
      </c>
      <c r="O145" s="20"/>
      <c r="P145" s="20"/>
      <c r="Q145" s="438"/>
      <c r="R145" s="197"/>
      <c r="S145" s="197"/>
      <c r="T145" s="197"/>
      <c r="U145" s="197"/>
    </row>
    <row r="146" spans="1:53" ht="15.75" x14ac:dyDescent="0.25">
      <c r="A146" s="1"/>
      <c r="B146" s="2"/>
      <c r="C146" s="1"/>
      <c r="E146" s="361"/>
      <c r="K146" s="14"/>
      <c r="O146" s="20"/>
      <c r="P146" s="20"/>
      <c r="Q146" s="439"/>
      <c r="R146" s="197"/>
      <c r="S146" s="197"/>
      <c r="T146" s="197"/>
      <c r="U146" s="197"/>
    </row>
    <row r="147" spans="1:53" ht="15" x14ac:dyDescent="0.25">
      <c r="A147" s="1">
        <v>16</v>
      </c>
      <c r="B147" s="2" t="s">
        <v>30</v>
      </c>
      <c r="C147" s="1" t="s">
        <v>8</v>
      </c>
      <c r="D147">
        <v>0</v>
      </c>
      <c r="E147" s="360">
        <v>72.439700000000002</v>
      </c>
      <c r="F147">
        <v>0</v>
      </c>
      <c r="G147">
        <v>0</v>
      </c>
      <c r="H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 s="20"/>
      <c r="P147" s="20"/>
      <c r="Q147" s="438">
        <v>0.67693263135029658</v>
      </c>
      <c r="R147" s="197">
        <v>5.6499999999999995E-2</v>
      </c>
      <c r="S147" s="197">
        <v>1.25</v>
      </c>
      <c r="T147" s="197">
        <v>0.50650413159351704</v>
      </c>
      <c r="U147" s="197">
        <v>0.77519673403474398</v>
      </c>
      <c r="V147" s="20">
        <f t="shared" ref="V147:Y152" si="165">E147*$Q147*$R147*10</f>
        <v>27.705790155402738</v>
      </c>
      <c r="W147" s="20">
        <f t="shared" si="165"/>
        <v>0</v>
      </c>
      <c r="X147" s="20">
        <f t="shared" si="165"/>
        <v>0</v>
      </c>
      <c r="Y147" s="20">
        <f t="shared" si="165"/>
        <v>0</v>
      </c>
      <c r="Z147" s="20">
        <f t="shared" ref="Z147:AC152" si="166">V147*(EXP(1.01-0.34*LN(Z$8))*(1-$T147)+(1*$T147))</f>
        <v>16.528401374479888</v>
      </c>
      <c r="AA147" s="20">
        <f t="shared" si="166"/>
        <v>0</v>
      </c>
      <c r="AB147" s="20">
        <f t="shared" si="166"/>
        <v>0</v>
      </c>
      <c r="AC147" s="20">
        <f t="shared" si="166"/>
        <v>0</v>
      </c>
      <c r="AD147" s="20">
        <f t="shared" ref="AD147:AD152" si="167">SUM(Z147:AC147)</f>
        <v>16.528401374479888</v>
      </c>
      <c r="AE147" s="20">
        <f t="shared" ref="AE147:AH152" si="168">E147*$Q147*$S147*10</f>
        <v>612.95995919032612</v>
      </c>
      <c r="AF147" s="20">
        <f t="shared" si="168"/>
        <v>0</v>
      </c>
      <c r="AG147" s="20">
        <f t="shared" si="168"/>
        <v>0</v>
      </c>
      <c r="AH147" s="20">
        <f t="shared" si="168"/>
        <v>0</v>
      </c>
      <c r="AI147" s="20">
        <f t="shared" ref="AI147:AL152" si="169">AE147*(EXP(1.01-0.34*LN(AI$8))*(1-$U147)+(1*$U147))</f>
        <v>500.31259928200126</v>
      </c>
      <c r="AJ147" s="20">
        <f t="shared" si="169"/>
        <v>0</v>
      </c>
      <c r="AK147" s="20">
        <f t="shared" si="169"/>
        <v>0</v>
      </c>
      <c r="AL147" s="20">
        <f t="shared" si="169"/>
        <v>0</v>
      </c>
      <c r="AM147" s="20">
        <f t="shared" ref="AM147:AM152" si="170">SUM(AI147:AL147)</f>
        <v>500.31259928200126</v>
      </c>
      <c r="AO147">
        <f t="shared" ref="AO147:AR152" si="171">Z147*AO$10</f>
        <v>18.77626396140915</v>
      </c>
      <c r="AP147">
        <f t="shared" si="171"/>
        <v>0</v>
      </c>
      <c r="AQ147">
        <f t="shared" si="171"/>
        <v>0</v>
      </c>
      <c r="AR147">
        <f t="shared" si="171"/>
        <v>0</v>
      </c>
      <c r="AS147">
        <f t="shared" ref="AS147:AS152" si="172">SUM(AO147:AR147)</f>
        <v>18.77626396140915</v>
      </c>
      <c r="AU147">
        <f t="shared" ref="AU147:AX152" si="173">AI147*AU$10</f>
        <v>568.35511278435342</v>
      </c>
      <c r="AV147">
        <f t="shared" si="173"/>
        <v>0</v>
      </c>
      <c r="AW147">
        <f t="shared" si="173"/>
        <v>0</v>
      </c>
      <c r="AX147">
        <f t="shared" si="173"/>
        <v>0</v>
      </c>
      <c r="AY147">
        <f t="shared" ref="AY147:AY152" si="174">SUM(AU147:AX147)</f>
        <v>568.35511278435342</v>
      </c>
    </row>
    <row r="148" spans="1:53" ht="15" x14ac:dyDescent="0.25">
      <c r="A148" s="1"/>
      <c r="B148" s="2"/>
      <c r="C148" s="1" t="s">
        <v>9</v>
      </c>
      <c r="D148">
        <v>0</v>
      </c>
      <c r="E148" s="360">
        <v>6.3832000000000004</v>
      </c>
      <c r="F148">
        <v>0</v>
      </c>
      <c r="G148">
        <v>0</v>
      </c>
      <c r="H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 s="20"/>
      <c r="P148" s="20"/>
      <c r="Q148" s="438">
        <v>0.67886526270059333</v>
      </c>
      <c r="R148" s="197">
        <v>5.6499999999999995E-2</v>
      </c>
      <c r="S148" s="197">
        <v>1.25</v>
      </c>
      <c r="T148" s="197">
        <v>0.50650413159351704</v>
      </c>
      <c r="U148" s="197">
        <v>0.77519673403474398</v>
      </c>
      <c r="V148" s="20">
        <f t="shared" si="165"/>
        <v>2.4483330008517914</v>
      </c>
      <c r="W148" s="20">
        <f t="shared" si="165"/>
        <v>0</v>
      </c>
      <c r="X148" s="20">
        <f t="shared" si="165"/>
        <v>0</v>
      </c>
      <c r="Y148" s="20">
        <f t="shared" si="165"/>
        <v>0</v>
      </c>
      <c r="Z148" s="20">
        <f t="shared" si="166"/>
        <v>1.460598319321782</v>
      </c>
      <c r="AA148" s="20">
        <f t="shared" si="166"/>
        <v>0</v>
      </c>
      <c r="AB148" s="20">
        <f t="shared" si="166"/>
        <v>0</v>
      </c>
      <c r="AC148" s="20">
        <f t="shared" si="166"/>
        <v>0</v>
      </c>
      <c r="AD148" s="20">
        <f t="shared" si="167"/>
        <v>1.460598319321782</v>
      </c>
      <c r="AE148" s="20">
        <f t="shared" si="168"/>
        <v>54.166659310880348</v>
      </c>
      <c r="AF148" s="20">
        <f t="shared" si="168"/>
        <v>0</v>
      </c>
      <c r="AG148" s="20">
        <f t="shared" si="168"/>
        <v>0</v>
      </c>
      <c r="AH148" s="20">
        <f t="shared" si="168"/>
        <v>0</v>
      </c>
      <c r="AI148" s="20">
        <f t="shared" si="169"/>
        <v>44.212124638690213</v>
      </c>
      <c r="AJ148" s="20">
        <f t="shared" si="169"/>
        <v>0</v>
      </c>
      <c r="AK148" s="20">
        <f t="shared" si="169"/>
        <v>0</v>
      </c>
      <c r="AL148" s="20">
        <f t="shared" si="169"/>
        <v>0</v>
      </c>
      <c r="AM148" s="20">
        <f t="shared" si="170"/>
        <v>44.212124638690213</v>
      </c>
      <c r="AO148">
        <f t="shared" si="171"/>
        <v>1.6592396907495441</v>
      </c>
      <c r="AP148">
        <f t="shared" si="171"/>
        <v>0</v>
      </c>
      <c r="AQ148">
        <f t="shared" si="171"/>
        <v>0</v>
      </c>
      <c r="AR148">
        <f t="shared" si="171"/>
        <v>0</v>
      </c>
      <c r="AS148">
        <f t="shared" si="172"/>
        <v>1.6592396907495441</v>
      </c>
      <c r="AU148">
        <f t="shared" si="173"/>
        <v>50.224973589552079</v>
      </c>
      <c r="AV148">
        <f t="shared" si="173"/>
        <v>0</v>
      </c>
      <c r="AW148">
        <f t="shared" si="173"/>
        <v>0</v>
      </c>
      <c r="AX148">
        <f t="shared" si="173"/>
        <v>0</v>
      </c>
      <c r="AY148">
        <f t="shared" si="174"/>
        <v>50.224973589552079</v>
      </c>
    </row>
    <row r="149" spans="1:53" ht="15" x14ac:dyDescent="0.25">
      <c r="A149" s="1"/>
      <c r="B149" s="2"/>
      <c r="C149" s="1" t="s">
        <v>10</v>
      </c>
      <c r="D149">
        <v>0</v>
      </c>
      <c r="E149" s="360">
        <v>0</v>
      </c>
      <c r="F149">
        <v>0</v>
      </c>
      <c r="G149">
        <v>0</v>
      </c>
      <c r="H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 s="20"/>
      <c r="P149" s="20"/>
      <c r="Q149" s="438"/>
      <c r="R149" s="197">
        <v>5.6499999999999995E-2</v>
      </c>
      <c r="S149" s="197">
        <v>1.25</v>
      </c>
      <c r="T149" s="197">
        <v>0.50650413159351704</v>
      </c>
      <c r="U149" s="197">
        <v>0.77519673403474398</v>
      </c>
      <c r="V149" s="20">
        <f t="shared" si="165"/>
        <v>0</v>
      </c>
      <c r="W149" s="20">
        <f t="shared" si="165"/>
        <v>0</v>
      </c>
      <c r="X149" s="20">
        <f t="shared" si="165"/>
        <v>0</v>
      </c>
      <c r="Y149" s="20">
        <f t="shared" si="165"/>
        <v>0</v>
      </c>
      <c r="Z149" s="20">
        <f t="shared" si="166"/>
        <v>0</v>
      </c>
      <c r="AA149" s="20">
        <f t="shared" si="166"/>
        <v>0</v>
      </c>
      <c r="AB149" s="20">
        <f t="shared" si="166"/>
        <v>0</v>
      </c>
      <c r="AC149" s="20">
        <f t="shared" si="166"/>
        <v>0</v>
      </c>
      <c r="AD149" s="20">
        <f t="shared" si="167"/>
        <v>0</v>
      </c>
      <c r="AE149" s="20">
        <f t="shared" si="168"/>
        <v>0</v>
      </c>
      <c r="AF149" s="20">
        <f t="shared" si="168"/>
        <v>0</v>
      </c>
      <c r="AG149" s="20">
        <f t="shared" si="168"/>
        <v>0</v>
      </c>
      <c r="AH149" s="20">
        <f t="shared" si="168"/>
        <v>0</v>
      </c>
      <c r="AI149" s="20">
        <f t="shared" si="169"/>
        <v>0</v>
      </c>
      <c r="AJ149" s="20">
        <f t="shared" si="169"/>
        <v>0</v>
      </c>
      <c r="AK149" s="20">
        <f t="shared" si="169"/>
        <v>0</v>
      </c>
      <c r="AL149" s="20">
        <f t="shared" si="169"/>
        <v>0</v>
      </c>
      <c r="AM149" s="20">
        <f t="shared" si="170"/>
        <v>0</v>
      </c>
      <c r="AO149">
        <f t="shared" si="171"/>
        <v>0</v>
      </c>
      <c r="AP149">
        <f t="shared" si="171"/>
        <v>0</v>
      </c>
      <c r="AQ149">
        <f t="shared" si="171"/>
        <v>0</v>
      </c>
      <c r="AR149">
        <f t="shared" si="171"/>
        <v>0</v>
      </c>
      <c r="AS149">
        <f t="shared" si="172"/>
        <v>0</v>
      </c>
      <c r="AU149">
        <f t="shared" si="173"/>
        <v>0</v>
      </c>
      <c r="AV149">
        <f t="shared" si="173"/>
        <v>0</v>
      </c>
      <c r="AW149">
        <f t="shared" si="173"/>
        <v>0</v>
      </c>
      <c r="AX149">
        <f t="shared" si="173"/>
        <v>0</v>
      </c>
      <c r="AY149">
        <f t="shared" si="174"/>
        <v>0</v>
      </c>
    </row>
    <row r="150" spans="1:53" ht="15" x14ac:dyDescent="0.25">
      <c r="A150" s="1"/>
      <c r="B150" s="2"/>
      <c r="C150" s="1" t="s">
        <v>11</v>
      </c>
      <c r="D150">
        <v>0</v>
      </c>
      <c r="E150" s="360">
        <v>1282.5646999999999</v>
      </c>
      <c r="F150">
        <v>0</v>
      </c>
      <c r="G150">
        <v>0</v>
      </c>
      <c r="H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s="20"/>
      <c r="P150" s="20"/>
      <c r="Q150" s="438">
        <v>0.68273052540118684</v>
      </c>
      <c r="R150" s="197">
        <v>5.6499999999999995E-2</v>
      </c>
      <c r="S150" s="197">
        <v>1.25</v>
      </c>
      <c r="T150" s="197">
        <v>0.50650413159351704</v>
      </c>
      <c r="U150" s="197">
        <v>0.77519673403474398</v>
      </c>
      <c r="V150" s="20">
        <f t="shared" si="165"/>
        <v>494.74003039298873</v>
      </c>
      <c r="W150" s="20">
        <f t="shared" si="165"/>
        <v>0</v>
      </c>
      <c r="X150" s="20">
        <f t="shared" si="165"/>
        <v>0</v>
      </c>
      <c r="Y150" s="20">
        <f t="shared" si="165"/>
        <v>0</v>
      </c>
      <c r="Z150" s="20">
        <f t="shared" si="166"/>
        <v>295.14631246721899</v>
      </c>
      <c r="AA150" s="20">
        <f t="shared" si="166"/>
        <v>0</v>
      </c>
      <c r="AB150" s="20">
        <f t="shared" si="166"/>
        <v>0</v>
      </c>
      <c r="AC150" s="20">
        <f t="shared" si="166"/>
        <v>0</v>
      </c>
      <c r="AD150" s="20">
        <f t="shared" si="167"/>
        <v>295.14631246721899</v>
      </c>
      <c r="AE150" s="20">
        <f t="shared" si="168"/>
        <v>10945.575893650193</v>
      </c>
      <c r="AF150" s="20">
        <f t="shared" si="168"/>
        <v>0</v>
      </c>
      <c r="AG150" s="20">
        <f t="shared" si="168"/>
        <v>0</v>
      </c>
      <c r="AH150" s="20">
        <f t="shared" si="168"/>
        <v>0</v>
      </c>
      <c r="AI150" s="20">
        <f t="shared" si="169"/>
        <v>8934.0411945083688</v>
      </c>
      <c r="AJ150" s="20">
        <f t="shared" si="169"/>
        <v>0</v>
      </c>
      <c r="AK150" s="20">
        <f t="shared" si="169"/>
        <v>0</v>
      </c>
      <c r="AL150" s="20">
        <f t="shared" si="169"/>
        <v>0</v>
      </c>
      <c r="AM150" s="20">
        <f t="shared" si="170"/>
        <v>8934.0411945083688</v>
      </c>
      <c r="AO150">
        <f t="shared" si="171"/>
        <v>335.28621096276072</v>
      </c>
      <c r="AP150">
        <f t="shared" si="171"/>
        <v>0</v>
      </c>
      <c r="AQ150">
        <f t="shared" si="171"/>
        <v>0</v>
      </c>
      <c r="AR150">
        <f t="shared" si="171"/>
        <v>0</v>
      </c>
      <c r="AS150">
        <f t="shared" si="172"/>
        <v>335.28621096276072</v>
      </c>
      <c r="AU150">
        <f t="shared" si="173"/>
        <v>10149.070796961507</v>
      </c>
      <c r="AV150">
        <f t="shared" si="173"/>
        <v>0</v>
      </c>
      <c r="AW150">
        <f t="shared" si="173"/>
        <v>0</v>
      </c>
      <c r="AX150">
        <f t="shared" si="173"/>
        <v>0</v>
      </c>
      <c r="AY150">
        <f t="shared" si="174"/>
        <v>10149.070796961507</v>
      </c>
    </row>
    <row r="151" spans="1:53" ht="15" x14ac:dyDescent="0.25">
      <c r="A151" s="1"/>
      <c r="B151" s="2"/>
      <c r="C151" s="1" t="s">
        <v>12</v>
      </c>
      <c r="D151">
        <v>0</v>
      </c>
      <c r="E151" s="360">
        <v>0</v>
      </c>
      <c r="F151">
        <v>0</v>
      </c>
      <c r="G151">
        <v>0</v>
      </c>
      <c r="H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 s="20"/>
      <c r="P151" s="20"/>
      <c r="Q151" s="438"/>
      <c r="R151" s="197">
        <v>5.6499999999999995E-2</v>
      </c>
      <c r="S151" s="197">
        <v>1.25</v>
      </c>
      <c r="T151" s="197">
        <v>0.50650413159351704</v>
      </c>
      <c r="U151" s="197">
        <v>0.77519673403474398</v>
      </c>
      <c r="V151" s="20">
        <f t="shared" si="165"/>
        <v>0</v>
      </c>
      <c r="W151" s="20">
        <f t="shared" si="165"/>
        <v>0</v>
      </c>
      <c r="X151" s="20">
        <f t="shared" si="165"/>
        <v>0</v>
      </c>
      <c r="Y151" s="20">
        <f t="shared" si="165"/>
        <v>0</v>
      </c>
      <c r="Z151" s="20">
        <f t="shared" si="166"/>
        <v>0</v>
      </c>
      <c r="AA151" s="20">
        <f t="shared" si="166"/>
        <v>0</v>
      </c>
      <c r="AB151" s="20">
        <f t="shared" si="166"/>
        <v>0</v>
      </c>
      <c r="AC151" s="20">
        <f t="shared" si="166"/>
        <v>0</v>
      </c>
      <c r="AD151" s="20">
        <f t="shared" si="167"/>
        <v>0</v>
      </c>
      <c r="AE151" s="20">
        <f t="shared" si="168"/>
        <v>0</v>
      </c>
      <c r="AF151" s="20">
        <f t="shared" si="168"/>
        <v>0</v>
      </c>
      <c r="AG151" s="20">
        <f t="shared" si="168"/>
        <v>0</v>
      </c>
      <c r="AH151" s="20">
        <f t="shared" si="168"/>
        <v>0</v>
      </c>
      <c r="AI151" s="20">
        <f t="shared" si="169"/>
        <v>0</v>
      </c>
      <c r="AJ151" s="20">
        <f t="shared" si="169"/>
        <v>0</v>
      </c>
      <c r="AK151" s="20">
        <f t="shared" si="169"/>
        <v>0</v>
      </c>
      <c r="AL151" s="20">
        <f t="shared" si="169"/>
        <v>0</v>
      </c>
      <c r="AM151" s="20">
        <f t="shared" si="170"/>
        <v>0</v>
      </c>
      <c r="AO151">
        <f t="shared" si="171"/>
        <v>0</v>
      </c>
      <c r="AP151">
        <f t="shared" si="171"/>
        <v>0</v>
      </c>
      <c r="AQ151">
        <f t="shared" si="171"/>
        <v>0</v>
      </c>
      <c r="AR151">
        <f t="shared" si="171"/>
        <v>0</v>
      </c>
      <c r="AS151">
        <f t="shared" si="172"/>
        <v>0</v>
      </c>
      <c r="AU151">
        <f t="shared" si="173"/>
        <v>0</v>
      </c>
      <c r="AV151">
        <f t="shared" si="173"/>
        <v>0</v>
      </c>
      <c r="AW151">
        <f t="shared" si="173"/>
        <v>0</v>
      </c>
      <c r="AX151">
        <f t="shared" si="173"/>
        <v>0</v>
      </c>
      <c r="AY151">
        <f t="shared" si="174"/>
        <v>0</v>
      </c>
    </row>
    <row r="152" spans="1:53" ht="15" x14ac:dyDescent="0.25">
      <c r="A152" s="1"/>
      <c r="B152" s="2"/>
      <c r="C152" s="1" t="s">
        <v>13</v>
      </c>
      <c r="D152">
        <v>0</v>
      </c>
      <c r="E152" s="360">
        <v>29.971499999999999</v>
      </c>
      <c r="F152">
        <v>0</v>
      </c>
      <c r="G152">
        <v>0</v>
      </c>
      <c r="H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20"/>
      <c r="P152" s="20"/>
      <c r="Q152" s="438">
        <v>0.68273052540118684</v>
      </c>
      <c r="R152" s="197">
        <v>5.6499999999999995E-2</v>
      </c>
      <c r="S152" s="197">
        <v>1.25</v>
      </c>
      <c r="T152" s="197">
        <v>0.50650413159351704</v>
      </c>
      <c r="U152" s="197">
        <v>0.77519673403474398</v>
      </c>
      <c r="V152" s="20">
        <f t="shared" si="165"/>
        <v>11.561288737264842</v>
      </c>
      <c r="W152" s="20">
        <f t="shared" si="165"/>
        <v>0</v>
      </c>
      <c r="X152" s="20">
        <f t="shared" si="165"/>
        <v>0</v>
      </c>
      <c r="Y152" s="20">
        <f t="shared" si="165"/>
        <v>0</v>
      </c>
      <c r="Z152" s="20">
        <f t="shared" si="166"/>
        <v>6.8971005549359443</v>
      </c>
      <c r="AA152" s="20">
        <f t="shared" si="166"/>
        <v>0</v>
      </c>
      <c r="AB152" s="20">
        <f t="shared" si="166"/>
        <v>0</v>
      </c>
      <c r="AC152" s="20">
        <f t="shared" si="166"/>
        <v>0</v>
      </c>
      <c r="AD152" s="20">
        <f t="shared" si="167"/>
        <v>6.8971005549359443</v>
      </c>
      <c r="AE152" s="20">
        <f t="shared" si="168"/>
        <v>255.78072427577092</v>
      </c>
      <c r="AF152" s="20">
        <f t="shared" si="168"/>
        <v>0</v>
      </c>
      <c r="AG152" s="20">
        <f t="shared" si="168"/>
        <v>0</v>
      </c>
      <c r="AH152" s="20">
        <f t="shared" si="168"/>
        <v>0</v>
      </c>
      <c r="AI152" s="20">
        <f t="shared" si="169"/>
        <v>208.77435318561913</v>
      </c>
      <c r="AJ152" s="20">
        <f t="shared" si="169"/>
        <v>0</v>
      </c>
      <c r="AK152" s="20">
        <f t="shared" si="169"/>
        <v>0</v>
      </c>
      <c r="AL152" s="20">
        <f t="shared" si="169"/>
        <v>0</v>
      </c>
      <c r="AM152" s="20">
        <f t="shared" si="170"/>
        <v>208.77435318561913</v>
      </c>
      <c r="AO152">
        <f t="shared" si="171"/>
        <v>7.8351062304072316</v>
      </c>
      <c r="AP152">
        <f t="shared" si="171"/>
        <v>0</v>
      </c>
      <c r="AQ152">
        <f t="shared" si="171"/>
        <v>0</v>
      </c>
      <c r="AR152">
        <f t="shared" si="171"/>
        <v>0</v>
      </c>
      <c r="AS152">
        <f t="shared" si="172"/>
        <v>7.8351062304072316</v>
      </c>
      <c r="AU152">
        <f t="shared" si="173"/>
        <v>237.16766521886331</v>
      </c>
      <c r="AV152">
        <f t="shared" si="173"/>
        <v>0</v>
      </c>
      <c r="AW152">
        <f t="shared" si="173"/>
        <v>0</v>
      </c>
      <c r="AX152">
        <f t="shared" si="173"/>
        <v>0</v>
      </c>
      <c r="AY152">
        <f t="shared" si="174"/>
        <v>237.16766521886331</v>
      </c>
    </row>
    <row r="153" spans="1:53" s="319" customFormat="1" ht="15" x14ac:dyDescent="0.25">
      <c r="A153" s="368"/>
      <c r="B153" s="369" t="s">
        <v>14</v>
      </c>
      <c r="C153" s="368"/>
      <c r="D153" s="370">
        <f t="shared" ref="D153:H153" si="175">SUM(D147:D152)</f>
        <v>0</v>
      </c>
      <c r="E153" s="363">
        <f>SUM(E147:E152)</f>
        <v>1391.3591000000001</v>
      </c>
      <c r="F153" s="370">
        <f t="shared" si="175"/>
        <v>0</v>
      </c>
      <c r="G153" s="370">
        <f t="shared" si="175"/>
        <v>0</v>
      </c>
      <c r="H153" s="370">
        <f t="shared" si="175"/>
        <v>0</v>
      </c>
      <c r="J153" s="319">
        <v>0</v>
      </c>
      <c r="K153">
        <v>0</v>
      </c>
      <c r="L153" s="319">
        <v>0</v>
      </c>
      <c r="M153" s="319">
        <v>0</v>
      </c>
      <c r="N153" s="319">
        <v>0</v>
      </c>
      <c r="O153" s="372"/>
      <c r="P153" s="372"/>
      <c r="Q153" s="438">
        <v>0.68241093109188966</v>
      </c>
      <c r="R153" s="373"/>
      <c r="S153" s="373"/>
      <c r="T153" s="373"/>
      <c r="U153" s="373"/>
      <c r="BA153" s="319">
        <f>(E153*10000*Q153*AU$10)</f>
        <v>10786077.565265013</v>
      </c>
    </row>
    <row r="154" spans="1:53" ht="15" x14ac:dyDescent="0.25">
      <c r="A154" s="10"/>
      <c r="B154" s="9" t="s">
        <v>15</v>
      </c>
      <c r="C154" s="5"/>
      <c r="E154" s="363">
        <f>SUM(E153)</f>
        <v>1391.3591000000001</v>
      </c>
      <c r="H154" s="358">
        <f>SUM(D153:H153)</f>
        <v>1391.3591000000001</v>
      </c>
      <c r="K154" s="14"/>
      <c r="N154">
        <v>0</v>
      </c>
      <c r="O154" s="20"/>
      <c r="P154" s="20"/>
      <c r="Q154" s="438"/>
      <c r="R154" s="197"/>
      <c r="S154" s="197"/>
      <c r="T154" s="197"/>
      <c r="U154" s="197"/>
    </row>
    <row r="155" spans="1:53" ht="15.75" x14ac:dyDescent="0.25">
      <c r="A155" s="1"/>
      <c r="B155" s="2"/>
      <c r="C155" s="1"/>
      <c r="E155" s="361"/>
      <c r="K155" s="14"/>
      <c r="O155" s="20"/>
      <c r="P155" s="20"/>
      <c r="Q155" s="439"/>
      <c r="R155" s="197"/>
      <c r="S155" s="197"/>
      <c r="T155" s="197"/>
      <c r="U155" s="197"/>
    </row>
    <row r="156" spans="1:53" ht="15" x14ac:dyDescent="0.25">
      <c r="A156" s="1">
        <v>17</v>
      </c>
      <c r="B156" s="2" t="s">
        <v>31</v>
      </c>
      <c r="C156" s="1" t="s">
        <v>8</v>
      </c>
      <c r="D156">
        <v>0</v>
      </c>
      <c r="E156" s="360"/>
      <c r="F156">
        <v>0</v>
      </c>
      <c r="G156">
        <v>0</v>
      </c>
      <c r="H156">
        <v>0</v>
      </c>
      <c r="J156">
        <v>0</v>
      </c>
      <c r="K156" s="14">
        <v>0</v>
      </c>
      <c r="L156">
        <v>0</v>
      </c>
      <c r="M156">
        <v>0</v>
      </c>
      <c r="N156">
        <v>0</v>
      </c>
      <c r="O156" s="20"/>
      <c r="P156" s="20"/>
      <c r="Q156" s="438"/>
      <c r="R156" s="197"/>
      <c r="S156" s="197"/>
      <c r="T156" s="197"/>
      <c r="U156" s="197"/>
      <c r="V156" s="20">
        <f t="shared" ref="V156:Y161" si="176">IF(K156&gt;0,((E156-K156)*$Q156*$R156*10)+(K156*$O$12*$Q156*$R156*10),(E156*$Q156*$R156*10))</f>
        <v>0</v>
      </c>
      <c r="W156" s="20">
        <f t="shared" si="176"/>
        <v>0</v>
      </c>
      <c r="X156" s="20">
        <f t="shared" si="176"/>
        <v>0</v>
      </c>
      <c r="Y156" s="20">
        <f t="shared" si="176"/>
        <v>0</v>
      </c>
      <c r="Z156" s="20">
        <f t="shared" ref="Z156:AC161" si="177">V156*(EXP(1.01-0.34*LN(Z$8))*(1-$T156)+(1*$T156))</f>
        <v>0</v>
      </c>
      <c r="AA156" s="20">
        <f t="shared" si="177"/>
        <v>0</v>
      </c>
      <c r="AB156" s="20">
        <f t="shared" si="177"/>
        <v>0</v>
      </c>
      <c r="AC156" s="20">
        <f t="shared" si="177"/>
        <v>0</v>
      </c>
      <c r="AD156" s="20">
        <f t="shared" ref="AD156:AD161" si="178">SUM(Z156:AC156)</f>
        <v>0</v>
      </c>
      <c r="AE156" s="20">
        <f t="shared" ref="AE156:AH161" si="179">IF(K156&gt;0,((E156-K156)*$Q156*$S156*10)+(K156*$P$12*$Q156*$S156)*10,(E156*$Q156*$S156*10))</f>
        <v>0</v>
      </c>
      <c r="AF156" s="20">
        <f t="shared" si="179"/>
        <v>0</v>
      </c>
      <c r="AG156" s="20">
        <f t="shared" si="179"/>
        <v>0</v>
      </c>
      <c r="AH156" s="20">
        <f t="shared" si="179"/>
        <v>0</v>
      </c>
      <c r="AI156" s="20">
        <f t="shared" ref="AI156:AL161" si="180">AE156*(EXP(1.01-0.34*LN(AI$8))*(1-$U156)+(1*$U156))</f>
        <v>0</v>
      </c>
      <c r="AJ156" s="20">
        <f t="shared" si="180"/>
        <v>0</v>
      </c>
      <c r="AK156" s="20">
        <f t="shared" si="180"/>
        <v>0</v>
      </c>
      <c r="AL156" s="20">
        <f t="shared" si="180"/>
        <v>0</v>
      </c>
      <c r="AM156" s="20">
        <f t="shared" ref="AM156:AM161" si="181">SUM(AI156:AL156)</f>
        <v>0</v>
      </c>
      <c r="AO156">
        <f t="shared" ref="AO156:AR161" si="182">Z156*AO$10</f>
        <v>0</v>
      </c>
      <c r="AP156">
        <f t="shared" si="182"/>
        <v>0</v>
      </c>
      <c r="AQ156">
        <f t="shared" si="182"/>
        <v>0</v>
      </c>
      <c r="AR156">
        <f t="shared" si="182"/>
        <v>0</v>
      </c>
      <c r="AS156">
        <f t="shared" ref="AS156:AS161" si="183">SUM(AO156:AR156)</f>
        <v>0</v>
      </c>
      <c r="AU156">
        <f t="shared" ref="AU156:AX161" si="184">AI156*AU$10</f>
        <v>0</v>
      </c>
      <c r="AV156">
        <f t="shared" si="184"/>
        <v>0</v>
      </c>
      <c r="AW156">
        <f t="shared" si="184"/>
        <v>0</v>
      </c>
      <c r="AX156">
        <f t="shared" si="184"/>
        <v>0</v>
      </c>
      <c r="AY156">
        <f t="shared" ref="AY156:AY161" si="185">SUM(AU156:AX156)</f>
        <v>0</v>
      </c>
    </row>
    <row r="157" spans="1:53" ht="15" x14ac:dyDescent="0.25">
      <c r="A157" s="1"/>
      <c r="B157" s="2"/>
      <c r="C157" s="1" t="s">
        <v>9</v>
      </c>
      <c r="D157">
        <v>0</v>
      </c>
      <c r="E157" s="360"/>
      <c r="F157">
        <v>0</v>
      </c>
      <c r="G157">
        <v>0</v>
      </c>
      <c r="H157">
        <v>0</v>
      </c>
      <c r="J157">
        <v>0</v>
      </c>
      <c r="K157" s="14">
        <v>0</v>
      </c>
      <c r="L157">
        <v>0</v>
      </c>
      <c r="M157">
        <v>0</v>
      </c>
      <c r="N157">
        <v>0</v>
      </c>
      <c r="O157" s="20"/>
      <c r="P157" s="20"/>
      <c r="Q157" s="438"/>
      <c r="R157" s="197"/>
      <c r="S157" s="197"/>
      <c r="T157" s="197"/>
      <c r="U157" s="197"/>
      <c r="V157" s="20">
        <f t="shared" si="176"/>
        <v>0</v>
      </c>
      <c r="W157" s="20">
        <f t="shared" si="176"/>
        <v>0</v>
      </c>
      <c r="X157" s="20">
        <f t="shared" si="176"/>
        <v>0</v>
      </c>
      <c r="Y157" s="20">
        <f t="shared" si="176"/>
        <v>0</v>
      </c>
      <c r="Z157" s="20">
        <f t="shared" si="177"/>
        <v>0</v>
      </c>
      <c r="AA157" s="20">
        <f t="shared" si="177"/>
        <v>0</v>
      </c>
      <c r="AB157" s="20">
        <f t="shared" si="177"/>
        <v>0</v>
      </c>
      <c r="AC157" s="20">
        <f t="shared" si="177"/>
        <v>0</v>
      </c>
      <c r="AD157" s="20">
        <f t="shared" si="178"/>
        <v>0</v>
      </c>
      <c r="AE157" s="20">
        <f t="shared" si="179"/>
        <v>0</v>
      </c>
      <c r="AF157" s="20">
        <f t="shared" si="179"/>
        <v>0</v>
      </c>
      <c r="AG157" s="20">
        <f t="shared" si="179"/>
        <v>0</v>
      </c>
      <c r="AH157" s="20">
        <f t="shared" si="179"/>
        <v>0</v>
      </c>
      <c r="AI157" s="20">
        <f t="shared" si="180"/>
        <v>0</v>
      </c>
      <c r="AJ157" s="20">
        <f t="shared" si="180"/>
        <v>0</v>
      </c>
      <c r="AK157" s="20">
        <f t="shared" si="180"/>
        <v>0</v>
      </c>
      <c r="AL157" s="20">
        <f t="shared" si="180"/>
        <v>0</v>
      </c>
      <c r="AM157" s="20">
        <f t="shared" si="181"/>
        <v>0</v>
      </c>
      <c r="AO157">
        <f t="shared" si="182"/>
        <v>0</v>
      </c>
      <c r="AP157">
        <f t="shared" si="182"/>
        <v>0</v>
      </c>
      <c r="AQ157">
        <f t="shared" si="182"/>
        <v>0</v>
      </c>
      <c r="AR157">
        <f t="shared" si="182"/>
        <v>0</v>
      </c>
      <c r="AS157">
        <f t="shared" si="183"/>
        <v>0</v>
      </c>
      <c r="AU157">
        <f t="shared" si="184"/>
        <v>0</v>
      </c>
      <c r="AV157">
        <f t="shared" si="184"/>
        <v>0</v>
      </c>
      <c r="AW157">
        <f t="shared" si="184"/>
        <v>0</v>
      </c>
      <c r="AX157">
        <f t="shared" si="184"/>
        <v>0</v>
      </c>
      <c r="AY157">
        <f t="shared" si="185"/>
        <v>0</v>
      </c>
    </row>
    <row r="158" spans="1:53" ht="15" x14ac:dyDescent="0.25">
      <c r="A158" s="1"/>
      <c r="B158" s="2"/>
      <c r="C158" s="1" t="s">
        <v>10</v>
      </c>
      <c r="D158">
        <v>0</v>
      </c>
      <c r="E158" s="360"/>
      <c r="F158">
        <v>0</v>
      </c>
      <c r="G158">
        <v>0</v>
      </c>
      <c r="H158">
        <v>0</v>
      </c>
      <c r="J158">
        <v>0</v>
      </c>
      <c r="K158" s="14">
        <v>0</v>
      </c>
      <c r="L158">
        <v>0</v>
      </c>
      <c r="M158">
        <v>0</v>
      </c>
      <c r="N158">
        <v>0</v>
      </c>
      <c r="O158" s="20"/>
      <c r="P158" s="20"/>
      <c r="Q158" s="438"/>
      <c r="R158" s="197"/>
      <c r="S158" s="197"/>
      <c r="T158" s="197"/>
      <c r="U158" s="197"/>
      <c r="V158" s="20">
        <f t="shared" si="176"/>
        <v>0</v>
      </c>
      <c r="W158" s="20">
        <f t="shared" si="176"/>
        <v>0</v>
      </c>
      <c r="X158" s="20">
        <f t="shared" si="176"/>
        <v>0</v>
      </c>
      <c r="Y158" s="20">
        <f t="shared" si="176"/>
        <v>0</v>
      </c>
      <c r="Z158" s="20">
        <f t="shared" si="177"/>
        <v>0</v>
      </c>
      <c r="AA158" s="20">
        <f t="shared" si="177"/>
        <v>0</v>
      </c>
      <c r="AB158" s="20">
        <f t="shared" si="177"/>
        <v>0</v>
      </c>
      <c r="AC158" s="20">
        <f t="shared" si="177"/>
        <v>0</v>
      </c>
      <c r="AD158" s="20">
        <f t="shared" si="178"/>
        <v>0</v>
      </c>
      <c r="AE158" s="20">
        <f t="shared" si="179"/>
        <v>0</v>
      </c>
      <c r="AF158" s="20">
        <f t="shared" si="179"/>
        <v>0</v>
      </c>
      <c r="AG158" s="20">
        <f t="shared" si="179"/>
        <v>0</v>
      </c>
      <c r="AH158" s="20">
        <f t="shared" si="179"/>
        <v>0</v>
      </c>
      <c r="AI158" s="20">
        <f t="shared" si="180"/>
        <v>0</v>
      </c>
      <c r="AJ158" s="20">
        <f t="shared" si="180"/>
        <v>0</v>
      </c>
      <c r="AK158" s="20">
        <f t="shared" si="180"/>
        <v>0</v>
      </c>
      <c r="AL158" s="20">
        <f t="shared" si="180"/>
        <v>0</v>
      </c>
      <c r="AM158" s="20">
        <f t="shared" si="181"/>
        <v>0</v>
      </c>
      <c r="AO158">
        <f t="shared" si="182"/>
        <v>0</v>
      </c>
      <c r="AP158">
        <f t="shared" si="182"/>
        <v>0</v>
      </c>
      <c r="AQ158">
        <f t="shared" si="182"/>
        <v>0</v>
      </c>
      <c r="AR158">
        <f t="shared" si="182"/>
        <v>0</v>
      </c>
      <c r="AS158">
        <f t="shared" si="183"/>
        <v>0</v>
      </c>
      <c r="AU158">
        <f t="shared" si="184"/>
        <v>0</v>
      </c>
      <c r="AV158">
        <f t="shared" si="184"/>
        <v>0</v>
      </c>
      <c r="AW158">
        <f t="shared" si="184"/>
        <v>0</v>
      </c>
      <c r="AX158">
        <f t="shared" si="184"/>
        <v>0</v>
      </c>
      <c r="AY158">
        <f t="shared" si="185"/>
        <v>0</v>
      </c>
    </row>
    <row r="159" spans="1:53" ht="15" x14ac:dyDescent="0.25">
      <c r="A159" s="1"/>
      <c r="B159" s="2"/>
      <c r="C159" s="1" t="s">
        <v>11</v>
      </c>
      <c r="D159">
        <v>0</v>
      </c>
      <c r="E159" s="360"/>
      <c r="F159">
        <v>0</v>
      </c>
      <c r="G159">
        <v>0</v>
      </c>
      <c r="H159">
        <v>0</v>
      </c>
      <c r="J159">
        <v>0</v>
      </c>
      <c r="K159" s="14">
        <v>0</v>
      </c>
      <c r="L159">
        <v>0</v>
      </c>
      <c r="M159">
        <v>0</v>
      </c>
      <c r="N159">
        <v>0</v>
      </c>
      <c r="O159" s="20"/>
      <c r="P159" s="20"/>
      <c r="Q159" s="438"/>
      <c r="R159" s="197"/>
      <c r="S159" s="197"/>
      <c r="T159" s="197"/>
      <c r="U159" s="197"/>
      <c r="V159" s="20">
        <f t="shared" si="176"/>
        <v>0</v>
      </c>
      <c r="W159" s="20">
        <f t="shared" si="176"/>
        <v>0</v>
      </c>
      <c r="X159" s="20">
        <f t="shared" si="176"/>
        <v>0</v>
      </c>
      <c r="Y159" s="20">
        <f t="shared" si="176"/>
        <v>0</v>
      </c>
      <c r="Z159" s="20">
        <f t="shared" si="177"/>
        <v>0</v>
      </c>
      <c r="AA159" s="20">
        <f t="shared" si="177"/>
        <v>0</v>
      </c>
      <c r="AB159" s="20">
        <f t="shared" si="177"/>
        <v>0</v>
      </c>
      <c r="AC159" s="20">
        <f t="shared" si="177"/>
        <v>0</v>
      </c>
      <c r="AD159" s="20">
        <f t="shared" si="178"/>
        <v>0</v>
      </c>
      <c r="AE159" s="20">
        <f t="shared" si="179"/>
        <v>0</v>
      </c>
      <c r="AF159" s="20">
        <f t="shared" si="179"/>
        <v>0</v>
      </c>
      <c r="AG159" s="20">
        <f t="shared" si="179"/>
        <v>0</v>
      </c>
      <c r="AH159" s="20">
        <f t="shared" si="179"/>
        <v>0</v>
      </c>
      <c r="AI159" s="20">
        <f t="shared" si="180"/>
        <v>0</v>
      </c>
      <c r="AJ159" s="20">
        <f t="shared" si="180"/>
        <v>0</v>
      </c>
      <c r="AK159" s="20">
        <f t="shared" si="180"/>
        <v>0</v>
      </c>
      <c r="AL159" s="20">
        <f t="shared" si="180"/>
        <v>0</v>
      </c>
      <c r="AM159" s="20">
        <f t="shared" si="181"/>
        <v>0</v>
      </c>
      <c r="AO159">
        <f t="shared" si="182"/>
        <v>0</v>
      </c>
      <c r="AP159">
        <f t="shared" si="182"/>
        <v>0</v>
      </c>
      <c r="AQ159">
        <f t="shared" si="182"/>
        <v>0</v>
      </c>
      <c r="AR159">
        <f t="shared" si="182"/>
        <v>0</v>
      </c>
      <c r="AS159">
        <f t="shared" si="183"/>
        <v>0</v>
      </c>
      <c r="AU159">
        <f t="shared" si="184"/>
        <v>0</v>
      </c>
      <c r="AV159">
        <f t="shared" si="184"/>
        <v>0</v>
      </c>
      <c r="AW159">
        <f t="shared" si="184"/>
        <v>0</v>
      </c>
      <c r="AX159">
        <f t="shared" si="184"/>
        <v>0</v>
      </c>
      <c r="AY159">
        <f t="shared" si="185"/>
        <v>0</v>
      </c>
    </row>
    <row r="160" spans="1:53" ht="15" x14ac:dyDescent="0.25">
      <c r="A160" s="1"/>
      <c r="B160" s="2"/>
      <c r="C160" s="1" t="s">
        <v>12</v>
      </c>
      <c r="D160">
        <v>0</v>
      </c>
      <c r="E160" s="360"/>
      <c r="F160">
        <v>0</v>
      </c>
      <c r="G160">
        <v>0</v>
      </c>
      <c r="H160">
        <v>0</v>
      </c>
      <c r="J160">
        <v>0</v>
      </c>
      <c r="K160" s="14">
        <v>0</v>
      </c>
      <c r="L160">
        <v>0</v>
      </c>
      <c r="M160">
        <v>0</v>
      </c>
      <c r="N160">
        <v>0</v>
      </c>
      <c r="O160" s="20"/>
      <c r="P160" s="20"/>
      <c r="Q160" s="438"/>
      <c r="R160" s="197"/>
      <c r="S160" s="197"/>
      <c r="T160" s="197"/>
      <c r="U160" s="197"/>
      <c r="V160" s="20">
        <f t="shared" si="176"/>
        <v>0</v>
      </c>
      <c r="W160" s="20">
        <f t="shared" si="176"/>
        <v>0</v>
      </c>
      <c r="X160" s="20">
        <f t="shared" si="176"/>
        <v>0</v>
      </c>
      <c r="Y160" s="20">
        <f t="shared" si="176"/>
        <v>0</v>
      </c>
      <c r="Z160" s="20">
        <f t="shared" si="177"/>
        <v>0</v>
      </c>
      <c r="AA160" s="20">
        <f t="shared" si="177"/>
        <v>0</v>
      </c>
      <c r="AB160" s="20">
        <f t="shared" si="177"/>
        <v>0</v>
      </c>
      <c r="AC160" s="20">
        <f t="shared" si="177"/>
        <v>0</v>
      </c>
      <c r="AD160" s="20">
        <f t="shared" si="178"/>
        <v>0</v>
      </c>
      <c r="AE160" s="20">
        <f t="shared" si="179"/>
        <v>0</v>
      </c>
      <c r="AF160" s="20">
        <f t="shared" si="179"/>
        <v>0</v>
      </c>
      <c r="AG160" s="20">
        <f t="shared" si="179"/>
        <v>0</v>
      </c>
      <c r="AH160" s="20">
        <f t="shared" si="179"/>
        <v>0</v>
      </c>
      <c r="AI160" s="20">
        <f t="shared" si="180"/>
        <v>0</v>
      </c>
      <c r="AJ160" s="20">
        <f t="shared" si="180"/>
        <v>0</v>
      </c>
      <c r="AK160" s="20">
        <f t="shared" si="180"/>
        <v>0</v>
      </c>
      <c r="AL160" s="20">
        <f t="shared" si="180"/>
        <v>0</v>
      </c>
      <c r="AM160" s="20">
        <f t="shared" si="181"/>
        <v>0</v>
      </c>
      <c r="AO160">
        <f t="shared" si="182"/>
        <v>0</v>
      </c>
      <c r="AP160">
        <f t="shared" si="182"/>
        <v>0</v>
      </c>
      <c r="AQ160">
        <f t="shared" si="182"/>
        <v>0</v>
      </c>
      <c r="AR160">
        <f t="shared" si="182"/>
        <v>0</v>
      </c>
      <c r="AS160">
        <f t="shared" si="183"/>
        <v>0</v>
      </c>
      <c r="AU160">
        <f t="shared" si="184"/>
        <v>0</v>
      </c>
      <c r="AV160">
        <f t="shared" si="184"/>
        <v>0</v>
      </c>
      <c r="AW160">
        <f t="shared" si="184"/>
        <v>0</v>
      </c>
      <c r="AX160">
        <f t="shared" si="184"/>
        <v>0</v>
      </c>
      <c r="AY160">
        <f t="shared" si="185"/>
        <v>0</v>
      </c>
    </row>
    <row r="161" spans="1:53" ht="15" x14ac:dyDescent="0.25">
      <c r="A161" s="1"/>
      <c r="B161" s="2"/>
      <c r="C161" s="1" t="s">
        <v>13</v>
      </c>
      <c r="D161">
        <v>0</v>
      </c>
      <c r="E161" s="360"/>
      <c r="F161">
        <v>0</v>
      </c>
      <c r="G161">
        <v>0</v>
      </c>
      <c r="H161">
        <v>0</v>
      </c>
      <c r="J161">
        <v>0</v>
      </c>
      <c r="K161" s="14">
        <v>0</v>
      </c>
      <c r="L161">
        <v>0</v>
      </c>
      <c r="M161">
        <v>0</v>
      </c>
      <c r="N161">
        <v>0</v>
      </c>
      <c r="O161" s="20"/>
      <c r="P161" s="20"/>
      <c r="Q161" s="438"/>
      <c r="R161" s="197"/>
      <c r="S161" s="197"/>
      <c r="T161" s="197"/>
      <c r="U161" s="197"/>
      <c r="V161" s="20">
        <f t="shared" si="176"/>
        <v>0</v>
      </c>
      <c r="W161" s="20">
        <f t="shared" si="176"/>
        <v>0</v>
      </c>
      <c r="X161" s="20">
        <f t="shared" si="176"/>
        <v>0</v>
      </c>
      <c r="Y161" s="20">
        <f t="shared" si="176"/>
        <v>0</v>
      </c>
      <c r="Z161" s="20">
        <f t="shared" si="177"/>
        <v>0</v>
      </c>
      <c r="AA161" s="20">
        <f t="shared" si="177"/>
        <v>0</v>
      </c>
      <c r="AB161" s="20">
        <f t="shared" si="177"/>
        <v>0</v>
      </c>
      <c r="AC161" s="20">
        <f t="shared" si="177"/>
        <v>0</v>
      </c>
      <c r="AD161" s="20">
        <f t="shared" si="178"/>
        <v>0</v>
      </c>
      <c r="AE161" s="20">
        <f t="shared" si="179"/>
        <v>0</v>
      </c>
      <c r="AF161" s="20">
        <f t="shared" si="179"/>
        <v>0</v>
      </c>
      <c r="AG161" s="20">
        <f t="shared" si="179"/>
        <v>0</v>
      </c>
      <c r="AH161" s="20">
        <f t="shared" si="179"/>
        <v>0</v>
      </c>
      <c r="AI161" s="20">
        <f t="shared" si="180"/>
        <v>0</v>
      </c>
      <c r="AJ161" s="20">
        <f t="shared" si="180"/>
        <v>0</v>
      </c>
      <c r="AK161" s="20">
        <f t="shared" si="180"/>
        <v>0</v>
      </c>
      <c r="AL161" s="20">
        <f t="shared" si="180"/>
        <v>0</v>
      </c>
      <c r="AM161" s="20">
        <f t="shared" si="181"/>
        <v>0</v>
      </c>
      <c r="AO161">
        <f t="shared" si="182"/>
        <v>0</v>
      </c>
      <c r="AP161">
        <f t="shared" si="182"/>
        <v>0</v>
      </c>
      <c r="AQ161">
        <f t="shared" si="182"/>
        <v>0</v>
      </c>
      <c r="AR161">
        <f t="shared" si="182"/>
        <v>0</v>
      </c>
      <c r="AS161">
        <f t="shared" si="183"/>
        <v>0</v>
      </c>
      <c r="AU161">
        <f t="shared" si="184"/>
        <v>0</v>
      </c>
      <c r="AV161">
        <f t="shared" si="184"/>
        <v>0</v>
      </c>
      <c r="AW161">
        <f t="shared" si="184"/>
        <v>0</v>
      </c>
      <c r="AX161">
        <f t="shared" si="184"/>
        <v>0</v>
      </c>
      <c r="AY161">
        <f t="shared" si="185"/>
        <v>0</v>
      </c>
    </row>
    <row r="162" spans="1:53" s="319" customFormat="1" ht="15" x14ac:dyDescent="0.25">
      <c r="A162" s="368"/>
      <c r="B162" s="369" t="s">
        <v>14</v>
      </c>
      <c r="C162" s="368"/>
      <c r="D162" s="370">
        <f t="shared" ref="D162:H162" si="186">SUM(D156:D161)</f>
        <v>0</v>
      </c>
      <c r="E162" s="363">
        <f>SUM(E156:E161)</f>
        <v>0</v>
      </c>
      <c r="F162" s="370">
        <f t="shared" si="186"/>
        <v>0</v>
      </c>
      <c r="G162" s="370">
        <f t="shared" si="186"/>
        <v>0</v>
      </c>
      <c r="H162" s="370">
        <f t="shared" si="186"/>
        <v>0</v>
      </c>
      <c r="J162" s="319">
        <v>0</v>
      </c>
      <c r="K162" s="14">
        <v>0</v>
      </c>
      <c r="L162" s="319">
        <v>0</v>
      </c>
      <c r="M162" s="319">
        <v>0</v>
      </c>
      <c r="N162" s="319">
        <v>0</v>
      </c>
      <c r="O162" s="372"/>
      <c r="P162" s="372"/>
      <c r="Q162" s="438"/>
      <c r="R162" s="373"/>
      <c r="S162" s="373"/>
      <c r="T162" s="373"/>
      <c r="U162" s="373"/>
      <c r="BA162" s="319">
        <f>(E162*10000*Q162*AU$10)</f>
        <v>0</v>
      </c>
    </row>
    <row r="163" spans="1:53" ht="15" x14ac:dyDescent="0.25">
      <c r="A163" s="10"/>
      <c r="B163" s="9" t="s">
        <v>15</v>
      </c>
      <c r="C163" s="5"/>
      <c r="E163" s="363">
        <f>SUM(E162)</f>
        <v>0</v>
      </c>
      <c r="H163" s="358">
        <f>SUM(D162:H162)</f>
        <v>0</v>
      </c>
      <c r="K163" s="14"/>
      <c r="N163">
        <v>0</v>
      </c>
      <c r="O163" s="20"/>
      <c r="P163" s="20"/>
      <c r="Q163" s="438"/>
      <c r="R163" s="197"/>
      <c r="S163" s="197"/>
      <c r="T163" s="197"/>
      <c r="U163" s="197"/>
    </row>
    <row r="164" spans="1:53" ht="15.75" x14ac:dyDescent="0.25">
      <c r="A164" s="1"/>
      <c r="B164" s="2"/>
      <c r="C164" s="1"/>
      <c r="E164" s="361"/>
      <c r="K164" s="14"/>
      <c r="O164" s="20"/>
      <c r="P164" s="20"/>
      <c r="Q164" s="439"/>
      <c r="R164" s="197"/>
      <c r="S164" s="197"/>
      <c r="T164" s="197"/>
      <c r="U164" s="197"/>
    </row>
    <row r="165" spans="1:53" ht="15" x14ac:dyDescent="0.25">
      <c r="A165" s="1">
        <v>18</v>
      </c>
      <c r="B165" s="2" t="s">
        <v>709</v>
      </c>
      <c r="C165" s="1" t="s">
        <v>8</v>
      </c>
      <c r="D165">
        <v>0</v>
      </c>
      <c r="E165" s="360"/>
      <c r="F165">
        <v>0</v>
      </c>
      <c r="G165">
        <v>0</v>
      </c>
      <c r="H165">
        <v>0</v>
      </c>
      <c r="J165">
        <v>0</v>
      </c>
      <c r="K165" s="14">
        <v>0</v>
      </c>
      <c r="L165">
        <v>0</v>
      </c>
      <c r="M165">
        <v>0</v>
      </c>
      <c r="N165">
        <v>0</v>
      </c>
      <c r="O165" s="20"/>
      <c r="P165" s="20"/>
      <c r="Q165" s="438"/>
      <c r="R165" s="197">
        <v>0.66599999999999993</v>
      </c>
      <c r="S165" s="197">
        <v>4.5549999999999997</v>
      </c>
      <c r="T165" s="197">
        <v>0.60039794540960334</v>
      </c>
      <c r="U165" s="197">
        <v>0.90789473684210531</v>
      </c>
      <c r="V165" s="20">
        <f t="shared" ref="V165:Y170" si="187">IF(K165&gt;0,((E165-K165)*$Q165*$R165*10)+(K165*$O$12*$Q165*$R165*10),(E165*$Q165*$R165*10))</f>
        <v>0</v>
      </c>
      <c r="W165" s="20">
        <f t="shared" si="187"/>
        <v>0</v>
      </c>
      <c r="X165" s="20">
        <f t="shared" si="187"/>
        <v>0</v>
      </c>
      <c r="Y165" s="20">
        <f t="shared" si="187"/>
        <v>0</v>
      </c>
      <c r="Z165" s="20">
        <f t="shared" ref="Z165:AC170" si="188">V165*(EXP(1.01-0.34*LN(Z$8))*(1-$T165)+(1*$T165))</f>
        <v>0</v>
      </c>
      <c r="AA165" s="20">
        <f t="shared" si="188"/>
        <v>0</v>
      </c>
      <c r="AB165" s="20">
        <f t="shared" si="188"/>
        <v>0</v>
      </c>
      <c r="AC165" s="20">
        <f t="shared" si="188"/>
        <v>0</v>
      </c>
      <c r="AD165" s="20">
        <f t="shared" ref="AD165:AD170" si="189">SUM(Z165:AC165)</f>
        <v>0</v>
      </c>
      <c r="AE165" s="20">
        <f t="shared" ref="AE165:AH170" si="190">IF(K165&gt;0,((E165-K165)*$Q165*$S165*10)+(K165*$P$12*$Q165*$S165)*10,(E165*$Q165*$S165*10))</f>
        <v>0</v>
      </c>
      <c r="AF165" s="20">
        <f t="shared" si="190"/>
        <v>0</v>
      </c>
      <c r="AG165" s="20">
        <f t="shared" si="190"/>
        <v>0</v>
      </c>
      <c r="AH165" s="20">
        <f t="shared" si="190"/>
        <v>0</v>
      </c>
      <c r="AI165" s="20">
        <f t="shared" ref="AI165:AL170" si="191">AE165*(EXP(1.01-0.34*LN(AI$8))*(1-$U165)+(1*$U165))</f>
        <v>0</v>
      </c>
      <c r="AJ165" s="20">
        <f t="shared" si="191"/>
        <v>0</v>
      </c>
      <c r="AK165" s="20">
        <f t="shared" si="191"/>
        <v>0</v>
      </c>
      <c r="AL165" s="20">
        <f t="shared" si="191"/>
        <v>0</v>
      </c>
      <c r="AM165" s="20">
        <f t="shared" ref="AM165:AM170" si="192">SUM(AI165:AL165)</f>
        <v>0</v>
      </c>
      <c r="AO165">
        <f t="shared" ref="AO165:AR170" si="193">Z165*AO$10</f>
        <v>0</v>
      </c>
      <c r="AP165">
        <f t="shared" si="193"/>
        <v>0</v>
      </c>
      <c r="AQ165">
        <f t="shared" si="193"/>
        <v>0</v>
      </c>
      <c r="AR165">
        <f t="shared" si="193"/>
        <v>0</v>
      </c>
      <c r="AS165">
        <f t="shared" ref="AS165:AS170" si="194">SUM(AO165:AR165)</f>
        <v>0</v>
      </c>
      <c r="AU165">
        <f t="shared" ref="AU165:AX170" si="195">AI165*AU$10</f>
        <v>0</v>
      </c>
      <c r="AV165">
        <f t="shared" si="195"/>
        <v>0</v>
      </c>
      <c r="AW165">
        <f t="shared" si="195"/>
        <v>0</v>
      </c>
      <c r="AX165">
        <f t="shared" si="195"/>
        <v>0</v>
      </c>
      <c r="AY165">
        <f t="shared" ref="AY165:AY170" si="196">SUM(AU165:AX165)</f>
        <v>0</v>
      </c>
    </row>
    <row r="166" spans="1:53" ht="15" x14ac:dyDescent="0.25">
      <c r="A166" s="1"/>
      <c r="B166" s="2"/>
      <c r="C166" s="1" t="s">
        <v>9</v>
      </c>
      <c r="D166">
        <v>0</v>
      </c>
      <c r="E166" s="360"/>
      <c r="F166">
        <v>0</v>
      </c>
      <c r="G166">
        <v>0</v>
      </c>
      <c r="H166">
        <v>0</v>
      </c>
      <c r="J166">
        <v>0</v>
      </c>
      <c r="K166" s="14">
        <v>0</v>
      </c>
      <c r="L166">
        <v>0</v>
      </c>
      <c r="M166">
        <v>0</v>
      </c>
      <c r="N166">
        <v>0</v>
      </c>
      <c r="O166" s="20"/>
      <c r="P166" s="20"/>
      <c r="Q166" s="438"/>
      <c r="R166" s="197">
        <v>0.66599999999999993</v>
      </c>
      <c r="S166" s="197">
        <v>4.5549999999999997</v>
      </c>
      <c r="T166" s="197">
        <v>0.60039794540960334</v>
      </c>
      <c r="U166" s="197">
        <v>0.90789473684210531</v>
      </c>
      <c r="V166" s="20">
        <f t="shared" si="187"/>
        <v>0</v>
      </c>
      <c r="W166" s="20">
        <f t="shared" si="187"/>
        <v>0</v>
      </c>
      <c r="X166" s="20">
        <f t="shared" si="187"/>
        <v>0</v>
      </c>
      <c r="Y166" s="20">
        <f t="shared" si="187"/>
        <v>0</v>
      </c>
      <c r="Z166" s="20">
        <f t="shared" si="188"/>
        <v>0</v>
      </c>
      <c r="AA166" s="20">
        <f t="shared" si="188"/>
        <v>0</v>
      </c>
      <c r="AB166" s="20">
        <f t="shared" si="188"/>
        <v>0</v>
      </c>
      <c r="AC166" s="20">
        <f t="shared" si="188"/>
        <v>0</v>
      </c>
      <c r="AD166" s="20">
        <f t="shared" si="189"/>
        <v>0</v>
      </c>
      <c r="AE166" s="20">
        <f t="shared" si="190"/>
        <v>0</v>
      </c>
      <c r="AF166" s="20">
        <f t="shared" si="190"/>
        <v>0</v>
      </c>
      <c r="AG166" s="20">
        <f t="shared" si="190"/>
        <v>0</v>
      </c>
      <c r="AH166" s="20">
        <f t="shared" si="190"/>
        <v>0</v>
      </c>
      <c r="AI166" s="20">
        <f t="shared" si="191"/>
        <v>0</v>
      </c>
      <c r="AJ166" s="20">
        <f t="shared" si="191"/>
        <v>0</v>
      </c>
      <c r="AK166" s="20">
        <f t="shared" si="191"/>
        <v>0</v>
      </c>
      <c r="AL166" s="20">
        <f t="shared" si="191"/>
        <v>0</v>
      </c>
      <c r="AM166" s="20">
        <f t="shared" si="192"/>
        <v>0</v>
      </c>
      <c r="AO166">
        <f t="shared" si="193"/>
        <v>0</v>
      </c>
      <c r="AP166">
        <f t="shared" si="193"/>
        <v>0</v>
      </c>
      <c r="AQ166">
        <f t="shared" si="193"/>
        <v>0</v>
      </c>
      <c r="AR166">
        <f t="shared" si="193"/>
        <v>0</v>
      </c>
      <c r="AS166">
        <f t="shared" si="194"/>
        <v>0</v>
      </c>
      <c r="AU166">
        <f t="shared" si="195"/>
        <v>0</v>
      </c>
      <c r="AV166">
        <f t="shared" si="195"/>
        <v>0</v>
      </c>
      <c r="AW166">
        <f t="shared" si="195"/>
        <v>0</v>
      </c>
      <c r="AX166">
        <f t="shared" si="195"/>
        <v>0</v>
      </c>
      <c r="AY166">
        <f t="shared" si="196"/>
        <v>0</v>
      </c>
    </row>
    <row r="167" spans="1:53" ht="15" x14ac:dyDescent="0.25">
      <c r="A167" s="1"/>
      <c r="B167" s="2"/>
      <c r="C167" s="1" t="s">
        <v>10</v>
      </c>
      <c r="D167">
        <v>0</v>
      </c>
      <c r="E167" s="360"/>
      <c r="F167">
        <v>0</v>
      </c>
      <c r="G167">
        <v>0</v>
      </c>
      <c r="H167">
        <v>0</v>
      </c>
      <c r="J167">
        <v>0</v>
      </c>
      <c r="K167" s="14">
        <v>0</v>
      </c>
      <c r="L167">
        <v>0</v>
      </c>
      <c r="M167">
        <v>0</v>
      </c>
      <c r="N167">
        <v>0</v>
      </c>
      <c r="O167" s="20"/>
      <c r="P167" s="20"/>
      <c r="Q167" s="438"/>
      <c r="R167" s="197">
        <v>0.66599999999999993</v>
      </c>
      <c r="S167" s="197">
        <v>4.5549999999999997</v>
      </c>
      <c r="T167" s="197">
        <v>0.60039794540960334</v>
      </c>
      <c r="U167" s="197">
        <v>0.90789473684210531</v>
      </c>
      <c r="V167" s="20">
        <f t="shared" si="187"/>
        <v>0</v>
      </c>
      <c r="W167" s="20">
        <f t="shared" si="187"/>
        <v>0</v>
      </c>
      <c r="X167" s="20">
        <f t="shared" si="187"/>
        <v>0</v>
      </c>
      <c r="Y167" s="20">
        <f t="shared" si="187"/>
        <v>0</v>
      </c>
      <c r="Z167" s="20">
        <f t="shared" si="188"/>
        <v>0</v>
      </c>
      <c r="AA167" s="20">
        <f t="shared" si="188"/>
        <v>0</v>
      </c>
      <c r="AB167" s="20">
        <f t="shared" si="188"/>
        <v>0</v>
      </c>
      <c r="AC167" s="20">
        <f t="shared" si="188"/>
        <v>0</v>
      </c>
      <c r="AD167" s="20">
        <f t="shared" si="189"/>
        <v>0</v>
      </c>
      <c r="AE167" s="20">
        <f t="shared" si="190"/>
        <v>0</v>
      </c>
      <c r="AF167" s="20">
        <f t="shared" si="190"/>
        <v>0</v>
      </c>
      <c r="AG167" s="20">
        <f t="shared" si="190"/>
        <v>0</v>
      </c>
      <c r="AH167" s="20">
        <f t="shared" si="190"/>
        <v>0</v>
      </c>
      <c r="AI167" s="20">
        <f t="shared" si="191"/>
        <v>0</v>
      </c>
      <c r="AJ167" s="20">
        <f t="shared" si="191"/>
        <v>0</v>
      </c>
      <c r="AK167" s="20">
        <f t="shared" si="191"/>
        <v>0</v>
      </c>
      <c r="AL167" s="20">
        <f t="shared" si="191"/>
        <v>0</v>
      </c>
      <c r="AM167" s="20">
        <f t="shared" si="192"/>
        <v>0</v>
      </c>
      <c r="AO167">
        <f t="shared" si="193"/>
        <v>0</v>
      </c>
      <c r="AP167">
        <f t="shared" si="193"/>
        <v>0</v>
      </c>
      <c r="AQ167">
        <f t="shared" si="193"/>
        <v>0</v>
      </c>
      <c r="AR167">
        <f t="shared" si="193"/>
        <v>0</v>
      </c>
      <c r="AS167">
        <f t="shared" si="194"/>
        <v>0</v>
      </c>
      <c r="AU167">
        <f t="shared" si="195"/>
        <v>0</v>
      </c>
      <c r="AV167">
        <f t="shared" si="195"/>
        <v>0</v>
      </c>
      <c r="AW167">
        <f t="shared" si="195"/>
        <v>0</v>
      </c>
      <c r="AX167">
        <f t="shared" si="195"/>
        <v>0</v>
      </c>
      <c r="AY167">
        <f t="shared" si="196"/>
        <v>0</v>
      </c>
    </row>
    <row r="168" spans="1:53" ht="15" x14ac:dyDescent="0.25">
      <c r="A168" s="1"/>
      <c r="B168" s="2"/>
      <c r="C168" s="1" t="s">
        <v>11</v>
      </c>
      <c r="D168">
        <v>0</v>
      </c>
      <c r="E168" s="360">
        <v>137.8776</v>
      </c>
      <c r="F168">
        <v>0</v>
      </c>
      <c r="G168">
        <v>0</v>
      </c>
      <c r="H168">
        <v>0</v>
      </c>
      <c r="J168">
        <v>0</v>
      </c>
      <c r="K168" s="14">
        <v>6.583568409723739E-5</v>
      </c>
      <c r="L168">
        <v>0</v>
      </c>
      <c r="M168">
        <v>0</v>
      </c>
      <c r="N168">
        <v>0</v>
      </c>
      <c r="O168" s="20"/>
      <c r="P168" s="20"/>
      <c r="Q168" s="438">
        <v>4.8303659572652438E-2</v>
      </c>
      <c r="R168" s="197">
        <v>0.66599999999999993</v>
      </c>
      <c r="S168" s="197">
        <v>4.5549999999999997</v>
      </c>
      <c r="T168" s="197">
        <v>0.60039794540960334</v>
      </c>
      <c r="U168" s="197">
        <v>0.90789473684210531</v>
      </c>
      <c r="V168" s="20">
        <f t="shared" si="187"/>
        <v>44.355537678915425</v>
      </c>
      <c r="W168" s="20">
        <f t="shared" si="187"/>
        <v>0</v>
      </c>
      <c r="X168" s="20">
        <f t="shared" si="187"/>
        <v>0</v>
      </c>
      <c r="Y168" s="20">
        <f t="shared" si="187"/>
        <v>0</v>
      </c>
      <c r="Z168" s="20">
        <f t="shared" si="188"/>
        <v>29.865755521624212</v>
      </c>
      <c r="AA168" s="20">
        <f t="shared" si="188"/>
        <v>0</v>
      </c>
      <c r="AB168" s="20">
        <f t="shared" si="188"/>
        <v>0</v>
      </c>
      <c r="AC168" s="20">
        <f t="shared" si="188"/>
        <v>0</v>
      </c>
      <c r="AD168" s="20">
        <f t="shared" si="189"/>
        <v>29.865755521624212</v>
      </c>
      <c r="AE168" s="20">
        <f t="shared" si="190"/>
        <v>303.36260438387461</v>
      </c>
      <c r="AF168" s="20">
        <f t="shared" si="190"/>
        <v>0</v>
      </c>
      <c r="AG168" s="20">
        <f t="shared" si="190"/>
        <v>0</v>
      </c>
      <c r="AH168" s="20">
        <f t="shared" si="190"/>
        <v>0</v>
      </c>
      <c r="AI168" s="20">
        <f t="shared" si="191"/>
        <v>280.52067485029534</v>
      </c>
      <c r="AJ168" s="20">
        <f t="shared" si="191"/>
        <v>0</v>
      </c>
      <c r="AK168" s="20">
        <f t="shared" si="191"/>
        <v>0</v>
      </c>
      <c r="AL168" s="20">
        <f t="shared" si="191"/>
        <v>0</v>
      </c>
      <c r="AM168" s="20">
        <f t="shared" si="192"/>
        <v>280.52067485029534</v>
      </c>
      <c r="AO168">
        <f t="shared" si="193"/>
        <v>33.927498272565103</v>
      </c>
      <c r="AP168">
        <f t="shared" si="193"/>
        <v>0</v>
      </c>
      <c r="AQ168">
        <f t="shared" si="193"/>
        <v>0</v>
      </c>
      <c r="AR168">
        <f t="shared" si="193"/>
        <v>0</v>
      </c>
      <c r="AS168">
        <f t="shared" si="194"/>
        <v>33.927498272565103</v>
      </c>
      <c r="AU168">
        <f t="shared" si="195"/>
        <v>318.67148662993549</v>
      </c>
      <c r="AV168">
        <f t="shared" si="195"/>
        <v>0</v>
      </c>
      <c r="AW168">
        <f t="shared" si="195"/>
        <v>0</v>
      </c>
      <c r="AX168">
        <f t="shared" si="195"/>
        <v>0</v>
      </c>
      <c r="AY168">
        <f t="shared" si="196"/>
        <v>318.67148662993549</v>
      </c>
    </row>
    <row r="169" spans="1:53" ht="15" x14ac:dyDescent="0.25">
      <c r="A169" s="1"/>
      <c r="B169" s="2"/>
      <c r="C169" s="1" t="s">
        <v>12</v>
      </c>
      <c r="D169">
        <v>0</v>
      </c>
      <c r="E169" s="360"/>
      <c r="F169">
        <v>0</v>
      </c>
      <c r="G169">
        <v>0</v>
      </c>
      <c r="H169">
        <v>0</v>
      </c>
      <c r="J169">
        <v>0</v>
      </c>
      <c r="K169" s="14">
        <v>0</v>
      </c>
      <c r="L169">
        <v>0</v>
      </c>
      <c r="M169">
        <v>0</v>
      </c>
      <c r="N169">
        <v>0</v>
      </c>
      <c r="O169" s="20"/>
      <c r="P169" s="20"/>
      <c r="Q169" s="438"/>
      <c r="R169" s="197">
        <v>0.66599999999999993</v>
      </c>
      <c r="S169" s="197">
        <v>4.5549999999999997</v>
      </c>
      <c r="T169" s="197">
        <v>0.60039794540960334</v>
      </c>
      <c r="U169" s="197">
        <v>0.90789473684210531</v>
      </c>
      <c r="V169" s="20">
        <f t="shared" si="187"/>
        <v>0</v>
      </c>
      <c r="W169" s="20">
        <f t="shared" si="187"/>
        <v>0</v>
      </c>
      <c r="X169" s="20">
        <f t="shared" si="187"/>
        <v>0</v>
      </c>
      <c r="Y169" s="20">
        <f t="shared" si="187"/>
        <v>0</v>
      </c>
      <c r="Z169" s="20">
        <f t="shared" si="188"/>
        <v>0</v>
      </c>
      <c r="AA169" s="20">
        <f t="shared" si="188"/>
        <v>0</v>
      </c>
      <c r="AB169" s="20">
        <f t="shared" si="188"/>
        <v>0</v>
      </c>
      <c r="AC169" s="20">
        <f t="shared" si="188"/>
        <v>0</v>
      </c>
      <c r="AD169" s="20">
        <f t="shared" si="189"/>
        <v>0</v>
      </c>
      <c r="AE169" s="20">
        <f t="shared" si="190"/>
        <v>0</v>
      </c>
      <c r="AF169" s="20">
        <f t="shared" si="190"/>
        <v>0</v>
      </c>
      <c r="AG169" s="20">
        <f t="shared" si="190"/>
        <v>0</v>
      </c>
      <c r="AH169" s="20">
        <f t="shared" si="190"/>
        <v>0</v>
      </c>
      <c r="AI169" s="20">
        <f t="shared" si="191"/>
        <v>0</v>
      </c>
      <c r="AJ169" s="20">
        <f t="shared" si="191"/>
        <v>0</v>
      </c>
      <c r="AK169" s="20">
        <f t="shared" si="191"/>
        <v>0</v>
      </c>
      <c r="AL169" s="20">
        <f t="shared" si="191"/>
        <v>0</v>
      </c>
      <c r="AM169" s="20">
        <f t="shared" si="192"/>
        <v>0</v>
      </c>
      <c r="AO169">
        <f t="shared" si="193"/>
        <v>0</v>
      </c>
      <c r="AP169">
        <f t="shared" si="193"/>
        <v>0</v>
      </c>
      <c r="AQ169">
        <f t="shared" si="193"/>
        <v>0</v>
      </c>
      <c r="AR169">
        <f t="shared" si="193"/>
        <v>0</v>
      </c>
      <c r="AS169">
        <f t="shared" si="194"/>
        <v>0</v>
      </c>
      <c r="AU169">
        <f t="shared" si="195"/>
        <v>0</v>
      </c>
      <c r="AV169">
        <f t="shared" si="195"/>
        <v>0</v>
      </c>
      <c r="AW169">
        <f t="shared" si="195"/>
        <v>0</v>
      </c>
      <c r="AX169">
        <f t="shared" si="195"/>
        <v>0</v>
      </c>
      <c r="AY169">
        <f t="shared" si="196"/>
        <v>0</v>
      </c>
    </row>
    <row r="170" spans="1:53" ht="15" x14ac:dyDescent="0.25">
      <c r="A170" s="1"/>
      <c r="B170" s="2"/>
      <c r="C170" s="1" t="s">
        <v>13</v>
      </c>
      <c r="D170">
        <v>0</v>
      </c>
      <c r="E170" s="360"/>
      <c r="F170">
        <v>0</v>
      </c>
      <c r="G170">
        <v>0</v>
      </c>
      <c r="H170">
        <v>0</v>
      </c>
      <c r="J170">
        <v>0</v>
      </c>
      <c r="K170" s="14">
        <v>0</v>
      </c>
      <c r="L170">
        <v>0</v>
      </c>
      <c r="M170">
        <v>0</v>
      </c>
      <c r="N170">
        <v>0</v>
      </c>
      <c r="O170" s="20"/>
      <c r="P170" s="20"/>
      <c r="Q170" s="438"/>
      <c r="R170" s="197">
        <v>0.66599999999999993</v>
      </c>
      <c r="S170" s="197">
        <v>4.5549999999999997</v>
      </c>
      <c r="T170" s="197">
        <v>0.60039794540960334</v>
      </c>
      <c r="U170" s="197">
        <v>0.90789473684210531</v>
      </c>
      <c r="V170" s="20">
        <f t="shared" si="187"/>
        <v>0</v>
      </c>
      <c r="W170" s="20">
        <f t="shared" si="187"/>
        <v>0</v>
      </c>
      <c r="X170" s="20">
        <f t="shared" si="187"/>
        <v>0</v>
      </c>
      <c r="Y170" s="20">
        <f t="shared" si="187"/>
        <v>0</v>
      </c>
      <c r="Z170" s="20">
        <f t="shared" si="188"/>
        <v>0</v>
      </c>
      <c r="AA170" s="20">
        <f t="shared" si="188"/>
        <v>0</v>
      </c>
      <c r="AB170" s="20">
        <f t="shared" si="188"/>
        <v>0</v>
      </c>
      <c r="AC170" s="20">
        <f t="shared" si="188"/>
        <v>0</v>
      </c>
      <c r="AD170" s="20">
        <f t="shared" si="189"/>
        <v>0</v>
      </c>
      <c r="AE170" s="20">
        <f t="shared" si="190"/>
        <v>0</v>
      </c>
      <c r="AF170" s="20">
        <f t="shared" si="190"/>
        <v>0</v>
      </c>
      <c r="AG170" s="20">
        <f t="shared" si="190"/>
        <v>0</v>
      </c>
      <c r="AH170" s="20">
        <f t="shared" si="190"/>
        <v>0</v>
      </c>
      <c r="AI170" s="20">
        <f t="shared" si="191"/>
        <v>0</v>
      </c>
      <c r="AJ170" s="20">
        <f t="shared" si="191"/>
        <v>0</v>
      </c>
      <c r="AK170" s="20">
        <f t="shared" si="191"/>
        <v>0</v>
      </c>
      <c r="AL170" s="20">
        <f t="shared" si="191"/>
        <v>0</v>
      </c>
      <c r="AM170" s="20">
        <f t="shared" si="192"/>
        <v>0</v>
      </c>
      <c r="AO170">
        <f t="shared" si="193"/>
        <v>0</v>
      </c>
      <c r="AP170">
        <f t="shared" si="193"/>
        <v>0</v>
      </c>
      <c r="AQ170">
        <f t="shared" si="193"/>
        <v>0</v>
      </c>
      <c r="AR170">
        <f t="shared" si="193"/>
        <v>0</v>
      </c>
      <c r="AS170">
        <f t="shared" si="194"/>
        <v>0</v>
      </c>
      <c r="AU170">
        <f t="shared" si="195"/>
        <v>0</v>
      </c>
      <c r="AV170">
        <f t="shared" si="195"/>
        <v>0</v>
      </c>
      <c r="AW170">
        <f t="shared" si="195"/>
        <v>0</v>
      </c>
      <c r="AX170">
        <f t="shared" si="195"/>
        <v>0</v>
      </c>
      <c r="AY170">
        <f t="shared" si="196"/>
        <v>0</v>
      </c>
    </row>
    <row r="171" spans="1:53" s="319" customFormat="1" ht="15" x14ac:dyDescent="0.25">
      <c r="A171" s="368"/>
      <c r="B171" s="369" t="s">
        <v>14</v>
      </c>
      <c r="C171" s="368"/>
      <c r="D171" s="370">
        <f t="shared" ref="D171:H171" si="197">SUM(D165:D170)</f>
        <v>0</v>
      </c>
      <c r="E171" s="363">
        <f>SUM(E165:E170)</f>
        <v>137.8776</v>
      </c>
      <c r="F171" s="370">
        <f t="shared" si="197"/>
        <v>0</v>
      </c>
      <c r="G171" s="370">
        <f t="shared" si="197"/>
        <v>0</v>
      </c>
      <c r="H171" s="370">
        <f t="shared" si="197"/>
        <v>0</v>
      </c>
      <c r="J171" s="319">
        <v>0</v>
      </c>
      <c r="K171" s="14">
        <v>6.583568409723739E-5</v>
      </c>
      <c r="L171" s="319">
        <v>0</v>
      </c>
      <c r="M171" s="319">
        <v>0</v>
      </c>
      <c r="N171" s="319">
        <v>0</v>
      </c>
      <c r="O171" s="372"/>
      <c r="P171" s="372"/>
      <c r="Q171" s="438">
        <v>4.8303659572652438E-2</v>
      </c>
      <c r="R171" s="372"/>
      <c r="S171" s="372"/>
      <c r="T171" s="372"/>
      <c r="U171" s="372"/>
      <c r="BA171" s="319">
        <f>(E171*10000*Q171*AU$10)</f>
        <v>75657.516539151737</v>
      </c>
    </row>
    <row r="172" spans="1:53" ht="15" x14ac:dyDescent="0.25">
      <c r="A172" s="1"/>
      <c r="B172" s="9" t="s">
        <v>15</v>
      </c>
      <c r="C172" s="5"/>
      <c r="E172" s="363">
        <f>SUM(E171)</f>
        <v>137.8776</v>
      </c>
      <c r="H172" s="358">
        <f>SUM(D171:H171)</f>
        <v>137.8776</v>
      </c>
      <c r="K172" s="14"/>
      <c r="N172">
        <v>0</v>
      </c>
      <c r="O172" s="20"/>
      <c r="P172" s="20"/>
      <c r="Q172" s="438"/>
      <c r="R172" s="20"/>
      <c r="S172" s="20"/>
      <c r="T172" s="20"/>
      <c r="U172" s="20"/>
    </row>
    <row r="173" spans="1:53" ht="15.75" x14ac:dyDescent="0.25">
      <c r="A173" s="1"/>
      <c r="B173" s="2"/>
      <c r="C173" s="1"/>
      <c r="E173" s="361"/>
      <c r="K173" s="14"/>
      <c r="O173" s="20"/>
      <c r="P173" s="20"/>
      <c r="Q173" s="439"/>
      <c r="R173" s="20"/>
      <c r="S173" s="20"/>
      <c r="T173" s="20"/>
      <c r="U173" s="20"/>
    </row>
    <row r="174" spans="1:53" ht="15" x14ac:dyDescent="0.25">
      <c r="A174" s="1">
        <v>19</v>
      </c>
      <c r="B174" s="154" t="s">
        <v>865</v>
      </c>
      <c r="C174" s="1" t="s">
        <v>8</v>
      </c>
      <c r="D174">
        <v>0</v>
      </c>
      <c r="E174" s="360">
        <v>0</v>
      </c>
      <c r="F174">
        <v>0</v>
      </c>
      <c r="G174">
        <v>0</v>
      </c>
      <c r="H174">
        <v>0</v>
      </c>
      <c r="J174">
        <v>0</v>
      </c>
      <c r="K174" s="14">
        <v>0</v>
      </c>
      <c r="L174">
        <v>0</v>
      </c>
      <c r="M174">
        <v>0</v>
      </c>
      <c r="N174">
        <v>0</v>
      </c>
      <c r="O174" s="20"/>
      <c r="P174" s="20"/>
      <c r="Q174" s="438"/>
      <c r="R174" s="20"/>
      <c r="S174" s="20"/>
      <c r="T174" s="20"/>
      <c r="U174" s="20"/>
    </row>
    <row r="175" spans="1:53" ht="15" x14ac:dyDescent="0.25">
      <c r="A175" s="1"/>
      <c r="B175" s="2"/>
      <c r="C175" s="1" t="s">
        <v>9</v>
      </c>
      <c r="D175">
        <v>0</v>
      </c>
      <c r="E175" s="360">
        <v>0</v>
      </c>
      <c r="F175">
        <v>0</v>
      </c>
      <c r="G175">
        <v>0</v>
      </c>
      <c r="H175">
        <v>0</v>
      </c>
      <c r="J175">
        <v>0</v>
      </c>
      <c r="K175" s="14">
        <v>0</v>
      </c>
      <c r="L175">
        <v>0</v>
      </c>
      <c r="M175">
        <v>0</v>
      </c>
      <c r="N175">
        <v>0</v>
      </c>
      <c r="O175" s="20"/>
      <c r="P175" s="20"/>
      <c r="Q175" s="438"/>
      <c r="R175" s="20"/>
      <c r="S175" s="20"/>
      <c r="T175" s="20"/>
      <c r="U175" s="20"/>
    </row>
    <row r="176" spans="1:53" ht="15" x14ac:dyDescent="0.25">
      <c r="A176" s="1"/>
      <c r="B176" s="2"/>
      <c r="C176" s="1" t="s">
        <v>10</v>
      </c>
      <c r="D176">
        <v>0</v>
      </c>
      <c r="E176" s="360">
        <v>0</v>
      </c>
      <c r="F176">
        <v>0</v>
      </c>
      <c r="G176">
        <v>0</v>
      </c>
      <c r="H176">
        <v>0</v>
      </c>
      <c r="J176">
        <v>0</v>
      </c>
      <c r="K176" s="14">
        <v>0</v>
      </c>
      <c r="L176">
        <v>0</v>
      </c>
      <c r="M176">
        <v>0</v>
      </c>
      <c r="N176">
        <v>0</v>
      </c>
      <c r="O176" s="20"/>
      <c r="P176" s="20"/>
      <c r="Q176" s="438"/>
      <c r="R176" s="20"/>
      <c r="S176" s="20"/>
      <c r="T176" s="20"/>
      <c r="U176" s="20"/>
    </row>
    <row r="177" spans="1:53" ht="15" x14ac:dyDescent="0.25">
      <c r="A177" s="1"/>
      <c r="B177" s="2"/>
      <c r="C177" s="1" t="s">
        <v>11</v>
      </c>
      <c r="D177">
        <v>0</v>
      </c>
      <c r="E177" s="360">
        <v>1.3947290000000001</v>
      </c>
      <c r="F177">
        <v>0</v>
      </c>
      <c r="G177">
        <v>0</v>
      </c>
      <c r="H177">
        <v>0</v>
      </c>
      <c r="J177">
        <v>0</v>
      </c>
      <c r="K177" s="14">
        <v>1.3220211001474524E-6</v>
      </c>
      <c r="L177">
        <v>0</v>
      </c>
      <c r="M177">
        <v>0</v>
      </c>
      <c r="N177">
        <v>0</v>
      </c>
      <c r="O177" s="20"/>
      <c r="P177" s="20"/>
      <c r="Q177" s="438">
        <v>0.90000000000000013</v>
      </c>
      <c r="R177" s="20"/>
      <c r="S177" s="20"/>
      <c r="T177" s="20"/>
      <c r="U177" s="20"/>
    </row>
    <row r="178" spans="1:53" ht="15" x14ac:dyDescent="0.25">
      <c r="A178" s="1"/>
      <c r="B178" s="2"/>
      <c r="C178" s="1" t="s">
        <v>12</v>
      </c>
      <c r="D178">
        <v>0</v>
      </c>
      <c r="E178" s="360">
        <v>0</v>
      </c>
      <c r="F178">
        <v>0</v>
      </c>
      <c r="G178">
        <v>0</v>
      </c>
      <c r="H178">
        <v>0</v>
      </c>
      <c r="J178">
        <v>0</v>
      </c>
      <c r="K178" s="14">
        <v>0</v>
      </c>
      <c r="L178">
        <v>0</v>
      </c>
      <c r="M178">
        <v>0</v>
      </c>
      <c r="N178">
        <v>0</v>
      </c>
      <c r="O178" s="20"/>
      <c r="P178" s="20"/>
      <c r="Q178" s="438"/>
      <c r="R178" s="20"/>
      <c r="S178" s="20"/>
      <c r="T178" s="20"/>
      <c r="U178" s="20"/>
    </row>
    <row r="179" spans="1:53" ht="15" x14ac:dyDescent="0.25">
      <c r="A179" s="1"/>
      <c r="B179" s="2"/>
      <c r="C179" s="1" t="s">
        <v>13</v>
      </c>
      <c r="D179">
        <v>0</v>
      </c>
      <c r="E179" s="360">
        <v>99.678190000000001</v>
      </c>
      <c r="F179">
        <v>0</v>
      </c>
      <c r="G179">
        <v>0</v>
      </c>
      <c r="H179">
        <v>0</v>
      </c>
      <c r="J179">
        <v>0</v>
      </c>
      <c r="K179" s="14">
        <v>8.7469220872549158E-5</v>
      </c>
      <c r="L179">
        <v>0</v>
      </c>
      <c r="M179">
        <v>0</v>
      </c>
      <c r="N179">
        <v>0</v>
      </c>
      <c r="O179" s="20"/>
      <c r="P179" s="20"/>
      <c r="Q179" s="438">
        <v>0.90000000000000013</v>
      </c>
      <c r="R179" s="20"/>
      <c r="S179" s="20"/>
      <c r="T179" s="20"/>
      <c r="U179" s="20"/>
    </row>
    <row r="180" spans="1:53" s="319" customFormat="1" ht="15" x14ac:dyDescent="0.25">
      <c r="A180" s="368"/>
      <c r="B180" s="369" t="s">
        <v>14</v>
      </c>
      <c r="C180" s="368"/>
      <c r="D180" s="370">
        <f t="shared" ref="D180:H180" si="198">SUM(D174:D179)</f>
        <v>0</v>
      </c>
      <c r="E180" s="363">
        <f>SUM(E174:E179)</f>
        <v>101.072919</v>
      </c>
      <c r="F180" s="370">
        <f t="shared" si="198"/>
        <v>0</v>
      </c>
      <c r="G180" s="370">
        <f t="shared" si="198"/>
        <v>0</v>
      </c>
      <c r="H180" s="370">
        <f t="shared" si="198"/>
        <v>0</v>
      </c>
      <c r="J180" s="319">
        <v>0</v>
      </c>
      <c r="K180">
        <v>0</v>
      </c>
      <c r="L180" s="319">
        <v>0</v>
      </c>
      <c r="M180" s="319">
        <v>0</v>
      </c>
      <c r="N180" s="319">
        <v>0</v>
      </c>
      <c r="Q180" s="438">
        <v>0.9</v>
      </c>
      <c r="BA180" s="319">
        <f>(E180*10000*Q180*AU$10)</f>
        <v>1033369.5238559998</v>
      </c>
    </row>
    <row r="181" spans="1:53" ht="15" x14ac:dyDescent="0.25">
      <c r="A181" s="5"/>
      <c r="B181" s="9" t="s">
        <v>15</v>
      </c>
      <c r="C181" s="5"/>
      <c r="E181" s="363">
        <f>SUM(E180)</f>
        <v>101.072919</v>
      </c>
      <c r="H181" s="358">
        <f>SUM(D180:H180)</f>
        <v>101.072919</v>
      </c>
      <c r="N181">
        <v>0</v>
      </c>
    </row>
    <row r="182" spans="1:53" s="79" customFormat="1" ht="15" x14ac:dyDescent="0.25">
      <c r="A182" s="199"/>
      <c r="B182" s="198" t="s">
        <v>661</v>
      </c>
      <c r="C182" s="199"/>
    </row>
    <row r="183" spans="1:53" x14ac:dyDescent="0.2">
      <c r="E183" s="14">
        <f>SUM(E180,E171,E162,E153,E144,E135,E126,E117,E108,E99,E90,E81,E72,E63,E54,E45,E36,E27,E18,)</f>
        <v>2788.5663690000001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BA183"/>
  <sheetViews>
    <sheetView defaultGridColor="0" topLeftCell="A140" colorId="11" zoomScale="75" workbookViewId="0">
      <pane xSplit="3" topLeftCell="AL1" activePane="topRight" state="frozen"/>
      <selection activeCell="A12" sqref="A12"/>
      <selection pane="topRight" activeCell="BA12" sqref="BA12:BA180"/>
    </sheetView>
  </sheetViews>
  <sheetFormatPr defaultRowHeight="12.75" x14ac:dyDescent="0.2"/>
  <cols>
    <col min="2" max="2" width="26.42578125" bestFit="1" customWidth="1"/>
    <col min="4" max="8" width="13.7109375" customWidth="1"/>
    <col min="10" max="14" width="13.5703125" customWidth="1"/>
    <col min="15" max="15" width="12" bestFit="1" customWidth="1"/>
    <col min="17" max="17" width="15.7109375" style="108" bestFit="1" customWidth="1"/>
    <col min="18" max="19" width="12" bestFit="1" customWidth="1"/>
    <col min="20" max="21" width="12" customWidth="1"/>
    <col min="22" max="25" width="11.5703125" customWidth="1"/>
    <col min="26" max="29" width="10.7109375" customWidth="1"/>
    <col min="30" max="30" width="11.42578125" customWidth="1"/>
    <col min="31" max="34" width="13.42578125" customWidth="1"/>
    <col min="35" max="39" width="10.85546875" customWidth="1"/>
    <col min="45" max="45" width="28.140625" customWidth="1"/>
    <col min="51" max="51" width="28.42578125" customWidth="1"/>
  </cols>
  <sheetData>
    <row r="1" spans="1:53" ht="15" x14ac:dyDescent="0.25">
      <c r="A1" s="15"/>
      <c r="B1" s="16"/>
    </row>
    <row r="2" spans="1:53" ht="15" x14ac:dyDescent="0.25">
      <c r="A2" s="15"/>
      <c r="B2" s="16"/>
      <c r="V2" s="99"/>
      <c r="W2" s="99"/>
      <c r="X2" s="99"/>
      <c r="Y2" s="99"/>
      <c r="Z2" s="26"/>
      <c r="AA2" s="26"/>
      <c r="AB2" s="26"/>
      <c r="AC2" s="26"/>
      <c r="AD2" s="26"/>
      <c r="AE2" s="28"/>
      <c r="AF2" s="28"/>
      <c r="AG2" s="28"/>
      <c r="AH2" s="28"/>
      <c r="AI2" s="124"/>
      <c r="AJ2" s="124"/>
      <c r="AK2" s="124"/>
      <c r="AL2" s="124"/>
      <c r="AM2" s="124"/>
    </row>
    <row r="3" spans="1:53" ht="81" x14ac:dyDescent="0.25">
      <c r="B3" s="16"/>
      <c r="D3" s="179" t="s">
        <v>788</v>
      </c>
      <c r="E3" s="179"/>
      <c r="F3" s="179"/>
      <c r="G3" s="179"/>
      <c r="H3" s="179"/>
      <c r="J3" s="181" t="s">
        <v>789</v>
      </c>
      <c r="K3" s="181"/>
      <c r="L3" s="181"/>
      <c r="M3" s="181"/>
      <c r="N3" s="181"/>
      <c r="V3" s="99" t="s">
        <v>534</v>
      </c>
      <c r="W3" s="99"/>
      <c r="X3" s="99"/>
      <c r="Y3" s="99"/>
      <c r="Z3" s="26" t="s">
        <v>535</v>
      </c>
      <c r="AA3" s="26"/>
      <c r="AB3" s="26"/>
      <c r="AC3" s="26"/>
      <c r="AD3" s="125"/>
      <c r="AE3" s="28" t="s">
        <v>536</v>
      </c>
      <c r="AF3" s="28"/>
      <c r="AG3" s="28"/>
      <c r="AH3" s="28"/>
      <c r="AI3" s="124" t="s">
        <v>537</v>
      </c>
      <c r="AJ3" s="131"/>
      <c r="AK3" s="131"/>
      <c r="AL3" s="131"/>
      <c r="AM3" s="131"/>
    </row>
    <row r="4" spans="1:53" ht="15.75" x14ac:dyDescent="0.25">
      <c r="D4" s="180"/>
      <c r="E4" s="180"/>
      <c r="F4" s="180"/>
      <c r="G4" s="180"/>
      <c r="H4" s="180"/>
      <c r="J4" s="314" t="s">
        <v>793</v>
      </c>
      <c r="K4" s="182"/>
      <c r="L4" s="182"/>
      <c r="M4" s="182"/>
      <c r="N4" s="182"/>
      <c r="V4" s="101" t="s">
        <v>40</v>
      </c>
      <c r="W4" s="101"/>
      <c r="X4" s="101"/>
      <c r="Y4" s="101"/>
      <c r="Z4" s="27" t="s">
        <v>40</v>
      </c>
      <c r="AA4" s="27"/>
      <c r="AB4" s="27"/>
      <c r="AC4" s="27"/>
      <c r="AD4" s="126"/>
      <c r="AE4" s="30" t="s">
        <v>40</v>
      </c>
      <c r="AF4" s="30"/>
      <c r="AG4" s="30"/>
      <c r="AH4" s="30"/>
      <c r="AI4" s="132" t="s">
        <v>40</v>
      </c>
      <c r="AJ4" s="133"/>
      <c r="AK4" s="133"/>
      <c r="AL4" s="133"/>
      <c r="AM4" s="133"/>
    </row>
    <row r="5" spans="1:53" ht="94.5" x14ac:dyDescent="0.25">
      <c r="A5" s="1"/>
      <c r="B5" s="2"/>
      <c r="C5" s="3"/>
      <c r="D5" s="103"/>
      <c r="E5" s="229"/>
      <c r="F5" s="229"/>
      <c r="G5" s="229"/>
      <c r="H5" s="229"/>
      <c r="J5" s="115"/>
      <c r="K5" s="232"/>
      <c r="L5" s="232"/>
      <c r="M5" s="232"/>
      <c r="N5" s="232"/>
      <c r="V5" s="103"/>
      <c r="W5" s="103"/>
      <c r="X5" s="103"/>
      <c r="Y5" s="103"/>
      <c r="Z5" s="93"/>
      <c r="AA5" s="236"/>
      <c r="AB5" s="236"/>
      <c r="AC5" s="236"/>
      <c r="AD5" s="127"/>
      <c r="AE5" s="90"/>
      <c r="AF5" s="90"/>
      <c r="AG5" s="90"/>
      <c r="AH5" s="90"/>
      <c r="AI5" s="134"/>
      <c r="AJ5" s="135"/>
      <c r="AK5" s="135"/>
      <c r="AL5" s="135"/>
      <c r="AM5" s="135"/>
      <c r="AO5" s="240" t="s">
        <v>727</v>
      </c>
      <c r="AP5" s="241"/>
      <c r="AQ5" s="241"/>
      <c r="AR5" s="241"/>
      <c r="AS5" s="242" t="s">
        <v>727</v>
      </c>
      <c r="AU5" s="244" t="s">
        <v>728</v>
      </c>
      <c r="AV5" s="245"/>
      <c r="AW5" s="245"/>
      <c r="AX5" s="245"/>
      <c r="AY5" s="246" t="s">
        <v>728</v>
      </c>
    </row>
    <row r="6" spans="1:53" ht="39" x14ac:dyDescent="0.25">
      <c r="A6" s="1"/>
      <c r="B6" s="2" t="s">
        <v>0</v>
      </c>
      <c r="C6" s="3"/>
      <c r="D6" s="234"/>
      <c r="E6" s="234" t="s">
        <v>862</v>
      </c>
      <c r="F6" s="234"/>
      <c r="G6" s="234"/>
      <c r="H6" s="234"/>
      <c r="J6" s="117"/>
      <c r="K6" s="117" t="s">
        <v>862</v>
      </c>
      <c r="L6" s="117"/>
      <c r="M6" s="117"/>
      <c r="N6" s="117"/>
      <c r="O6" s="17" t="s">
        <v>35</v>
      </c>
      <c r="P6" s="18"/>
      <c r="Q6" s="146">
        <v>2009</v>
      </c>
      <c r="R6" s="22" t="s">
        <v>38</v>
      </c>
      <c r="S6" s="22" t="s">
        <v>39</v>
      </c>
      <c r="T6" s="196" t="s">
        <v>659</v>
      </c>
      <c r="U6" s="196" t="s">
        <v>660</v>
      </c>
      <c r="V6" s="105" t="s">
        <v>862</v>
      </c>
      <c r="W6" s="105"/>
      <c r="X6" s="105"/>
      <c r="Y6" s="105"/>
      <c r="Z6" s="78" t="s">
        <v>862</v>
      </c>
      <c r="AA6" s="78"/>
      <c r="AB6" s="78"/>
      <c r="AC6" s="78"/>
      <c r="AD6" s="128" t="s">
        <v>42</v>
      </c>
      <c r="AE6" s="72" t="s">
        <v>862</v>
      </c>
      <c r="AF6" s="72"/>
      <c r="AG6" s="72"/>
      <c r="AH6" s="72"/>
      <c r="AI6" s="137" t="s">
        <v>862</v>
      </c>
      <c r="AJ6" s="137"/>
      <c r="AK6" s="137"/>
      <c r="AL6" s="137"/>
      <c r="AM6" s="137"/>
      <c r="AO6" s="118" t="s">
        <v>862</v>
      </c>
      <c r="AP6" s="118"/>
      <c r="AQ6" s="118"/>
      <c r="AR6" s="118"/>
      <c r="AS6" s="129"/>
      <c r="AU6" s="118" t="s">
        <v>862</v>
      </c>
      <c r="AV6" s="118"/>
      <c r="AW6" s="118"/>
      <c r="AX6" s="118"/>
      <c r="AY6" s="247"/>
    </row>
    <row r="7" spans="1:53" ht="26.25" x14ac:dyDescent="0.25">
      <c r="A7" s="1"/>
      <c r="B7" s="2" t="s">
        <v>1</v>
      </c>
      <c r="C7" s="2"/>
      <c r="D7" s="107"/>
      <c r="E7" s="107"/>
      <c r="F7" s="107"/>
      <c r="G7" s="107"/>
      <c r="H7" s="107"/>
      <c r="J7" s="119"/>
      <c r="K7" s="233"/>
      <c r="L7" s="233"/>
      <c r="M7" s="233"/>
      <c r="N7" s="233"/>
      <c r="O7" s="21" t="s">
        <v>36</v>
      </c>
      <c r="P7" s="21" t="s">
        <v>37</v>
      </c>
      <c r="Q7" s="148" t="s">
        <v>538</v>
      </c>
      <c r="R7" s="22"/>
      <c r="S7" s="22"/>
      <c r="T7" s="22"/>
      <c r="U7" s="22"/>
      <c r="V7" s="107"/>
      <c r="W7" s="107"/>
      <c r="X7" s="107"/>
      <c r="Y7" s="107"/>
      <c r="Z7" s="237"/>
      <c r="AA7" s="237"/>
      <c r="AB7" s="237"/>
      <c r="AC7" s="237"/>
      <c r="AD7" s="129"/>
      <c r="AE7" s="91"/>
      <c r="AF7" s="91"/>
      <c r="AG7" s="91"/>
      <c r="AH7" s="91"/>
      <c r="AI7" s="139"/>
      <c r="AJ7" s="139"/>
      <c r="AK7" s="139"/>
      <c r="AL7" s="139"/>
      <c r="AM7" s="139"/>
      <c r="AS7" s="129"/>
      <c r="AY7" s="247"/>
      <c r="BA7" t="s">
        <v>864</v>
      </c>
    </row>
    <row r="8" spans="1:53" ht="15.75" x14ac:dyDescent="0.25">
      <c r="A8" s="1"/>
      <c r="B8" s="2" t="s">
        <v>4</v>
      </c>
      <c r="C8" s="2"/>
      <c r="D8" s="107"/>
      <c r="E8" s="230"/>
      <c r="F8" s="230"/>
      <c r="G8" s="230"/>
      <c r="H8" s="230"/>
      <c r="J8" s="183"/>
      <c r="K8" s="183"/>
      <c r="L8" s="183"/>
      <c r="M8" s="183"/>
      <c r="N8" s="183"/>
      <c r="O8" s="20"/>
      <c r="P8" s="20"/>
      <c r="Q8" s="145"/>
      <c r="R8" s="20"/>
      <c r="S8" s="20"/>
      <c r="T8" s="20"/>
      <c r="U8" s="20"/>
      <c r="V8" s="107"/>
      <c r="W8" s="107"/>
      <c r="X8" s="107"/>
      <c r="Y8" s="107"/>
      <c r="Z8" s="237">
        <v>2903</v>
      </c>
      <c r="AA8" s="237">
        <v>2903</v>
      </c>
      <c r="AB8" s="237">
        <v>2903</v>
      </c>
      <c r="AC8" s="237">
        <v>2903</v>
      </c>
      <c r="AD8" s="129"/>
      <c r="AE8" s="91"/>
      <c r="AF8" s="91"/>
      <c r="AG8" s="91"/>
      <c r="AH8" s="91"/>
      <c r="AI8" s="237">
        <v>2903</v>
      </c>
      <c r="AJ8" s="237">
        <v>2903</v>
      </c>
      <c r="AK8" s="237">
        <v>2903</v>
      </c>
      <c r="AL8" s="237">
        <v>2903</v>
      </c>
      <c r="AM8" s="139"/>
      <c r="AS8" s="129"/>
      <c r="AY8" s="247"/>
    </row>
    <row r="9" spans="1:53" ht="15.75" x14ac:dyDescent="0.25">
      <c r="A9" s="1"/>
      <c r="B9" s="15" t="s">
        <v>558</v>
      </c>
      <c r="C9" s="2"/>
      <c r="D9" s="109"/>
      <c r="E9" s="231"/>
      <c r="F9" s="231"/>
      <c r="G9" s="231"/>
      <c r="H9" s="231"/>
      <c r="J9" s="119"/>
      <c r="K9" s="233"/>
      <c r="L9" s="233"/>
      <c r="M9" s="233"/>
      <c r="N9" s="233"/>
      <c r="O9" s="21"/>
      <c r="P9" s="21"/>
      <c r="Q9" s="145"/>
      <c r="R9" s="20"/>
      <c r="S9" s="20"/>
      <c r="T9" s="20"/>
      <c r="U9" s="20"/>
      <c r="V9" s="109"/>
      <c r="W9" s="109"/>
      <c r="X9" s="109"/>
      <c r="Y9" s="109"/>
      <c r="Z9" s="238"/>
      <c r="AA9" s="238"/>
      <c r="AB9" s="238"/>
      <c r="AC9" s="238"/>
      <c r="AD9" s="129"/>
      <c r="AE9" s="92"/>
      <c r="AF9" s="92"/>
      <c r="AG9" s="92"/>
      <c r="AH9" s="92"/>
      <c r="AI9" s="139"/>
      <c r="AJ9" s="139"/>
      <c r="AK9" s="139"/>
      <c r="AL9" s="139"/>
      <c r="AM9" s="139"/>
      <c r="AO9" s="239">
        <v>2009</v>
      </c>
      <c r="AP9" s="239">
        <v>2009</v>
      </c>
      <c r="AQ9" s="239">
        <v>2009</v>
      </c>
      <c r="AR9" s="239">
        <v>2009</v>
      </c>
      <c r="AS9" s="243">
        <v>2009</v>
      </c>
      <c r="AU9" s="239">
        <v>2009</v>
      </c>
      <c r="AV9" s="239">
        <v>2009</v>
      </c>
      <c r="AW9" s="239">
        <v>2009</v>
      </c>
      <c r="AX9" s="239">
        <v>2009</v>
      </c>
      <c r="AY9" s="248">
        <v>2009</v>
      </c>
    </row>
    <row r="10" spans="1:53" ht="15" x14ac:dyDescent="0.2">
      <c r="B10" s="15" t="s">
        <v>726</v>
      </c>
      <c r="AO10" s="239">
        <v>1.3091999999999999</v>
      </c>
      <c r="AP10" s="239">
        <v>1.3091999999999999</v>
      </c>
      <c r="AQ10" s="239">
        <v>1.3091999999999999</v>
      </c>
      <c r="AR10" s="239">
        <v>1.3091999999999999</v>
      </c>
      <c r="AU10" s="239">
        <v>1.3091999999999999</v>
      </c>
      <c r="AV10" s="239">
        <v>1.3091999999999999</v>
      </c>
      <c r="AW10" s="239">
        <v>1.3091999999999999</v>
      </c>
      <c r="AX10" s="239">
        <v>1.3091999999999999</v>
      </c>
    </row>
    <row r="11" spans="1:53" ht="27" x14ac:dyDescent="0.25">
      <c r="A11" s="1"/>
      <c r="B11" s="2" t="s">
        <v>5</v>
      </c>
      <c r="C11" s="4" t="s">
        <v>6</v>
      </c>
      <c r="D11" s="107"/>
      <c r="E11" s="230"/>
      <c r="F11" s="230"/>
      <c r="G11" s="230"/>
      <c r="H11" s="230"/>
      <c r="J11" s="183"/>
      <c r="K11" s="183"/>
      <c r="L11" s="183"/>
      <c r="M11" s="183"/>
      <c r="N11" s="183"/>
      <c r="O11" s="20"/>
      <c r="P11" s="20"/>
      <c r="Q11" s="147"/>
      <c r="R11" s="20"/>
      <c r="S11" s="20"/>
      <c r="T11" s="20"/>
      <c r="U11" s="20"/>
      <c r="V11" s="230"/>
      <c r="W11" s="230"/>
      <c r="X11" s="230"/>
      <c r="Y11" s="230"/>
      <c r="Z11" s="130"/>
      <c r="AA11" s="130"/>
      <c r="AB11" s="130"/>
      <c r="AC11" s="130"/>
      <c r="AD11" s="129"/>
      <c r="AE11" s="91"/>
      <c r="AF11" s="91"/>
      <c r="AG11" s="91"/>
      <c r="AH11" s="91"/>
      <c r="AI11" s="139"/>
      <c r="AJ11" s="139"/>
      <c r="AK11" s="139"/>
      <c r="AL11" s="139"/>
      <c r="AM11" s="139"/>
    </row>
    <row r="12" spans="1:53" ht="15" x14ac:dyDescent="0.25">
      <c r="A12" s="1">
        <v>1</v>
      </c>
      <c r="B12" s="2" t="s">
        <v>7</v>
      </c>
      <c r="C12" s="3" t="s">
        <v>8</v>
      </c>
      <c r="D12">
        <v>0</v>
      </c>
      <c r="E12" s="360">
        <v>47.0105</v>
      </c>
      <c r="F12">
        <v>0</v>
      </c>
      <c r="G12">
        <v>0</v>
      </c>
      <c r="H12">
        <v>0</v>
      </c>
      <c r="J12">
        <v>0</v>
      </c>
      <c r="K12" s="14">
        <v>37.234618939624283</v>
      </c>
      <c r="L12">
        <v>0</v>
      </c>
      <c r="M12">
        <v>0</v>
      </c>
      <c r="N12">
        <v>0</v>
      </c>
      <c r="O12" s="20">
        <v>0.36775204520040022</v>
      </c>
      <c r="P12" s="20">
        <v>0.57913019816794442</v>
      </c>
      <c r="Q12" s="438">
        <v>8.2425598399126124E-2</v>
      </c>
      <c r="R12" s="197">
        <v>0.17699999999999999</v>
      </c>
      <c r="S12" s="197">
        <v>1.77</v>
      </c>
      <c r="T12" s="197">
        <v>0.50078889239507718</v>
      </c>
      <c r="U12" s="197">
        <v>0.75268470790377973</v>
      </c>
      <c r="V12" s="20">
        <f>IF(K12&gt;0,((E12-K12)*$Q12*$R12*10)+(K12*$O$12*$Q12*$R12*10),(E12*$Q12*$R12*10))</f>
        <v>3.4239683699141157</v>
      </c>
      <c r="W12" s="20">
        <f t="shared" ref="V12:Y17" si="0">IF(L12&gt;0,((F12-L12)*$Q12*$R12*10)+(L12*$O$12*$Q12*$R12*10),(F12*$Q12*$R12*10))</f>
        <v>0</v>
      </c>
      <c r="X12" s="20">
        <f t="shared" si="0"/>
        <v>0</v>
      </c>
      <c r="Y12" s="20">
        <f t="shared" si="0"/>
        <v>0</v>
      </c>
      <c r="Z12" s="20">
        <f t="shared" ref="Z12:AC17" si="1">V12*(EXP(1.01-0.34*LN(Z$8))*(1-$T12)+(1*$T12))</f>
        <v>2.0266341988608061</v>
      </c>
      <c r="AA12" s="20">
        <f t="shared" si="1"/>
        <v>0</v>
      </c>
      <c r="AB12" s="20">
        <f t="shared" si="1"/>
        <v>0</v>
      </c>
      <c r="AC12" s="20">
        <f t="shared" si="1"/>
        <v>0</v>
      </c>
      <c r="AD12" s="20">
        <f t="shared" ref="AD12:AD17" si="2">SUM(Z12:AC12)</f>
        <v>2.0266341988608061</v>
      </c>
      <c r="AE12" s="20">
        <f t="shared" ref="AE12:AH17" si="3">IF(K12&gt;0,((E12-K12)*$Q12*$S12*10)+(K12*$P$12*$Q12*$S12)*10,(E12*$Q12*$S12*10))</f>
        <v>45.722340574169081</v>
      </c>
      <c r="AF12" s="20">
        <f t="shared" si="3"/>
        <v>0</v>
      </c>
      <c r="AG12" s="20">
        <f t="shared" si="3"/>
        <v>0</v>
      </c>
      <c r="AH12" s="20">
        <f t="shared" si="3"/>
        <v>0</v>
      </c>
      <c r="AI12" s="20">
        <f t="shared" ref="AI12:AL17" si="4">AE12*(EXP(1.01-0.34*LN(AI$8))*(1-$U12)+(1*$U12))</f>
        <v>36.478217466718142</v>
      </c>
      <c r="AJ12" s="20">
        <f t="shared" si="4"/>
        <v>0</v>
      </c>
      <c r="AK12" s="20">
        <f t="shared" si="4"/>
        <v>0</v>
      </c>
      <c r="AL12" s="20">
        <f t="shared" si="4"/>
        <v>0</v>
      </c>
      <c r="AM12" s="20">
        <f t="shared" ref="AM12:AM17" si="5">SUM(AI12:AL12)</f>
        <v>36.478217466718142</v>
      </c>
      <c r="AO12">
        <f>Z12*AO$10</f>
        <v>2.6532694931485672</v>
      </c>
      <c r="AP12">
        <f t="shared" ref="AO12:AR17" si="6">AA12*AP$10</f>
        <v>0</v>
      </c>
      <c r="AQ12">
        <f t="shared" si="6"/>
        <v>0</v>
      </c>
      <c r="AR12">
        <f t="shared" si="6"/>
        <v>0</v>
      </c>
      <c r="AS12" s="319">
        <f t="shared" ref="AS12:AS17" si="7">SUM(AO12:AR12)</f>
        <v>2.6532694931485672</v>
      </c>
      <c r="AU12">
        <f t="shared" ref="AU12:AX17" si="8">AI12*AU$10</f>
        <v>47.757282307427388</v>
      </c>
      <c r="AV12">
        <f t="shared" si="8"/>
        <v>0</v>
      </c>
      <c r="AW12">
        <f t="shared" si="8"/>
        <v>0</v>
      </c>
      <c r="AX12">
        <f t="shared" si="8"/>
        <v>0</v>
      </c>
      <c r="AY12">
        <f t="shared" ref="AY12:AY17" si="9">SUM(AU12:AX12)</f>
        <v>47.757282307427388</v>
      </c>
    </row>
    <row r="13" spans="1:53" ht="15" x14ac:dyDescent="0.25">
      <c r="A13" s="1"/>
      <c r="B13" s="2"/>
      <c r="C13" s="1" t="s">
        <v>9</v>
      </c>
      <c r="D13">
        <v>0</v>
      </c>
      <c r="E13" s="360">
        <v>6.9507000000000003</v>
      </c>
      <c r="F13">
        <v>0</v>
      </c>
      <c r="G13">
        <v>0</v>
      </c>
      <c r="H13">
        <v>0</v>
      </c>
      <c r="J13">
        <v>0</v>
      </c>
      <c r="K13" s="14">
        <v>5.320047699801</v>
      </c>
      <c r="L13">
        <v>0</v>
      </c>
      <c r="M13">
        <v>0</v>
      </c>
      <c r="N13">
        <v>0</v>
      </c>
      <c r="O13" s="20"/>
      <c r="P13" s="20"/>
      <c r="Q13" s="438">
        <v>0.11985119679825225</v>
      </c>
      <c r="R13" s="197">
        <v>0.17699999999999999</v>
      </c>
      <c r="S13" s="197">
        <v>1.77</v>
      </c>
      <c r="T13" s="197">
        <v>0.50078889239507718</v>
      </c>
      <c r="U13" s="197">
        <v>0.75268470790377973</v>
      </c>
      <c r="V13" s="20">
        <f t="shared" si="0"/>
        <v>0.76095753822811507</v>
      </c>
      <c r="W13" s="20">
        <f t="shared" si="0"/>
        <v>0</v>
      </c>
      <c r="X13" s="20">
        <f t="shared" si="0"/>
        <v>0</v>
      </c>
      <c r="Y13" s="20">
        <f t="shared" si="0"/>
        <v>0</v>
      </c>
      <c r="Z13" s="20">
        <f t="shared" si="1"/>
        <v>0.4504079489766753</v>
      </c>
      <c r="AA13" s="20">
        <f t="shared" si="1"/>
        <v>0</v>
      </c>
      <c r="AB13" s="20">
        <f t="shared" si="1"/>
        <v>0</v>
      </c>
      <c r="AC13" s="20">
        <f t="shared" si="1"/>
        <v>0</v>
      </c>
      <c r="AD13" s="20">
        <f t="shared" si="2"/>
        <v>0.4504079489766753</v>
      </c>
      <c r="AE13" s="20">
        <f t="shared" si="3"/>
        <v>9.995140448362628</v>
      </c>
      <c r="AF13" s="20">
        <f t="shared" si="3"/>
        <v>0</v>
      </c>
      <c r="AG13" s="20">
        <f t="shared" si="3"/>
        <v>0</v>
      </c>
      <c r="AH13" s="20">
        <f t="shared" si="3"/>
        <v>0</v>
      </c>
      <c r="AI13" s="20">
        <f t="shared" si="4"/>
        <v>7.9743272611845866</v>
      </c>
      <c r="AJ13" s="20">
        <f t="shared" si="4"/>
        <v>0</v>
      </c>
      <c r="AK13" s="20">
        <f t="shared" si="4"/>
        <v>0</v>
      </c>
      <c r="AL13" s="20">
        <f t="shared" si="4"/>
        <v>0</v>
      </c>
      <c r="AM13" s="20">
        <f t="shared" si="5"/>
        <v>7.9743272611845866</v>
      </c>
      <c r="AO13">
        <f t="shared" si="6"/>
        <v>0.58967408680026323</v>
      </c>
      <c r="AP13">
        <f t="shared" si="6"/>
        <v>0</v>
      </c>
      <c r="AQ13">
        <f t="shared" si="6"/>
        <v>0</v>
      </c>
      <c r="AR13">
        <f t="shared" si="6"/>
        <v>0</v>
      </c>
      <c r="AS13" s="319">
        <f t="shared" si="7"/>
        <v>0.58967408680026323</v>
      </c>
      <c r="AU13">
        <f t="shared" si="8"/>
        <v>10.43998925034286</v>
      </c>
      <c r="AV13">
        <f t="shared" si="8"/>
        <v>0</v>
      </c>
      <c r="AW13">
        <f t="shared" si="8"/>
        <v>0</v>
      </c>
      <c r="AX13">
        <f t="shared" si="8"/>
        <v>0</v>
      </c>
      <c r="AY13">
        <f t="shared" si="9"/>
        <v>10.43998925034286</v>
      </c>
    </row>
    <row r="14" spans="1:53" ht="15" x14ac:dyDescent="0.25">
      <c r="A14" s="1"/>
      <c r="B14" s="2"/>
      <c r="C14" s="1" t="s">
        <v>10</v>
      </c>
      <c r="D14">
        <v>0</v>
      </c>
      <c r="E14" s="360">
        <v>0.9526</v>
      </c>
      <c r="F14">
        <v>0</v>
      </c>
      <c r="G14">
        <v>0</v>
      </c>
      <c r="H14">
        <v>0</v>
      </c>
      <c r="J14">
        <v>0</v>
      </c>
      <c r="K14" s="14">
        <v>-1.1364075421309998</v>
      </c>
      <c r="L14">
        <v>0</v>
      </c>
      <c r="M14">
        <v>0</v>
      </c>
      <c r="N14">
        <v>0</v>
      </c>
      <c r="O14" s="20"/>
      <c r="P14" s="20"/>
      <c r="Q14" s="438">
        <v>0.15727679519737839</v>
      </c>
      <c r="R14" s="197">
        <v>0.17699999999999999</v>
      </c>
      <c r="S14" s="197">
        <v>1.77</v>
      </c>
      <c r="T14" s="197">
        <v>0.50078889239507718</v>
      </c>
      <c r="U14" s="197">
        <v>0.75268470790377973</v>
      </c>
      <c r="V14" s="20">
        <f t="shared" si="0"/>
        <v>0.26518471893589007</v>
      </c>
      <c r="W14" s="20">
        <f t="shared" si="0"/>
        <v>0</v>
      </c>
      <c r="X14" s="20">
        <f t="shared" si="0"/>
        <v>0</v>
      </c>
      <c r="Y14" s="20">
        <f t="shared" si="0"/>
        <v>0</v>
      </c>
      <c r="Z14" s="20">
        <f t="shared" si="1"/>
        <v>0.15696185313307848</v>
      </c>
      <c r="AA14" s="20">
        <f t="shared" si="1"/>
        <v>0</v>
      </c>
      <c r="AB14" s="20">
        <f t="shared" si="1"/>
        <v>0</v>
      </c>
      <c r="AC14" s="20">
        <f t="shared" si="1"/>
        <v>0</v>
      </c>
      <c r="AD14" s="20">
        <f t="shared" si="2"/>
        <v>0.15696185313307848</v>
      </c>
      <c r="AE14" s="20">
        <f t="shared" si="3"/>
        <v>2.6518471893589006</v>
      </c>
      <c r="AF14" s="20">
        <f t="shared" si="3"/>
        <v>0</v>
      </c>
      <c r="AG14" s="20">
        <f t="shared" si="3"/>
        <v>0</v>
      </c>
      <c r="AH14" s="20">
        <f t="shared" si="3"/>
        <v>0</v>
      </c>
      <c r="AI14" s="20">
        <f t="shared" si="4"/>
        <v>2.1156978677637883</v>
      </c>
      <c r="AJ14" s="20">
        <f t="shared" si="4"/>
        <v>0</v>
      </c>
      <c r="AK14" s="20">
        <f t="shared" si="4"/>
        <v>0</v>
      </c>
      <c r="AL14" s="20">
        <f t="shared" si="4"/>
        <v>0</v>
      </c>
      <c r="AM14" s="20">
        <f t="shared" si="5"/>
        <v>2.1156978677637883</v>
      </c>
      <c r="AO14">
        <f t="shared" si="6"/>
        <v>0.20549445812182632</v>
      </c>
      <c r="AP14">
        <f t="shared" si="6"/>
        <v>0</v>
      </c>
      <c r="AQ14">
        <f t="shared" si="6"/>
        <v>0</v>
      </c>
      <c r="AR14">
        <f t="shared" si="6"/>
        <v>0</v>
      </c>
      <c r="AS14" s="319">
        <f t="shared" si="7"/>
        <v>0.20549445812182632</v>
      </c>
      <c r="AU14">
        <f t="shared" si="8"/>
        <v>2.7698716484763515</v>
      </c>
      <c r="AV14">
        <f t="shared" si="8"/>
        <v>0</v>
      </c>
      <c r="AW14">
        <f t="shared" si="8"/>
        <v>0</v>
      </c>
      <c r="AX14">
        <f t="shared" si="8"/>
        <v>0</v>
      </c>
      <c r="AY14">
        <f t="shared" si="9"/>
        <v>2.7698716484763515</v>
      </c>
    </row>
    <row r="15" spans="1:53" ht="15" x14ac:dyDescent="0.25">
      <c r="A15" s="1"/>
      <c r="B15" s="2"/>
      <c r="C15" s="1" t="s">
        <v>11</v>
      </c>
      <c r="D15">
        <v>0</v>
      </c>
      <c r="E15" s="360">
        <v>17.2622</v>
      </c>
      <c r="F15">
        <v>0</v>
      </c>
      <c r="G15">
        <v>0</v>
      </c>
      <c r="H15">
        <v>0</v>
      </c>
      <c r="J15">
        <v>0</v>
      </c>
      <c r="K15" s="14">
        <v>5.5363741905186252</v>
      </c>
      <c r="L15">
        <v>0</v>
      </c>
      <c r="M15">
        <v>0</v>
      </c>
      <c r="N15">
        <v>0</v>
      </c>
      <c r="O15" s="20"/>
      <c r="P15" s="20"/>
      <c r="Q15" s="438">
        <v>0.19470239359650449</v>
      </c>
      <c r="R15" s="197">
        <v>0.17699999999999999</v>
      </c>
      <c r="S15" s="197">
        <v>1.77</v>
      </c>
      <c r="T15" s="197">
        <v>0.50078889239507718</v>
      </c>
      <c r="U15" s="197">
        <v>0.75268470790377973</v>
      </c>
      <c r="V15" s="20">
        <f t="shared" si="0"/>
        <v>4.7426494094099425</v>
      </c>
      <c r="W15" s="20">
        <f t="shared" si="0"/>
        <v>0</v>
      </c>
      <c r="X15" s="20">
        <f t="shared" si="0"/>
        <v>0</v>
      </c>
      <c r="Y15" s="20">
        <f t="shared" si="0"/>
        <v>0</v>
      </c>
      <c r="Z15" s="20">
        <f t="shared" si="1"/>
        <v>2.8071566229329052</v>
      </c>
      <c r="AA15" s="20">
        <f t="shared" si="1"/>
        <v>0</v>
      </c>
      <c r="AB15" s="20">
        <f t="shared" si="1"/>
        <v>0</v>
      </c>
      <c r="AC15" s="20">
        <f t="shared" si="1"/>
        <v>0</v>
      </c>
      <c r="AD15" s="20">
        <f t="shared" si="2"/>
        <v>2.8071566229329052</v>
      </c>
      <c r="AE15" s="20">
        <f t="shared" si="3"/>
        <v>51.459511450614592</v>
      </c>
      <c r="AF15" s="20">
        <f t="shared" si="3"/>
        <v>0</v>
      </c>
      <c r="AG15" s="20">
        <f t="shared" si="3"/>
        <v>0</v>
      </c>
      <c r="AH15" s="20">
        <f t="shared" si="3"/>
        <v>0</v>
      </c>
      <c r="AI15" s="20">
        <f t="shared" si="4"/>
        <v>41.055449608524448</v>
      </c>
      <c r="AJ15" s="20">
        <f t="shared" si="4"/>
        <v>0</v>
      </c>
      <c r="AK15" s="20">
        <f t="shared" si="4"/>
        <v>0</v>
      </c>
      <c r="AL15" s="20">
        <f t="shared" si="4"/>
        <v>0</v>
      </c>
      <c r="AM15" s="20">
        <f t="shared" si="5"/>
        <v>41.055449608524448</v>
      </c>
      <c r="AO15">
        <f t="shared" si="6"/>
        <v>3.6751294507437593</v>
      </c>
      <c r="AP15">
        <f t="shared" si="6"/>
        <v>0</v>
      </c>
      <c r="AQ15">
        <f t="shared" si="6"/>
        <v>0</v>
      </c>
      <c r="AR15">
        <f t="shared" si="6"/>
        <v>0</v>
      </c>
      <c r="AS15" s="319">
        <f t="shared" si="7"/>
        <v>3.6751294507437593</v>
      </c>
      <c r="AU15">
        <f t="shared" si="8"/>
        <v>53.749794627480206</v>
      </c>
      <c r="AV15">
        <f t="shared" si="8"/>
        <v>0</v>
      </c>
      <c r="AW15">
        <f t="shared" si="8"/>
        <v>0</v>
      </c>
      <c r="AX15">
        <f t="shared" si="8"/>
        <v>0</v>
      </c>
      <c r="AY15">
        <f t="shared" si="9"/>
        <v>53.749794627480206</v>
      </c>
    </row>
    <row r="16" spans="1:53" ht="15" x14ac:dyDescent="0.25">
      <c r="A16" s="5"/>
      <c r="B16" s="6"/>
      <c r="C16" s="5" t="s">
        <v>12</v>
      </c>
      <c r="D16">
        <v>0</v>
      </c>
      <c r="E16" s="360">
        <v>0</v>
      </c>
      <c r="F16">
        <v>0</v>
      </c>
      <c r="G16">
        <v>0</v>
      </c>
      <c r="H16">
        <v>0</v>
      </c>
      <c r="J16">
        <v>0</v>
      </c>
      <c r="K16" s="14">
        <v>0</v>
      </c>
      <c r="L16">
        <v>0</v>
      </c>
      <c r="M16">
        <v>0</v>
      </c>
      <c r="N16">
        <v>0</v>
      </c>
      <c r="O16" s="20"/>
      <c r="P16" s="20"/>
      <c r="Q16" s="438"/>
      <c r="R16" s="197">
        <v>0.17699999999999999</v>
      </c>
      <c r="S16" s="197">
        <v>1.77</v>
      </c>
      <c r="T16" s="197">
        <v>0.50078889239507718</v>
      </c>
      <c r="U16" s="197">
        <v>0.75268470790377973</v>
      </c>
      <c r="V16" s="20">
        <f t="shared" si="0"/>
        <v>0</v>
      </c>
      <c r="W16" s="20">
        <f t="shared" si="0"/>
        <v>0</v>
      </c>
      <c r="X16" s="20">
        <f t="shared" si="0"/>
        <v>0</v>
      </c>
      <c r="Y16" s="20">
        <f t="shared" si="0"/>
        <v>0</v>
      </c>
      <c r="Z16" s="20">
        <f t="shared" si="1"/>
        <v>0</v>
      </c>
      <c r="AA16" s="20">
        <f t="shared" si="1"/>
        <v>0</v>
      </c>
      <c r="AB16" s="20">
        <f t="shared" si="1"/>
        <v>0</v>
      </c>
      <c r="AC16" s="20">
        <f t="shared" si="1"/>
        <v>0</v>
      </c>
      <c r="AD16" s="20">
        <f t="shared" si="2"/>
        <v>0</v>
      </c>
      <c r="AE16" s="20">
        <f t="shared" si="3"/>
        <v>0</v>
      </c>
      <c r="AF16" s="20">
        <f t="shared" si="3"/>
        <v>0</v>
      </c>
      <c r="AG16" s="20">
        <f t="shared" si="3"/>
        <v>0</v>
      </c>
      <c r="AH16" s="20">
        <f t="shared" si="3"/>
        <v>0</v>
      </c>
      <c r="AI16" s="20">
        <f t="shared" si="4"/>
        <v>0</v>
      </c>
      <c r="AJ16" s="20">
        <f t="shared" si="4"/>
        <v>0</v>
      </c>
      <c r="AK16" s="20">
        <f t="shared" si="4"/>
        <v>0</v>
      </c>
      <c r="AL16" s="20">
        <f t="shared" si="4"/>
        <v>0</v>
      </c>
      <c r="AM16" s="20">
        <f t="shared" si="5"/>
        <v>0</v>
      </c>
      <c r="AO16">
        <f t="shared" si="6"/>
        <v>0</v>
      </c>
      <c r="AP16">
        <f t="shared" si="6"/>
        <v>0</v>
      </c>
      <c r="AQ16">
        <f t="shared" si="6"/>
        <v>0</v>
      </c>
      <c r="AR16">
        <f t="shared" si="6"/>
        <v>0</v>
      </c>
      <c r="AS16" s="319">
        <f t="shared" si="7"/>
        <v>0</v>
      </c>
      <c r="AU16">
        <f t="shared" si="8"/>
        <v>0</v>
      </c>
      <c r="AV16">
        <f t="shared" si="8"/>
        <v>0</v>
      </c>
      <c r="AW16">
        <f t="shared" si="8"/>
        <v>0</v>
      </c>
      <c r="AX16">
        <f t="shared" si="8"/>
        <v>0</v>
      </c>
      <c r="AY16">
        <f t="shared" si="9"/>
        <v>0</v>
      </c>
    </row>
    <row r="17" spans="1:53" ht="15" x14ac:dyDescent="0.25">
      <c r="A17" s="5"/>
      <c r="B17" s="6"/>
      <c r="C17" s="5" t="s">
        <v>13</v>
      </c>
      <c r="D17">
        <v>0</v>
      </c>
      <c r="E17" s="360">
        <v>0.1033</v>
      </c>
      <c r="F17">
        <v>0</v>
      </c>
      <c r="G17">
        <v>0</v>
      </c>
      <c r="H17">
        <v>0</v>
      </c>
      <c r="J17">
        <v>0</v>
      </c>
      <c r="K17" s="14">
        <v>0.1033</v>
      </c>
      <c r="L17">
        <v>0</v>
      </c>
      <c r="M17">
        <v>0</v>
      </c>
      <c r="N17">
        <v>0</v>
      </c>
      <c r="O17" s="20"/>
      <c r="P17" s="20"/>
      <c r="Q17" s="438">
        <v>0.19470239359650451</v>
      </c>
      <c r="R17" s="197">
        <v>0.17699999999999999</v>
      </c>
      <c r="S17" s="197">
        <v>1.77</v>
      </c>
      <c r="T17" s="197">
        <v>0.50078889239507718</v>
      </c>
      <c r="U17" s="197">
        <v>0.75268470790377973</v>
      </c>
      <c r="V17" s="20">
        <f t="shared" si="0"/>
        <v>1.3091818481097962E-2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1"/>
        <v>7.7489988786714698E-3</v>
      </c>
      <c r="AA17" s="20">
        <f t="shared" si="1"/>
        <v>0</v>
      </c>
      <c r="AB17" s="20">
        <f t="shared" si="1"/>
        <v>0</v>
      </c>
      <c r="AC17" s="20">
        <f t="shared" si="1"/>
        <v>0</v>
      </c>
      <c r="AD17" s="20">
        <f t="shared" si="2"/>
        <v>7.7489988786714698E-3</v>
      </c>
      <c r="AE17" s="20">
        <f t="shared" si="3"/>
        <v>0.20616792021388788</v>
      </c>
      <c r="AF17" s="20">
        <f t="shared" si="3"/>
        <v>0</v>
      </c>
      <c r="AG17" s="20">
        <f t="shared" si="3"/>
        <v>0</v>
      </c>
      <c r="AH17" s="20">
        <f t="shared" si="3"/>
        <v>0</v>
      </c>
      <c r="AI17" s="20">
        <f t="shared" si="4"/>
        <v>0.16448497897922565</v>
      </c>
      <c r="AJ17" s="20">
        <f t="shared" si="4"/>
        <v>0</v>
      </c>
      <c r="AK17" s="20">
        <f t="shared" si="4"/>
        <v>0</v>
      </c>
      <c r="AL17" s="20">
        <f t="shared" si="4"/>
        <v>0</v>
      </c>
      <c r="AM17" s="20">
        <f t="shared" si="5"/>
        <v>0.16448497897922565</v>
      </c>
      <c r="AO17">
        <f t="shared" si="6"/>
        <v>1.0144989331956688E-2</v>
      </c>
      <c r="AP17">
        <f t="shared" si="6"/>
        <v>0</v>
      </c>
      <c r="AQ17">
        <f t="shared" si="6"/>
        <v>0</v>
      </c>
      <c r="AR17">
        <f t="shared" si="6"/>
        <v>0</v>
      </c>
      <c r="AS17" s="319">
        <f t="shared" si="7"/>
        <v>1.0144989331956688E-2</v>
      </c>
      <c r="AU17">
        <f t="shared" si="8"/>
        <v>0.2153437344796022</v>
      </c>
      <c r="AV17">
        <f t="shared" si="8"/>
        <v>0</v>
      </c>
      <c r="AW17">
        <f t="shared" si="8"/>
        <v>0</v>
      </c>
      <c r="AX17">
        <f t="shared" si="8"/>
        <v>0</v>
      </c>
      <c r="AY17">
        <f t="shared" si="9"/>
        <v>0.2153437344796022</v>
      </c>
    </row>
    <row r="18" spans="1:53" ht="15" x14ac:dyDescent="0.25">
      <c r="A18" s="7"/>
      <c r="B18" s="8" t="s">
        <v>14</v>
      </c>
      <c r="C18" s="7"/>
      <c r="D18" s="357">
        <f t="shared" ref="D18:H18" si="10">SUM(D12:D17)</f>
        <v>0</v>
      </c>
      <c r="E18" s="363">
        <f>SUM(E12:E17)</f>
        <v>72.279299999999992</v>
      </c>
      <c r="F18" s="357">
        <f t="shared" si="10"/>
        <v>0</v>
      </c>
      <c r="G18" s="357">
        <f t="shared" si="10"/>
        <v>0</v>
      </c>
      <c r="H18" s="357">
        <f t="shared" si="10"/>
        <v>0</v>
      </c>
      <c r="J18">
        <v>0</v>
      </c>
      <c r="K18" s="14">
        <v>47.057933287812901</v>
      </c>
      <c r="L18">
        <v>0</v>
      </c>
      <c r="M18">
        <v>0</v>
      </c>
      <c r="N18">
        <v>0</v>
      </c>
      <c r="O18" s="20"/>
      <c r="P18" s="20"/>
      <c r="Q18" s="438">
        <v>0.11398622563075256</v>
      </c>
      <c r="R18" s="197"/>
      <c r="S18" s="197"/>
      <c r="T18" s="197"/>
      <c r="U18" s="197"/>
      <c r="AS18" s="319"/>
      <c r="BA18" s="319">
        <f>(E18*10000*Q18*AU$10)</f>
        <v>107862.95348006449</v>
      </c>
    </row>
    <row r="19" spans="1:53" ht="15" x14ac:dyDescent="0.25">
      <c r="A19" s="5"/>
      <c r="B19" s="9" t="s">
        <v>15</v>
      </c>
      <c r="C19" s="5"/>
      <c r="E19" s="363">
        <f>SUM(E18)</f>
        <v>72.279299999999992</v>
      </c>
      <c r="H19" s="358">
        <f>SUM(D18:H18)</f>
        <v>72.279299999999992</v>
      </c>
      <c r="K19" s="14"/>
      <c r="N19">
        <v>0</v>
      </c>
      <c r="O19" s="20"/>
      <c r="P19" s="20"/>
      <c r="Q19" s="438"/>
      <c r="R19" s="197"/>
      <c r="S19" s="197"/>
      <c r="T19" s="197"/>
      <c r="U19" s="197"/>
      <c r="AS19" s="319"/>
    </row>
    <row r="20" spans="1:53" ht="15.75" x14ac:dyDescent="0.25">
      <c r="A20" s="1"/>
      <c r="B20" s="2"/>
      <c r="C20" s="1"/>
      <c r="E20" s="361"/>
      <c r="K20" s="14"/>
      <c r="O20" s="20"/>
      <c r="P20" s="20"/>
      <c r="Q20" s="439"/>
      <c r="R20" s="197"/>
      <c r="S20" s="197"/>
      <c r="T20" s="197"/>
      <c r="U20" s="197"/>
      <c r="AS20" s="319"/>
    </row>
    <row r="21" spans="1:53" s="319" customFormat="1" ht="15" x14ac:dyDescent="0.25">
      <c r="A21" s="384">
        <v>2</v>
      </c>
      <c r="B21" s="376" t="s">
        <v>16</v>
      </c>
      <c r="C21" s="384" t="s">
        <v>8</v>
      </c>
      <c r="D21" s="319">
        <v>0</v>
      </c>
      <c r="E21" s="385">
        <v>16.384799999999998</v>
      </c>
      <c r="F21" s="319">
        <v>0</v>
      </c>
      <c r="G21" s="319">
        <v>0</v>
      </c>
      <c r="H21" s="319">
        <v>0</v>
      </c>
      <c r="J21" s="319">
        <v>0</v>
      </c>
      <c r="K21" s="14">
        <v>-39.910024524594213</v>
      </c>
      <c r="L21" s="319">
        <v>0</v>
      </c>
      <c r="M21" s="319">
        <v>0</v>
      </c>
      <c r="N21" s="319">
        <v>0</v>
      </c>
      <c r="O21" s="372"/>
      <c r="P21" s="372"/>
      <c r="Q21" s="438">
        <v>0.16848606172553388</v>
      </c>
      <c r="R21" s="373">
        <v>0.3</v>
      </c>
      <c r="S21" s="373">
        <v>2.29</v>
      </c>
      <c r="T21" s="373">
        <v>0.50078889239507718</v>
      </c>
      <c r="U21" s="373">
        <v>0.75268470790377973</v>
      </c>
      <c r="V21" s="372">
        <f>IF(K21&gt;0,((E21-K21)*$Q21*$R21*10)+(K21*$O$12*$Q21*$R21*10),(E21*$Q21*$R21*10))</f>
        <v>8.2818312724815826</v>
      </c>
      <c r="W21" s="372">
        <f t="shared" ref="V21:Y26" si="11">IF(L21&gt;0,((F21-L21)*$Q21*$R21*10)+(L21*$O$12*$Q21*$R21*10),(F21*$Q21*$R21*10))</f>
        <v>0</v>
      </c>
      <c r="X21" s="372">
        <f t="shared" si="11"/>
        <v>0</v>
      </c>
      <c r="Y21" s="372">
        <f t="shared" si="11"/>
        <v>0</v>
      </c>
      <c r="Z21" s="372">
        <f t="shared" ref="Z21:AC26" si="12">V21*(EXP(1.01-0.34*LN(Z$8))*(1-$T21)+(1*$T21))</f>
        <v>4.9019852617467627</v>
      </c>
      <c r="AA21" s="372">
        <f t="shared" si="12"/>
        <v>0</v>
      </c>
      <c r="AB21" s="372">
        <f t="shared" si="12"/>
        <v>0</v>
      </c>
      <c r="AC21" s="372">
        <f t="shared" si="12"/>
        <v>0</v>
      </c>
      <c r="AD21" s="372">
        <f>SUM(Z21:AC21)</f>
        <v>4.9019852617467627</v>
      </c>
      <c r="AE21" s="372">
        <f t="shared" ref="AE21:AH26" si="13">IF(K21&gt;0,((E21-K21)*$Q21*$S21*10)+(K21*$P$12*$Q21*$S21)*10,(E21*$Q21*$S21*10))</f>
        <v>63.217978713276075</v>
      </c>
      <c r="AF21" s="372">
        <f t="shared" si="13"/>
        <v>0</v>
      </c>
      <c r="AG21" s="372">
        <f t="shared" si="13"/>
        <v>0</v>
      </c>
      <c r="AH21" s="372">
        <f t="shared" si="13"/>
        <v>0</v>
      </c>
      <c r="AI21" s="20">
        <f t="shared" ref="AI21:AL26" si="14">AE21*(EXP(1.01-0.34*LN(AI$8))*(1-$U21)+(1*$U21))</f>
        <v>50.436595028822012</v>
      </c>
      <c r="AJ21" s="20">
        <f t="shared" si="14"/>
        <v>0</v>
      </c>
      <c r="AK21" s="20">
        <f t="shared" si="14"/>
        <v>0</v>
      </c>
      <c r="AL21" s="20">
        <f t="shared" si="14"/>
        <v>0</v>
      </c>
      <c r="AM21" s="372">
        <f t="shared" ref="AM21:AM26" si="15">SUM(AI21:AL21)</f>
        <v>50.436595028822012</v>
      </c>
      <c r="AO21" s="319">
        <f>Z21*AO$10</f>
        <v>6.4176791046788617</v>
      </c>
      <c r="AP21" s="319">
        <f t="shared" ref="AO21:AR26" si="16">AA21*AP$10</f>
        <v>0</v>
      </c>
      <c r="AQ21" s="319">
        <f t="shared" si="16"/>
        <v>0</v>
      </c>
      <c r="AR21" s="319">
        <f t="shared" si="16"/>
        <v>0</v>
      </c>
      <c r="AS21" s="319">
        <f t="shared" ref="AS21:AS26" si="17">SUM(AO21:AR21)</f>
        <v>6.4176791046788617</v>
      </c>
      <c r="AU21" s="319">
        <f t="shared" ref="AU21:AX26" si="18">AI21*AU$10</f>
        <v>66.031590211733771</v>
      </c>
      <c r="AV21" s="319">
        <f t="shared" si="18"/>
        <v>0</v>
      </c>
      <c r="AW21" s="319">
        <f t="shared" si="18"/>
        <v>0</v>
      </c>
      <c r="AX21" s="319">
        <f t="shared" si="18"/>
        <v>0</v>
      </c>
      <c r="AY21" s="319">
        <f t="shared" ref="AY21:AY26" si="19">SUM(AU21:AX21)</f>
        <v>66.031590211733771</v>
      </c>
    </row>
    <row r="22" spans="1:53" s="319" customFormat="1" ht="15" x14ac:dyDescent="0.25">
      <c r="A22" s="384"/>
      <c r="B22" s="376"/>
      <c r="C22" s="384" t="s">
        <v>9</v>
      </c>
      <c r="D22" s="319">
        <v>0</v>
      </c>
      <c r="E22" s="385">
        <v>2.0095999999999998</v>
      </c>
      <c r="F22" s="319">
        <v>0</v>
      </c>
      <c r="G22" s="319">
        <v>0</v>
      </c>
      <c r="H22" s="319">
        <v>0</v>
      </c>
      <c r="J22" s="319">
        <v>0</v>
      </c>
      <c r="K22" s="14">
        <v>-0.49104187160940027</v>
      </c>
      <c r="L22" s="319">
        <v>0</v>
      </c>
      <c r="M22" s="319">
        <v>0</v>
      </c>
      <c r="N22" s="319">
        <v>0</v>
      </c>
      <c r="O22" s="372"/>
      <c r="P22" s="372"/>
      <c r="Q22" s="438">
        <v>0.2019721234510678</v>
      </c>
      <c r="R22" s="373">
        <v>0.3</v>
      </c>
      <c r="S22" s="373">
        <v>2.29</v>
      </c>
      <c r="T22" s="373">
        <v>0.50078889239507718</v>
      </c>
      <c r="U22" s="373">
        <v>0.75268470790377973</v>
      </c>
      <c r="V22" s="372">
        <f t="shared" si="11"/>
        <v>1.2176495378617975</v>
      </c>
      <c r="W22" s="372">
        <f t="shared" si="11"/>
        <v>0</v>
      </c>
      <c r="X22" s="372">
        <f t="shared" si="11"/>
        <v>0</v>
      </c>
      <c r="Y22" s="372">
        <f t="shared" si="11"/>
        <v>0</v>
      </c>
      <c r="Z22" s="372">
        <f t="shared" si="12"/>
        <v>0.72072225238449661</v>
      </c>
      <c r="AA22" s="372">
        <f t="shared" si="12"/>
        <v>0</v>
      </c>
      <c r="AB22" s="372">
        <f t="shared" si="12"/>
        <v>0</v>
      </c>
      <c r="AC22" s="372">
        <f t="shared" si="12"/>
        <v>0</v>
      </c>
      <c r="AD22" s="372">
        <f t="shared" ref="AD22:AD26" si="20">SUM(Z22:AC22)</f>
        <v>0.72072225238449661</v>
      </c>
      <c r="AE22" s="372">
        <f t="shared" si="13"/>
        <v>9.2947248056783867</v>
      </c>
      <c r="AF22" s="372">
        <f t="shared" si="13"/>
        <v>0</v>
      </c>
      <c r="AG22" s="372">
        <f t="shared" si="13"/>
        <v>0</v>
      </c>
      <c r="AH22" s="372">
        <f t="shared" si="13"/>
        <v>0</v>
      </c>
      <c r="AI22" s="20">
        <f t="shared" si="14"/>
        <v>7.415521351205399</v>
      </c>
      <c r="AJ22" s="20">
        <f t="shared" si="14"/>
        <v>0</v>
      </c>
      <c r="AK22" s="20">
        <f t="shared" si="14"/>
        <v>0</v>
      </c>
      <c r="AL22" s="20">
        <f t="shared" si="14"/>
        <v>0</v>
      </c>
      <c r="AM22" s="372">
        <f t="shared" si="15"/>
        <v>7.415521351205399</v>
      </c>
      <c r="AO22" s="319">
        <f t="shared" si="16"/>
        <v>0.94356957282178289</v>
      </c>
      <c r="AP22" s="319">
        <f t="shared" si="16"/>
        <v>0</v>
      </c>
      <c r="AQ22" s="319">
        <f t="shared" si="16"/>
        <v>0</v>
      </c>
      <c r="AR22" s="319">
        <f t="shared" si="16"/>
        <v>0</v>
      </c>
      <c r="AS22" s="319">
        <f t="shared" si="17"/>
        <v>0.94356957282178289</v>
      </c>
      <c r="AU22" s="319">
        <f t="shared" si="18"/>
        <v>9.708400552998107</v>
      </c>
      <c r="AV22" s="319">
        <f t="shared" si="18"/>
        <v>0</v>
      </c>
      <c r="AW22" s="319">
        <f t="shared" si="18"/>
        <v>0</v>
      </c>
      <c r="AX22" s="319">
        <f t="shared" si="18"/>
        <v>0</v>
      </c>
      <c r="AY22" s="319">
        <f t="shared" si="19"/>
        <v>9.708400552998107</v>
      </c>
    </row>
    <row r="23" spans="1:53" s="319" customFormat="1" ht="15" x14ac:dyDescent="0.25">
      <c r="A23" s="384"/>
      <c r="B23" s="376"/>
      <c r="C23" s="384" t="s">
        <v>10</v>
      </c>
      <c r="D23" s="319">
        <v>0</v>
      </c>
      <c r="E23" s="385">
        <v>0</v>
      </c>
      <c r="F23" s="319">
        <v>0</v>
      </c>
      <c r="G23" s="319">
        <v>0</v>
      </c>
      <c r="H23" s="319">
        <v>0</v>
      </c>
      <c r="J23" s="319">
        <v>0</v>
      </c>
      <c r="K23" s="14">
        <v>0</v>
      </c>
      <c r="L23" s="319">
        <v>0</v>
      </c>
      <c r="M23" s="319">
        <v>0</v>
      </c>
      <c r="N23" s="319">
        <v>0</v>
      </c>
      <c r="O23" s="372"/>
      <c r="P23" s="372"/>
      <c r="Q23" s="438"/>
      <c r="R23" s="373">
        <v>0.3</v>
      </c>
      <c r="S23" s="373">
        <v>2.29</v>
      </c>
      <c r="T23" s="373">
        <v>0.50078889239507718</v>
      </c>
      <c r="U23" s="373">
        <v>0.75268470790377973</v>
      </c>
      <c r="V23" s="372">
        <f t="shared" si="11"/>
        <v>0</v>
      </c>
      <c r="W23" s="372">
        <f t="shared" si="11"/>
        <v>0</v>
      </c>
      <c r="X23" s="372">
        <f t="shared" si="11"/>
        <v>0</v>
      </c>
      <c r="Y23" s="372">
        <f t="shared" si="11"/>
        <v>0</v>
      </c>
      <c r="Z23" s="372">
        <f t="shared" si="12"/>
        <v>0</v>
      </c>
      <c r="AA23" s="372">
        <f t="shared" si="12"/>
        <v>0</v>
      </c>
      <c r="AB23" s="372">
        <f t="shared" si="12"/>
        <v>0</v>
      </c>
      <c r="AC23" s="372">
        <f t="shared" si="12"/>
        <v>0</v>
      </c>
      <c r="AD23" s="372">
        <f t="shared" si="20"/>
        <v>0</v>
      </c>
      <c r="AE23" s="372">
        <f t="shared" si="13"/>
        <v>0</v>
      </c>
      <c r="AF23" s="372">
        <f t="shared" si="13"/>
        <v>0</v>
      </c>
      <c r="AG23" s="372">
        <f t="shared" si="13"/>
        <v>0</v>
      </c>
      <c r="AH23" s="372">
        <f t="shared" si="13"/>
        <v>0</v>
      </c>
      <c r="AI23" s="20">
        <f t="shared" si="14"/>
        <v>0</v>
      </c>
      <c r="AJ23" s="20">
        <f t="shared" si="14"/>
        <v>0</v>
      </c>
      <c r="AK23" s="20">
        <f t="shared" si="14"/>
        <v>0</v>
      </c>
      <c r="AL23" s="20">
        <f t="shared" si="14"/>
        <v>0</v>
      </c>
      <c r="AM23" s="372">
        <f t="shared" si="15"/>
        <v>0</v>
      </c>
      <c r="AO23" s="319">
        <f t="shared" si="16"/>
        <v>0</v>
      </c>
      <c r="AP23" s="319">
        <f t="shared" si="16"/>
        <v>0</v>
      </c>
      <c r="AQ23" s="319">
        <f t="shared" si="16"/>
        <v>0</v>
      </c>
      <c r="AR23" s="319">
        <f t="shared" si="16"/>
        <v>0</v>
      </c>
      <c r="AS23" s="319">
        <f t="shared" si="17"/>
        <v>0</v>
      </c>
      <c r="AU23" s="319">
        <f t="shared" si="18"/>
        <v>0</v>
      </c>
      <c r="AV23" s="319">
        <f t="shared" si="18"/>
        <v>0</v>
      </c>
      <c r="AW23" s="319">
        <f t="shared" si="18"/>
        <v>0</v>
      </c>
      <c r="AX23" s="319">
        <f t="shared" si="18"/>
        <v>0</v>
      </c>
      <c r="AY23" s="319">
        <f t="shared" si="19"/>
        <v>0</v>
      </c>
    </row>
    <row r="24" spans="1:53" s="319" customFormat="1" ht="15" x14ac:dyDescent="0.25">
      <c r="A24" s="384"/>
      <c r="B24" s="376"/>
      <c r="C24" s="384" t="s">
        <v>11</v>
      </c>
      <c r="D24" s="319">
        <v>0</v>
      </c>
      <c r="E24" s="385">
        <v>0.63349999999999995</v>
      </c>
      <c r="F24" s="319">
        <v>0</v>
      </c>
      <c r="G24" s="319">
        <v>0</v>
      </c>
      <c r="H24" s="319">
        <v>0</v>
      </c>
      <c r="J24" s="319">
        <v>0</v>
      </c>
      <c r="K24" s="14">
        <v>-9.2556332118376989</v>
      </c>
      <c r="L24" s="319">
        <v>0</v>
      </c>
      <c r="M24" s="319">
        <v>0</v>
      </c>
      <c r="N24" s="319">
        <v>0</v>
      </c>
      <c r="O24" s="372"/>
      <c r="P24" s="372"/>
      <c r="Q24" s="438">
        <v>0.26894424690213564</v>
      </c>
      <c r="R24" s="373">
        <v>0.3</v>
      </c>
      <c r="S24" s="373">
        <v>2.29</v>
      </c>
      <c r="T24" s="373">
        <v>0.50078889239507718</v>
      </c>
      <c r="U24" s="373">
        <v>0.75268470790377973</v>
      </c>
      <c r="V24" s="372">
        <f t="shared" si="11"/>
        <v>0.51112854123750873</v>
      </c>
      <c r="W24" s="372">
        <f t="shared" si="11"/>
        <v>0</v>
      </c>
      <c r="X24" s="372">
        <f t="shared" si="11"/>
        <v>0</v>
      </c>
      <c r="Y24" s="372">
        <f t="shared" si="11"/>
        <v>0</v>
      </c>
      <c r="Z24" s="372">
        <f t="shared" si="12"/>
        <v>0.30253509079926283</v>
      </c>
      <c r="AA24" s="372">
        <f t="shared" si="12"/>
        <v>0</v>
      </c>
      <c r="AB24" s="372">
        <f t="shared" si="12"/>
        <v>0</v>
      </c>
      <c r="AC24" s="372">
        <f t="shared" si="12"/>
        <v>0</v>
      </c>
      <c r="AD24" s="372">
        <f t="shared" si="20"/>
        <v>0.30253509079926283</v>
      </c>
      <c r="AE24" s="372">
        <f t="shared" si="13"/>
        <v>3.9016145314463166</v>
      </c>
      <c r="AF24" s="372">
        <f t="shared" si="13"/>
        <v>0</v>
      </c>
      <c r="AG24" s="372">
        <f t="shared" si="13"/>
        <v>0</v>
      </c>
      <c r="AH24" s="372">
        <f t="shared" si="13"/>
        <v>0</v>
      </c>
      <c r="AI24" s="20">
        <f t="shared" si="14"/>
        <v>3.1127877873735215</v>
      </c>
      <c r="AJ24" s="20">
        <f t="shared" si="14"/>
        <v>0</v>
      </c>
      <c r="AK24" s="20">
        <f t="shared" si="14"/>
        <v>0</v>
      </c>
      <c r="AL24" s="20">
        <f t="shared" si="14"/>
        <v>0</v>
      </c>
      <c r="AM24" s="372">
        <f t="shared" si="15"/>
        <v>3.1127877873735215</v>
      </c>
      <c r="AO24" s="319">
        <f t="shared" si="16"/>
        <v>0.39607894087439488</v>
      </c>
      <c r="AP24" s="319">
        <f t="shared" si="16"/>
        <v>0</v>
      </c>
      <c r="AQ24" s="319">
        <f t="shared" si="16"/>
        <v>0</v>
      </c>
      <c r="AR24" s="319">
        <f t="shared" si="16"/>
        <v>0</v>
      </c>
      <c r="AS24" s="319">
        <f t="shared" si="17"/>
        <v>0.39607894087439488</v>
      </c>
      <c r="AU24" s="319">
        <f t="shared" si="18"/>
        <v>4.0752617712294139</v>
      </c>
      <c r="AV24" s="319">
        <f t="shared" si="18"/>
        <v>0</v>
      </c>
      <c r="AW24" s="319">
        <f t="shared" si="18"/>
        <v>0</v>
      </c>
      <c r="AX24" s="319">
        <f t="shared" si="18"/>
        <v>0</v>
      </c>
      <c r="AY24" s="319">
        <f t="shared" si="19"/>
        <v>4.0752617712294139</v>
      </c>
    </row>
    <row r="25" spans="1:53" s="319" customFormat="1" ht="15" x14ac:dyDescent="0.25">
      <c r="A25" s="384"/>
      <c r="B25" s="376"/>
      <c r="C25" s="384" t="s">
        <v>12</v>
      </c>
      <c r="D25" s="319">
        <v>0</v>
      </c>
      <c r="E25" s="385">
        <v>0</v>
      </c>
      <c r="F25" s="319">
        <v>0</v>
      </c>
      <c r="G25" s="319">
        <v>0</v>
      </c>
      <c r="H25" s="319">
        <v>0</v>
      </c>
      <c r="J25" s="319">
        <v>0</v>
      </c>
      <c r="K25" s="14">
        <v>0</v>
      </c>
      <c r="L25" s="319">
        <v>0</v>
      </c>
      <c r="M25" s="319">
        <v>0</v>
      </c>
      <c r="N25" s="319">
        <v>0</v>
      </c>
      <c r="O25" s="372"/>
      <c r="P25" s="372"/>
      <c r="Q25" s="438"/>
      <c r="R25" s="373">
        <v>0.3</v>
      </c>
      <c r="S25" s="373">
        <v>2.29</v>
      </c>
      <c r="T25" s="373">
        <v>0.50078889239507718</v>
      </c>
      <c r="U25" s="373">
        <v>0.75268470790377973</v>
      </c>
      <c r="V25" s="372">
        <f t="shared" si="11"/>
        <v>0</v>
      </c>
      <c r="W25" s="372">
        <f t="shared" si="11"/>
        <v>0</v>
      </c>
      <c r="X25" s="372">
        <f t="shared" si="11"/>
        <v>0</v>
      </c>
      <c r="Y25" s="372">
        <f t="shared" si="11"/>
        <v>0</v>
      </c>
      <c r="Z25" s="372">
        <f t="shared" si="12"/>
        <v>0</v>
      </c>
      <c r="AA25" s="372">
        <f t="shared" si="12"/>
        <v>0</v>
      </c>
      <c r="AB25" s="372">
        <f t="shared" si="12"/>
        <v>0</v>
      </c>
      <c r="AC25" s="372">
        <f t="shared" si="12"/>
        <v>0</v>
      </c>
      <c r="AD25" s="372">
        <f t="shared" si="20"/>
        <v>0</v>
      </c>
      <c r="AE25" s="372">
        <f t="shared" si="13"/>
        <v>0</v>
      </c>
      <c r="AF25" s="372">
        <f t="shared" si="13"/>
        <v>0</v>
      </c>
      <c r="AG25" s="372">
        <f t="shared" si="13"/>
        <v>0</v>
      </c>
      <c r="AH25" s="372">
        <f t="shared" si="13"/>
        <v>0</v>
      </c>
      <c r="AI25" s="20">
        <f t="shared" si="14"/>
        <v>0</v>
      </c>
      <c r="AJ25" s="20">
        <f t="shared" si="14"/>
        <v>0</v>
      </c>
      <c r="AK25" s="20">
        <f t="shared" si="14"/>
        <v>0</v>
      </c>
      <c r="AL25" s="20">
        <f t="shared" si="14"/>
        <v>0</v>
      </c>
      <c r="AM25" s="372">
        <f t="shared" si="15"/>
        <v>0</v>
      </c>
      <c r="AO25" s="319">
        <f t="shared" si="16"/>
        <v>0</v>
      </c>
      <c r="AP25" s="319">
        <f t="shared" si="16"/>
        <v>0</v>
      </c>
      <c r="AQ25" s="319">
        <f t="shared" si="16"/>
        <v>0</v>
      </c>
      <c r="AR25" s="319">
        <f t="shared" si="16"/>
        <v>0</v>
      </c>
      <c r="AS25" s="319">
        <f t="shared" si="17"/>
        <v>0</v>
      </c>
      <c r="AU25" s="319">
        <f t="shared" si="18"/>
        <v>0</v>
      </c>
      <c r="AV25" s="319">
        <f t="shared" si="18"/>
        <v>0</v>
      </c>
      <c r="AW25" s="319">
        <f t="shared" si="18"/>
        <v>0</v>
      </c>
      <c r="AX25" s="319">
        <f t="shared" si="18"/>
        <v>0</v>
      </c>
      <c r="AY25" s="319">
        <f t="shared" si="19"/>
        <v>0</v>
      </c>
    </row>
    <row r="26" spans="1:53" s="319" customFormat="1" ht="15" x14ac:dyDescent="0.25">
      <c r="A26" s="384"/>
      <c r="B26" s="376"/>
      <c r="C26" s="384" t="s">
        <v>13</v>
      </c>
      <c r="D26" s="319">
        <v>0</v>
      </c>
      <c r="E26" s="385">
        <v>3.5499999999999997E-2</v>
      </c>
      <c r="F26" s="319">
        <v>0</v>
      </c>
      <c r="G26" s="319">
        <v>0</v>
      </c>
      <c r="H26" s="319">
        <v>0</v>
      </c>
      <c r="J26" s="319">
        <v>0</v>
      </c>
      <c r="K26" s="14">
        <v>-1.4578033836145998</v>
      </c>
      <c r="L26" s="319">
        <v>0</v>
      </c>
      <c r="M26" s="319">
        <v>0</v>
      </c>
      <c r="N26" s="319">
        <v>0</v>
      </c>
      <c r="O26" s="372"/>
      <c r="P26" s="372"/>
      <c r="Q26" s="438">
        <v>0.26894424690213564</v>
      </c>
      <c r="R26" s="373">
        <v>0.3</v>
      </c>
      <c r="S26" s="373">
        <v>2.29</v>
      </c>
      <c r="T26" s="373">
        <v>0.50078889239507718</v>
      </c>
      <c r="U26" s="373">
        <v>0.75268470790377973</v>
      </c>
      <c r="V26" s="372">
        <f t="shared" si="11"/>
        <v>2.8642562295077438E-2</v>
      </c>
      <c r="W26" s="372">
        <f t="shared" si="11"/>
        <v>0</v>
      </c>
      <c r="X26" s="372">
        <f t="shared" si="11"/>
        <v>0</v>
      </c>
      <c r="Y26" s="372">
        <f t="shared" si="11"/>
        <v>0</v>
      </c>
      <c r="Z26" s="372">
        <f t="shared" si="12"/>
        <v>1.6953426556233352E-2</v>
      </c>
      <c r="AA26" s="372">
        <f t="shared" si="12"/>
        <v>0</v>
      </c>
      <c r="AB26" s="372">
        <f t="shared" si="12"/>
        <v>0</v>
      </c>
      <c r="AC26" s="372">
        <f t="shared" si="12"/>
        <v>0</v>
      </c>
      <c r="AD26" s="372">
        <f t="shared" si="20"/>
        <v>1.6953426556233352E-2</v>
      </c>
      <c r="AE26" s="372">
        <f t="shared" si="13"/>
        <v>0.21863822551909112</v>
      </c>
      <c r="AF26" s="372">
        <f t="shared" si="13"/>
        <v>0</v>
      </c>
      <c r="AG26" s="372">
        <f t="shared" si="13"/>
        <v>0</v>
      </c>
      <c r="AH26" s="372">
        <f t="shared" si="13"/>
        <v>0</v>
      </c>
      <c r="AI26" s="20">
        <f t="shared" si="14"/>
        <v>0.17443404333348067</v>
      </c>
      <c r="AJ26" s="20">
        <f t="shared" si="14"/>
        <v>0</v>
      </c>
      <c r="AK26" s="20">
        <f t="shared" si="14"/>
        <v>0</v>
      </c>
      <c r="AL26" s="20">
        <f t="shared" si="14"/>
        <v>0</v>
      </c>
      <c r="AM26" s="372">
        <f t="shared" si="15"/>
        <v>0.17443404333348067</v>
      </c>
      <c r="AO26" s="319">
        <f t="shared" si="16"/>
        <v>2.2195426047420704E-2</v>
      </c>
      <c r="AP26" s="319">
        <f t="shared" si="16"/>
        <v>0</v>
      </c>
      <c r="AQ26" s="319">
        <f t="shared" si="16"/>
        <v>0</v>
      </c>
      <c r="AR26" s="319">
        <f t="shared" si="16"/>
        <v>0</v>
      </c>
      <c r="AS26" s="319">
        <f t="shared" si="17"/>
        <v>2.2195426047420704E-2</v>
      </c>
      <c r="AU26" s="319">
        <f t="shared" si="18"/>
        <v>0.22836904953219289</v>
      </c>
      <c r="AV26" s="319">
        <f t="shared" si="18"/>
        <v>0</v>
      </c>
      <c r="AW26" s="319">
        <f t="shared" si="18"/>
        <v>0</v>
      </c>
      <c r="AX26" s="319">
        <f t="shared" si="18"/>
        <v>0</v>
      </c>
      <c r="AY26" s="319">
        <f t="shared" si="19"/>
        <v>0.22836904953219289</v>
      </c>
    </row>
    <row r="27" spans="1:53" s="319" customFormat="1" ht="15" x14ac:dyDescent="0.25">
      <c r="A27" s="368"/>
      <c r="B27" s="369" t="s">
        <v>14</v>
      </c>
      <c r="C27" s="368"/>
      <c r="D27" s="370">
        <f t="shared" ref="D27:H27" si="21">SUM(D21:D26)</f>
        <v>0</v>
      </c>
      <c r="E27" s="371">
        <f>SUM(E21:E26)</f>
        <v>19.063399999999998</v>
      </c>
      <c r="F27" s="370">
        <f t="shared" si="21"/>
        <v>0</v>
      </c>
      <c r="G27" s="370">
        <f t="shared" si="21"/>
        <v>0</v>
      </c>
      <c r="H27" s="370">
        <f t="shared" si="21"/>
        <v>0</v>
      </c>
      <c r="J27" s="319">
        <v>0</v>
      </c>
      <c r="K27" s="14">
        <v>-51.114502991655911</v>
      </c>
      <c r="L27" s="319">
        <v>0</v>
      </c>
      <c r="M27" s="319">
        <v>0</v>
      </c>
      <c r="N27" s="319">
        <v>0</v>
      </c>
      <c r="O27" s="372"/>
      <c r="P27" s="372"/>
      <c r="Q27" s="438">
        <v>0.17554147238296014</v>
      </c>
      <c r="R27" s="373"/>
      <c r="S27" s="373"/>
      <c r="T27" s="373"/>
      <c r="U27" s="373"/>
      <c r="BA27" s="319">
        <f>(E27*10000*Q27*AU$10)</f>
        <v>43811.295352154717</v>
      </c>
    </row>
    <row r="28" spans="1:53" s="319" customFormat="1" ht="15" x14ac:dyDescent="0.25">
      <c r="A28" s="394"/>
      <c r="B28" s="395" t="s">
        <v>15</v>
      </c>
      <c r="C28" s="394"/>
      <c r="E28" s="371">
        <f>SUM(E27)</f>
        <v>19.063399999999998</v>
      </c>
      <c r="H28" s="396">
        <f>SUM(D27:H27)</f>
        <v>19.063399999999998</v>
      </c>
      <c r="K28" s="14"/>
      <c r="N28" s="319">
        <v>0</v>
      </c>
      <c r="O28" s="372"/>
      <c r="P28" s="372"/>
      <c r="Q28" s="438"/>
      <c r="R28" s="373"/>
      <c r="S28" s="373"/>
      <c r="T28" s="373"/>
      <c r="U28" s="373"/>
    </row>
    <row r="29" spans="1:53" ht="15.75" x14ac:dyDescent="0.25">
      <c r="A29" s="1"/>
      <c r="B29" s="2"/>
      <c r="C29" s="1"/>
      <c r="E29" s="361"/>
      <c r="K29" s="14"/>
      <c r="O29" s="20"/>
      <c r="P29" s="20"/>
      <c r="Q29" s="439"/>
      <c r="R29" s="197"/>
      <c r="S29" s="197"/>
      <c r="T29" s="197"/>
      <c r="U29" s="197"/>
      <c r="AS29" s="319"/>
    </row>
    <row r="30" spans="1:53" ht="15" x14ac:dyDescent="0.25">
      <c r="A30" s="1">
        <v>3</v>
      </c>
      <c r="B30" s="2" t="s">
        <v>17</v>
      </c>
      <c r="C30" s="1" t="s">
        <v>8</v>
      </c>
      <c r="D30">
        <v>0</v>
      </c>
      <c r="E30" s="360">
        <v>23.8947</v>
      </c>
      <c r="F30">
        <v>0</v>
      </c>
      <c r="G30">
        <v>0</v>
      </c>
      <c r="H30">
        <v>0</v>
      </c>
      <c r="J30">
        <v>0</v>
      </c>
      <c r="K30" s="14">
        <v>4.2351467865730008</v>
      </c>
      <c r="L30">
        <v>0</v>
      </c>
      <c r="M30">
        <v>0</v>
      </c>
      <c r="N30">
        <v>0</v>
      </c>
      <c r="O30" s="20"/>
      <c r="P30" s="20"/>
      <c r="Q30" s="438">
        <v>0.2545465250519417</v>
      </c>
      <c r="R30" s="197">
        <v>0.49</v>
      </c>
      <c r="S30" s="197">
        <v>2.42</v>
      </c>
      <c r="T30" s="197">
        <v>0.50078889239507718</v>
      </c>
      <c r="U30" s="197">
        <v>0.75268470790377973</v>
      </c>
      <c r="V30" s="20">
        <f t="shared" ref="V30:Y35" si="22">IF(K30&gt;0,((E30-K30)*$Q30*$R30*10)+(K30*$O$12*$Q30*$R30*10),(E30*$Q30*$R30*10))</f>
        <v>26.463543029320629</v>
      </c>
      <c r="W30" s="20">
        <f t="shared" si="22"/>
        <v>0</v>
      </c>
      <c r="X30" s="20">
        <f t="shared" si="22"/>
        <v>0</v>
      </c>
      <c r="Y30" s="20">
        <f t="shared" si="22"/>
        <v>0</v>
      </c>
      <c r="Z30" s="20">
        <f t="shared" ref="Z30:AC35" si="23">V30*(EXP(1.01-0.34*LN(Z$8))*(1-$T30)+(1*$T30))</f>
        <v>15.663673121954378</v>
      </c>
      <c r="AA30" s="20">
        <f t="shared" si="23"/>
        <v>0</v>
      </c>
      <c r="AB30" s="20">
        <f t="shared" si="23"/>
        <v>0</v>
      </c>
      <c r="AC30" s="20">
        <f t="shared" si="23"/>
        <v>0</v>
      </c>
      <c r="AD30" s="20">
        <f t="shared" ref="AD30:AD35" si="24">SUM(Z30:AC30)</f>
        <v>15.663673121954378</v>
      </c>
      <c r="AE30" s="20">
        <f t="shared" ref="AE30:AH35" si="25">IF(K30&gt;0,((E30-K30)*$Q30*$S30*10)+(K30*$P$12*$Q30*$S30)*10,(E30*$Q30*$S30*10))</f>
        <v>136.21206125077555</v>
      </c>
      <c r="AF30" s="20">
        <f t="shared" si="25"/>
        <v>0</v>
      </c>
      <c r="AG30" s="20">
        <f t="shared" si="25"/>
        <v>0</v>
      </c>
      <c r="AH30" s="20">
        <f t="shared" si="25"/>
        <v>0</v>
      </c>
      <c r="AI30" s="20">
        <f t="shared" ref="AI30:AL35" si="26">AE30*(EXP(1.01-0.34*LN(AI$8))*(1-$U30)+(1*$U30))</f>
        <v>108.67276542493627</v>
      </c>
      <c r="AJ30" s="20">
        <f t="shared" si="26"/>
        <v>0</v>
      </c>
      <c r="AK30" s="20">
        <f t="shared" si="26"/>
        <v>0</v>
      </c>
      <c r="AL30" s="20">
        <f t="shared" si="26"/>
        <v>0</v>
      </c>
      <c r="AM30" s="20">
        <f t="shared" ref="AM30:AM35" si="27">SUM(AI30:AL30)</f>
        <v>108.67276542493627</v>
      </c>
      <c r="AO30">
        <f t="shared" ref="AO30:AR35" si="28">Z30*AO$10</f>
        <v>20.506880851262672</v>
      </c>
      <c r="AP30">
        <f t="shared" si="28"/>
        <v>0</v>
      </c>
      <c r="AQ30">
        <f t="shared" si="28"/>
        <v>0</v>
      </c>
      <c r="AR30">
        <f t="shared" si="28"/>
        <v>0</v>
      </c>
      <c r="AS30" s="319">
        <f t="shared" ref="AS30:AS35" si="29">SUM(AO30:AR30)</f>
        <v>20.506880851262672</v>
      </c>
      <c r="AU30">
        <f t="shared" ref="AU30:AX35" si="30">AI30*AU$10</f>
        <v>142.27438449432657</v>
      </c>
      <c r="AV30">
        <f t="shared" si="30"/>
        <v>0</v>
      </c>
      <c r="AW30">
        <f t="shared" si="30"/>
        <v>0</v>
      </c>
      <c r="AX30">
        <f t="shared" si="30"/>
        <v>0</v>
      </c>
      <c r="AY30">
        <f t="shared" ref="AY30:AY35" si="31">SUM(AU30:AX30)</f>
        <v>142.27438449432657</v>
      </c>
    </row>
    <row r="31" spans="1:53" ht="15" x14ac:dyDescent="0.25">
      <c r="A31" s="1"/>
      <c r="B31" s="2"/>
      <c r="C31" s="1" t="s">
        <v>9</v>
      </c>
      <c r="D31">
        <v>0</v>
      </c>
      <c r="E31" s="360">
        <v>3.4548999999999999</v>
      </c>
      <c r="F31">
        <v>0</v>
      </c>
      <c r="G31">
        <v>0</v>
      </c>
      <c r="H31">
        <v>0</v>
      </c>
      <c r="J31">
        <v>0</v>
      </c>
      <c r="K31" s="14">
        <v>3.4548999999999999</v>
      </c>
      <c r="L31">
        <v>0</v>
      </c>
      <c r="M31">
        <v>0</v>
      </c>
      <c r="N31">
        <v>0</v>
      </c>
      <c r="O31" s="20"/>
      <c r="P31" s="20"/>
      <c r="Q31" s="438">
        <v>0.28409305010388336</v>
      </c>
      <c r="R31" s="197">
        <v>0.49</v>
      </c>
      <c r="S31" s="197">
        <v>2.42</v>
      </c>
      <c r="T31" s="197">
        <v>0.50078889239507718</v>
      </c>
      <c r="U31" s="197">
        <v>0.75268470790377973</v>
      </c>
      <c r="V31" s="20">
        <f t="shared" si="22"/>
        <v>1.7686718663932832</v>
      </c>
      <c r="W31" s="20">
        <f t="shared" si="22"/>
        <v>0</v>
      </c>
      <c r="X31" s="20">
        <f t="shared" si="22"/>
        <v>0</v>
      </c>
      <c r="Y31" s="20">
        <f t="shared" si="22"/>
        <v>0</v>
      </c>
      <c r="Z31" s="20">
        <f t="shared" si="23"/>
        <v>1.0468703281524496</v>
      </c>
      <c r="AA31" s="20">
        <f t="shared" si="23"/>
        <v>0</v>
      </c>
      <c r="AB31" s="20">
        <f t="shared" si="23"/>
        <v>0</v>
      </c>
      <c r="AC31" s="20">
        <f t="shared" si="23"/>
        <v>0</v>
      </c>
      <c r="AD31" s="20">
        <f t="shared" si="24"/>
        <v>1.0468703281524496</v>
      </c>
      <c r="AE31" s="20">
        <f t="shared" si="25"/>
        <v>13.755857504737683</v>
      </c>
      <c r="AF31" s="20">
        <f t="shared" si="25"/>
        <v>0</v>
      </c>
      <c r="AG31" s="20">
        <f t="shared" si="25"/>
        <v>0</v>
      </c>
      <c r="AH31" s="20">
        <f t="shared" si="25"/>
        <v>0</v>
      </c>
      <c r="AI31" s="20">
        <f t="shared" si="26"/>
        <v>10.974704164259139</v>
      </c>
      <c r="AJ31" s="20">
        <f t="shared" si="26"/>
        <v>0</v>
      </c>
      <c r="AK31" s="20">
        <f t="shared" si="26"/>
        <v>0</v>
      </c>
      <c r="AL31" s="20">
        <f t="shared" si="26"/>
        <v>0</v>
      </c>
      <c r="AM31" s="20">
        <f t="shared" si="27"/>
        <v>10.974704164259139</v>
      </c>
      <c r="AO31">
        <f t="shared" si="28"/>
        <v>1.370562633617187</v>
      </c>
      <c r="AP31">
        <f t="shared" si="28"/>
        <v>0</v>
      </c>
      <c r="AQ31">
        <f t="shared" si="28"/>
        <v>0</v>
      </c>
      <c r="AR31">
        <f t="shared" si="28"/>
        <v>0</v>
      </c>
      <c r="AS31" s="319">
        <f t="shared" si="29"/>
        <v>1.370562633617187</v>
      </c>
      <c r="AU31">
        <f t="shared" si="30"/>
        <v>14.368082691848064</v>
      </c>
      <c r="AV31">
        <f t="shared" si="30"/>
        <v>0</v>
      </c>
      <c r="AW31">
        <f t="shared" si="30"/>
        <v>0</v>
      </c>
      <c r="AX31">
        <f t="shared" si="30"/>
        <v>0</v>
      </c>
      <c r="AY31">
        <f t="shared" si="31"/>
        <v>14.368082691848064</v>
      </c>
    </row>
    <row r="32" spans="1:53" ht="15" x14ac:dyDescent="0.25">
      <c r="A32" s="1"/>
      <c r="B32" s="2"/>
      <c r="C32" s="1" t="s">
        <v>10</v>
      </c>
      <c r="D32">
        <v>0</v>
      </c>
      <c r="E32" s="360">
        <v>1.1971000000000001</v>
      </c>
      <c r="F32">
        <v>0</v>
      </c>
      <c r="G32">
        <v>0</v>
      </c>
      <c r="H32">
        <v>0</v>
      </c>
      <c r="J32">
        <v>0</v>
      </c>
      <c r="K32" s="14">
        <v>2.8251047800000872E-3</v>
      </c>
      <c r="L32">
        <v>0</v>
      </c>
      <c r="M32">
        <v>0</v>
      </c>
      <c r="N32">
        <v>0</v>
      </c>
      <c r="O32" s="20"/>
      <c r="P32" s="20"/>
      <c r="Q32" s="438">
        <v>0.31363957515582502</v>
      </c>
      <c r="R32" s="197">
        <v>0.49</v>
      </c>
      <c r="S32" s="197">
        <v>2.42</v>
      </c>
      <c r="T32" s="197">
        <v>0.50078889239507718</v>
      </c>
      <c r="U32" s="197">
        <v>0.75268470790377973</v>
      </c>
      <c r="V32" s="20">
        <f t="shared" si="22"/>
        <v>1.8369988419554704</v>
      </c>
      <c r="W32" s="20">
        <f t="shared" si="22"/>
        <v>0</v>
      </c>
      <c r="X32" s="20">
        <f t="shared" si="22"/>
        <v>0</v>
      </c>
      <c r="Y32" s="20">
        <f t="shared" si="22"/>
        <v>0</v>
      </c>
      <c r="Z32" s="20">
        <f t="shared" si="23"/>
        <v>1.0873128119662028</v>
      </c>
      <c r="AA32" s="20">
        <f t="shared" si="23"/>
        <v>0</v>
      </c>
      <c r="AB32" s="20">
        <f t="shared" si="23"/>
        <v>0</v>
      </c>
      <c r="AC32" s="20">
        <f t="shared" si="23"/>
        <v>0</v>
      </c>
      <c r="AD32" s="20">
        <f t="shared" si="24"/>
        <v>1.0873128119662028</v>
      </c>
      <c r="AE32" s="20">
        <f t="shared" si="25"/>
        <v>9.0770574249501514</v>
      </c>
      <c r="AF32" s="20">
        <f t="shared" si="25"/>
        <v>0</v>
      </c>
      <c r="AG32" s="20">
        <f t="shared" si="25"/>
        <v>0</v>
      </c>
      <c r="AH32" s="20">
        <f t="shared" si="25"/>
        <v>0</v>
      </c>
      <c r="AI32" s="20">
        <f t="shared" si="26"/>
        <v>7.2418618676814672</v>
      </c>
      <c r="AJ32" s="20">
        <f t="shared" si="26"/>
        <v>0</v>
      </c>
      <c r="AK32" s="20">
        <f t="shared" si="26"/>
        <v>0</v>
      </c>
      <c r="AL32" s="20">
        <f t="shared" si="26"/>
        <v>0</v>
      </c>
      <c r="AM32" s="20">
        <f t="shared" si="27"/>
        <v>7.2418618676814672</v>
      </c>
      <c r="AO32">
        <f t="shared" si="28"/>
        <v>1.4235099334261525</v>
      </c>
      <c r="AP32">
        <f t="shared" si="28"/>
        <v>0</v>
      </c>
      <c r="AQ32">
        <f t="shared" si="28"/>
        <v>0</v>
      </c>
      <c r="AR32">
        <f t="shared" si="28"/>
        <v>0</v>
      </c>
      <c r="AS32" s="319">
        <f t="shared" si="29"/>
        <v>1.4235099334261525</v>
      </c>
      <c r="AU32">
        <f t="shared" si="30"/>
        <v>9.4810455571685761</v>
      </c>
      <c r="AV32">
        <f t="shared" si="30"/>
        <v>0</v>
      </c>
      <c r="AW32">
        <f t="shared" si="30"/>
        <v>0</v>
      </c>
      <c r="AX32">
        <f t="shared" si="30"/>
        <v>0</v>
      </c>
      <c r="AY32">
        <f t="shared" si="31"/>
        <v>9.4810455571685761</v>
      </c>
    </row>
    <row r="33" spans="1:53" ht="15" x14ac:dyDescent="0.25">
      <c r="A33" s="1"/>
      <c r="B33" s="2"/>
      <c r="C33" s="1" t="s">
        <v>11</v>
      </c>
      <c r="D33">
        <v>0</v>
      </c>
      <c r="E33" s="360">
        <v>9.5062999999999995</v>
      </c>
      <c r="F33">
        <v>0</v>
      </c>
      <c r="G33">
        <v>0</v>
      </c>
      <c r="H33">
        <v>0</v>
      </c>
      <c r="J33">
        <v>0</v>
      </c>
      <c r="K33" s="14">
        <v>9.3638368422762763</v>
      </c>
      <c r="L33">
        <v>0</v>
      </c>
      <c r="M33">
        <v>0</v>
      </c>
      <c r="N33">
        <v>0</v>
      </c>
      <c r="O33" s="20"/>
      <c r="P33" s="20"/>
      <c r="Q33" s="438">
        <v>0.34318610020776669</v>
      </c>
      <c r="R33" s="197">
        <v>0.49</v>
      </c>
      <c r="S33" s="197">
        <v>2.42</v>
      </c>
      <c r="T33" s="197">
        <v>0.50078889239507718</v>
      </c>
      <c r="U33" s="197">
        <v>0.75268470790377973</v>
      </c>
      <c r="V33" s="20">
        <f t="shared" si="22"/>
        <v>6.0303162513000244</v>
      </c>
      <c r="W33" s="20">
        <f t="shared" si="22"/>
        <v>0</v>
      </c>
      <c r="X33" s="20">
        <f t="shared" si="22"/>
        <v>0</v>
      </c>
      <c r="Y33" s="20">
        <f t="shared" si="22"/>
        <v>0</v>
      </c>
      <c r="Z33" s="20">
        <f t="shared" si="23"/>
        <v>3.5693218582907855</v>
      </c>
      <c r="AA33" s="20">
        <f t="shared" si="23"/>
        <v>0</v>
      </c>
      <c r="AB33" s="20">
        <f t="shared" si="23"/>
        <v>0</v>
      </c>
      <c r="AC33" s="20">
        <f t="shared" si="23"/>
        <v>0</v>
      </c>
      <c r="AD33" s="20">
        <f t="shared" si="24"/>
        <v>3.5693218582907855</v>
      </c>
      <c r="AE33" s="20">
        <f t="shared" si="25"/>
        <v>46.220757331699296</v>
      </c>
      <c r="AF33" s="20">
        <f t="shared" si="25"/>
        <v>0</v>
      </c>
      <c r="AG33" s="20">
        <f t="shared" si="25"/>
        <v>0</v>
      </c>
      <c r="AH33" s="20">
        <f t="shared" si="25"/>
        <v>0</v>
      </c>
      <c r="AI33" s="20">
        <f t="shared" si="26"/>
        <v>36.87586453906674</v>
      </c>
      <c r="AJ33" s="20">
        <f t="shared" si="26"/>
        <v>0</v>
      </c>
      <c r="AK33" s="20">
        <f t="shared" si="26"/>
        <v>0</v>
      </c>
      <c r="AL33" s="20">
        <f t="shared" si="26"/>
        <v>0</v>
      </c>
      <c r="AM33" s="20">
        <f t="shared" si="27"/>
        <v>36.87586453906674</v>
      </c>
      <c r="AO33">
        <f t="shared" si="28"/>
        <v>4.6729561768742958</v>
      </c>
      <c r="AP33">
        <f t="shared" si="28"/>
        <v>0</v>
      </c>
      <c r="AQ33">
        <f t="shared" si="28"/>
        <v>0</v>
      </c>
      <c r="AR33">
        <f t="shared" si="28"/>
        <v>0</v>
      </c>
      <c r="AS33" s="319">
        <f t="shared" si="29"/>
        <v>4.6729561768742958</v>
      </c>
      <c r="AU33">
        <f t="shared" si="30"/>
        <v>48.277881854546173</v>
      </c>
      <c r="AV33">
        <f t="shared" si="30"/>
        <v>0</v>
      </c>
      <c r="AW33">
        <f t="shared" si="30"/>
        <v>0</v>
      </c>
      <c r="AX33">
        <f t="shared" si="30"/>
        <v>0</v>
      </c>
      <c r="AY33">
        <f t="shared" si="31"/>
        <v>48.277881854546173</v>
      </c>
    </row>
    <row r="34" spans="1:53" ht="15" x14ac:dyDescent="0.25">
      <c r="A34" s="1"/>
      <c r="B34" s="2"/>
      <c r="C34" s="1" t="s">
        <v>12</v>
      </c>
      <c r="D34">
        <v>0</v>
      </c>
      <c r="E34" s="360">
        <v>0</v>
      </c>
      <c r="F34">
        <v>0</v>
      </c>
      <c r="G34">
        <v>0</v>
      </c>
      <c r="H34">
        <v>0</v>
      </c>
      <c r="J34">
        <v>0</v>
      </c>
      <c r="K34" s="14">
        <v>0</v>
      </c>
      <c r="L34">
        <v>0</v>
      </c>
      <c r="M34">
        <v>0</v>
      </c>
      <c r="N34">
        <v>0</v>
      </c>
      <c r="O34" s="20"/>
      <c r="P34" s="20"/>
      <c r="Q34" s="438"/>
      <c r="R34" s="197">
        <v>0.49</v>
      </c>
      <c r="S34" s="197">
        <v>2.42</v>
      </c>
      <c r="T34" s="197">
        <v>0.50078889239507718</v>
      </c>
      <c r="U34" s="197">
        <v>0.75268470790377973</v>
      </c>
      <c r="V34" s="20">
        <f t="shared" si="22"/>
        <v>0</v>
      </c>
      <c r="W34" s="20">
        <f t="shared" si="22"/>
        <v>0</v>
      </c>
      <c r="X34" s="20">
        <f t="shared" si="22"/>
        <v>0</v>
      </c>
      <c r="Y34" s="20">
        <f t="shared" si="22"/>
        <v>0</v>
      </c>
      <c r="Z34" s="20">
        <f t="shared" si="23"/>
        <v>0</v>
      </c>
      <c r="AA34" s="20">
        <f t="shared" si="23"/>
        <v>0</v>
      </c>
      <c r="AB34" s="20">
        <f t="shared" si="23"/>
        <v>0</v>
      </c>
      <c r="AC34" s="20">
        <f t="shared" si="23"/>
        <v>0</v>
      </c>
      <c r="AD34" s="20">
        <f t="shared" si="24"/>
        <v>0</v>
      </c>
      <c r="AE34" s="20">
        <f t="shared" si="25"/>
        <v>0</v>
      </c>
      <c r="AF34" s="20">
        <f t="shared" si="25"/>
        <v>0</v>
      </c>
      <c r="AG34" s="20">
        <f t="shared" si="25"/>
        <v>0</v>
      </c>
      <c r="AH34" s="20">
        <f t="shared" si="25"/>
        <v>0</v>
      </c>
      <c r="AI34" s="20">
        <f t="shared" si="26"/>
        <v>0</v>
      </c>
      <c r="AJ34" s="20">
        <f t="shared" si="26"/>
        <v>0</v>
      </c>
      <c r="AK34" s="20">
        <f t="shared" si="26"/>
        <v>0</v>
      </c>
      <c r="AL34" s="20">
        <f t="shared" si="26"/>
        <v>0</v>
      </c>
      <c r="AM34" s="20">
        <f t="shared" si="27"/>
        <v>0</v>
      </c>
      <c r="AO34">
        <f t="shared" si="28"/>
        <v>0</v>
      </c>
      <c r="AP34">
        <f t="shared" si="28"/>
        <v>0</v>
      </c>
      <c r="AQ34">
        <f t="shared" si="28"/>
        <v>0</v>
      </c>
      <c r="AR34">
        <f t="shared" si="28"/>
        <v>0</v>
      </c>
      <c r="AS34" s="319">
        <f t="shared" si="29"/>
        <v>0</v>
      </c>
      <c r="AU34">
        <f t="shared" si="30"/>
        <v>0</v>
      </c>
      <c r="AV34">
        <f t="shared" si="30"/>
        <v>0</v>
      </c>
      <c r="AW34">
        <f t="shared" si="30"/>
        <v>0</v>
      </c>
      <c r="AX34">
        <f t="shared" si="30"/>
        <v>0</v>
      </c>
      <c r="AY34">
        <f t="shared" si="31"/>
        <v>0</v>
      </c>
    </row>
    <row r="35" spans="1:53" ht="15" x14ac:dyDescent="0.25">
      <c r="A35" s="1"/>
      <c r="B35" s="2"/>
      <c r="C35" s="1" t="s">
        <v>13</v>
      </c>
      <c r="D35">
        <v>0</v>
      </c>
      <c r="E35" s="360">
        <v>4.8399999999999999E-2</v>
      </c>
      <c r="F35">
        <v>0</v>
      </c>
      <c r="G35">
        <v>0</v>
      </c>
      <c r="H35">
        <v>0</v>
      </c>
      <c r="J35">
        <v>0</v>
      </c>
      <c r="K35" s="14">
        <v>-0.1467011429</v>
      </c>
      <c r="L35">
        <v>0</v>
      </c>
      <c r="M35">
        <v>0</v>
      </c>
      <c r="N35">
        <v>0</v>
      </c>
      <c r="O35" s="20"/>
      <c r="P35" s="20"/>
      <c r="Q35" s="438">
        <v>0.34318610020776669</v>
      </c>
      <c r="R35" s="197">
        <v>0.49</v>
      </c>
      <c r="S35" s="197">
        <v>2.42</v>
      </c>
      <c r="T35" s="197">
        <v>0.50078889239507718</v>
      </c>
      <c r="U35" s="197">
        <v>0.75268470790377973</v>
      </c>
      <c r="V35" s="20">
        <f t="shared" si="22"/>
        <v>8.1390015525273945E-2</v>
      </c>
      <c r="W35" s="20">
        <f t="shared" si="22"/>
        <v>0</v>
      </c>
      <c r="X35" s="20">
        <f t="shared" si="22"/>
        <v>0</v>
      </c>
      <c r="Y35" s="20">
        <f t="shared" si="22"/>
        <v>0</v>
      </c>
      <c r="Z35" s="20">
        <f t="shared" si="23"/>
        <v>4.8174448794183679E-2</v>
      </c>
      <c r="AA35" s="20">
        <f t="shared" si="23"/>
        <v>0</v>
      </c>
      <c r="AB35" s="20">
        <f t="shared" si="23"/>
        <v>0</v>
      </c>
      <c r="AC35" s="20">
        <f t="shared" si="23"/>
        <v>0</v>
      </c>
      <c r="AD35" s="20">
        <f t="shared" si="24"/>
        <v>4.8174448794183679E-2</v>
      </c>
      <c r="AE35" s="20">
        <f t="shared" si="25"/>
        <v>0.40196701545135299</v>
      </c>
      <c r="AF35" s="20">
        <f t="shared" si="25"/>
        <v>0</v>
      </c>
      <c r="AG35" s="20">
        <f t="shared" si="25"/>
        <v>0</v>
      </c>
      <c r="AH35" s="20">
        <f t="shared" si="25"/>
        <v>0</v>
      </c>
      <c r="AI35" s="20">
        <f t="shared" si="26"/>
        <v>0.32069749754600313</v>
      </c>
      <c r="AJ35" s="20">
        <f t="shared" si="26"/>
        <v>0</v>
      </c>
      <c r="AK35" s="20">
        <f t="shared" si="26"/>
        <v>0</v>
      </c>
      <c r="AL35" s="20">
        <f t="shared" si="26"/>
        <v>0</v>
      </c>
      <c r="AM35" s="20">
        <f t="shared" si="27"/>
        <v>0.32069749754600313</v>
      </c>
      <c r="AO35">
        <f t="shared" si="28"/>
        <v>6.3069988361345267E-2</v>
      </c>
      <c r="AP35">
        <f t="shared" si="28"/>
        <v>0</v>
      </c>
      <c r="AQ35">
        <f t="shared" si="28"/>
        <v>0</v>
      </c>
      <c r="AR35">
        <f t="shared" si="28"/>
        <v>0</v>
      </c>
      <c r="AS35" s="319">
        <f t="shared" si="29"/>
        <v>6.3069988361345267E-2</v>
      </c>
      <c r="AU35">
        <f t="shared" si="30"/>
        <v>0.41985716378722726</v>
      </c>
      <c r="AV35">
        <f t="shared" si="30"/>
        <v>0</v>
      </c>
      <c r="AW35">
        <f t="shared" si="30"/>
        <v>0</v>
      </c>
      <c r="AX35">
        <f t="shared" si="30"/>
        <v>0</v>
      </c>
      <c r="AY35">
        <f t="shared" si="31"/>
        <v>0.41985716378722726</v>
      </c>
    </row>
    <row r="36" spans="1:53" ht="15" x14ac:dyDescent="0.25">
      <c r="A36" s="7"/>
      <c r="B36" s="8" t="s">
        <v>14</v>
      </c>
      <c r="C36" s="7"/>
      <c r="D36" s="357">
        <f t="shared" ref="D36:H36" si="32">SUM(D30:D35)</f>
        <v>0</v>
      </c>
      <c r="E36" s="363">
        <f>SUM(E30:E35)</f>
        <v>38.101399999999998</v>
      </c>
      <c r="F36" s="357">
        <f t="shared" si="32"/>
        <v>0</v>
      </c>
      <c r="G36" s="357">
        <f t="shared" si="32"/>
        <v>0</v>
      </c>
      <c r="H36" s="357">
        <f t="shared" si="32"/>
        <v>0</v>
      </c>
      <c r="J36">
        <v>0</v>
      </c>
      <c r="K36" s="14">
        <v>16.910007590729276</v>
      </c>
      <c r="L36">
        <v>0</v>
      </c>
      <c r="M36">
        <v>0</v>
      </c>
      <c r="N36">
        <v>0</v>
      </c>
      <c r="O36" s="20"/>
      <c r="P36" s="20"/>
      <c r="Q36" s="438">
        <v>0.28131050559918336</v>
      </c>
      <c r="R36" s="197"/>
      <c r="S36" s="197"/>
      <c r="T36" s="197"/>
      <c r="U36" s="197"/>
      <c r="AS36" s="319"/>
      <c r="BA36" s="319">
        <f>(E36*10000*Q36*AU$10)</f>
        <v>140324.2990914968</v>
      </c>
    </row>
    <row r="37" spans="1:53" ht="15" x14ac:dyDescent="0.25">
      <c r="A37" s="5"/>
      <c r="B37" s="9" t="s">
        <v>15</v>
      </c>
      <c r="C37" s="5"/>
      <c r="E37" s="363">
        <f>SUM(E36)</f>
        <v>38.101399999999998</v>
      </c>
      <c r="H37" s="358">
        <f>SUM(D36:H36)</f>
        <v>38.101399999999998</v>
      </c>
      <c r="K37" s="14"/>
      <c r="N37">
        <v>0</v>
      </c>
      <c r="O37" s="20"/>
      <c r="P37" s="20"/>
      <c r="Q37" s="438"/>
      <c r="R37" s="197"/>
      <c r="S37" s="197"/>
      <c r="T37" s="197"/>
      <c r="U37" s="197"/>
      <c r="AS37" s="319"/>
    </row>
    <row r="38" spans="1:53" ht="15.75" x14ac:dyDescent="0.25">
      <c r="A38" s="1"/>
      <c r="B38" s="2"/>
      <c r="C38" s="1"/>
      <c r="E38" s="362"/>
      <c r="K38" s="14"/>
      <c r="O38" s="20"/>
      <c r="P38" s="20"/>
      <c r="Q38" s="439"/>
      <c r="R38" s="197"/>
      <c r="S38" s="197"/>
      <c r="T38" s="197"/>
      <c r="U38" s="197"/>
      <c r="AS38" s="319"/>
    </row>
    <row r="39" spans="1:53" s="186" customFormat="1" ht="15" x14ac:dyDescent="0.25">
      <c r="A39" s="3">
        <v>4</v>
      </c>
      <c r="B39" s="11" t="s">
        <v>18</v>
      </c>
      <c r="C39" s="3" t="s">
        <v>8</v>
      </c>
      <c r="D39" s="186">
        <v>0</v>
      </c>
      <c r="E39" s="387">
        <v>96.525899999999993</v>
      </c>
      <c r="F39" s="186">
        <v>0</v>
      </c>
      <c r="G39" s="186">
        <v>0</v>
      </c>
      <c r="H39" s="186">
        <v>0</v>
      </c>
      <c r="J39" s="186">
        <v>0</v>
      </c>
      <c r="K39" s="14">
        <v>93.906445392392087</v>
      </c>
      <c r="L39" s="186">
        <v>0</v>
      </c>
      <c r="M39" s="186">
        <v>0</v>
      </c>
      <c r="N39" s="186">
        <v>0</v>
      </c>
      <c r="O39" s="191"/>
      <c r="P39" s="191"/>
      <c r="Q39" s="438">
        <v>0.38363722004155337</v>
      </c>
      <c r="R39" s="390">
        <v>0.19500000000000001</v>
      </c>
      <c r="S39" s="390">
        <v>1.22</v>
      </c>
      <c r="T39" s="390">
        <v>0.4144562334217507</v>
      </c>
      <c r="U39" s="390">
        <v>0.6566321730950142</v>
      </c>
      <c r="V39" s="191">
        <f t="shared" ref="V39:Y44" si="33">IF(K39&gt;0,((E39-K39)*$Q39*$R39*10)+(K39*$O$12*$Q39*$R39*10),(E39*$Q39*$R39*10))</f>
        <v>27.794438643990809</v>
      </c>
      <c r="W39" s="191">
        <f t="shared" si="33"/>
        <v>0</v>
      </c>
      <c r="X39" s="191">
        <f t="shared" si="33"/>
        <v>0</v>
      </c>
      <c r="Y39" s="191">
        <f t="shared" si="33"/>
        <v>0</v>
      </c>
      <c r="Z39" s="191">
        <f t="shared" ref="Z39:AC44" si="34">V39*(EXP(1.01-0.34*LN(Z$8))*(1-$T39)+(1*$T39))</f>
        <v>14.489785257846229</v>
      </c>
      <c r="AA39" s="191">
        <f t="shared" si="34"/>
        <v>0</v>
      </c>
      <c r="AB39" s="191">
        <f t="shared" si="34"/>
        <v>0</v>
      </c>
      <c r="AC39" s="191">
        <f t="shared" si="34"/>
        <v>0</v>
      </c>
      <c r="AD39" s="191">
        <f t="shared" ref="AD39:AD44" si="35">SUM(Z39:AC39)</f>
        <v>14.489785257846229</v>
      </c>
      <c r="AE39" s="191">
        <f t="shared" ref="AE39:AH44" si="36">IF(K39&gt;0,((E39-K39)*$Q39*$S39*10)+(K39*$P$12*$Q39*$S39)*10,(E39*$Q39*$S39*10))</f>
        <v>266.79776467596309</v>
      </c>
      <c r="AF39" s="191">
        <f t="shared" si="36"/>
        <v>0</v>
      </c>
      <c r="AG39" s="191">
        <f t="shared" si="36"/>
        <v>0</v>
      </c>
      <c r="AH39" s="191">
        <f t="shared" si="36"/>
        <v>0</v>
      </c>
      <c r="AI39" s="20">
        <f t="shared" ref="AI39:AL44" si="37">AE39*(EXP(1.01-0.34*LN(AI$8))*(1-$U39)+(1*$U39))</f>
        <v>191.90703153981605</v>
      </c>
      <c r="AJ39" s="20">
        <f t="shared" si="37"/>
        <v>0</v>
      </c>
      <c r="AK39" s="20">
        <f t="shared" si="37"/>
        <v>0</v>
      </c>
      <c r="AL39" s="20">
        <f t="shared" si="37"/>
        <v>0</v>
      </c>
      <c r="AM39" s="191">
        <f t="shared" ref="AM39:AM44" si="38">SUM(AI39:AL39)</f>
        <v>191.90703153981605</v>
      </c>
      <c r="AO39" s="186">
        <f t="shared" ref="AO39:AR44" si="39">Z39*AO$10</f>
        <v>18.970026859572283</v>
      </c>
      <c r="AP39" s="186">
        <f t="shared" si="39"/>
        <v>0</v>
      </c>
      <c r="AQ39" s="186">
        <f t="shared" si="39"/>
        <v>0</v>
      </c>
      <c r="AR39" s="186">
        <f t="shared" si="39"/>
        <v>0</v>
      </c>
      <c r="AS39" s="186">
        <f t="shared" ref="AS39:AS44" si="40">SUM(AO39:AR39)</f>
        <v>18.970026859572283</v>
      </c>
      <c r="AU39" s="186">
        <f t="shared" ref="AU39:AX44" si="41">AI39*AU$10</f>
        <v>251.24468569192715</v>
      </c>
      <c r="AV39" s="186">
        <f t="shared" si="41"/>
        <v>0</v>
      </c>
      <c r="AW39" s="186">
        <f t="shared" si="41"/>
        <v>0</v>
      </c>
      <c r="AX39" s="186">
        <f t="shared" si="41"/>
        <v>0</v>
      </c>
      <c r="AY39" s="186">
        <f t="shared" ref="AY39:AY44" si="42">SUM(AU39:AX39)</f>
        <v>251.24468569192715</v>
      </c>
    </row>
    <row r="40" spans="1:53" s="186" customFormat="1" ht="15" x14ac:dyDescent="0.25">
      <c r="A40" s="3"/>
      <c r="B40" s="11"/>
      <c r="C40" s="3" t="s">
        <v>9</v>
      </c>
      <c r="D40" s="186">
        <v>0</v>
      </c>
      <c r="E40" s="387">
        <v>29.336099999999998</v>
      </c>
      <c r="F40" s="186">
        <v>0</v>
      </c>
      <c r="G40" s="186">
        <v>0</v>
      </c>
      <c r="H40" s="186">
        <v>0</v>
      </c>
      <c r="J40" s="186">
        <v>0</v>
      </c>
      <c r="K40" s="14">
        <v>29.336099999999998</v>
      </c>
      <c r="L40" s="186">
        <v>0</v>
      </c>
      <c r="M40" s="186">
        <v>0</v>
      </c>
      <c r="N40" s="186">
        <v>0</v>
      </c>
      <c r="O40" s="191"/>
      <c r="P40" s="191"/>
      <c r="Q40" s="438">
        <v>0.4072744400831067</v>
      </c>
      <c r="R40" s="390">
        <v>0.19500000000000001</v>
      </c>
      <c r="S40" s="390">
        <v>1.22</v>
      </c>
      <c r="T40" s="390">
        <v>0.4144562334217507</v>
      </c>
      <c r="U40" s="390">
        <v>0.6566321730950142</v>
      </c>
      <c r="V40" s="191">
        <f t="shared" si="33"/>
        <v>8.5679957162338418</v>
      </c>
      <c r="W40" s="191">
        <f t="shared" si="33"/>
        <v>0</v>
      </c>
      <c r="X40" s="191">
        <f t="shared" si="33"/>
        <v>0</v>
      </c>
      <c r="Y40" s="191">
        <f t="shared" si="33"/>
        <v>0</v>
      </c>
      <c r="Z40" s="191">
        <f t="shared" si="34"/>
        <v>4.4666639829840857</v>
      </c>
      <c r="AA40" s="191">
        <f t="shared" si="34"/>
        <v>0</v>
      </c>
      <c r="AB40" s="191">
        <f t="shared" si="34"/>
        <v>0</v>
      </c>
      <c r="AC40" s="191">
        <f t="shared" si="34"/>
        <v>0</v>
      </c>
      <c r="AD40" s="191">
        <f t="shared" si="35"/>
        <v>4.4666639829840857</v>
      </c>
      <c r="AE40" s="191">
        <f t="shared" si="36"/>
        <v>84.416156506026425</v>
      </c>
      <c r="AF40" s="191">
        <f t="shared" si="36"/>
        <v>0</v>
      </c>
      <c r="AG40" s="191">
        <f t="shared" si="36"/>
        <v>0</v>
      </c>
      <c r="AH40" s="191">
        <f t="shared" si="36"/>
        <v>0</v>
      </c>
      <c r="AI40" s="20">
        <f t="shared" si="37"/>
        <v>60.720351344576272</v>
      </c>
      <c r="AJ40" s="20">
        <f t="shared" si="37"/>
        <v>0</v>
      </c>
      <c r="AK40" s="20">
        <f t="shared" si="37"/>
        <v>0</v>
      </c>
      <c r="AL40" s="20">
        <f t="shared" si="37"/>
        <v>0</v>
      </c>
      <c r="AM40" s="191">
        <f t="shared" si="38"/>
        <v>60.720351344576272</v>
      </c>
      <c r="AO40" s="186">
        <f t="shared" si="39"/>
        <v>5.8477564865227647</v>
      </c>
      <c r="AP40" s="186">
        <f t="shared" si="39"/>
        <v>0</v>
      </c>
      <c r="AQ40" s="186">
        <f t="shared" si="39"/>
        <v>0</v>
      </c>
      <c r="AR40" s="186">
        <f t="shared" si="39"/>
        <v>0</v>
      </c>
      <c r="AS40" s="186">
        <f t="shared" si="40"/>
        <v>5.8477564865227647</v>
      </c>
      <c r="AU40" s="186">
        <f t="shared" si="41"/>
        <v>79.495083980319251</v>
      </c>
      <c r="AV40" s="186">
        <f t="shared" si="41"/>
        <v>0</v>
      </c>
      <c r="AW40" s="186">
        <f t="shared" si="41"/>
        <v>0</v>
      </c>
      <c r="AX40" s="186">
        <f t="shared" si="41"/>
        <v>0</v>
      </c>
      <c r="AY40" s="186">
        <f t="shared" si="42"/>
        <v>79.495083980319251</v>
      </c>
    </row>
    <row r="41" spans="1:53" s="186" customFormat="1" ht="15" x14ac:dyDescent="0.25">
      <c r="A41" s="3"/>
      <c r="B41" s="11"/>
      <c r="C41" s="3" t="s">
        <v>10</v>
      </c>
      <c r="D41" s="186">
        <v>0</v>
      </c>
      <c r="E41" s="387">
        <v>0</v>
      </c>
      <c r="F41" s="186">
        <v>0</v>
      </c>
      <c r="G41" s="186">
        <v>0</v>
      </c>
      <c r="H41" s="186">
        <v>0</v>
      </c>
      <c r="J41" s="186">
        <v>0</v>
      </c>
      <c r="K41" s="14">
        <v>0</v>
      </c>
      <c r="L41" s="186">
        <v>0</v>
      </c>
      <c r="M41" s="186">
        <v>0</v>
      </c>
      <c r="N41" s="186">
        <v>0</v>
      </c>
      <c r="O41" s="191"/>
      <c r="P41" s="191"/>
      <c r="Q41" s="438"/>
      <c r="R41" s="390">
        <v>0.19500000000000001</v>
      </c>
      <c r="S41" s="390">
        <v>1.22</v>
      </c>
      <c r="T41" s="390">
        <v>0.4144562334217507</v>
      </c>
      <c r="U41" s="390">
        <v>0.6566321730950142</v>
      </c>
      <c r="V41" s="191">
        <f t="shared" si="33"/>
        <v>0</v>
      </c>
      <c r="W41" s="191">
        <f t="shared" si="33"/>
        <v>0</v>
      </c>
      <c r="X41" s="191">
        <f t="shared" si="33"/>
        <v>0</v>
      </c>
      <c r="Y41" s="191">
        <f t="shared" si="33"/>
        <v>0</v>
      </c>
      <c r="Z41" s="191">
        <f t="shared" si="34"/>
        <v>0</v>
      </c>
      <c r="AA41" s="191">
        <f t="shared" si="34"/>
        <v>0</v>
      </c>
      <c r="AB41" s="191">
        <f t="shared" si="34"/>
        <v>0</v>
      </c>
      <c r="AC41" s="191">
        <f t="shared" si="34"/>
        <v>0</v>
      </c>
      <c r="AD41" s="191">
        <f t="shared" si="35"/>
        <v>0</v>
      </c>
      <c r="AE41" s="191">
        <f t="shared" si="36"/>
        <v>0</v>
      </c>
      <c r="AF41" s="191">
        <f t="shared" si="36"/>
        <v>0</v>
      </c>
      <c r="AG41" s="191">
        <f t="shared" si="36"/>
        <v>0</v>
      </c>
      <c r="AH41" s="191">
        <f t="shared" si="36"/>
        <v>0</v>
      </c>
      <c r="AI41" s="20">
        <f t="shared" si="37"/>
        <v>0</v>
      </c>
      <c r="AJ41" s="20">
        <f t="shared" si="37"/>
        <v>0</v>
      </c>
      <c r="AK41" s="20">
        <f t="shared" si="37"/>
        <v>0</v>
      </c>
      <c r="AL41" s="20">
        <f t="shared" si="37"/>
        <v>0</v>
      </c>
      <c r="AM41" s="191">
        <f t="shared" si="38"/>
        <v>0</v>
      </c>
      <c r="AO41" s="186">
        <f t="shared" si="39"/>
        <v>0</v>
      </c>
      <c r="AP41" s="186">
        <f t="shared" si="39"/>
        <v>0</v>
      </c>
      <c r="AQ41" s="186">
        <f t="shared" si="39"/>
        <v>0</v>
      </c>
      <c r="AR41" s="186">
        <f t="shared" si="39"/>
        <v>0</v>
      </c>
      <c r="AS41" s="186">
        <f t="shared" si="40"/>
        <v>0</v>
      </c>
      <c r="AU41" s="186">
        <f t="shared" si="41"/>
        <v>0</v>
      </c>
      <c r="AV41" s="186">
        <f t="shared" si="41"/>
        <v>0</v>
      </c>
      <c r="AW41" s="186">
        <f t="shared" si="41"/>
        <v>0</v>
      </c>
      <c r="AX41" s="186">
        <f t="shared" si="41"/>
        <v>0</v>
      </c>
      <c r="AY41" s="186">
        <f t="shared" si="42"/>
        <v>0</v>
      </c>
    </row>
    <row r="42" spans="1:53" s="186" customFormat="1" ht="15" x14ac:dyDescent="0.25">
      <c r="A42" s="3"/>
      <c r="B42" s="11"/>
      <c r="C42" s="3" t="s">
        <v>11</v>
      </c>
      <c r="D42" s="186">
        <v>0</v>
      </c>
      <c r="E42" s="387">
        <v>10.3987</v>
      </c>
      <c r="F42" s="186">
        <v>0</v>
      </c>
      <c r="G42" s="186">
        <v>0</v>
      </c>
      <c r="H42" s="186">
        <v>0</v>
      </c>
      <c r="J42" s="186">
        <v>0</v>
      </c>
      <c r="K42" s="14">
        <v>10.3946102895907</v>
      </c>
      <c r="L42" s="186">
        <v>0</v>
      </c>
      <c r="M42" s="186">
        <v>0</v>
      </c>
      <c r="N42" s="186">
        <v>0</v>
      </c>
      <c r="O42" s="191"/>
      <c r="P42" s="191"/>
      <c r="Q42" s="438">
        <v>0.45454888016621342</v>
      </c>
      <c r="R42" s="390">
        <v>0.19500000000000001</v>
      </c>
      <c r="S42" s="390">
        <v>1.22</v>
      </c>
      <c r="T42" s="390">
        <v>0.4144562334217507</v>
      </c>
      <c r="U42" s="390">
        <v>0.6566321730950142</v>
      </c>
      <c r="V42" s="191">
        <f t="shared" si="33"/>
        <v>3.3918989086530407</v>
      </c>
      <c r="W42" s="191">
        <f t="shared" si="33"/>
        <v>0</v>
      </c>
      <c r="X42" s="191">
        <f t="shared" si="33"/>
        <v>0</v>
      </c>
      <c r="Y42" s="191">
        <f t="shared" si="33"/>
        <v>0</v>
      </c>
      <c r="Z42" s="191">
        <f t="shared" si="34"/>
        <v>1.7682633361379787</v>
      </c>
      <c r="AA42" s="191">
        <f t="shared" si="34"/>
        <v>0</v>
      </c>
      <c r="AB42" s="191">
        <f t="shared" si="34"/>
        <v>0</v>
      </c>
      <c r="AC42" s="191">
        <f t="shared" si="34"/>
        <v>0</v>
      </c>
      <c r="AD42" s="191">
        <f t="shared" si="35"/>
        <v>1.7682633361379787</v>
      </c>
      <c r="AE42" s="191">
        <f t="shared" si="36"/>
        <v>33.405639761147484</v>
      </c>
      <c r="AF42" s="191">
        <f t="shared" si="36"/>
        <v>0</v>
      </c>
      <c r="AG42" s="191">
        <f t="shared" si="36"/>
        <v>0</v>
      </c>
      <c r="AH42" s="191">
        <f t="shared" si="36"/>
        <v>0</v>
      </c>
      <c r="AI42" s="20">
        <f t="shared" si="37"/>
        <v>24.028601480362536</v>
      </c>
      <c r="AJ42" s="20">
        <f t="shared" si="37"/>
        <v>0</v>
      </c>
      <c r="AK42" s="20">
        <f t="shared" si="37"/>
        <v>0</v>
      </c>
      <c r="AL42" s="20">
        <f t="shared" si="37"/>
        <v>0</v>
      </c>
      <c r="AM42" s="191">
        <f t="shared" si="38"/>
        <v>24.028601480362536</v>
      </c>
      <c r="AO42" s="186">
        <f t="shared" si="39"/>
        <v>2.3150103596718417</v>
      </c>
      <c r="AP42" s="186">
        <f t="shared" si="39"/>
        <v>0</v>
      </c>
      <c r="AQ42" s="186">
        <f t="shared" si="39"/>
        <v>0</v>
      </c>
      <c r="AR42" s="186">
        <f t="shared" si="39"/>
        <v>0</v>
      </c>
      <c r="AS42" s="186">
        <f t="shared" si="40"/>
        <v>2.3150103596718417</v>
      </c>
      <c r="AU42" s="186">
        <f t="shared" si="41"/>
        <v>31.458245058090629</v>
      </c>
      <c r="AV42" s="186">
        <f t="shared" si="41"/>
        <v>0</v>
      </c>
      <c r="AW42" s="186">
        <f t="shared" si="41"/>
        <v>0</v>
      </c>
      <c r="AX42" s="186">
        <f t="shared" si="41"/>
        <v>0</v>
      </c>
      <c r="AY42" s="186">
        <f t="shared" si="42"/>
        <v>31.458245058090629</v>
      </c>
    </row>
    <row r="43" spans="1:53" s="186" customFormat="1" ht="15" x14ac:dyDescent="0.25">
      <c r="A43" s="3"/>
      <c r="B43" s="11"/>
      <c r="C43" s="3" t="s">
        <v>12</v>
      </c>
      <c r="D43" s="186">
        <v>0</v>
      </c>
      <c r="E43" s="387">
        <v>0</v>
      </c>
      <c r="F43" s="186">
        <v>0</v>
      </c>
      <c r="G43" s="186">
        <v>0</v>
      </c>
      <c r="H43" s="186">
        <v>0</v>
      </c>
      <c r="J43" s="186">
        <v>0</v>
      </c>
      <c r="K43" s="14">
        <v>0</v>
      </c>
      <c r="L43" s="186">
        <v>0</v>
      </c>
      <c r="M43" s="186">
        <v>0</v>
      </c>
      <c r="N43" s="186">
        <v>0</v>
      </c>
      <c r="O43" s="191"/>
      <c r="P43" s="191"/>
      <c r="Q43" s="438"/>
      <c r="R43" s="390">
        <v>0.19500000000000001</v>
      </c>
      <c r="S43" s="390">
        <v>1.22</v>
      </c>
      <c r="T43" s="390">
        <v>0.4144562334217507</v>
      </c>
      <c r="U43" s="390">
        <v>0.6566321730950142</v>
      </c>
      <c r="V43" s="191">
        <f t="shared" si="33"/>
        <v>0</v>
      </c>
      <c r="W43" s="191">
        <f t="shared" si="33"/>
        <v>0</v>
      </c>
      <c r="X43" s="191">
        <f t="shared" si="33"/>
        <v>0</v>
      </c>
      <c r="Y43" s="191">
        <f t="shared" si="33"/>
        <v>0</v>
      </c>
      <c r="Z43" s="191">
        <f t="shared" si="34"/>
        <v>0</v>
      </c>
      <c r="AA43" s="191">
        <f t="shared" si="34"/>
        <v>0</v>
      </c>
      <c r="AB43" s="191">
        <f t="shared" si="34"/>
        <v>0</v>
      </c>
      <c r="AC43" s="191">
        <f t="shared" si="34"/>
        <v>0</v>
      </c>
      <c r="AD43" s="191">
        <f t="shared" si="35"/>
        <v>0</v>
      </c>
      <c r="AE43" s="191">
        <f t="shared" si="36"/>
        <v>0</v>
      </c>
      <c r="AF43" s="191">
        <f t="shared" si="36"/>
        <v>0</v>
      </c>
      <c r="AG43" s="191">
        <f t="shared" si="36"/>
        <v>0</v>
      </c>
      <c r="AH43" s="191">
        <f t="shared" si="36"/>
        <v>0</v>
      </c>
      <c r="AI43" s="20">
        <f t="shared" si="37"/>
        <v>0</v>
      </c>
      <c r="AJ43" s="20">
        <f t="shared" si="37"/>
        <v>0</v>
      </c>
      <c r="AK43" s="20">
        <f t="shared" si="37"/>
        <v>0</v>
      </c>
      <c r="AL43" s="20">
        <f t="shared" si="37"/>
        <v>0</v>
      </c>
      <c r="AM43" s="191">
        <f t="shared" si="38"/>
        <v>0</v>
      </c>
      <c r="AO43" s="186">
        <f t="shared" si="39"/>
        <v>0</v>
      </c>
      <c r="AP43" s="186">
        <f t="shared" si="39"/>
        <v>0</v>
      </c>
      <c r="AQ43" s="186">
        <f t="shared" si="39"/>
        <v>0</v>
      </c>
      <c r="AR43" s="186">
        <f t="shared" si="39"/>
        <v>0</v>
      </c>
      <c r="AS43" s="186">
        <f t="shared" si="40"/>
        <v>0</v>
      </c>
      <c r="AU43" s="186">
        <f t="shared" si="41"/>
        <v>0</v>
      </c>
      <c r="AV43" s="186">
        <f t="shared" si="41"/>
        <v>0</v>
      </c>
      <c r="AW43" s="186">
        <f t="shared" si="41"/>
        <v>0</v>
      </c>
      <c r="AX43" s="186">
        <f t="shared" si="41"/>
        <v>0</v>
      </c>
      <c r="AY43" s="186">
        <f t="shared" si="42"/>
        <v>0</v>
      </c>
    </row>
    <row r="44" spans="1:53" s="186" customFormat="1" ht="15" x14ac:dyDescent="0.25">
      <c r="A44" s="3"/>
      <c r="B44" s="11"/>
      <c r="C44" s="3" t="s">
        <v>13</v>
      </c>
      <c r="D44" s="186">
        <v>0</v>
      </c>
      <c r="E44" s="387">
        <v>2.7449999999999999E-2</v>
      </c>
      <c r="F44" s="186">
        <v>0</v>
      </c>
      <c r="G44" s="186">
        <v>0</v>
      </c>
      <c r="H44" s="186">
        <v>0</v>
      </c>
      <c r="J44" s="186">
        <v>0</v>
      </c>
      <c r="K44" s="14">
        <v>2.7449999999999999E-2</v>
      </c>
      <c r="L44" s="186">
        <v>0</v>
      </c>
      <c r="M44" s="186">
        <v>0</v>
      </c>
      <c r="N44" s="186">
        <v>0</v>
      </c>
      <c r="O44" s="191"/>
      <c r="P44" s="191"/>
      <c r="Q44" s="438">
        <v>0.45454888016621342</v>
      </c>
      <c r="R44" s="390">
        <v>0.19500000000000001</v>
      </c>
      <c r="S44" s="390">
        <v>1.22</v>
      </c>
      <c r="T44" s="390">
        <v>0.4144562334217507</v>
      </c>
      <c r="U44" s="390">
        <v>0.6566321730950142</v>
      </c>
      <c r="V44" s="191">
        <f t="shared" si="33"/>
        <v>8.9477254325791289E-3</v>
      </c>
      <c r="W44" s="191">
        <f t="shared" si="33"/>
        <v>0</v>
      </c>
      <c r="X44" s="191">
        <f t="shared" si="33"/>
        <v>0</v>
      </c>
      <c r="Y44" s="191">
        <f t="shared" si="33"/>
        <v>0</v>
      </c>
      <c r="Z44" s="191">
        <f t="shared" si="34"/>
        <v>4.664624521649458E-3</v>
      </c>
      <c r="AA44" s="191">
        <f t="shared" si="34"/>
        <v>0</v>
      </c>
      <c r="AB44" s="191">
        <f t="shared" si="34"/>
        <v>0</v>
      </c>
      <c r="AC44" s="191">
        <f t="shared" si="34"/>
        <v>0</v>
      </c>
      <c r="AD44" s="191">
        <f t="shared" si="35"/>
        <v>4.664624521649458E-3</v>
      </c>
      <c r="AE44" s="191">
        <f t="shared" si="36"/>
        <v>8.8157442592836338E-2</v>
      </c>
      <c r="AF44" s="191">
        <f t="shared" si="36"/>
        <v>0</v>
      </c>
      <c r="AG44" s="191">
        <f t="shared" si="36"/>
        <v>0</v>
      </c>
      <c r="AH44" s="191">
        <f t="shared" si="36"/>
        <v>0</v>
      </c>
      <c r="AI44" s="20">
        <f t="shared" si="37"/>
        <v>6.341145000476528E-2</v>
      </c>
      <c r="AJ44" s="20">
        <f t="shared" si="37"/>
        <v>0</v>
      </c>
      <c r="AK44" s="20">
        <f t="shared" si="37"/>
        <v>0</v>
      </c>
      <c r="AL44" s="20">
        <f t="shared" si="37"/>
        <v>0</v>
      </c>
      <c r="AM44" s="191">
        <f t="shared" si="38"/>
        <v>6.341145000476528E-2</v>
      </c>
      <c r="AO44" s="186">
        <f t="shared" si="39"/>
        <v>6.1069264237434704E-3</v>
      </c>
      <c r="AP44" s="186">
        <f t="shared" si="39"/>
        <v>0</v>
      </c>
      <c r="AQ44" s="186">
        <f t="shared" si="39"/>
        <v>0</v>
      </c>
      <c r="AR44" s="186">
        <f t="shared" si="39"/>
        <v>0</v>
      </c>
      <c r="AS44" s="186">
        <f t="shared" si="40"/>
        <v>6.1069264237434704E-3</v>
      </c>
      <c r="AU44" s="186">
        <f t="shared" si="41"/>
        <v>8.3018270346238696E-2</v>
      </c>
      <c r="AV44" s="186">
        <f t="shared" si="41"/>
        <v>0</v>
      </c>
      <c r="AW44" s="186">
        <f t="shared" si="41"/>
        <v>0</v>
      </c>
      <c r="AX44" s="186">
        <f t="shared" si="41"/>
        <v>0</v>
      </c>
      <c r="AY44" s="186">
        <f t="shared" si="42"/>
        <v>8.3018270346238696E-2</v>
      </c>
    </row>
    <row r="45" spans="1:53" s="186" customFormat="1" ht="15" x14ac:dyDescent="0.25">
      <c r="A45" s="391"/>
      <c r="B45" s="392" t="s">
        <v>14</v>
      </c>
      <c r="C45" s="391"/>
      <c r="D45" s="393">
        <f t="shared" ref="D45:H45" si="43">SUM(D39:D44)</f>
        <v>0</v>
      </c>
      <c r="E45" s="383">
        <f>SUM(E39:E44)</f>
        <v>136.28814999999997</v>
      </c>
      <c r="F45" s="393">
        <f t="shared" si="43"/>
        <v>0</v>
      </c>
      <c r="G45" s="393">
        <f t="shared" si="43"/>
        <v>0</v>
      </c>
      <c r="H45" s="393">
        <f t="shared" si="43"/>
        <v>0</v>
      </c>
      <c r="J45" s="186">
        <v>0</v>
      </c>
      <c r="K45" s="14">
        <v>133.66460568198278</v>
      </c>
      <c r="L45" s="186">
        <v>0</v>
      </c>
      <c r="M45" s="186">
        <v>0</v>
      </c>
      <c r="N45" s="186">
        <v>0</v>
      </c>
      <c r="O45" s="191"/>
      <c r="P45" s="191"/>
      <c r="Q45" s="438">
        <v>0.3941499422119677</v>
      </c>
      <c r="R45" s="390"/>
      <c r="S45" s="390"/>
      <c r="T45" s="390"/>
      <c r="U45" s="390"/>
      <c r="BA45" s="186">
        <f>(E45*10000*Q45*AU$10)</f>
        <v>703275.61671988189</v>
      </c>
    </row>
    <row r="46" spans="1:53" ht="15" x14ac:dyDescent="0.25">
      <c r="A46" s="10"/>
      <c r="B46" s="9" t="s">
        <v>15</v>
      </c>
      <c r="C46" s="5"/>
      <c r="E46" s="363">
        <f>SUM(E45)</f>
        <v>136.28814999999997</v>
      </c>
      <c r="H46" s="358">
        <f>SUM(D45:H45)</f>
        <v>136.28814999999997</v>
      </c>
      <c r="K46" s="14"/>
      <c r="N46">
        <v>0</v>
      </c>
      <c r="O46" s="20"/>
      <c r="P46" s="20"/>
      <c r="Q46" s="438"/>
      <c r="R46" s="197"/>
      <c r="S46" s="197"/>
      <c r="T46" s="197"/>
      <c r="U46" s="197"/>
      <c r="AS46" s="319"/>
    </row>
    <row r="47" spans="1:53" ht="15.75" x14ac:dyDescent="0.25">
      <c r="A47" s="1"/>
      <c r="B47" s="2"/>
      <c r="C47" s="1"/>
      <c r="E47" s="361"/>
      <c r="K47" s="14"/>
      <c r="O47" s="20"/>
      <c r="P47" s="20"/>
      <c r="Q47" s="439"/>
      <c r="R47" s="197"/>
      <c r="S47" s="197"/>
      <c r="T47" s="197"/>
      <c r="U47" s="197"/>
      <c r="AS47" s="319"/>
    </row>
    <row r="48" spans="1:53" ht="15" x14ac:dyDescent="0.25">
      <c r="A48" s="1">
        <v>5</v>
      </c>
      <c r="B48" s="2" t="s">
        <v>19</v>
      </c>
      <c r="C48" s="1" t="s">
        <v>8</v>
      </c>
      <c r="D48">
        <v>0</v>
      </c>
      <c r="E48" s="360">
        <v>29.9802</v>
      </c>
      <c r="F48">
        <v>0</v>
      </c>
      <c r="G48">
        <v>0</v>
      </c>
      <c r="H48">
        <v>0</v>
      </c>
      <c r="J48">
        <v>0</v>
      </c>
      <c r="K48" s="14">
        <v>18.336432758681401</v>
      </c>
      <c r="L48">
        <v>0</v>
      </c>
      <c r="M48">
        <v>0</v>
      </c>
      <c r="N48">
        <v>0</v>
      </c>
      <c r="O48" s="20"/>
      <c r="P48" s="20"/>
      <c r="Q48" s="438">
        <v>0.42666745170475723</v>
      </c>
      <c r="R48" s="197">
        <v>0.43</v>
      </c>
      <c r="S48" s="197">
        <v>2.83</v>
      </c>
      <c r="T48" s="197">
        <v>0.76744186046511631</v>
      </c>
      <c r="U48" s="197">
        <v>0.76744186046511631</v>
      </c>
      <c r="V48" s="20">
        <f t="shared" ref="V48:Y53" si="44">IF(K48&gt;0,((E48-K48)*$Q48*$R48*10)+(K48*$O$12*$Q48*$R48*10),(E48*$Q48*$R48*10))</f>
        <v>33.734129237283632</v>
      </c>
      <c r="W48" s="20">
        <f t="shared" si="44"/>
        <v>0</v>
      </c>
      <c r="X48" s="20">
        <f t="shared" si="44"/>
        <v>0</v>
      </c>
      <c r="Y48" s="20">
        <f t="shared" si="44"/>
        <v>0</v>
      </c>
      <c r="Z48" s="20">
        <f t="shared" ref="Z48:AC53" si="45">V48*(EXP(1.01-0.34*LN(Z$8))*(1-$T48)+(1*$T48))</f>
        <v>27.320743754503322</v>
      </c>
      <c r="AA48" s="20">
        <f t="shared" si="45"/>
        <v>0</v>
      </c>
      <c r="AB48" s="20">
        <f t="shared" si="45"/>
        <v>0</v>
      </c>
      <c r="AC48" s="20">
        <f t="shared" si="45"/>
        <v>0</v>
      </c>
      <c r="AD48" s="20">
        <f t="shared" ref="AD48:AD53" si="46">SUM(Z48:AC48)</f>
        <v>27.320743754503322</v>
      </c>
      <c r="AE48" s="20">
        <f t="shared" ref="AE48:AH53" si="47">IF(K48&gt;0,((E48-K48)*$Q48*$S48*10)+(K48*$P$12*$Q48*$S48)*10,(E48*$Q48*$S48*10))</f>
        <v>268.81818495444099</v>
      </c>
      <c r="AF48" s="20">
        <f t="shared" si="47"/>
        <v>0</v>
      </c>
      <c r="AG48" s="20">
        <f t="shared" si="47"/>
        <v>0</v>
      </c>
      <c r="AH48" s="20">
        <f t="shared" si="47"/>
        <v>0</v>
      </c>
      <c r="AI48" s="20">
        <f t="shared" ref="AI48:AL53" si="48">AE48*(EXP(1.01-0.34*LN(AI$8))*(1-$U48)+(1*$U48))</f>
        <v>217.71164437153701</v>
      </c>
      <c r="AJ48" s="20">
        <f t="shared" si="48"/>
        <v>0</v>
      </c>
      <c r="AK48" s="20">
        <f t="shared" si="48"/>
        <v>0</v>
      </c>
      <c r="AL48" s="20">
        <f t="shared" si="48"/>
        <v>0</v>
      </c>
      <c r="AM48" s="20">
        <f t="shared" ref="AM48:AM53" si="49">SUM(AI48:AL48)</f>
        <v>217.71164437153701</v>
      </c>
      <c r="AO48">
        <f t="shared" ref="AO48:AR53" si="50">Z48*AO$10</f>
        <v>35.768317723395747</v>
      </c>
      <c r="AP48">
        <f t="shared" si="50"/>
        <v>0</v>
      </c>
      <c r="AQ48">
        <f t="shared" si="50"/>
        <v>0</v>
      </c>
      <c r="AR48">
        <f t="shared" si="50"/>
        <v>0</v>
      </c>
      <c r="AS48" s="319">
        <f t="shared" ref="AS48:AS53" si="51">SUM(AO48:AR48)</f>
        <v>35.768317723395747</v>
      </c>
      <c r="AU48">
        <f t="shared" ref="AU48:AX53" si="52">AI48*AU$10</f>
        <v>285.02808481121622</v>
      </c>
      <c r="AV48">
        <f t="shared" si="52"/>
        <v>0</v>
      </c>
      <c r="AW48">
        <f t="shared" si="52"/>
        <v>0</v>
      </c>
      <c r="AX48">
        <f t="shared" si="52"/>
        <v>0</v>
      </c>
      <c r="AY48">
        <f t="shared" ref="AY48:AY53" si="53">SUM(AU48:AX48)</f>
        <v>285.02808481121622</v>
      </c>
    </row>
    <row r="49" spans="1:53" ht="15" x14ac:dyDescent="0.25">
      <c r="A49" s="1"/>
      <c r="B49" s="2"/>
      <c r="C49" s="1" t="s">
        <v>9</v>
      </c>
      <c r="D49">
        <v>0</v>
      </c>
      <c r="E49" s="360">
        <v>15.0631</v>
      </c>
      <c r="F49">
        <v>0</v>
      </c>
      <c r="G49">
        <v>0</v>
      </c>
      <c r="H49">
        <v>0</v>
      </c>
      <c r="J49">
        <v>0</v>
      </c>
      <c r="K49" s="14">
        <v>3.3047109557028964</v>
      </c>
      <c r="L49">
        <v>0</v>
      </c>
      <c r="M49">
        <v>0</v>
      </c>
      <c r="N49">
        <v>0</v>
      </c>
      <c r="O49" s="20"/>
      <c r="P49" s="20"/>
      <c r="Q49" s="438">
        <v>0.44833490340951448</v>
      </c>
      <c r="R49" s="197">
        <v>0.43</v>
      </c>
      <c r="S49" s="197">
        <v>2.83</v>
      </c>
      <c r="T49" s="197">
        <v>0.76744186046511631</v>
      </c>
      <c r="U49" s="197">
        <v>0.76744186046511631</v>
      </c>
      <c r="V49" s="20">
        <f t="shared" si="44"/>
        <v>25.011225185442633</v>
      </c>
      <c r="W49" s="20">
        <f t="shared" si="44"/>
        <v>0</v>
      </c>
      <c r="X49" s="20">
        <f t="shared" si="44"/>
        <v>0</v>
      </c>
      <c r="Y49" s="20">
        <f t="shared" si="44"/>
        <v>0</v>
      </c>
      <c r="Z49" s="20">
        <f t="shared" si="45"/>
        <v>20.256200166638163</v>
      </c>
      <c r="AA49" s="20">
        <f t="shared" si="45"/>
        <v>0</v>
      </c>
      <c r="AB49" s="20">
        <f t="shared" si="45"/>
        <v>0</v>
      </c>
      <c r="AC49" s="20">
        <f t="shared" si="45"/>
        <v>0</v>
      </c>
      <c r="AD49" s="20">
        <f t="shared" si="46"/>
        <v>20.256200166638163</v>
      </c>
      <c r="AE49" s="20">
        <f t="shared" si="47"/>
        <v>173.47179815780143</v>
      </c>
      <c r="AF49" s="20">
        <f t="shared" si="47"/>
        <v>0</v>
      </c>
      <c r="AG49" s="20">
        <f t="shared" si="47"/>
        <v>0</v>
      </c>
      <c r="AH49" s="20">
        <f t="shared" si="47"/>
        <v>0</v>
      </c>
      <c r="AI49" s="20">
        <f t="shared" si="48"/>
        <v>140.49209667650643</v>
      </c>
      <c r="AJ49" s="20">
        <f t="shared" si="48"/>
        <v>0</v>
      </c>
      <c r="AK49" s="20">
        <f t="shared" si="48"/>
        <v>0</v>
      </c>
      <c r="AL49" s="20">
        <f t="shared" si="48"/>
        <v>0</v>
      </c>
      <c r="AM49" s="20">
        <f t="shared" si="49"/>
        <v>140.49209667650643</v>
      </c>
      <c r="AO49">
        <f t="shared" si="50"/>
        <v>26.519417258162679</v>
      </c>
      <c r="AP49">
        <f t="shared" si="50"/>
        <v>0</v>
      </c>
      <c r="AQ49">
        <f t="shared" si="50"/>
        <v>0</v>
      </c>
      <c r="AR49">
        <f t="shared" si="50"/>
        <v>0</v>
      </c>
      <c r="AS49" s="319">
        <f t="shared" si="51"/>
        <v>26.519417258162679</v>
      </c>
      <c r="AU49">
        <f t="shared" si="52"/>
        <v>183.93225296888221</v>
      </c>
      <c r="AV49">
        <f t="shared" si="52"/>
        <v>0</v>
      </c>
      <c r="AW49">
        <f t="shared" si="52"/>
        <v>0</v>
      </c>
      <c r="AX49">
        <f t="shared" si="52"/>
        <v>0</v>
      </c>
      <c r="AY49">
        <f t="shared" si="53"/>
        <v>183.93225296888221</v>
      </c>
    </row>
    <row r="50" spans="1:53" ht="15" x14ac:dyDescent="0.25">
      <c r="A50" s="1"/>
      <c r="B50" s="2"/>
      <c r="C50" s="1" t="s">
        <v>10</v>
      </c>
      <c r="D50">
        <v>0</v>
      </c>
      <c r="E50" s="360">
        <v>2.8757000000000001</v>
      </c>
      <c r="F50">
        <v>0</v>
      </c>
      <c r="G50">
        <v>0</v>
      </c>
      <c r="H50">
        <v>0</v>
      </c>
      <c r="J50">
        <v>0</v>
      </c>
      <c r="K50" s="14">
        <v>1.7039795236300002</v>
      </c>
      <c r="L50">
        <v>0</v>
      </c>
      <c r="M50">
        <v>0</v>
      </c>
      <c r="N50">
        <v>0</v>
      </c>
      <c r="O50" s="20"/>
      <c r="P50" s="20"/>
      <c r="Q50" s="438">
        <v>0.47000235511427169</v>
      </c>
      <c r="R50" s="197">
        <v>0.43</v>
      </c>
      <c r="S50" s="197">
        <v>2.83</v>
      </c>
      <c r="T50" s="197">
        <v>0.76744186046511631</v>
      </c>
      <c r="U50" s="197">
        <v>0.76744186046511631</v>
      </c>
      <c r="V50" s="20">
        <f t="shared" si="44"/>
        <v>3.6345086853843451</v>
      </c>
      <c r="W50" s="20">
        <f t="shared" si="44"/>
        <v>0</v>
      </c>
      <c r="X50" s="20">
        <f t="shared" si="44"/>
        <v>0</v>
      </c>
      <c r="Y50" s="20">
        <f t="shared" si="44"/>
        <v>0</v>
      </c>
      <c r="Z50" s="20">
        <f t="shared" si="45"/>
        <v>2.9435317499512297</v>
      </c>
      <c r="AA50" s="20">
        <f t="shared" si="45"/>
        <v>0</v>
      </c>
      <c r="AB50" s="20">
        <f t="shared" si="45"/>
        <v>0</v>
      </c>
      <c r="AC50" s="20">
        <f t="shared" si="45"/>
        <v>0</v>
      </c>
      <c r="AD50" s="20">
        <f t="shared" si="46"/>
        <v>2.9435317499512297</v>
      </c>
      <c r="AE50" s="20">
        <f t="shared" si="47"/>
        <v>28.710970538024437</v>
      </c>
      <c r="AF50" s="20">
        <f t="shared" si="47"/>
        <v>0</v>
      </c>
      <c r="AG50" s="20">
        <f t="shared" si="47"/>
        <v>0</v>
      </c>
      <c r="AH50" s="20">
        <f t="shared" si="47"/>
        <v>0</v>
      </c>
      <c r="AI50" s="20">
        <f t="shared" si="48"/>
        <v>23.252566073219402</v>
      </c>
      <c r="AJ50" s="20">
        <f t="shared" si="48"/>
        <v>0</v>
      </c>
      <c r="AK50" s="20">
        <f t="shared" si="48"/>
        <v>0</v>
      </c>
      <c r="AL50" s="20">
        <f t="shared" si="48"/>
        <v>0</v>
      </c>
      <c r="AM50" s="20">
        <f t="shared" si="49"/>
        <v>23.252566073219402</v>
      </c>
      <c r="AO50">
        <f t="shared" si="50"/>
        <v>3.8536717670361496</v>
      </c>
      <c r="AP50">
        <f t="shared" si="50"/>
        <v>0</v>
      </c>
      <c r="AQ50">
        <f t="shared" si="50"/>
        <v>0</v>
      </c>
      <c r="AR50">
        <f t="shared" si="50"/>
        <v>0</v>
      </c>
      <c r="AS50" s="319">
        <f t="shared" si="51"/>
        <v>3.8536717670361496</v>
      </c>
      <c r="AU50">
        <f t="shared" si="52"/>
        <v>30.442259503058839</v>
      </c>
      <c r="AV50">
        <f t="shared" si="52"/>
        <v>0</v>
      </c>
      <c r="AW50">
        <f t="shared" si="52"/>
        <v>0</v>
      </c>
      <c r="AX50">
        <f t="shared" si="52"/>
        <v>0</v>
      </c>
      <c r="AY50">
        <f t="shared" si="53"/>
        <v>30.442259503058839</v>
      </c>
    </row>
    <row r="51" spans="1:53" ht="15" x14ac:dyDescent="0.25">
      <c r="A51" s="1"/>
      <c r="B51" s="2"/>
      <c r="C51" s="1" t="s">
        <v>11</v>
      </c>
      <c r="D51">
        <v>0</v>
      </c>
      <c r="E51" s="360">
        <v>27.904800000000002</v>
      </c>
      <c r="F51">
        <v>0</v>
      </c>
      <c r="G51">
        <v>0</v>
      </c>
      <c r="H51">
        <v>0</v>
      </c>
      <c r="J51">
        <v>0</v>
      </c>
      <c r="K51" s="14">
        <v>20.401728580574702</v>
      </c>
      <c r="L51">
        <v>0</v>
      </c>
      <c r="M51">
        <v>0</v>
      </c>
      <c r="N51">
        <v>0</v>
      </c>
      <c r="O51" s="20"/>
      <c r="P51" s="20"/>
      <c r="Q51" s="438">
        <v>0.491669806819029</v>
      </c>
      <c r="R51" s="197">
        <v>0.43</v>
      </c>
      <c r="S51" s="197">
        <v>2.83</v>
      </c>
      <c r="T51" s="197">
        <v>0.76744186046511631</v>
      </c>
      <c r="U51" s="197">
        <v>0.76744186046511631</v>
      </c>
      <c r="V51" s="20">
        <f t="shared" si="44"/>
        <v>31.725068021400698</v>
      </c>
      <c r="W51" s="20">
        <f t="shared" si="44"/>
        <v>0</v>
      </c>
      <c r="X51" s="20">
        <f t="shared" si="44"/>
        <v>0</v>
      </c>
      <c r="Y51" s="20">
        <f t="shared" si="44"/>
        <v>0</v>
      </c>
      <c r="Z51" s="20">
        <f t="shared" si="45"/>
        <v>25.69363649229529</v>
      </c>
      <c r="AA51" s="20">
        <f t="shared" si="45"/>
        <v>0</v>
      </c>
      <c r="AB51" s="20">
        <f t="shared" si="45"/>
        <v>0</v>
      </c>
      <c r="AC51" s="20">
        <f t="shared" si="45"/>
        <v>0</v>
      </c>
      <c r="AD51" s="20">
        <f t="shared" si="46"/>
        <v>25.69363649229529</v>
      </c>
      <c r="AE51" s="20">
        <f t="shared" si="47"/>
        <v>268.80015970966815</v>
      </c>
      <c r="AF51" s="20">
        <f t="shared" si="47"/>
        <v>0</v>
      </c>
      <c r="AG51" s="20">
        <f t="shared" si="47"/>
        <v>0</v>
      </c>
      <c r="AH51" s="20">
        <f t="shared" si="47"/>
        <v>0</v>
      </c>
      <c r="AI51" s="20">
        <f t="shared" si="48"/>
        <v>217.69704600766383</v>
      </c>
      <c r="AJ51" s="20">
        <f t="shared" si="48"/>
        <v>0</v>
      </c>
      <c r="AK51" s="20">
        <f t="shared" si="48"/>
        <v>0</v>
      </c>
      <c r="AL51" s="20">
        <f t="shared" si="48"/>
        <v>0</v>
      </c>
      <c r="AM51" s="20">
        <f t="shared" si="49"/>
        <v>217.69704600766383</v>
      </c>
      <c r="AO51">
        <f t="shared" si="50"/>
        <v>33.638108895712989</v>
      </c>
      <c r="AP51">
        <f t="shared" si="50"/>
        <v>0</v>
      </c>
      <c r="AQ51">
        <f t="shared" si="50"/>
        <v>0</v>
      </c>
      <c r="AR51">
        <f t="shared" si="50"/>
        <v>0</v>
      </c>
      <c r="AS51" s="319">
        <f t="shared" si="51"/>
        <v>33.638108895712989</v>
      </c>
      <c r="AU51">
        <f t="shared" si="52"/>
        <v>285.00897263323344</v>
      </c>
      <c r="AV51">
        <f t="shared" si="52"/>
        <v>0</v>
      </c>
      <c r="AW51">
        <f t="shared" si="52"/>
        <v>0</v>
      </c>
      <c r="AX51">
        <f t="shared" si="52"/>
        <v>0</v>
      </c>
      <c r="AY51">
        <f t="shared" si="53"/>
        <v>285.00897263323344</v>
      </c>
    </row>
    <row r="52" spans="1:53" ht="15" x14ac:dyDescent="0.25">
      <c r="A52" s="1"/>
      <c r="B52" s="2"/>
      <c r="C52" s="1" t="s">
        <v>12</v>
      </c>
      <c r="D52">
        <v>0</v>
      </c>
      <c r="E52" s="360">
        <v>0</v>
      </c>
      <c r="F52">
        <v>0</v>
      </c>
      <c r="G52">
        <v>0</v>
      </c>
      <c r="H52">
        <v>0</v>
      </c>
      <c r="J52">
        <v>0</v>
      </c>
      <c r="K52" s="14">
        <v>0</v>
      </c>
      <c r="L52">
        <v>0</v>
      </c>
      <c r="M52">
        <v>0</v>
      </c>
      <c r="N52">
        <v>0</v>
      </c>
      <c r="O52" s="20"/>
      <c r="P52" s="20"/>
      <c r="Q52" s="438"/>
      <c r="R52" s="197">
        <v>0.43</v>
      </c>
      <c r="S52" s="197">
        <v>2.83</v>
      </c>
      <c r="T52" s="197">
        <v>0.76744186046511631</v>
      </c>
      <c r="U52" s="197">
        <v>0.76744186046511631</v>
      </c>
      <c r="V52" s="20">
        <f t="shared" si="44"/>
        <v>0</v>
      </c>
      <c r="W52" s="20">
        <f t="shared" si="44"/>
        <v>0</v>
      </c>
      <c r="X52" s="20">
        <f t="shared" si="44"/>
        <v>0</v>
      </c>
      <c r="Y52" s="20">
        <f t="shared" si="44"/>
        <v>0</v>
      </c>
      <c r="Z52" s="20">
        <f t="shared" si="45"/>
        <v>0</v>
      </c>
      <c r="AA52" s="20">
        <f t="shared" si="45"/>
        <v>0</v>
      </c>
      <c r="AB52" s="20">
        <f t="shared" si="45"/>
        <v>0</v>
      </c>
      <c r="AC52" s="20">
        <f t="shared" si="45"/>
        <v>0</v>
      </c>
      <c r="AD52" s="20">
        <f t="shared" si="46"/>
        <v>0</v>
      </c>
      <c r="AE52" s="20">
        <f t="shared" si="47"/>
        <v>0</v>
      </c>
      <c r="AF52" s="20">
        <f t="shared" si="47"/>
        <v>0</v>
      </c>
      <c r="AG52" s="20">
        <f t="shared" si="47"/>
        <v>0</v>
      </c>
      <c r="AH52" s="20">
        <f t="shared" si="47"/>
        <v>0</v>
      </c>
      <c r="AI52" s="20">
        <f t="shared" si="48"/>
        <v>0</v>
      </c>
      <c r="AJ52" s="20">
        <f t="shared" si="48"/>
        <v>0</v>
      </c>
      <c r="AK52" s="20">
        <f t="shared" si="48"/>
        <v>0</v>
      </c>
      <c r="AL52" s="20">
        <f t="shared" si="48"/>
        <v>0</v>
      </c>
      <c r="AM52" s="20">
        <f t="shared" si="49"/>
        <v>0</v>
      </c>
      <c r="AO52">
        <f t="shared" si="50"/>
        <v>0</v>
      </c>
      <c r="AP52">
        <f t="shared" si="50"/>
        <v>0</v>
      </c>
      <c r="AQ52">
        <f t="shared" si="50"/>
        <v>0</v>
      </c>
      <c r="AR52">
        <f t="shared" si="50"/>
        <v>0</v>
      </c>
      <c r="AS52" s="319">
        <f t="shared" si="51"/>
        <v>0</v>
      </c>
      <c r="AU52">
        <f t="shared" si="52"/>
        <v>0</v>
      </c>
      <c r="AV52">
        <f t="shared" si="52"/>
        <v>0</v>
      </c>
      <c r="AW52">
        <f t="shared" si="52"/>
        <v>0</v>
      </c>
      <c r="AX52">
        <f t="shared" si="52"/>
        <v>0</v>
      </c>
      <c r="AY52">
        <f t="shared" si="53"/>
        <v>0</v>
      </c>
    </row>
    <row r="53" spans="1:53" ht="15" x14ac:dyDescent="0.25">
      <c r="A53" s="1"/>
      <c r="B53" s="2"/>
      <c r="C53" s="1" t="s">
        <v>13</v>
      </c>
      <c r="D53">
        <v>0</v>
      </c>
      <c r="E53" s="360">
        <v>7.3499999999999996E-2</v>
      </c>
      <c r="F53">
        <v>0</v>
      </c>
      <c r="G53">
        <v>0</v>
      </c>
      <c r="H53">
        <v>0</v>
      </c>
      <c r="J53">
        <v>0</v>
      </c>
      <c r="K53" s="14">
        <v>5.4110147222699995E-2</v>
      </c>
      <c r="L53">
        <v>0</v>
      </c>
      <c r="M53">
        <v>0</v>
      </c>
      <c r="N53">
        <v>0</v>
      </c>
      <c r="O53" s="20"/>
      <c r="P53" s="20"/>
      <c r="Q53" s="438">
        <v>0.491669806819029</v>
      </c>
      <c r="R53" s="197">
        <v>0.43</v>
      </c>
      <c r="S53" s="197">
        <v>2.83</v>
      </c>
      <c r="T53" s="197">
        <v>0.76744186046511631</v>
      </c>
      <c r="U53" s="197">
        <v>0.76744186046511631</v>
      </c>
      <c r="V53" s="20">
        <f t="shared" si="44"/>
        <v>8.3063961425818553E-2</v>
      </c>
      <c r="W53" s="20">
        <f t="shared" si="44"/>
        <v>0</v>
      </c>
      <c r="X53" s="20">
        <f t="shared" si="44"/>
        <v>0</v>
      </c>
      <c r="Y53" s="20">
        <f t="shared" si="44"/>
        <v>0</v>
      </c>
      <c r="Z53" s="20">
        <f t="shared" si="45"/>
        <v>6.727220345265604E-2</v>
      </c>
      <c r="AA53" s="20">
        <f t="shared" si="45"/>
        <v>0</v>
      </c>
      <c r="AB53" s="20">
        <f t="shared" si="45"/>
        <v>0</v>
      </c>
      <c r="AC53" s="20">
        <f t="shared" si="45"/>
        <v>0</v>
      </c>
      <c r="AD53" s="20">
        <f t="shared" si="46"/>
        <v>6.727220345265604E-2</v>
      </c>
      <c r="AE53" s="20">
        <f t="shared" si="47"/>
        <v>0.70582389131249246</v>
      </c>
      <c r="AF53" s="20">
        <f t="shared" si="47"/>
        <v>0</v>
      </c>
      <c r="AG53" s="20">
        <f t="shared" si="47"/>
        <v>0</v>
      </c>
      <c r="AH53" s="20">
        <f t="shared" si="47"/>
        <v>0</v>
      </c>
      <c r="AI53" s="20">
        <f t="shared" si="48"/>
        <v>0.57163573230882014</v>
      </c>
      <c r="AJ53" s="20">
        <f t="shared" si="48"/>
        <v>0</v>
      </c>
      <c r="AK53" s="20">
        <f t="shared" si="48"/>
        <v>0</v>
      </c>
      <c r="AL53" s="20">
        <f t="shared" si="48"/>
        <v>0</v>
      </c>
      <c r="AM53" s="20">
        <f t="shared" si="49"/>
        <v>0.57163573230882014</v>
      </c>
      <c r="AO53">
        <f t="shared" si="50"/>
        <v>8.8072768760217288E-2</v>
      </c>
      <c r="AP53">
        <f t="shared" si="50"/>
        <v>0</v>
      </c>
      <c r="AQ53">
        <f t="shared" si="50"/>
        <v>0</v>
      </c>
      <c r="AR53">
        <f t="shared" si="50"/>
        <v>0</v>
      </c>
      <c r="AS53" s="319">
        <f t="shared" si="51"/>
        <v>8.8072768760217288E-2</v>
      </c>
      <c r="AU53">
        <f t="shared" si="52"/>
        <v>0.74838550073870724</v>
      </c>
      <c r="AV53">
        <f t="shared" si="52"/>
        <v>0</v>
      </c>
      <c r="AW53">
        <f t="shared" si="52"/>
        <v>0</v>
      </c>
      <c r="AX53">
        <f t="shared" si="52"/>
        <v>0</v>
      </c>
      <c r="AY53">
        <f t="shared" si="53"/>
        <v>0.74838550073870724</v>
      </c>
    </row>
    <row r="54" spans="1:53" ht="15" x14ac:dyDescent="0.25">
      <c r="A54" s="7"/>
      <c r="B54" s="8" t="s">
        <v>14</v>
      </c>
      <c r="C54" s="7"/>
      <c r="D54" s="357">
        <f t="shared" ref="D54:H54" si="54">SUM(D48:D53)</f>
        <v>0</v>
      </c>
      <c r="E54" s="363">
        <f>SUM(E48:E53)</f>
        <v>75.897300000000001</v>
      </c>
      <c r="F54" s="357">
        <f t="shared" si="54"/>
        <v>0</v>
      </c>
      <c r="G54" s="357">
        <f t="shared" si="54"/>
        <v>0</v>
      </c>
      <c r="H54" s="357">
        <f t="shared" si="54"/>
        <v>0</v>
      </c>
      <c r="J54">
        <v>0</v>
      </c>
      <c r="K54" s="14">
        <v>43.800961965811702</v>
      </c>
      <c r="L54">
        <v>0</v>
      </c>
      <c r="M54">
        <v>0</v>
      </c>
      <c r="N54">
        <v>0</v>
      </c>
      <c r="O54" s="20"/>
      <c r="P54" s="20"/>
      <c r="Q54" s="438">
        <v>0.4565717113503876</v>
      </c>
      <c r="R54" s="197"/>
      <c r="S54" s="197"/>
      <c r="T54" s="197"/>
      <c r="U54" s="197"/>
      <c r="AS54" s="319"/>
      <c r="BA54" s="319">
        <f>(E54*10000*Q54*AU$10)</f>
        <v>453671.31745596341</v>
      </c>
    </row>
    <row r="55" spans="1:53" ht="15" x14ac:dyDescent="0.25">
      <c r="A55" s="10"/>
      <c r="B55" s="9" t="s">
        <v>15</v>
      </c>
      <c r="C55" s="5"/>
      <c r="E55" s="363">
        <f>SUM(E54)</f>
        <v>75.897300000000001</v>
      </c>
      <c r="H55" s="358">
        <f>SUM(D54:H54)</f>
        <v>75.897300000000001</v>
      </c>
      <c r="K55" s="14"/>
      <c r="N55">
        <v>0</v>
      </c>
      <c r="O55" s="20"/>
      <c r="P55" s="20"/>
      <c r="Q55" s="438"/>
      <c r="R55" s="197"/>
      <c r="S55" s="197"/>
      <c r="T55" s="197"/>
      <c r="U55" s="197"/>
      <c r="AS55" s="319"/>
    </row>
    <row r="56" spans="1:53" ht="15.75" x14ac:dyDescent="0.25">
      <c r="A56" s="1"/>
      <c r="B56" s="2"/>
      <c r="C56" s="1"/>
      <c r="E56" s="361"/>
      <c r="K56" s="14"/>
      <c r="O56" s="20"/>
      <c r="P56" s="20"/>
      <c r="Q56" s="439"/>
      <c r="R56" s="197"/>
      <c r="S56" s="197"/>
      <c r="T56" s="197"/>
      <c r="U56" s="197"/>
      <c r="AS56" s="319"/>
    </row>
    <row r="57" spans="1:53" ht="15" x14ac:dyDescent="0.25">
      <c r="A57" s="1">
        <v>6</v>
      </c>
      <c r="B57" s="2" t="s">
        <v>20</v>
      </c>
      <c r="C57" s="1" t="s">
        <v>8</v>
      </c>
      <c r="D57">
        <v>0</v>
      </c>
      <c r="E57" s="360">
        <v>11.9978</v>
      </c>
      <c r="F57">
        <v>0</v>
      </c>
      <c r="G57">
        <v>0</v>
      </c>
      <c r="H57">
        <v>0</v>
      </c>
      <c r="J57">
        <v>0</v>
      </c>
      <c r="K57" s="14">
        <v>11.908647118760999</v>
      </c>
      <c r="L57">
        <v>0</v>
      </c>
      <c r="M57">
        <v>0</v>
      </c>
      <c r="N57">
        <v>0</v>
      </c>
      <c r="O57" s="20"/>
      <c r="P57" s="20"/>
      <c r="Q57" s="438">
        <v>0.46969768336796108</v>
      </c>
      <c r="R57" s="197">
        <v>0.33900000000000002</v>
      </c>
      <c r="S57" s="197">
        <v>1.9830000000000001</v>
      </c>
      <c r="T57" s="197">
        <v>0.76146788990825687</v>
      </c>
      <c r="U57" s="197">
        <v>0.76146788990825687</v>
      </c>
      <c r="V57" s="20">
        <f t="shared" ref="V57:Y62" si="55">IF(K57&gt;0,((E57-K57)*$Q57*$R57*10)+(K57*$O$12*$Q57*$R57*10),(E57*$Q57*$R57*10))</f>
        <v>7.1152124011361781</v>
      </c>
      <c r="W57" s="20">
        <f t="shared" si="55"/>
        <v>0</v>
      </c>
      <c r="X57" s="20">
        <f t="shared" si="55"/>
        <v>0</v>
      </c>
      <c r="Y57" s="20">
        <f t="shared" si="55"/>
        <v>0</v>
      </c>
      <c r="Z57" s="20">
        <f t="shared" ref="Z57:AC62" si="56">V57*(EXP(1.01-0.34*LN(Z$8))*(1-$T57)+(1*$T57))</f>
        <v>5.7277506656617359</v>
      </c>
      <c r="AA57" s="20">
        <f t="shared" si="56"/>
        <v>0</v>
      </c>
      <c r="AB57" s="20">
        <f t="shared" si="56"/>
        <v>0</v>
      </c>
      <c r="AC57" s="20">
        <f t="shared" si="56"/>
        <v>0</v>
      </c>
      <c r="AD57" s="20">
        <f t="shared" ref="AD57:AD62" si="57">SUM(Z57:AC57)</f>
        <v>5.7277506656617359</v>
      </c>
      <c r="AE57" s="20">
        <f t="shared" ref="AE57:AH62" si="58">IF(K57&gt;0,((E57-K57)*$Q57*$S57*10)+(K57*$P$12*$Q57*$S57)*10,(E57*$Q57*$S57*10))</f>
        <v>65.066568715616299</v>
      </c>
      <c r="AF57" s="20">
        <f t="shared" si="58"/>
        <v>0</v>
      </c>
      <c r="AG57" s="20">
        <f t="shared" si="58"/>
        <v>0</v>
      </c>
      <c r="AH57" s="20">
        <f t="shared" si="58"/>
        <v>0</v>
      </c>
      <c r="AI57" s="20">
        <f t="shared" ref="AI57:AL62" si="59">AE57*(EXP(1.01-0.34*LN(AI$8))*(1-$U57)+(1*$U57))</f>
        <v>52.378630638445159</v>
      </c>
      <c r="AJ57" s="20">
        <f t="shared" si="59"/>
        <v>0</v>
      </c>
      <c r="AK57" s="20">
        <f t="shared" si="59"/>
        <v>0</v>
      </c>
      <c r="AL57" s="20">
        <f t="shared" si="59"/>
        <v>0</v>
      </c>
      <c r="AM57" s="20">
        <f t="shared" ref="AM57:AM62" si="60">SUM(AI57:AL57)</f>
        <v>52.378630638445159</v>
      </c>
      <c r="AO57">
        <f t="shared" ref="AO57:AR62" si="61">Z57*AO$10</f>
        <v>7.4987711714843437</v>
      </c>
      <c r="AP57">
        <f t="shared" si="61"/>
        <v>0</v>
      </c>
      <c r="AQ57">
        <f t="shared" si="61"/>
        <v>0</v>
      </c>
      <c r="AR57">
        <f t="shared" si="61"/>
        <v>0</v>
      </c>
      <c r="AS57" s="319">
        <f t="shared" ref="AS57:AS62" si="62">SUM(AO57:AR57)</f>
        <v>7.4987711714843437</v>
      </c>
      <c r="AU57">
        <f t="shared" ref="AU57:AX62" si="63">AI57*AU$10</f>
        <v>68.574103231852405</v>
      </c>
      <c r="AV57">
        <f t="shared" si="63"/>
        <v>0</v>
      </c>
      <c r="AW57">
        <f t="shared" si="63"/>
        <v>0</v>
      </c>
      <c r="AX57">
        <f t="shared" si="63"/>
        <v>0</v>
      </c>
      <c r="AY57">
        <f t="shared" ref="AY57:AY62" si="64">SUM(AU57:AX57)</f>
        <v>68.574103231852405</v>
      </c>
    </row>
    <row r="58" spans="1:53" ht="15" x14ac:dyDescent="0.25">
      <c r="A58" s="1"/>
      <c r="B58" s="2"/>
      <c r="C58" s="1" t="s">
        <v>9</v>
      </c>
      <c r="D58">
        <v>0</v>
      </c>
      <c r="E58" s="360">
        <v>3.8092000000000001</v>
      </c>
      <c r="F58">
        <v>0</v>
      </c>
      <c r="G58">
        <v>0</v>
      </c>
      <c r="H58">
        <v>0</v>
      </c>
      <c r="J58">
        <v>0</v>
      </c>
      <c r="K58" s="14">
        <v>2.2897921524700005</v>
      </c>
      <c r="L58">
        <v>0</v>
      </c>
      <c r="M58">
        <v>0</v>
      </c>
      <c r="N58">
        <v>0</v>
      </c>
      <c r="O58" s="20"/>
      <c r="P58" s="20"/>
      <c r="Q58" s="438">
        <v>0.48939536673592227</v>
      </c>
      <c r="R58" s="197">
        <v>0.33900000000000002</v>
      </c>
      <c r="S58" s="197">
        <v>1.9830000000000001</v>
      </c>
      <c r="T58" s="197">
        <v>0.76146788990825687</v>
      </c>
      <c r="U58" s="197">
        <v>0.76146788990825687</v>
      </c>
      <c r="V58" s="20">
        <f t="shared" si="55"/>
        <v>3.9178200502307146</v>
      </c>
      <c r="W58" s="20">
        <f t="shared" si="55"/>
        <v>0</v>
      </c>
      <c r="X58" s="20">
        <f t="shared" si="55"/>
        <v>0</v>
      </c>
      <c r="Y58" s="20">
        <f t="shared" si="55"/>
        <v>0</v>
      </c>
      <c r="Z58" s="20">
        <f t="shared" si="56"/>
        <v>3.153847718877449</v>
      </c>
      <c r="AA58" s="20">
        <f t="shared" si="56"/>
        <v>0</v>
      </c>
      <c r="AB58" s="20">
        <f t="shared" si="56"/>
        <v>0</v>
      </c>
      <c r="AC58" s="20">
        <f t="shared" si="56"/>
        <v>0</v>
      </c>
      <c r="AD58" s="20">
        <f t="shared" si="57"/>
        <v>3.153847718877449</v>
      </c>
      <c r="AE58" s="20">
        <f t="shared" si="58"/>
        <v>27.614710249000254</v>
      </c>
      <c r="AF58" s="20">
        <f t="shared" si="58"/>
        <v>0</v>
      </c>
      <c r="AG58" s="20">
        <f t="shared" si="58"/>
        <v>0</v>
      </c>
      <c r="AH58" s="20">
        <f t="shared" si="58"/>
        <v>0</v>
      </c>
      <c r="AI58" s="20">
        <f t="shared" si="59"/>
        <v>22.22985992456249</v>
      </c>
      <c r="AJ58" s="20">
        <f t="shared" si="59"/>
        <v>0</v>
      </c>
      <c r="AK58" s="20">
        <f t="shared" si="59"/>
        <v>0</v>
      </c>
      <c r="AL58" s="20">
        <f t="shared" si="59"/>
        <v>0</v>
      </c>
      <c r="AM58" s="20">
        <f t="shared" si="60"/>
        <v>22.22985992456249</v>
      </c>
      <c r="AO58">
        <f t="shared" si="61"/>
        <v>4.1290174335543561</v>
      </c>
      <c r="AP58">
        <f t="shared" si="61"/>
        <v>0</v>
      </c>
      <c r="AQ58">
        <f t="shared" si="61"/>
        <v>0</v>
      </c>
      <c r="AR58">
        <f t="shared" si="61"/>
        <v>0</v>
      </c>
      <c r="AS58" s="319">
        <f t="shared" si="62"/>
        <v>4.1290174335543561</v>
      </c>
      <c r="AU58">
        <f t="shared" si="63"/>
        <v>29.10333261323721</v>
      </c>
      <c r="AV58">
        <f t="shared" si="63"/>
        <v>0</v>
      </c>
      <c r="AW58">
        <f t="shared" si="63"/>
        <v>0</v>
      </c>
      <c r="AX58">
        <f t="shared" si="63"/>
        <v>0</v>
      </c>
      <c r="AY58">
        <f t="shared" si="64"/>
        <v>29.10333261323721</v>
      </c>
    </row>
    <row r="59" spans="1:53" ht="15" x14ac:dyDescent="0.25">
      <c r="A59" s="1"/>
      <c r="B59" s="2"/>
      <c r="C59" s="1" t="s">
        <v>10</v>
      </c>
      <c r="D59">
        <v>0</v>
      </c>
      <c r="E59" s="360">
        <v>0.1384</v>
      </c>
      <c r="F59">
        <v>0</v>
      </c>
      <c r="G59">
        <v>0</v>
      </c>
      <c r="H59">
        <v>0</v>
      </c>
      <c r="J59">
        <v>0</v>
      </c>
      <c r="K59" s="14">
        <v>-8.809080921500001E-2</v>
      </c>
      <c r="L59">
        <v>0</v>
      </c>
      <c r="M59">
        <v>0</v>
      </c>
      <c r="N59">
        <v>0</v>
      </c>
      <c r="O59" s="20"/>
      <c r="P59" s="20"/>
      <c r="Q59" s="438">
        <v>0.50909305010388339</v>
      </c>
      <c r="R59" s="197">
        <v>0.33900000000000002</v>
      </c>
      <c r="S59" s="197">
        <v>1.9830000000000001</v>
      </c>
      <c r="T59" s="197">
        <v>0.76146788990825687</v>
      </c>
      <c r="U59" s="197">
        <v>0.76146788990825687</v>
      </c>
      <c r="V59" s="20">
        <f t="shared" si="55"/>
        <v>0.23885424087553958</v>
      </c>
      <c r="W59" s="20">
        <f t="shared" si="55"/>
        <v>0</v>
      </c>
      <c r="X59" s="20">
        <f t="shared" si="55"/>
        <v>0</v>
      </c>
      <c r="Y59" s="20">
        <f t="shared" si="55"/>
        <v>0</v>
      </c>
      <c r="Z59" s="20">
        <f t="shared" si="56"/>
        <v>0.19227782110236635</v>
      </c>
      <c r="AA59" s="20">
        <f t="shared" si="56"/>
        <v>0</v>
      </c>
      <c r="AB59" s="20">
        <f t="shared" si="56"/>
        <v>0</v>
      </c>
      <c r="AC59" s="20">
        <f t="shared" si="56"/>
        <v>0</v>
      </c>
      <c r="AD59" s="20">
        <f t="shared" si="57"/>
        <v>0.19227782110236635</v>
      </c>
      <c r="AE59" s="20">
        <f t="shared" si="58"/>
        <v>1.3971916214047051</v>
      </c>
      <c r="AF59" s="20">
        <f t="shared" si="58"/>
        <v>0</v>
      </c>
      <c r="AG59" s="20">
        <f t="shared" si="58"/>
        <v>0</v>
      </c>
      <c r="AH59" s="20">
        <f t="shared" si="58"/>
        <v>0</v>
      </c>
      <c r="AI59" s="20">
        <f t="shared" si="59"/>
        <v>1.1247401747669394</v>
      </c>
      <c r="AJ59" s="20">
        <f t="shared" si="59"/>
        <v>0</v>
      </c>
      <c r="AK59" s="20">
        <f t="shared" si="59"/>
        <v>0</v>
      </c>
      <c r="AL59" s="20">
        <f t="shared" si="59"/>
        <v>0</v>
      </c>
      <c r="AM59" s="20">
        <f t="shared" si="60"/>
        <v>1.1247401747669394</v>
      </c>
      <c r="AO59">
        <f t="shared" si="61"/>
        <v>0.25173012338721801</v>
      </c>
      <c r="AP59">
        <f t="shared" si="61"/>
        <v>0</v>
      </c>
      <c r="AQ59">
        <f t="shared" si="61"/>
        <v>0</v>
      </c>
      <c r="AR59">
        <f t="shared" si="61"/>
        <v>0</v>
      </c>
      <c r="AS59" s="319">
        <f t="shared" si="62"/>
        <v>0.25173012338721801</v>
      </c>
      <c r="AU59">
        <f t="shared" si="63"/>
        <v>1.472509836804877</v>
      </c>
      <c r="AV59">
        <f t="shared" si="63"/>
        <v>0</v>
      </c>
      <c r="AW59">
        <f t="shared" si="63"/>
        <v>0</v>
      </c>
      <c r="AX59">
        <f t="shared" si="63"/>
        <v>0</v>
      </c>
      <c r="AY59">
        <f t="shared" si="64"/>
        <v>1.472509836804877</v>
      </c>
    </row>
    <row r="60" spans="1:53" ht="15" x14ac:dyDescent="0.25">
      <c r="A60" s="1"/>
      <c r="B60" s="2"/>
      <c r="C60" s="1" t="s">
        <v>11</v>
      </c>
      <c r="D60">
        <v>0</v>
      </c>
      <c r="E60" s="360">
        <v>2.6183000000000001</v>
      </c>
      <c r="F60">
        <v>0</v>
      </c>
      <c r="G60">
        <v>0</v>
      </c>
      <c r="H60">
        <v>0</v>
      </c>
      <c r="J60">
        <v>0</v>
      </c>
      <c r="K60" s="14">
        <v>2.1201244640930001</v>
      </c>
      <c r="L60">
        <v>0</v>
      </c>
      <c r="M60">
        <v>0</v>
      </c>
      <c r="N60">
        <v>0</v>
      </c>
      <c r="O60" s="20"/>
      <c r="P60" s="20"/>
      <c r="Q60" s="438">
        <v>0.52879073347184458</v>
      </c>
      <c r="R60" s="197">
        <v>0.33900000000000002</v>
      </c>
      <c r="S60" s="197">
        <v>1.9830000000000001</v>
      </c>
      <c r="T60" s="197">
        <v>0.76146788990825687</v>
      </c>
      <c r="U60" s="197">
        <v>0.76146788990825687</v>
      </c>
      <c r="V60" s="20">
        <f t="shared" si="55"/>
        <v>2.2906847762422555</v>
      </c>
      <c r="W60" s="20">
        <f t="shared" si="55"/>
        <v>0</v>
      </c>
      <c r="X60" s="20">
        <f t="shared" si="55"/>
        <v>0</v>
      </c>
      <c r="Y60" s="20">
        <f t="shared" si="55"/>
        <v>0</v>
      </c>
      <c r="Z60" s="20">
        <f t="shared" si="56"/>
        <v>1.8440027524473717</v>
      </c>
      <c r="AA60" s="20">
        <f t="shared" si="56"/>
        <v>0</v>
      </c>
      <c r="AB60" s="20">
        <f t="shared" si="56"/>
        <v>0</v>
      </c>
      <c r="AC60" s="20">
        <f t="shared" si="56"/>
        <v>0</v>
      </c>
      <c r="AD60" s="20">
        <f t="shared" si="57"/>
        <v>1.8440027524473717</v>
      </c>
      <c r="AE60" s="20">
        <f t="shared" si="58"/>
        <v>18.098736479073377</v>
      </c>
      <c r="AF60" s="20">
        <f t="shared" si="58"/>
        <v>0</v>
      </c>
      <c r="AG60" s="20">
        <f t="shared" si="58"/>
        <v>0</v>
      </c>
      <c r="AH60" s="20">
        <f t="shared" si="58"/>
        <v>0</v>
      </c>
      <c r="AI60" s="20">
        <f t="shared" si="59"/>
        <v>14.569494777006986</v>
      </c>
      <c r="AJ60" s="20">
        <f t="shared" si="59"/>
        <v>0</v>
      </c>
      <c r="AK60" s="20">
        <f t="shared" si="59"/>
        <v>0</v>
      </c>
      <c r="AL60" s="20">
        <f t="shared" si="59"/>
        <v>0</v>
      </c>
      <c r="AM60" s="20">
        <f t="shared" si="60"/>
        <v>14.569494777006986</v>
      </c>
      <c r="AO60">
        <f t="shared" si="61"/>
        <v>2.4141684035040987</v>
      </c>
      <c r="AP60">
        <f t="shared" si="61"/>
        <v>0</v>
      </c>
      <c r="AQ60">
        <f t="shared" si="61"/>
        <v>0</v>
      </c>
      <c r="AR60">
        <f t="shared" si="61"/>
        <v>0</v>
      </c>
      <c r="AS60" s="319">
        <f t="shared" si="62"/>
        <v>2.4141684035040987</v>
      </c>
      <c r="AU60">
        <f t="shared" si="63"/>
        <v>19.074382562057544</v>
      </c>
      <c r="AV60">
        <f t="shared" si="63"/>
        <v>0</v>
      </c>
      <c r="AW60">
        <f t="shared" si="63"/>
        <v>0</v>
      </c>
      <c r="AX60">
        <f t="shared" si="63"/>
        <v>0</v>
      </c>
      <c r="AY60">
        <f t="shared" si="64"/>
        <v>19.074382562057544</v>
      </c>
    </row>
    <row r="61" spans="1:53" ht="15" x14ac:dyDescent="0.25">
      <c r="A61" s="1"/>
      <c r="B61" s="2"/>
      <c r="C61" s="1" t="s">
        <v>12</v>
      </c>
      <c r="D61">
        <v>0</v>
      </c>
      <c r="E61" s="360">
        <v>0</v>
      </c>
      <c r="F61">
        <v>0</v>
      </c>
      <c r="G61">
        <v>0</v>
      </c>
      <c r="H61">
        <v>0</v>
      </c>
      <c r="J61">
        <v>0</v>
      </c>
      <c r="K61" s="14">
        <v>0</v>
      </c>
      <c r="L61">
        <v>0</v>
      </c>
      <c r="M61">
        <v>0</v>
      </c>
      <c r="N61">
        <v>0</v>
      </c>
      <c r="O61" s="20"/>
      <c r="P61" s="20"/>
      <c r="Q61" s="438"/>
      <c r="R61" s="197">
        <v>0.33900000000000002</v>
      </c>
      <c r="S61" s="197">
        <v>1.9830000000000001</v>
      </c>
      <c r="T61" s="197">
        <v>0.76146788990825687</v>
      </c>
      <c r="U61" s="197">
        <v>0.76146788990825687</v>
      </c>
      <c r="V61" s="20">
        <f t="shared" si="55"/>
        <v>0</v>
      </c>
      <c r="W61" s="20">
        <f t="shared" si="55"/>
        <v>0</v>
      </c>
      <c r="X61" s="20">
        <f t="shared" si="55"/>
        <v>0</v>
      </c>
      <c r="Y61" s="20">
        <f t="shared" si="55"/>
        <v>0</v>
      </c>
      <c r="Z61" s="20">
        <f t="shared" si="56"/>
        <v>0</v>
      </c>
      <c r="AA61" s="20">
        <f t="shared" si="56"/>
        <v>0</v>
      </c>
      <c r="AB61" s="20">
        <f t="shared" si="56"/>
        <v>0</v>
      </c>
      <c r="AC61" s="20">
        <f t="shared" si="56"/>
        <v>0</v>
      </c>
      <c r="AD61" s="20">
        <f t="shared" si="57"/>
        <v>0</v>
      </c>
      <c r="AE61" s="20">
        <f t="shared" si="58"/>
        <v>0</v>
      </c>
      <c r="AF61" s="20">
        <f t="shared" si="58"/>
        <v>0</v>
      </c>
      <c r="AG61" s="20">
        <f t="shared" si="58"/>
        <v>0</v>
      </c>
      <c r="AH61" s="20">
        <f t="shared" si="58"/>
        <v>0</v>
      </c>
      <c r="AI61" s="20">
        <f t="shared" si="59"/>
        <v>0</v>
      </c>
      <c r="AJ61" s="20">
        <f t="shared" si="59"/>
        <v>0</v>
      </c>
      <c r="AK61" s="20">
        <f t="shared" si="59"/>
        <v>0</v>
      </c>
      <c r="AL61" s="20">
        <f t="shared" si="59"/>
        <v>0</v>
      </c>
      <c r="AM61" s="20">
        <f t="shared" si="60"/>
        <v>0</v>
      </c>
      <c r="AO61">
        <f t="shared" si="61"/>
        <v>0</v>
      </c>
      <c r="AP61">
        <f t="shared" si="61"/>
        <v>0</v>
      </c>
      <c r="AQ61">
        <f t="shared" si="61"/>
        <v>0</v>
      </c>
      <c r="AR61">
        <f t="shared" si="61"/>
        <v>0</v>
      </c>
      <c r="AS61" s="319">
        <f t="shared" si="62"/>
        <v>0</v>
      </c>
      <c r="AU61">
        <f t="shared" si="63"/>
        <v>0</v>
      </c>
      <c r="AV61">
        <f t="shared" si="63"/>
        <v>0</v>
      </c>
      <c r="AW61">
        <f t="shared" si="63"/>
        <v>0</v>
      </c>
      <c r="AX61">
        <f t="shared" si="63"/>
        <v>0</v>
      </c>
      <c r="AY61">
        <f t="shared" si="64"/>
        <v>0</v>
      </c>
    </row>
    <row r="62" spans="1:53" ht="15" x14ac:dyDescent="0.25">
      <c r="A62" s="1"/>
      <c r="B62" s="2"/>
      <c r="C62" s="1" t="s">
        <v>13</v>
      </c>
      <c r="D62">
        <v>0</v>
      </c>
      <c r="E62" s="360">
        <v>1.4E-3</v>
      </c>
      <c r="F62">
        <v>0</v>
      </c>
      <c r="G62">
        <v>0</v>
      </c>
      <c r="H62">
        <v>0</v>
      </c>
      <c r="J62">
        <v>0</v>
      </c>
      <c r="K62" s="14">
        <v>1.4E-3</v>
      </c>
      <c r="L62">
        <v>0</v>
      </c>
      <c r="M62">
        <v>0</v>
      </c>
      <c r="N62">
        <v>0</v>
      </c>
      <c r="O62" s="20"/>
      <c r="P62" s="20"/>
      <c r="Q62" s="438">
        <v>0.52879073347184447</v>
      </c>
      <c r="R62" s="197">
        <v>0.33900000000000002</v>
      </c>
      <c r="S62" s="197">
        <v>1.9830000000000001</v>
      </c>
      <c r="T62" s="197">
        <v>0.76146788990825687</v>
      </c>
      <c r="U62" s="197">
        <v>0.76146788990825687</v>
      </c>
      <c r="V62" s="20">
        <f t="shared" si="55"/>
        <v>9.2292554466226093E-4</v>
      </c>
      <c r="W62" s="20">
        <f t="shared" si="55"/>
        <v>0</v>
      </c>
      <c r="X62" s="20">
        <f t="shared" si="55"/>
        <v>0</v>
      </c>
      <c r="Y62" s="20">
        <f t="shared" si="55"/>
        <v>0</v>
      </c>
      <c r="Z62" s="20">
        <f t="shared" si="56"/>
        <v>7.4295567085971392E-4</v>
      </c>
      <c r="AA62" s="20">
        <f t="shared" si="56"/>
        <v>0</v>
      </c>
      <c r="AB62" s="20">
        <f t="shared" si="56"/>
        <v>0</v>
      </c>
      <c r="AC62" s="20">
        <f t="shared" si="56"/>
        <v>0</v>
      </c>
      <c r="AD62" s="20">
        <f t="shared" si="57"/>
        <v>7.4295567085971392E-4</v>
      </c>
      <c r="AE62" s="20">
        <f t="shared" si="58"/>
        <v>8.5017982970387648E-3</v>
      </c>
      <c r="AF62" s="20">
        <f t="shared" si="58"/>
        <v>0</v>
      </c>
      <c r="AG62" s="20">
        <f t="shared" si="58"/>
        <v>0</v>
      </c>
      <c r="AH62" s="20">
        <f t="shared" si="58"/>
        <v>0</v>
      </c>
      <c r="AI62" s="20">
        <f t="shared" si="59"/>
        <v>6.8439532244195054E-3</v>
      </c>
      <c r="AJ62" s="20">
        <f t="shared" si="59"/>
        <v>0</v>
      </c>
      <c r="AK62" s="20">
        <f t="shared" si="59"/>
        <v>0</v>
      </c>
      <c r="AL62" s="20">
        <f t="shared" si="59"/>
        <v>0</v>
      </c>
      <c r="AM62" s="20">
        <f t="shared" si="60"/>
        <v>6.8439532244195054E-3</v>
      </c>
      <c r="AO62">
        <f t="shared" si="61"/>
        <v>9.7267756428953743E-4</v>
      </c>
      <c r="AP62">
        <f t="shared" si="61"/>
        <v>0</v>
      </c>
      <c r="AQ62">
        <f t="shared" si="61"/>
        <v>0</v>
      </c>
      <c r="AR62">
        <f t="shared" si="61"/>
        <v>0</v>
      </c>
      <c r="AS62" s="319">
        <f t="shared" si="62"/>
        <v>9.7267756428953743E-4</v>
      </c>
      <c r="AU62">
        <f t="shared" si="63"/>
        <v>8.9601035614100162E-3</v>
      </c>
      <c r="AV62">
        <f t="shared" si="63"/>
        <v>0</v>
      </c>
      <c r="AW62">
        <f t="shared" si="63"/>
        <v>0</v>
      </c>
      <c r="AX62">
        <f t="shared" si="63"/>
        <v>0</v>
      </c>
      <c r="AY62">
        <f t="shared" si="64"/>
        <v>8.9601035614100162E-3</v>
      </c>
    </row>
    <row r="63" spans="1:53" ht="15" x14ac:dyDescent="0.25">
      <c r="A63" s="7"/>
      <c r="B63" s="8" t="s">
        <v>14</v>
      </c>
      <c r="C63" s="7"/>
      <c r="D63" s="357">
        <f t="shared" ref="D63:H63" si="65">SUM(D57:D62)</f>
        <v>0</v>
      </c>
      <c r="E63" s="363">
        <f>SUM(E57:E62)</f>
        <v>18.565100000000001</v>
      </c>
      <c r="F63" s="357">
        <f t="shared" si="65"/>
        <v>0</v>
      </c>
      <c r="G63" s="357">
        <f t="shared" si="65"/>
        <v>0</v>
      </c>
      <c r="H63" s="357">
        <f t="shared" si="65"/>
        <v>0</v>
      </c>
      <c r="J63">
        <v>0</v>
      </c>
      <c r="K63" s="14">
        <v>16.231872926109002</v>
      </c>
      <c r="L63">
        <v>0</v>
      </c>
      <c r="M63">
        <v>0</v>
      </c>
      <c r="N63">
        <v>0</v>
      </c>
      <c r="O63" s="20"/>
      <c r="P63" s="20"/>
      <c r="Q63" s="438">
        <v>0.48237150670307005</v>
      </c>
      <c r="R63" s="197"/>
      <c r="S63" s="197"/>
      <c r="T63" s="197"/>
      <c r="U63" s="197"/>
      <c r="AS63" s="319"/>
      <c r="BA63" s="319">
        <f>(E63*10000*Q63*AU$10)</f>
        <v>117242.46369204772</v>
      </c>
    </row>
    <row r="64" spans="1:53" ht="15" x14ac:dyDescent="0.25">
      <c r="A64" s="10"/>
      <c r="B64" s="9" t="s">
        <v>15</v>
      </c>
      <c r="C64" s="5"/>
      <c r="E64" s="363">
        <f>SUM(E63)</f>
        <v>18.565100000000001</v>
      </c>
      <c r="H64" s="358">
        <f>SUM(D63:H63)</f>
        <v>18.565100000000001</v>
      </c>
      <c r="K64" s="14"/>
      <c r="N64">
        <v>0</v>
      </c>
      <c r="O64" s="20"/>
      <c r="P64" s="20"/>
      <c r="Q64" s="438"/>
      <c r="R64" s="197"/>
      <c r="S64" s="197"/>
      <c r="T64" s="197"/>
      <c r="U64" s="197"/>
      <c r="AS64" s="319"/>
    </row>
    <row r="65" spans="1:53" ht="15.75" x14ac:dyDescent="0.25">
      <c r="A65" s="3"/>
      <c r="B65" s="11"/>
      <c r="C65" s="3"/>
      <c r="E65" s="361"/>
      <c r="K65" s="14"/>
      <c r="O65" s="20"/>
      <c r="P65" s="20"/>
      <c r="Q65" s="439"/>
      <c r="R65" s="197"/>
      <c r="S65" s="197"/>
      <c r="T65" s="197"/>
      <c r="U65" s="197"/>
      <c r="AS65" s="319"/>
    </row>
    <row r="66" spans="1:53" ht="15" x14ac:dyDescent="0.25">
      <c r="A66" s="3">
        <v>7</v>
      </c>
      <c r="B66" s="11" t="s">
        <v>21</v>
      </c>
      <c r="C66" s="3" t="s">
        <v>8</v>
      </c>
      <c r="D66">
        <v>0</v>
      </c>
      <c r="E66" s="360">
        <v>6.2215999999999996</v>
      </c>
      <c r="F66">
        <v>0</v>
      </c>
      <c r="G66">
        <v>0</v>
      </c>
      <c r="H66">
        <v>0</v>
      </c>
      <c r="J66">
        <v>0</v>
      </c>
      <c r="K66" s="14">
        <v>3.0276691686005992</v>
      </c>
      <c r="L66">
        <v>0</v>
      </c>
      <c r="M66">
        <v>0</v>
      </c>
      <c r="N66">
        <v>0</v>
      </c>
      <c r="O66" s="20"/>
      <c r="P66" s="20"/>
      <c r="Q66" s="438">
        <v>4.8001413068563016E-2</v>
      </c>
      <c r="R66" s="197">
        <v>0.15</v>
      </c>
      <c r="S66" s="197">
        <v>1.18</v>
      </c>
      <c r="T66" s="197">
        <v>0.46666666666666673</v>
      </c>
      <c r="U66" s="197">
        <v>0.6566321730950142</v>
      </c>
      <c r="V66" s="20">
        <f t="shared" ref="V66:Y71" si="66">IF(K66&gt;0,((E66-K66)*$Q66*$R66*10)+(K66*$O$12*$Q66*$R66*10),(E66*$Q66*$R66*10))</f>
        <v>0.31013921984216897</v>
      </c>
      <c r="W66" s="20">
        <f t="shared" si="66"/>
        <v>0</v>
      </c>
      <c r="X66" s="20">
        <f t="shared" si="66"/>
        <v>0</v>
      </c>
      <c r="Y66" s="20">
        <f t="shared" si="66"/>
        <v>0</v>
      </c>
      <c r="Z66" s="20">
        <f t="shared" ref="Z66:AC71" si="67">V66*(EXP(1.01-0.34*LN(Z$8))*(1-$T66)+(1*$T66))</f>
        <v>0.17491897636551859</v>
      </c>
      <c r="AA66" s="20">
        <f t="shared" si="67"/>
        <v>0</v>
      </c>
      <c r="AB66" s="20">
        <f t="shared" si="67"/>
        <v>0</v>
      </c>
      <c r="AC66" s="20">
        <f t="shared" si="67"/>
        <v>0</v>
      </c>
      <c r="AD66" s="20">
        <f t="shared" ref="AD66:AD71" si="68">SUM(Z66:AC66)</f>
        <v>0.17491897636551859</v>
      </c>
      <c r="AE66" s="20">
        <f t="shared" ref="AE66:AH71" si="69">IF(K66&gt;0,((E66-K66)*$Q66*$S66*10)+(K66*$P$12*$Q66*$S66)*10,(E66*$Q66*$S66*10))</f>
        <v>2.8022589712443846</v>
      </c>
      <c r="AF66" s="20">
        <f t="shared" si="69"/>
        <v>0</v>
      </c>
      <c r="AG66" s="20">
        <f t="shared" si="69"/>
        <v>0</v>
      </c>
      <c r="AH66" s="20">
        <f t="shared" si="69"/>
        <v>0</v>
      </c>
      <c r="AI66" s="20">
        <f t="shared" ref="AI66:AL71" si="70">AE66*(EXP(1.01-0.34*LN(AI$8))*(1-$U66)+(1*$U66))</f>
        <v>2.0156585698177656</v>
      </c>
      <c r="AJ66" s="20">
        <f t="shared" si="70"/>
        <v>0</v>
      </c>
      <c r="AK66" s="20">
        <f t="shared" si="70"/>
        <v>0</v>
      </c>
      <c r="AL66" s="20">
        <f t="shared" si="70"/>
        <v>0</v>
      </c>
      <c r="AM66" s="20">
        <f t="shared" ref="AM66:AM71" si="71">SUM(AI66:AL66)</f>
        <v>2.0156585698177656</v>
      </c>
      <c r="AO66">
        <f t="shared" ref="AO66:AR71" si="72">Z66*AO$10</f>
        <v>0.22900392385773694</v>
      </c>
      <c r="AP66">
        <f t="shared" si="72"/>
        <v>0</v>
      </c>
      <c r="AQ66">
        <f t="shared" si="72"/>
        <v>0</v>
      </c>
      <c r="AR66">
        <f t="shared" si="72"/>
        <v>0</v>
      </c>
      <c r="AS66" s="319">
        <f t="shared" ref="AS66:AS71" si="73">SUM(AO66:AR66)</f>
        <v>0.22900392385773694</v>
      </c>
      <c r="AU66">
        <f t="shared" ref="AU66:AX71" si="74">AI66*AU$10</f>
        <v>2.6389001996054184</v>
      </c>
      <c r="AV66">
        <f t="shared" si="74"/>
        <v>0</v>
      </c>
      <c r="AW66">
        <f t="shared" si="74"/>
        <v>0</v>
      </c>
      <c r="AX66">
        <f t="shared" si="74"/>
        <v>0</v>
      </c>
      <c r="AY66">
        <f t="shared" ref="AY66:AY71" si="75">SUM(AU66:AX66)</f>
        <v>2.6389001996054184</v>
      </c>
    </row>
    <row r="67" spans="1:53" ht="15" x14ac:dyDescent="0.25">
      <c r="A67" s="3"/>
      <c r="B67" s="11"/>
      <c r="C67" s="3" t="s">
        <v>9</v>
      </c>
      <c r="D67">
        <v>0</v>
      </c>
      <c r="E67" s="360">
        <v>3.8833000000000002</v>
      </c>
      <c r="F67">
        <v>0</v>
      </c>
      <c r="G67">
        <v>0</v>
      </c>
      <c r="H67">
        <v>0</v>
      </c>
      <c r="J67">
        <v>0</v>
      </c>
      <c r="K67" s="14">
        <v>-24.426011909499998</v>
      </c>
      <c r="L67">
        <v>0</v>
      </c>
      <c r="M67">
        <v>0</v>
      </c>
      <c r="N67">
        <v>0</v>
      </c>
      <c r="O67" s="20"/>
      <c r="P67" s="20"/>
      <c r="Q67" s="438">
        <v>8.7002826137126038E-2</v>
      </c>
      <c r="R67" s="197">
        <v>0.15</v>
      </c>
      <c r="S67" s="197">
        <v>1.18</v>
      </c>
      <c r="T67" s="197">
        <v>0.46666666666666673</v>
      </c>
      <c r="U67" s="197">
        <v>0.6566321730950142</v>
      </c>
      <c r="V67" s="20">
        <f t="shared" si="66"/>
        <v>0.50678711210745231</v>
      </c>
      <c r="W67" s="20">
        <f t="shared" si="66"/>
        <v>0</v>
      </c>
      <c r="X67" s="20">
        <f t="shared" si="66"/>
        <v>0</v>
      </c>
      <c r="Y67" s="20">
        <f t="shared" si="66"/>
        <v>0</v>
      </c>
      <c r="Z67" s="20">
        <f t="shared" si="67"/>
        <v>0.28582867697347503</v>
      </c>
      <c r="AA67" s="20">
        <f t="shared" si="67"/>
        <v>0</v>
      </c>
      <c r="AB67" s="20">
        <f t="shared" si="67"/>
        <v>0</v>
      </c>
      <c r="AC67" s="20">
        <f t="shared" si="67"/>
        <v>0</v>
      </c>
      <c r="AD67" s="20">
        <f t="shared" si="68"/>
        <v>0.28582867697347503</v>
      </c>
      <c r="AE67" s="20">
        <f t="shared" si="69"/>
        <v>3.9867252819119581</v>
      </c>
      <c r="AF67" s="20">
        <f t="shared" si="69"/>
        <v>0</v>
      </c>
      <c r="AG67" s="20">
        <f t="shared" si="69"/>
        <v>0</v>
      </c>
      <c r="AH67" s="20">
        <f t="shared" si="69"/>
        <v>0</v>
      </c>
      <c r="AI67" s="20">
        <f t="shared" si="70"/>
        <v>2.8676425207148273</v>
      </c>
      <c r="AJ67" s="20">
        <f t="shared" si="70"/>
        <v>0</v>
      </c>
      <c r="AK67" s="20">
        <f t="shared" si="70"/>
        <v>0</v>
      </c>
      <c r="AL67" s="20">
        <f t="shared" si="70"/>
        <v>0</v>
      </c>
      <c r="AM67" s="20">
        <f t="shared" si="71"/>
        <v>2.8676425207148273</v>
      </c>
      <c r="AO67">
        <f t="shared" si="72"/>
        <v>0.3742069038936735</v>
      </c>
      <c r="AP67">
        <f t="shared" si="72"/>
        <v>0</v>
      </c>
      <c r="AQ67">
        <f t="shared" si="72"/>
        <v>0</v>
      </c>
      <c r="AR67">
        <f t="shared" si="72"/>
        <v>0</v>
      </c>
      <c r="AS67" s="319">
        <f t="shared" si="73"/>
        <v>0.3742069038936735</v>
      </c>
      <c r="AU67">
        <f t="shared" si="74"/>
        <v>3.7543175881198518</v>
      </c>
      <c r="AV67">
        <f t="shared" si="74"/>
        <v>0</v>
      </c>
      <c r="AW67">
        <f t="shared" si="74"/>
        <v>0</v>
      </c>
      <c r="AX67">
        <f t="shared" si="74"/>
        <v>0</v>
      </c>
      <c r="AY67">
        <f t="shared" si="75"/>
        <v>3.7543175881198518</v>
      </c>
    </row>
    <row r="68" spans="1:53" ht="15" x14ac:dyDescent="0.25">
      <c r="A68" s="3"/>
      <c r="B68" s="11"/>
      <c r="C68" s="3" t="s">
        <v>10</v>
      </c>
      <c r="D68">
        <v>0</v>
      </c>
      <c r="E68" s="360">
        <v>0</v>
      </c>
      <c r="F68">
        <v>0</v>
      </c>
      <c r="G68">
        <v>0</v>
      </c>
      <c r="H68">
        <v>0</v>
      </c>
      <c r="J68">
        <v>0</v>
      </c>
      <c r="K68" s="14">
        <v>0</v>
      </c>
      <c r="L68">
        <v>0</v>
      </c>
      <c r="M68">
        <v>0</v>
      </c>
      <c r="N68">
        <v>0</v>
      </c>
      <c r="O68" s="20"/>
      <c r="P68" s="20"/>
      <c r="Q68" s="438"/>
      <c r="R68" s="197">
        <v>0.15</v>
      </c>
      <c r="S68" s="197">
        <v>1.18</v>
      </c>
      <c r="T68" s="197">
        <v>0.46666666666666673</v>
      </c>
      <c r="U68" s="197">
        <v>0.6566321730950142</v>
      </c>
      <c r="V68" s="20">
        <f t="shared" si="66"/>
        <v>0</v>
      </c>
      <c r="W68" s="20">
        <f t="shared" si="66"/>
        <v>0</v>
      </c>
      <c r="X68" s="20">
        <f t="shared" si="66"/>
        <v>0</v>
      </c>
      <c r="Y68" s="20">
        <f t="shared" si="66"/>
        <v>0</v>
      </c>
      <c r="Z68" s="20">
        <f t="shared" si="67"/>
        <v>0</v>
      </c>
      <c r="AA68" s="20">
        <f t="shared" si="67"/>
        <v>0</v>
      </c>
      <c r="AB68" s="20">
        <f t="shared" si="67"/>
        <v>0</v>
      </c>
      <c r="AC68" s="20">
        <f t="shared" si="67"/>
        <v>0</v>
      </c>
      <c r="AD68" s="20">
        <f t="shared" si="68"/>
        <v>0</v>
      </c>
      <c r="AE68" s="20">
        <f t="shared" si="69"/>
        <v>0</v>
      </c>
      <c r="AF68" s="20">
        <f t="shared" si="69"/>
        <v>0</v>
      </c>
      <c r="AG68" s="20">
        <f t="shared" si="69"/>
        <v>0</v>
      </c>
      <c r="AH68" s="20">
        <f t="shared" si="69"/>
        <v>0</v>
      </c>
      <c r="AI68" s="20">
        <f t="shared" si="70"/>
        <v>0</v>
      </c>
      <c r="AJ68" s="20">
        <f t="shared" si="70"/>
        <v>0</v>
      </c>
      <c r="AK68" s="20">
        <f t="shared" si="70"/>
        <v>0</v>
      </c>
      <c r="AL68" s="20">
        <f t="shared" si="70"/>
        <v>0</v>
      </c>
      <c r="AM68" s="20">
        <f t="shared" si="71"/>
        <v>0</v>
      </c>
      <c r="AO68">
        <f t="shared" si="72"/>
        <v>0</v>
      </c>
      <c r="AP68">
        <f t="shared" si="72"/>
        <v>0</v>
      </c>
      <c r="AQ68">
        <f t="shared" si="72"/>
        <v>0</v>
      </c>
      <c r="AR68">
        <f t="shared" si="72"/>
        <v>0</v>
      </c>
      <c r="AS68" s="319">
        <f t="shared" si="73"/>
        <v>0</v>
      </c>
      <c r="AU68">
        <f t="shared" si="74"/>
        <v>0</v>
      </c>
      <c r="AV68">
        <f t="shared" si="74"/>
        <v>0</v>
      </c>
      <c r="AW68">
        <f t="shared" si="74"/>
        <v>0</v>
      </c>
      <c r="AX68">
        <f t="shared" si="74"/>
        <v>0</v>
      </c>
      <c r="AY68">
        <f t="shared" si="75"/>
        <v>0</v>
      </c>
    </row>
    <row r="69" spans="1:53" ht="15" x14ac:dyDescent="0.25">
      <c r="A69" s="3"/>
      <c r="B69" s="11"/>
      <c r="C69" s="3" t="s">
        <v>11</v>
      </c>
      <c r="D69">
        <v>0</v>
      </c>
      <c r="E69" s="360">
        <v>0.13730000000000001</v>
      </c>
      <c r="F69">
        <v>0</v>
      </c>
      <c r="G69">
        <v>0</v>
      </c>
      <c r="H69">
        <v>0</v>
      </c>
      <c r="J69">
        <v>0</v>
      </c>
      <c r="K69" s="14">
        <v>-0.29315512371429997</v>
      </c>
      <c r="L69">
        <v>0</v>
      </c>
      <c r="M69">
        <v>0</v>
      </c>
      <c r="N69">
        <v>0</v>
      </c>
      <c r="O69" s="20"/>
      <c r="P69" s="20"/>
      <c r="Q69" s="438">
        <v>0.16500565227425204</v>
      </c>
      <c r="R69" s="197">
        <v>0.15</v>
      </c>
      <c r="S69" s="197">
        <v>1.18</v>
      </c>
      <c r="T69" s="197">
        <v>0.46666666666666673</v>
      </c>
      <c r="U69" s="197">
        <v>0.6566321730950142</v>
      </c>
      <c r="V69" s="20">
        <f t="shared" si="66"/>
        <v>3.3982914085882207E-2</v>
      </c>
      <c r="W69" s="20">
        <f t="shared" si="66"/>
        <v>0</v>
      </c>
      <c r="X69" s="20">
        <f t="shared" si="66"/>
        <v>0</v>
      </c>
      <c r="Y69" s="20">
        <f t="shared" si="66"/>
        <v>0</v>
      </c>
      <c r="Z69" s="20">
        <f t="shared" si="67"/>
        <v>1.9166413550807712E-2</v>
      </c>
      <c r="AA69" s="20">
        <f t="shared" si="67"/>
        <v>0</v>
      </c>
      <c r="AB69" s="20">
        <f t="shared" si="67"/>
        <v>0</v>
      </c>
      <c r="AC69" s="20">
        <f t="shared" si="67"/>
        <v>0</v>
      </c>
      <c r="AD69" s="20">
        <f t="shared" si="68"/>
        <v>1.9166413550807712E-2</v>
      </c>
      <c r="AE69" s="20">
        <f t="shared" si="69"/>
        <v>0.26733225747560674</v>
      </c>
      <c r="AF69" s="20">
        <f t="shared" si="69"/>
        <v>0</v>
      </c>
      <c r="AG69" s="20">
        <f t="shared" si="69"/>
        <v>0</v>
      </c>
      <c r="AH69" s="20">
        <f t="shared" si="69"/>
        <v>0</v>
      </c>
      <c r="AI69" s="20">
        <f t="shared" si="70"/>
        <v>0.19229149100739665</v>
      </c>
      <c r="AJ69" s="20">
        <f t="shared" si="70"/>
        <v>0</v>
      </c>
      <c r="AK69" s="20">
        <f t="shared" si="70"/>
        <v>0</v>
      </c>
      <c r="AL69" s="20">
        <f t="shared" si="70"/>
        <v>0</v>
      </c>
      <c r="AM69" s="20">
        <f t="shared" si="71"/>
        <v>0.19229149100739665</v>
      </c>
      <c r="AO69">
        <f t="shared" si="72"/>
        <v>2.5092668620717455E-2</v>
      </c>
      <c r="AP69">
        <f t="shared" si="72"/>
        <v>0</v>
      </c>
      <c r="AQ69">
        <f t="shared" si="72"/>
        <v>0</v>
      </c>
      <c r="AR69">
        <f t="shared" si="72"/>
        <v>0</v>
      </c>
      <c r="AS69" s="319">
        <f t="shared" si="73"/>
        <v>2.5092668620717455E-2</v>
      </c>
      <c r="AU69">
        <f t="shared" si="74"/>
        <v>0.25174802002688368</v>
      </c>
      <c r="AV69">
        <f t="shared" si="74"/>
        <v>0</v>
      </c>
      <c r="AW69">
        <f t="shared" si="74"/>
        <v>0</v>
      </c>
      <c r="AX69">
        <f t="shared" si="74"/>
        <v>0</v>
      </c>
      <c r="AY69">
        <f t="shared" si="75"/>
        <v>0.25174802002688368</v>
      </c>
    </row>
    <row r="70" spans="1:53" ht="15" x14ac:dyDescent="0.25">
      <c r="A70" s="3"/>
      <c r="B70" s="12"/>
      <c r="C70" s="3" t="s">
        <v>12</v>
      </c>
      <c r="D70">
        <v>0</v>
      </c>
      <c r="E70" s="360">
        <v>0</v>
      </c>
      <c r="F70">
        <v>0</v>
      </c>
      <c r="G70">
        <v>0</v>
      </c>
      <c r="H70">
        <v>0</v>
      </c>
      <c r="J70">
        <v>0</v>
      </c>
      <c r="K70" s="14">
        <v>0</v>
      </c>
      <c r="L70">
        <v>0</v>
      </c>
      <c r="M70">
        <v>0</v>
      </c>
      <c r="N70">
        <v>0</v>
      </c>
      <c r="O70" s="20"/>
      <c r="P70" s="20"/>
      <c r="Q70" s="438"/>
      <c r="R70" s="197">
        <v>0.15</v>
      </c>
      <c r="S70" s="197">
        <v>1.18</v>
      </c>
      <c r="T70" s="197">
        <v>0.46666666666666673</v>
      </c>
      <c r="U70" s="197">
        <v>0.6566321730950142</v>
      </c>
      <c r="V70" s="20">
        <f t="shared" si="66"/>
        <v>0</v>
      </c>
      <c r="W70" s="20">
        <f t="shared" si="66"/>
        <v>0</v>
      </c>
      <c r="X70" s="20">
        <f t="shared" si="66"/>
        <v>0</v>
      </c>
      <c r="Y70" s="20">
        <f t="shared" si="66"/>
        <v>0</v>
      </c>
      <c r="Z70" s="20">
        <f t="shared" si="67"/>
        <v>0</v>
      </c>
      <c r="AA70" s="20">
        <f t="shared" si="67"/>
        <v>0</v>
      </c>
      <c r="AB70" s="20">
        <f t="shared" si="67"/>
        <v>0</v>
      </c>
      <c r="AC70" s="20">
        <f t="shared" si="67"/>
        <v>0</v>
      </c>
      <c r="AD70" s="20">
        <f t="shared" si="68"/>
        <v>0</v>
      </c>
      <c r="AE70" s="20">
        <f t="shared" si="69"/>
        <v>0</v>
      </c>
      <c r="AF70" s="20">
        <f t="shared" si="69"/>
        <v>0</v>
      </c>
      <c r="AG70" s="20">
        <f t="shared" si="69"/>
        <v>0</v>
      </c>
      <c r="AH70" s="20">
        <f t="shared" si="69"/>
        <v>0</v>
      </c>
      <c r="AI70" s="20">
        <f t="shared" si="70"/>
        <v>0</v>
      </c>
      <c r="AJ70" s="20">
        <f t="shared" si="70"/>
        <v>0</v>
      </c>
      <c r="AK70" s="20">
        <f t="shared" si="70"/>
        <v>0</v>
      </c>
      <c r="AL70" s="20">
        <f t="shared" si="70"/>
        <v>0</v>
      </c>
      <c r="AM70" s="20">
        <f t="shared" si="71"/>
        <v>0</v>
      </c>
      <c r="AO70">
        <f t="shared" si="72"/>
        <v>0</v>
      </c>
      <c r="AP70">
        <f t="shared" si="72"/>
        <v>0</v>
      </c>
      <c r="AQ70">
        <f t="shared" si="72"/>
        <v>0</v>
      </c>
      <c r="AR70">
        <f t="shared" si="72"/>
        <v>0</v>
      </c>
      <c r="AS70" s="319">
        <f t="shared" si="73"/>
        <v>0</v>
      </c>
      <c r="AU70">
        <f t="shared" si="74"/>
        <v>0</v>
      </c>
      <c r="AV70">
        <f t="shared" si="74"/>
        <v>0</v>
      </c>
      <c r="AW70">
        <f t="shared" si="74"/>
        <v>0</v>
      </c>
      <c r="AX70">
        <f t="shared" si="74"/>
        <v>0</v>
      </c>
      <c r="AY70">
        <f t="shared" si="75"/>
        <v>0</v>
      </c>
    </row>
    <row r="71" spans="1:53" ht="15" x14ac:dyDescent="0.25">
      <c r="A71" s="3"/>
      <c r="B71" s="12"/>
      <c r="C71" s="3" t="s">
        <v>13</v>
      </c>
      <c r="D71">
        <v>0</v>
      </c>
      <c r="E71" s="360">
        <v>0</v>
      </c>
      <c r="F71">
        <v>0</v>
      </c>
      <c r="G71">
        <v>0</v>
      </c>
      <c r="H71">
        <v>0</v>
      </c>
      <c r="J71">
        <v>0</v>
      </c>
      <c r="K71" s="14">
        <v>-3.8476341248699999</v>
      </c>
      <c r="L71">
        <v>0</v>
      </c>
      <c r="M71">
        <v>0</v>
      </c>
      <c r="N71">
        <v>0</v>
      </c>
      <c r="O71" s="20"/>
      <c r="P71" s="20"/>
      <c r="Q71" s="438"/>
      <c r="R71" s="197">
        <v>0.15</v>
      </c>
      <c r="S71" s="197">
        <v>1.18</v>
      </c>
      <c r="T71" s="197">
        <v>0.46666666666666673</v>
      </c>
      <c r="U71" s="197">
        <v>0.6566321730950142</v>
      </c>
      <c r="V71" s="20">
        <f t="shared" si="66"/>
        <v>0</v>
      </c>
      <c r="W71" s="20">
        <f t="shared" si="66"/>
        <v>0</v>
      </c>
      <c r="X71" s="20">
        <f t="shared" si="66"/>
        <v>0</v>
      </c>
      <c r="Y71" s="20">
        <f t="shared" si="66"/>
        <v>0</v>
      </c>
      <c r="Z71" s="20">
        <f t="shared" si="67"/>
        <v>0</v>
      </c>
      <c r="AA71" s="20">
        <f t="shared" si="67"/>
        <v>0</v>
      </c>
      <c r="AB71" s="20">
        <f t="shared" si="67"/>
        <v>0</v>
      </c>
      <c r="AC71" s="20">
        <f t="shared" si="67"/>
        <v>0</v>
      </c>
      <c r="AD71" s="20">
        <f t="shared" si="68"/>
        <v>0</v>
      </c>
      <c r="AE71" s="20">
        <f t="shared" si="69"/>
        <v>0</v>
      </c>
      <c r="AF71" s="20">
        <f t="shared" si="69"/>
        <v>0</v>
      </c>
      <c r="AG71" s="20">
        <f t="shared" si="69"/>
        <v>0</v>
      </c>
      <c r="AH71" s="20">
        <f t="shared" si="69"/>
        <v>0</v>
      </c>
      <c r="AI71" s="20">
        <f t="shared" si="70"/>
        <v>0</v>
      </c>
      <c r="AJ71" s="20">
        <f t="shared" si="70"/>
        <v>0</v>
      </c>
      <c r="AK71" s="20">
        <f t="shared" si="70"/>
        <v>0</v>
      </c>
      <c r="AL71" s="20">
        <f t="shared" si="70"/>
        <v>0</v>
      </c>
      <c r="AM71" s="20">
        <f t="shared" si="71"/>
        <v>0</v>
      </c>
      <c r="AO71">
        <f t="shared" si="72"/>
        <v>0</v>
      </c>
      <c r="AP71">
        <f t="shared" si="72"/>
        <v>0</v>
      </c>
      <c r="AQ71">
        <f t="shared" si="72"/>
        <v>0</v>
      </c>
      <c r="AR71">
        <f t="shared" si="72"/>
        <v>0</v>
      </c>
      <c r="AS71" s="319">
        <f t="shared" si="73"/>
        <v>0</v>
      </c>
      <c r="AU71">
        <f t="shared" si="74"/>
        <v>0</v>
      </c>
      <c r="AV71">
        <f t="shared" si="74"/>
        <v>0</v>
      </c>
      <c r="AW71">
        <f t="shared" si="74"/>
        <v>0</v>
      </c>
      <c r="AX71">
        <f t="shared" si="74"/>
        <v>0</v>
      </c>
      <c r="AY71">
        <f t="shared" si="75"/>
        <v>0</v>
      </c>
    </row>
    <row r="72" spans="1:53" ht="15" x14ac:dyDescent="0.25">
      <c r="A72" s="7"/>
      <c r="B72" s="8" t="s">
        <v>14</v>
      </c>
      <c r="C72" s="7"/>
      <c r="D72" s="357">
        <f t="shared" ref="D72:H72" si="76">SUM(D66:D71)</f>
        <v>0</v>
      </c>
      <c r="E72" s="363">
        <f>SUM(E66:E71)</f>
        <v>10.2422</v>
      </c>
      <c r="F72" s="357">
        <f t="shared" si="76"/>
        <v>0</v>
      </c>
      <c r="G72" s="357">
        <f t="shared" si="76"/>
        <v>0</v>
      </c>
      <c r="H72" s="357">
        <f t="shared" si="76"/>
        <v>0</v>
      </c>
      <c r="J72">
        <v>0</v>
      </c>
      <c r="K72" s="14">
        <v>-25.539131989483696</v>
      </c>
      <c r="L72">
        <v>0</v>
      </c>
      <c r="M72">
        <v>0</v>
      </c>
      <c r="N72">
        <v>0</v>
      </c>
      <c r="O72" s="20"/>
      <c r="P72" s="20"/>
      <c r="Q72" s="438">
        <v>6.4357163728781711E-2</v>
      </c>
      <c r="R72" s="197"/>
      <c r="S72" s="197"/>
      <c r="T72" s="197"/>
      <c r="U72" s="197"/>
      <c r="AS72" s="319"/>
      <c r="BA72" s="319">
        <f>(E72*10000*Q72*AU$10)</f>
        <v>8629.7088731536132</v>
      </c>
    </row>
    <row r="73" spans="1:53" ht="15" x14ac:dyDescent="0.25">
      <c r="A73" s="10"/>
      <c r="B73" s="9" t="s">
        <v>15</v>
      </c>
      <c r="C73" s="5"/>
      <c r="E73" s="363">
        <f>SUM(E72)</f>
        <v>10.2422</v>
      </c>
      <c r="H73" s="358">
        <f>SUM(D72:H72)</f>
        <v>10.2422</v>
      </c>
      <c r="K73" s="14"/>
      <c r="N73">
        <v>0</v>
      </c>
      <c r="O73" s="20"/>
      <c r="P73" s="20"/>
      <c r="Q73" s="438"/>
      <c r="R73" s="197"/>
      <c r="S73" s="197"/>
      <c r="T73" s="197"/>
      <c r="U73" s="197"/>
      <c r="AS73" s="319"/>
    </row>
    <row r="74" spans="1:53" ht="15.75" x14ac:dyDescent="0.25">
      <c r="A74" s="1"/>
      <c r="B74" s="2"/>
      <c r="C74" s="1"/>
      <c r="E74" s="361"/>
      <c r="K74" s="14"/>
      <c r="O74" s="20"/>
      <c r="P74" s="20"/>
      <c r="Q74" s="439"/>
      <c r="R74" s="197"/>
      <c r="S74" s="197"/>
      <c r="T74" s="197"/>
      <c r="U74" s="197"/>
      <c r="AS74" s="319"/>
    </row>
    <row r="75" spans="1:53" ht="15" x14ac:dyDescent="0.25">
      <c r="A75" s="1">
        <v>8</v>
      </c>
      <c r="B75" s="2" t="s">
        <v>22</v>
      </c>
      <c r="C75" s="1" t="s">
        <v>8</v>
      </c>
      <c r="D75">
        <v>0</v>
      </c>
      <c r="E75" s="360">
        <v>7.4356</v>
      </c>
      <c r="F75">
        <v>0</v>
      </c>
      <c r="G75">
        <v>0</v>
      </c>
      <c r="H75">
        <v>0</v>
      </c>
      <c r="J75">
        <v>0</v>
      </c>
      <c r="K75">
        <v>0</v>
      </c>
      <c r="L75">
        <v>0</v>
      </c>
      <c r="M75">
        <v>0</v>
      </c>
      <c r="N75">
        <v>0</v>
      </c>
      <c r="O75" s="20"/>
      <c r="P75" s="20"/>
      <c r="Q75" s="438">
        <v>4.8001413068563016E-2</v>
      </c>
      <c r="R75" s="197">
        <v>5.6499999999999995E-2</v>
      </c>
      <c r="S75" s="197">
        <v>1.25</v>
      </c>
      <c r="T75" s="197">
        <v>0.50078889239507718</v>
      </c>
      <c r="U75" s="197">
        <v>0.75268470790377973</v>
      </c>
      <c r="V75" s="20">
        <f t="shared" ref="V75:Y80" si="77">IF(K75&gt;0,((E75-K75)*$Q75*$R75*10)+(K75*$O$12*$Q75*$R75*10),(E75*$Q75*$R75*10))</f>
        <v>0.20165940846212302</v>
      </c>
      <c r="W75" s="20">
        <f t="shared" si="77"/>
        <v>0</v>
      </c>
      <c r="X75" s="20">
        <f t="shared" si="77"/>
        <v>0</v>
      </c>
      <c r="Y75" s="20">
        <f t="shared" si="77"/>
        <v>0</v>
      </c>
      <c r="Z75" s="20">
        <f t="shared" ref="Z75:AC80" si="78">V75*(EXP(1.01-0.34*LN(Z$8))*(1-$T75)+(1*$T75))</f>
        <v>0.11936145710412331</v>
      </c>
      <c r="AA75" s="20">
        <f t="shared" si="78"/>
        <v>0</v>
      </c>
      <c r="AB75" s="20">
        <f t="shared" si="78"/>
        <v>0</v>
      </c>
      <c r="AC75" s="20">
        <f t="shared" si="78"/>
        <v>0</v>
      </c>
      <c r="AD75" s="20">
        <f t="shared" ref="AD75:AD80" si="79">SUM(Z75:AC75)</f>
        <v>0.11936145710412331</v>
      </c>
      <c r="AE75" s="20">
        <f t="shared" ref="AE75:AH80" si="80">IF(K75&gt;0,((E75-K75)*$Q75*$S75*10)+(K75*$P$12*$Q75*$S75)*10,(E75*$Q75*$S75*10))</f>
        <v>4.4614913376575895</v>
      </c>
      <c r="AF75" s="20">
        <f t="shared" si="80"/>
        <v>0</v>
      </c>
      <c r="AG75" s="20">
        <f t="shared" si="80"/>
        <v>0</v>
      </c>
      <c r="AH75" s="20">
        <f t="shared" si="80"/>
        <v>0</v>
      </c>
      <c r="AI75" s="20">
        <f t="shared" ref="AI75:AL80" si="81">AE75*(EXP(1.01-0.34*LN(AI$8))*(1-$U75)+(1*$U75))</f>
        <v>3.5594689422548313</v>
      </c>
      <c r="AJ75" s="20">
        <f t="shared" si="81"/>
        <v>0</v>
      </c>
      <c r="AK75" s="20">
        <f t="shared" si="81"/>
        <v>0</v>
      </c>
      <c r="AL75" s="20">
        <f t="shared" si="81"/>
        <v>0</v>
      </c>
      <c r="AM75" s="20">
        <f t="shared" ref="AM75:AM80" si="82">SUM(AI75:AL75)</f>
        <v>3.5594689422548313</v>
      </c>
      <c r="AO75">
        <f t="shared" ref="AO75:AR80" si="83">Z75*AO$10</f>
        <v>0.15626801964071824</v>
      </c>
      <c r="AP75">
        <f t="shared" si="83"/>
        <v>0</v>
      </c>
      <c r="AQ75">
        <f t="shared" si="83"/>
        <v>0</v>
      </c>
      <c r="AR75">
        <f t="shared" si="83"/>
        <v>0</v>
      </c>
      <c r="AS75" s="319">
        <f t="shared" ref="AS75:AS80" si="84">SUM(AO75:AR75)</f>
        <v>0.15626801964071824</v>
      </c>
      <c r="AU75">
        <f t="shared" ref="AU75:AX80" si="85">AI75*AU$10</f>
        <v>4.6600567392000247</v>
      </c>
      <c r="AV75">
        <f t="shared" si="85"/>
        <v>0</v>
      </c>
      <c r="AW75">
        <f t="shared" si="85"/>
        <v>0</v>
      </c>
      <c r="AX75">
        <f t="shared" si="85"/>
        <v>0</v>
      </c>
      <c r="AY75">
        <f t="shared" ref="AY75:AY80" si="86">SUM(AU75:AX75)</f>
        <v>4.6600567392000247</v>
      </c>
    </row>
    <row r="76" spans="1:53" ht="15" x14ac:dyDescent="0.25">
      <c r="A76" s="1"/>
      <c r="B76" s="2"/>
      <c r="C76" s="1" t="s">
        <v>9</v>
      </c>
      <c r="D76">
        <v>0</v>
      </c>
      <c r="E76" s="360">
        <v>0</v>
      </c>
      <c r="F76">
        <v>0</v>
      </c>
      <c r="G76">
        <v>0</v>
      </c>
      <c r="H76">
        <v>0</v>
      </c>
      <c r="J76">
        <v>0</v>
      </c>
      <c r="K76">
        <v>0</v>
      </c>
      <c r="L76">
        <v>0</v>
      </c>
      <c r="M76">
        <v>0</v>
      </c>
      <c r="N76">
        <v>0</v>
      </c>
      <c r="O76" s="20"/>
      <c r="P76" s="20"/>
      <c r="Q76" s="438"/>
      <c r="R76" s="197">
        <v>5.6499999999999995E-2</v>
      </c>
      <c r="S76" s="197">
        <v>1.25</v>
      </c>
      <c r="T76" s="197">
        <v>0.50078889239507718</v>
      </c>
      <c r="U76" s="197">
        <v>0.75268470790377973</v>
      </c>
      <c r="V76" s="20">
        <f t="shared" si="77"/>
        <v>0</v>
      </c>
      <c r="W76" s="20">
        <f t="shared" si="77"/>
        <v>0</v>
      </c>
      <c r="X76" s="20">
        <f t="shared" si="77"/>
        <v>0</v>
      </c>
      <c r="Y76" s="20">
        <f t="shared" si="77"/>
        <v>0</v>
      </c>
      <c r="Z76" s="20">
        <f t="shared" si="78"/>
        <v>0</v>
      </c>
      <c r="AA76" s="20">
        <f t="shared" si="78"/>
        <v>0</v>
      </c>
      <c r="AB76" s="20">
        <f t="shared" si="78"/>
        <v>0</v>
      </c>
      <c r="AC76" s="20">
        <f t="shared" si="78"/>
        <v>0</v>
      </c>
      <c r="AD76" s="20">
        <f t="shared" si="79"/>
        <v>0</v>
      </c>
      <c r="AE76" s="20">
        <f t="shared" si="80"/>
        <v>0</v>
      </c>
      <c r="AF76" s="20">
        <f t="shared" si="80"/>
        <v>0</v>
      </c>
      <c r="AG76" s="20">
        <f t="shared" si="80"/>
        <v>0</v>
      </c>
      <c r="AH76" s="20">
        <f t="shared" si="80"/>
        <v>0</v>
      </c>
      <c r="AI76" s="20">
        <f t="shared" si="81"/>
        <v>0</v>
      </c>
      <c r="AJ76" s="20">
        <f t="shared" si="81"/>
        <v>0</v>
      </c>
      <c r="AK76" s="20">
        <f t="shared" si="81"/>
        <v>0</v>
      </c>
      <c r="AL76" s="20">
        <f t="shared" si="81"/>
        <v>0</v>
      </c>
      <c r="AM76" s="20">
        <f t="shared" si="82"/>
        <v>0</v>
      </c>
      <c r="AO76">
        <f t="shared" si="83"/>
        <v>0</v>
      </c>
      <c r="AP76">
        <f t="shared" si="83"/>
        <v>0</v>
      </c>
      <c r="AQ76">
        <f t="shared" si="83"/>
        <v>0</v>
      </c>
      <c r="AR76">
        <f t="shared" si="83"/>
        <v>0</v>
      </c>
      <c r="AS76" s="319">
        <f t="shared" si="84"/>
        <v>0</v>
      </c>
      <c r="AU76">
        <f t="shared" si="85"/>
        <v>0</v>
      </c>
      <c r="AV76">
        <f t="shared" si="85"/>
        <v>0</v>
      </c>
      <c r="AW76">
        <f t="shared" si="85"/>
        <v>0</v>
      </c>
      <c r="AX76">
        <f t="shared" si="85"/>
        <v>0</v>
      </c>
      <c r="AY76">
        <f t="shared" si="86"/>
        <v>0</v>
      </c>
    </row>
    <row r="77" spans="1:53" ht="15" x14ac:dyDescent="0.25">
      <c r="A77" s="1"/>
      <c r="B77" s="2"/>
      <c r="C77" s="1" t="s">
        <v>10</v>
      </c>
      <c r="D77">
        <v>0</v>
      </c>
      <c r="E77" s="360">
        <v>0</v>
      </c>
      <c r="F77">
        <v>0</v>
      </c>
      <c r="G77">
        <v>0</v>
      </c>
      <c r="H77">
        <v>0</v>
      </c>
      <c r="J77">
        <v>0</v>
      </c>
      <c r="K77">
        <v>0</v>
      </c>
      <c r="L77">
        <v>0</v>
      </c>
      <c r="M77">
        <v>0</v>
      </c>
      <c r="N77">
        <v>0</v>
      </c>
      <c r="O77" s="20"/>
      <c r="P77" s="20"/>
      <c r="Q77" s="438"/>
      <c r="R77" s="197">
        <v>5.6499999999999995E-2</v>
      </c>
      <c r="S77" s="197">
        <v>1.25</v>
      </c>
      <c r="T77" s="197">
        <v>0.50078889239507718</v>
      </c>
      <c r="U77" s="197">
        <v>0.75268470790377973</v>
      </c>
      <c r="V77" s="20">
        <f t="shared" si="77"/>
        <v>0</v>
      </c>
      <c r="W77" s="20">
        <f t="shared" si="77"/>
        <v>0</v>
      </c>
      <c r="X77" s="20">
        <f t="shared" si="77"/>
        <v>0</v>
      </c>
      <c r="Y77" s="20">
        <f t="shared" si="77"/>
        <v>0</v>
      </c>
      <c r="Z77" s="20">
        <f t="shared" si="78"/>
        <v>0</v>
      </c>
      <c r="AA77" s="20">
        <f t="shared" si="78"/>
        <v>0</v>
      </c>
      <c r="AB77" s="20">
        <f t="shared" si="78"/>
        <v>0</v>
      </c>
      <c r="AC77" s="20">
        <f t="shared" si="78"/>
        <v>0</v>
      </c>
      <c r="AD77" s="20">
        <f t="shared" si="79"/>
        <v>0</v>
      </c>
      <c r="AE77" s="20">
        <f t="shared" si="80"/>
        <v>0</v>
      </c>
      <c r="AF77" s="20">
        <f t="shared" si="80"/>
        <v>0</v>
      </c>
      <c r="AG77" s="20">
        <f t="shared" si="80"/>
        <v>0</v>
      </c>
      <c r="AH77" s="20">
        <f t="shared" si="80"/>
        <v>0</v>
      </c>
      <c r="AI77" s="20">
        <f t="shared" si="81"/>
        <v>0</v>
      </c>
      <c r="AJ77" s="20">
        <f t="shared" si="81"/>
        <v>0</v>
      </c>
      <c r="AK77" s="20">
        <f t="shared" si="81"/>
        <v>0</v>
      </c>
      <c r="AL77" s="20">
        <f t="shared" si="81"/>
        <v>0</v>
      </c>
      <c r="AM77" s="20">
        <f t="shared" si="82"/>
        <v>0</v>
      </c>
      <c r="AO77">
        <f t="shared" si="83"/>
        <v>0</v>
      </c>
      <c r="AP77">
        <f t="shared" si="83"/>
        <v>0</v>
      </c>
      <c r="AQ77">
        <f t="shared" si="83"/>
        <v>0</v>
      </c>
      <c r="AR77">
        <f t="shared" si="83"/>
        <v>0</v>
      </c>
      <c r="AS77" s="319">
        <f t="shared" si="84"/>
        <v>0</v>
      </c>
      <c r="AU77">
        <f t="shared" si="85"/>
        <v>0</v>
      </c>
      <c r="AV77">
        <f t="shared" si="85"/>
        <v>0</v>
      </c>
      <c r="AW77">
        <f t="shared" si="85"/>
        <v>0</v>
      </c>
      <c r="AX77">
        <f t="shared" si="85"/>
        <v>0</v>
      </c>
      <c r="AY77">
        <f t="shared" si="86"/>
        <v>0</v>
      </c>
    </row>
    <row r="78" spans="1:53" ht="15" x14ac:dyDescent="0.25">
      <c r="A78" s="1"/>
      <c r="B78" s="2"/>
      <c r="C78" s="1" t="s">
        <v>11</v>
      </c>
      <c r="D78">
        <v>0</v>
      </c>
      <c r="E78" s="360">
        <v>0.4214</v>
      </c>
      <c r="F78">
        <v>0</v>
      </c>
      <c r="G78">
        <v>0</v>
      </c>
      <c r="H78">
        <v>0</v>
      </c>
      <c r="J78">
        <v>0</v>
      </c>
      <c r="K78">
        <v>0</v>
      </c>
      <c r="L78">
        <v>0</v>
      </c>
      <c r="M78">
        <v>0</v>
      </c>
      <c r="N78">
        <v>0</v>
      </c>
      <c r="O78" s="20"/>
      <c r="P78" s="20"/>
      <c r="Q78" s="438">
        <v>0.16500565227425207</v>
      </c>
      <c r="R78" s="197">
        <v>5.6499999999999995E-2</v>
      </c>
      <c r="S78" s="197">
        <v>1.25</v>
      </c>
      <c r="T78" s="197">
        <v>0.50078889239507718</v>
      </c>
      <c r="U78" s="197">
        <v>0.75268470790377973</v>
      </c>
      <c r="V78" s="20">
        <f t="shared" si="77"/>
        <v>3.9286360755628948E-2</v>
      </c>
      <c r="W78" s="20">
        <f t="shared" si="77"/>
        <v>0</v>
      </c>
      <c r="X78" s="20">
        <f t="shared" si="77"/>
        <v>0</v>
      </c>
      <c r="Y78" s="20">
        <f t="shared" si="77"/>
        <v>0</v>
      </c>
      <c r="Z78" s="20">
        <f t="shared" si="78"/>
        <v>2.3253451450002089E-2</v>
      </c>
      <c r="AA78" s="20">
        <f t="shared" si="78"/>
        <v>0</v>
      </c>
      <c r="AB78" s="20">
        <f t="shared" si="78"/>
        <v>0</v>
      </c>
      <c r="AC78" s="20">
        <f t="shared" si="78"/>
        <v>0</v>
      </c>
      <c r="AD78" s="20">
        <f t="shared" si="79"/>
        <v>2.3253451450002089E-2</v>
      </c>
      <c r="AE78" s="20">
        <f t="shared" si="80"/>
        <v>0.86916727335462285</v>
      </c>
      <c r="AF78" s="20">
        <f t="shared" si="80"/>
        <v>0</v>
      </c>
      <c r="AG78" s="20">
        <f t="shared" si="80"/>
        <v>0</v>
      </c>
      <c r="AH78" s="20">
        <f t="shared" si="80"/>
        <v>0</v>
      </c>
      <c r="AI78" s="20">
        <f t="shared" si="81"/>
        <v>0.69343940870552379</v>
      </c>
      <c r="AJ78" s="20">
        <f t="shared" si="81"/>
        <v>0</v>
      </c>
      <c r="AK78" s="20">
        <f t="shared" si="81"/>
        <v>0</v>
      </c>
      <c r="AL78" s="20">
        <f t="shared" si="81"/>
        <v>0</v>
      </c>
      <c r="AM78" s="20">
        <f t="shared" si="82"/>
        <v>0.69343940870552379</v>
      </c>
      <c r="AO78">
        <f t="shared" si="83"/>
        <v>3.0443418638342733E-2</v>
      </c>
      <c r="AP78">
        <f t="shared" si="83"/>
        <v>0</v>
      </c>
      <c r="AQ78">
        <f t="shared" si="83"/>
        <v>0</v>
      </c>
      <c r="AR78">
        <f t="shared" si="83"/>
        <v>0</v>
      </c>
      <c r="AS78" s="319">
        <f t="shared" si="84"/>
        <v>3.0443418638342733E-2</v>
      </c>
      <c r="AU78">
        <f t="shared" si="85"/>
        <v>0.9078508738772717</v>
      </c>
      <c r="AV78">
        <f t="shared" si="85"/>
        <v>0</v>
      </c>
      <c r="AW78">
        <f t="shared" si="85"/>
        <v>0</v>
      </c>
      <c r="AX78">
        <f t="shared" si="85"/>
        <v>0</v>
      </c>
      <c r="AY78">
        <f t="shared" si="86"/>
        <v>0.9078508738772717</v>
      </c>
    </row>
    <row r="79" spans="1:53" ht="15" x14ac:dyDescent="0.25">
      <c r="A79" s="1"/>
      <c r="B79" s="13"/>
      <c r="C79" s="1" t="s">
        <v>12</v>
      </c>
      <c r="D79">
        <v>0</v>
      </c>
      <c r="E79" s="360">
        <v>0</v>
      </c>
      <c r="F79">
        <v>0</v>
      </c>
      <c r="G79">
        <v>0</v>
      </c>
      <c r="H79">
        <v>0</v>
      </c>
      <c r="J79">
        <v>0</v>
      </c>
      <c r="K79">
        <v>0</v>
      </c>
      <c r="L79">
        <v>0</v>
      </c>
      <c r="M79">
        <v>0</v>
      </c>
      <c r="N79">
        <v>0</v>
      </c>
      <c r="O79" s="20"/>
      <c r="P79" s="20"/>
      <c r="Q79" s="438"/>
      <c r="R79" s="197">
        <v>5.6499999999999995E-2</v>
      </c>
      <c r="S79" s="197">
        <v>1.25</v>
      </c>
      <c r="T79" s="197">
        <v>0.50078889239507718</v>
      </c>
      <c r="U79" s="197">
        <v>0.75268470790377973</v>
      </c>
      <c r="V79" s="20">
        <f t="shared" si="77"/>
        <v>0</v>
      </c>
      <c r="W79" s="20">
        <f t="shared" si="77"/>
        <v>0</v>
      </c>
      <c r="X79" s="20">
        <f t="shared" si="77"/>
        <v>0</v>
      </c>
      <c r="Y79" s="20">
        <f t="shared" si="77"/>
        <v>0</v>
      </c>
      <c r="Z79" s="20">
        <f t="shared" si="78"/>
        <v>0</v>
      </c>
      <c r="AA79" s="20">
        <f t="shared" si="78"/>
        <v>0</v>
      </c>
      <c r="AB79" s="20">
        <f t="shared" si="78"/>
        <v>0</v>
      </c>
      <c r="AC79" s="20">
        <f t="shared" si="78"/>
        <v>0</v>
      </c>
      <c r="AD79" s="20">
        <f t="shared" si="79"/>
        <v>0</v>
      </c>
      <c r="AE79" s="20">
        <f t="shared" si="80"/>
        <v>0</v>
      </c>
      <c r="AF79" s="20">
        <f t="shared" si="80"/>
        <v>0</v>
      </c>
      <c r="AG79" s="20">
        <f t="shared" si="80"/>
        <v>0</v>
      </c>
      <c r="AH79" s="20">
        <f t="shared" si="80"/>
        <v>0</v>
      </c>
      <c r="AI79" s="20">
        <f t="shared" si="81"/>
        <v>0</v>
      </c>
      <c r="AJ79" s="20">
        <f t="shared" si="81"/>
        <v>0</v>
      </c>
      <c r="AK79" s="20">
        <f t="shared" si="81"/>
        <v>0</v>
      </c>
      <c r="AL79" s="20">
        <f t="shared" si="81"/>
        <v>0</v>
      </c>
      <c r="AM79" s="20">
        <f t="shared" si="82"/>
        <v>0</v>
      </c>
      <c r="AO79">
        <f t="shared" si="83"/>
        <v>0</v>
      </c>
      <c r="AP79">
        <f t="shared" si="83"/>
        <v>0</v>
      </c>
      <c r="AQ79">
        <f t="shared" si="83"/>
        <v>0</v>
      </c>
      <c r="AR79">
        <f t="shared" si="83"/>
        <v>0</v>
      </c>
      <c r="AS79" s="319">
        <f t="shared" si="84"/>
        <v>0</v>
      </c>
      <c r="AU79">
        <f t="shared" si="85"/>
        <v>0</v>
      </c>
      <c r="AV79">
        <f t="shared" si="85"/>
        <v>0</v>
      </c>
      <c r="AW79">
        <f t="shared" si="85"/>
        <v>0</v>
      </c>
      <c r="AX79">
        <f t="shared" si="85"/>
        <v>0</v>
      </c>
      <c r="AY79">
        <f t="shared" si="86"/>
        <v>0</v>
      </c>
    </row>
    <row r="80" spans="1:53" ht="15" x14ac:dyDescent="0.25">
      <c r="A80" s="1"/>
      <c r="B80" s="13"/>
      <c r="C80" s="1" t="s">
        <v>13</v>
      </c>
      <c r="D80">
        <v>0</v>
      </c>
      <c r="E80" s="360">
        <v>0</v>
      </c>
      <c r="F80">
        <v>0</v>
      </c>
      <c r="G80">
        <v>0</v>
      </c>
      <c r="H80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20"/>
      <c r="P80" s="20"/>
      <c r="Q80" s="438"/>
      <c r="R80" s="197">
        <v>5.6499999999999995E-2</v>
      </c>
      <c r="S80" s="197">
        <v>1.25</v>
      </c>
      <c r="T80" s="197">
        <v>0.50078889239507718</v>
      </c>
      <c r="U80" s="197">
        <v>0.75268470790377973</v>
      </c>
      <c r="V80" s="20">
        <f t="shared" si="77"/>
        <v>0</v>
      </c>
      <c r="W80" s="20">
        <f t="shared" si="77"/>
        <v>0</v>
      </c>
      <c r="X80" s="20">
        <f t="shared" si="77"/>
        <v>0</v>
      </c>
      <c r="Y80" s="20">
        <f t="shared" si="77"/>
        <v>0</v>
      </c>
      <c r="Z80" s="20">
        <f t="shared" si="78"/>
        <v>0</v>
      </c>
      <c r="AA80" s="20">
        <f t="shared" si="78"/>
        <v>0</v>
      </c>
      <c r="AB80" s="20">
        <f t="shared" si="78"/>
        <v>0</v>
      </c>
      <c r="AC80" s="20">
        <f t="shared" si="78"/>
        <v>0</v>
      </c>
      <c r="AD80" s="20">
        <f t="shared" si="79"/>
        <v>0</v>
      </c>
      <c r="AE80" s="20">
        <f t="shared" si="80"/>
        <v>0</v>
      </c>
      <c r="AF80" s="20">
        <f t="shared" si="80"/>
        <v>0</v>
      </c>
      <c r="AG80" s="20">
        <f t="shared" si="80"/>
        <v>0</v>
      </c>
      <c r="AH80" s="20">
        <f t="shared" si="80"/>
        <v>0</v>
      </c>
      <c r="AI80" s="20">
        <f t="shared" si="81"/>
        <v>0</v>
      </c>
      <c r="AJ80" s="20">
        <f t="shared" si="81"/>
        <v>0</v>
      </c>
      <c r="AK80" s="20">
        <f t="shared" si="81"/>
        <v>0</v>
      </c>
      <c r="AL80" s="20">
        <f t="shared" si="81"/>
        <v>0</v>
      </c>
      <c r="AM80" s="20">
        <f t="shared" si="82"/>
        <v>0</v>
      </c>
      <c r="AO80">
        <f t="shared" si="83"/>
        <v>0</v>
      </c>
      <c r="AP80">
        <f t="shared" si="83"/>
        <v>0</v>
      </c>
      <c r="AQ80">
        <f t="shared" si="83"/>
        <v>0</v>
      </c>
      <c r="AR80">
        <f t="shared" si="83"/>
        <v>0</v>
      </c>
      <c r="AS80" s="319">
        <f t="shared" si="84"/>
        <v>0</v>
      </c>
      <c r="AU80">
        <f t="shared" si="85"/>
        <v>0</v>
      </c>
      <c r="AV80">
        <f t="shared" si="85"/>
        <v>0</v>
      </c>
      <c r="AW80">
        <f t="shared" si="85"/>
        <v>0</v>
      </c>
      <c r="AX80">
        <f t="shared" si="85"/>
        <v>0</v>
      </c>
      <c r="AY80">
        <f t="shared" si="86"/>
        <v>0</v>
      </c>
    </row>
    <row r="81" spans="1:53" ht="15" x14ac:dyDescent="0.25">
      <c r="A81" s="7"/>
      <c r="B81" s="8" t="s">
        <v>14</v>
      </c>
      <c r="C81" s="7"/>
      <c r="D81" s="357">
        <f t="shared" ref="D81:H81" si="87">SUM(D75:D80)</f>
        <v>0</v>
      </c>
      <c r="E81" s="363">
        <f>SUM(E75:E80)</f>
        <v>7.8570000000000002</v>
      </c>
      <c r="F81" s="357">
        <f t="shared" si="87"/>
        <v>0</v>
      </c>
      <c r="G81" s="357">
        <f t="shared" si="87"/>
        <v>0</v>
      </c>
      <c r="H81" s="357">
        <f t="shared" si="87"/>
        <v>0</v>
      </c>
      <c r="J81">
        <v>0</v>
      </c>
      <c r="K81">
        <v>0</v>
      </c>
      <c r="L81">
        <v>0</v>
      </c>
      <c r="M81">
        <v>0</v>
      </c>
      <c r="N81">
        <v>0</v>
      </c>
      <c r="O81" s="20"/>
      <c r="P81" s="20"/>
      <c r="Q81" s="438">
        <v>5.427678361728102E-2</v>
      </c>
      <c r="R81" s="197"/>
      <c r="S81" s="197"/>
      <c r="T81" s="197"/>
      <c r="U81" s="197"/>
      <c r="AS81" s="319"/>
      <c r="BA81" s="319">
        <f>(E81*10000*Q81*AU$10)</f>
        <v>5583.1186028297507</v>
      </c>
    </row>
    <row r="82" spans="1:53" ht="15" x14ac:dyDescent="0.25">
      <c r="A82" s="10"/>
      <c r="B82" s="9" t="s">
        <v>15</v>
      </c>
      <c r="C82" s="5"/>
      <c r="E82" s="363">
        <f>SUM(E81)</f>
        <v>7.8570000000000002</v>
      </c>
      <c r="H82" s="358">
        <f>SUM(D81:H81)</f>
        <v>7.8570000000000002</v>
      </c>
      <c r="K82" s="14"/>
      <c r="N82">
        <v>0</v>
      </c>
      <c r="O82" s="20"/>
      <c r="P82" s="20"/>
      <c r="Q82" s="438"/>
      <c r="R82" s="197"/>
      <c r="S82" s="197"/>
      <c r="T82" s="197"/>
      <c r="U82" s="197"/>
      <c r="AS82" s="319"/>
    </row>
    <row r="83" spans="1:53" ht="15.75" x14ac:dyDescent="0.25">
      <c r="A83" s="1"/>
      <c r="B83" s="2"/>
      <c r="C83" s="1"/>
      <c r="E83" s="361"/>
      <c r="K83" s="14"/>
      <c r="O83" s="20"/>
      <c r="P83" s="20"/>
      <c r="Q83" s="439"/>
      <c r="R83" s="197"/>
      <c r="S83" s="197"/>
      <c r="T83" s="197"/>
      <c r="U83" s="197"/>
      <c r="AS83" s="319"/>
    </row>
    <row r="84" spans="1:53" ht="15" x14ac:dyDescent="0.25">
      <c r="A84" s="1">
        <v>9</v>
      </c>
      <c r="B84" s="2" t="s">
        <v>23</v>
      </c>
      <c r="C84" s="1" t="s">
        <v>8</v>
      </c>
      <c r="D84">
        <v>0</v>
      </c>
      <c r="E84" s="360">
        <v>112.6026</v>
      </c>
      <c r="F84">
        <v>0</v>
      </c>
      <c r="G84">
        <v>0</v>
      </c>
      <c r="H84">
        <v>0</v>
      </c>
      <c r="J84">
        <v>0</v>
      </c>
      <c r="K84">
        <v>0</v>
      </c>
      <c r="L84">
        <v>0</v>
      </c>
      <c r="M84">
        <v>0</v>
      </c>
      <c r="N84">
        <v>0</v>
      </c>
      <c r="O84" s="20"/>
      <c r="P84" s="20"/>
      <c r="Q84" s="438">
        <v>4.8001413068563023E-2</v>
      </c>
      <c r="R84" s="197">
        <v>0.38700000000000001</v>
      </c>
      <c r="S84" s="197">
        <v>2.48</v>
      </c>
      <c r="T84" s="197">
        <v>0.72182006204756977</v>
      </c>
      <c r="U84" s="197">
        <v>0.90789473684210531</v>
      </c>
      <c r="V84" s="20">
        <f t="shared" ref="V84:Y89" si="88">IF(K84&gt;0,((E84-K84)*$Q84*$R84*10)+(K84*$O$12*$Q84*$R84*10),(E84*$Q84*$R84*10))</f>
        <v>20.917674751801453</v>
      </c>
      <c r="W84" s="20">
        <f t="shared" si="88"/>
        <v>0</v>
      </c>
      <c r="X84" s="20">
        <f t="shared" si="88"/>
        <v>0</v>
      </c>
      <c r="Y84" s="20">
        <f t="shared" si="88"/>
        <v>0</v>
      </c>
      <c r="Z84" s="20">
        <f t="shared" ref="Z84:AC89" si="89">V84*(EXP(1.01-0.34*LN(Z$8))*(1-$T84)+(1*$T84))</f>
        <v>16.160758479330372</v>
      </c>
      <c r="AA84" s="20">
        <f t="shared" si="89"/>
        <v>0</v>
      </c>
      <c r="AB84" s="20">
        <f t="shared" si="89"/>
        <v>0</v>
      </c>
      <c r="AC84" s="20">
        <f t="shared" si="89"/>
        <v>0</v>
      </c>
      <c r="AD84" s="20">
        <f t="shared" ref="AD84:AD89" si="90">SUM(Z84:AC84)</f>
        <v>16.160758479330372</v>
      </c>
      <c r="AE84" s="20">
        <f t="shared" ref="AE84:AH89" si="91">IF(K84&gt;0,((E84-K84)*$Q84*$S84*10)+(K84*$P$12*$Q84*$S84)*10,(E84*$Q84*$S84*10))</f>
        <v>134.04608109681553</v>
      </c>
      <c r="AF84" s="20">
        <f t="shared" si="91"/>
        <v>0</v>
      </c>
      <c r="AG84" s="20">
        <f t="shared" si="91"/>
        <v>0</v>
      </c>
      <c r="AH84" s="20">
        <f t="shared" si="91"/>
        <v>0</v>
      </c>
      <c r="AI84" s="20">
        <f t="shared" ref="AI84:AL89" si="92">AE84*(EXP(1.01-0.34*LN(AI$8))*(1-$U84)+(1*$U84))</f>
        <v>123.95297438419175</v>
      </c>
      <c r="AJ84" s="20">
        <f t="shared" si="92"/>
        <v>0</v>
      </c>
      <c r="AK84" s="20">
        <f t="shared" si="92"/>
        <v>0</v>
      </c>
      <c r="AL84" s="20">
        <f t="shared" si="92"/>
        <v>0</v>
      </c>
      <c r="AM84" s="20">
        <f t="shared" ref="AM84:AM89" si="93">SUM(AI84:AL84)</f>
        <v>123.95297438419175</v>
      </c>
      <c r="AO84">
        <f t="shared" ref="AO84:AR89" si="94">Z84*AO$10</f>
        <v>21.157665001139321</v>
      </c>
      <c r="AP84">
        <f t="shared" si="94"/>
        <v>0</v>
      </c>
      <c r="AQ84">
        <f t="shared" si="94"/>
        <v>0</v>
      </c>
      <c r="AR84">
        <f t="shared" si="94"/>
        <v>0</v>
      </c>
      <c r="AS84" s="319">
        <f t="shared" ref="AS84:AS89" si="95">SUM(AO84:AR84)</f>
        <v>21.157665001139321</v>
      </c>
      <c r="AU84">
        <f t="shared" ref="AU84:AX89" si="96">AI84*AU$10</f>
        <v>162.27923406378383</v>
      </c>
      <c r="AV84">
        <f t="shared" si="96"/>
        <v>0</v>
      </c>
      <c r="AW84">
        <f t="shared" si="96"/>
        <v>0</v>
      </c>
      <c r="AX84">
        <f t="shared" si="96"/>
        <v>0</v>
      </c>
      <c r="AY84">
        <f t="shared" ref="AY84:AY89" si="97">SUM(AU84:AX84)</f>
        <v>162.27923406378383</v>
      </c>
    </row>
    <row r="85" spans="1:53" ht="15" x14ac:dyDescent="0.25">
      <c r="A85" s="1"/>
      <c r="B85" s="2"/>
      <c r="C85" s="1" t="s">
        <v>9</v>
      </c>
      <c r="D85">
        <v>0</v>
      </c>
      <c r="E85" s="360">
        <v>16.2562</v>
      </c>
      <c r="F85">
        <v>0</v>
      </c>
      <c r="G85">
        <v>0</v>
      </c>
      <c r="H85">
        <v>0</v>
      </c>
      <c r="J85">
        <v>0</v>
      </c>
      <c r="K85">
        <v>0</v>
      </c>
      <c r="L85">
        <v>0</v>
      </c>
      <c r="M85">
        <v>0</v>
      </c>
      <c r="N85">
        <v>0</v>
      </c>
      <c r="O85" s="20"/>
      <c r="P85" s="20"/>
      <c r="Q85" s="438">
        <v>8.7002826137126038E-2</v>
      </c>
      <c r="R85" s="197">
        <v>0.38700000000000001</v>
      </c>
      <c r="S85" s="197">
        <v>2.48</v>
      </c>
      <c r="T85" s="197">
        <v>0.72182006204756977</v>
      </c>
      <c r="U85" s="197">
        <v>0.90789473684210531</v>
      </c>
      <c r="V85" s="20">
        <f t="shared" si="88"/>
        <v>5.4734777745088481</v>
      </c>
      <c r="W85" s="20">
        <f t="shared" si="88"/>
        <v>0</v>
      </c>
      <c r="X85" s="20">
        <f t="shared" si="88"/>
        <v>0</v>
      </c>
      <c r="Y85" s="20">
        <f t="shared" si="88"/>
        <v>0</v>
      </c>
      <c r="Z85" s="20">
        <f t="shared" si="89"/>
        <v>4.2287469044905341</v>
      </c>
      <c r="AA85" s="20">
        <f t="shared" si="89"/>
        <v>0</v>
      </c>
      <c r="AB85" s="20">
        <f t="shared" si="89"/>
        <v>0</v>
      </c>
      <c r="AC85" s="20">
        <f t="shared" si="89"/>
        <v>0</v>
      </c>
      <c r="AD85" s="20">
        <f t="shared" si="90"/>
        <v>4.2287469044905341</v>
      </c>
      <c r="AE85" s="20">
        <f t="shared" si="91"/>
        <v>35.075516487808635</v>
      </c>
      <c r="AF85" s="20">
        <f t="shared" si="91"/>
        <v>0</v>
      </c>
      <c r="AG85" s="20">
        <f t="shared" si="91"/>
        <v>0</v>
      </c>
      <c r="AH85" s="20">
        <f t="shared" si="91"/>
        <v>0</v>
      </c>
      <c r="AI85" s="20">
        <f t="shared" si="92"/>
        <v>32.434477465890836</v>
      </c>
      <c r="AJ85" s="20">
        <f t="shared" si="92"/>
        <v>0</v>
      </c>
      <c r="AK85" s="20">
        <f t="shared" si="92"/>
        <v>0</v>
      </c>
      <c r="AL85" s="20">
        <f t="shared" si="92"/>
        <v>0</v>
      </c>
      <c r="AM85" s="20">
        <f t="shared" si="93"/>
        <v>32.434477465890836</v>
      </c>
      <c r="AO85">
        <f t="shared" si="94"/>
        <v>5.5362754473590066</v>
      </c>
      <c r="AP85">
        <f t="shared" si="94"/>
        <v>0</v>
      </c>
      <c r="AQ85">
        <f t="shared" si="94"/>
        <v>0</v>
      </c>
      <c r="AR85">
        <f t="shared" si="94"/>
        <v>0</v>
      </c>
      <c r="AS85" s="319">
        <f t="shared" si="95"/>
        <v>5.5362754473590066</v>
      </c>
      <c r="AU85">
        <f t="shared" si="96"/>
        <v>42.463217898344283</v>
      </c>
      <c r="AV85">
        <f t="shared" si="96"/>
        <v>0</v>
      </c>
      <c r="AW85">
        <f t="shared" si="96"/>
        <v>0</v>
      </c>
      <c r="AX85">
        <f t="shared" si="96"/>
        <v>0</v>
      </c>
      <c r="AY85">
        <f t="shared" si="97"/>
        <v>42.463217898344283</v>
      </c>
    </row>
    <row r="86" spans="1:53" ht="15" x14ac:dyDescent="0.25">
      <c r="A86" s="1"/>
      <c r="B86" s="2"/>
      <c r="C86" s="1" t="s">
        <v>10</v>
      </c>
      <c r="D86">
        <v>0</v>
      </c>
      <c r="E86" s="360">
        <v>0.92589999999999995</v>
      </c>
      <c r="F86">
        <v>0</v>
      </c>
      <c r="G86">
        <v>0</v>
      </c>
      <c r="H86">
        <v>0</v>
      </c>
      <c r="J86">
        <v>0</v>
      </c>
      <c r="K86">
        <v>0</v>
      </c>
      <c r="L86">
        <v>0</v>
      </c>
      <c r="M86">
        <v>0</v>
      </c>
      <c r="N86">
        <v>0</v>
      </c>
      <c r="O86" s="20"/>
      <c r="P86" s="20"/>
      <c r="Q86" s="438">
        <v>0.12600423920568907</v>
      </c>
      <c r="R86" s="197">
        <v>0.38700000000000001</v>
      </c>
      <c r="S86" s="197">
        <v>2.48</v>
      </c>
      <c r="T86" s="197">
        <v>0.72182006204756977</v>
      </c>
      <c r="U86" s="197">
        <v>0.90789473684210531</v>
      </c>
      <c r="V86" s="20">
        <f t="shared" si="88"/>
        <v>0.45150254806171886</v>
      </c>
      <c r="W86" s="20">
        <f t="shared" si="88"/>
        <v>0</v>
      </c>
      <c r="X86" s="20">
        <f t="shared" si="88"/>
        <v>0</v>
      </c>
      <c r="Y86" s="20">
        <f t="shared" si="88"/>
        <v>0</v>
      </c>
      <c r="Z86" s="20">
        <f t="shared" si="89"/>
        <v>0.3488257523173936</v>
      </c>
      <c r="AA86" s="20">
        <f t="shared" si="89"/>
        <v>0</v>
      </c>
      <c r="AB86" s="20">
        <f t="shared" si="89"/>
        <v>0</v>
      </c>
      <c r="AC86" s="20">
        <f t="shared" si="89"/>
        <v>0</v>
      </c>
      <c r="AD86" s="20">
        <f t="shared" si="90"/>
        <v>0.3488257523173936</v>
      </c>
      <c r="AE86" s="20">
        <f t="shared" si="91"/>
        <v>2.8933496619975778</v>
      </c>
      <c r="AF86" s="20">
        <f t="shared" si="91"/>
        <v>0</v>
      </c>
      <c r="AG86" s="20">
        <f t="shared" si="91"/>
        <v>0</v>
      </c>
      <c r="AH86" s="20">
        <f t="shared" si="91"/>
        <v>0</v>
      </c>
      <c r="AI86" s="20">
        <f t="shared" si="92"/>
        <v>2.6754925888438796</v>
      </c>
      <c r="AJ86" s="20">
        <f t="shared" si="92"/>
        <v>0</v>
      </c>
      <c r="AK86" s="20">
        <f t="shared" si="92"/>
        <v>0</v>
      </c>
      <c r="AL86" s="20">
        <f t="shared" si="92"/>
        <v>0</v>
      </c>
      <c r="AM86" s="20">
        <f t="shared" si="93"/>
        <v>2.6754925888438796</v>
      </c>
      <c r="AO86">
        <f t="shared" si="94"/>
        <v>0.45668267493393166</v>
      </c>
      <c r="AP86">
        <f t="shared" si="94"/>
        <v>0</v>
      </c>
      <c r="AQ86">
        <f t="shared" si="94"/>
        <v>0</v>
      </c>
      <c r="AR86">
        <f t="shared" si="94"/>
        <v>0</v>
      </c>
      <c r="AS86" s="319">
        <f t="shared" si="95"/>
        <v>0.45668267493393166</v>
      </c>
      <c r="AU86">
        <f t="shared" si="96"/>
        <v>3.5027548973144071</v>
      </c>
      <c r="AV86">
        <f t="shared" si="96"/>
        <v>0</v>
      </c>
      <c r="AW86">
        <f t="shared" si="96"/>
        <v>0</v>
      </c>
      <c r="AX86">
        <f t="shared" si="96"/>
        <v>0</v>
      </c>
      <c r="AY86">
        <f t="shared" si="97"/>
        <v>3.5027548973144071</v>
      </c>
    </row>
    <row r="87" spans="1:53" ht="15" x14ac:dyDescent="0.25">
      <c r="A87" s="1"/>
      <c r="B87" s="2"/>
      <c r="C87" s="1" t="s">
        <v>11</v>
      </c>
      <c r="D87">
        <v>0</v>
      </c>
      <c r="E87" s="360">
        <v>101.6451</v>
      </c>
      <c r="F87">
        <v>0</v>
      </c>
      <c r="G87">
        <v>0</v>
      </c>
      <c r="H87">
        <v>0</v>
      </c>
      <c r="J87">
        <v>0</v>
      </c>
      <c r="K87">
        <v>0</v>
      </c>
      <c r="L87">
        <v>0</v>
      </c>
      <c r="M87">
        <v>0</v>
      </c>
      <c r="N87">
        <v>0</v>
      </c>
      <c r="O87" s="20"/>
      <c r="P87" s="20"/>
      <c r="Q87" s="438">
        <v>0.16500565227425207</v>
      </c>
      <c r="R87" s="197">
        <v>0.38700000000000001</v>
      </c>
      <c r="S87" s="197">
        <v>2.48</v>
      </c>
      <c r="T87" s="197">
        <v>0.72182006204756977</v>
      </c>
      <c r="U87" s="197">
        <v>0.90789473684210531</v>
      </c>
      <c r="V87" s="20">
        <f t="shared" si="88"/>
        <v>64.907702020548712</v>
      </c>
      <c r="W87" s="20">
        <f t="shared" si="88"/>
        <v>0</v>
      </c>
      <c r="X87" s="20">
        <f t="shared" si="88"/>
        <v>0</v>
      </c>
      <c r="Y87" s="20">
        <f t="shared" si="88"/>
        <v>0</v>
      </c>
      <c r="Z87" s="20">
        <f t="shared" si="89"/>
        <v>50.146955063066663</v>
      </c>
      <c r="AA87" s="20">
        <f t="shared" si="89"/>
        <v>0</v>
      </c>
      <c r="AB87" s="20">
        <f t="shared" si="89"/>
        <v>0</v>
      </c>
      <c r="AC87" s="20">
        <f t="shared" si="89"/>
        <v>0</v>
      </c>
      <c r="AD87" s="20">
        <f t="shared" si="90"/>
        <v>50.146955063066663</v>
      </c>
      <c r="AE87" s="20">
        <f t="shared" si="91"/>
        <v>415.94599744434311</v>
      </c>
      <c r="AF87" s="20">
        <f t="shared" si="91"/>
        <v>0</v>
      </c>
      <c r="AG87" s="20">
        <f t="shared" si="91"/>
        <v>0</v>
      </c>
      <c r="AH87" s="20">
        <f t="shared" si="91"/>
        <v>0</v>
      </c>
      <c r="AI87" s="20">
        <f t="shared" si="92"/>
        <v>384.62701143189616</v>
      </c>
      <c r="AJ87" s="20">
        <f t="shared" si="92"/>
        <v>0</v>
      </c>
      <c r="AK87" s="20">
        <f t="shared" si="92"/>
        <v>0</v>
      </c>
      <c r="AL87" s="20">
        <f t="shared" si="92"/>
        <v>0</v>
      </c>
      <c r="AM87" s="20">
        <f t="shared" si="93"/>
        <v>384.62701143189616</v>
      </c>
      <c r="AO87">
        <f t="shared" si="94"/>
        <v>65.652393568566865</v>
      </c>
      <c r="AP87">
        <f t="shared" si="94"/>
        <v>0</v>
      </c>
      <c r="AQ87">
        <f t="shared" si="94"/>
        <v>0</v>
      </c>
      <c r="AR87">
        <f t="shared" si="94"/>
        <v>0</v>
      </c>
      <c r="AS87" s="319">
        <f t="shared" si="95"/>
        <v>65.652393568566865</v>
      </c>
      <c r="AU87">
        <f t="shared" si="96"/>
        <v>503.55368336663844</v>
      </c>
      <c r="AV87">
        <f t="shared" si="96"/>
        <v>0</v>
      </c>
      <c r="AW87">
        <f t="shared" si="96"/>
        <v>0</v>
      </c>
      <c r="AX87">
        <f t="shared" si="96"/>
        <v>0</v>
      </c>
      <c r="AY87">
        <f t="shared" si="97"/>
        <v>503.55368336663844</v>
      </c>
    </row>
    <row r="88" spans="1:53" ht="15" x14ac:dyDescent="0.25">
      <c r="A88" s="1"/>
      <c r="B88" s="2"/>
      <c r="C88" s="1" t="s">
        <v>12</v>
      </c>
      <c r="D88">
        <v>0</v>
      </c>
      <c r="E88" s="360">
        <v>0</v>
      </c>
      <c r="F88">
        <v>0</v>
      </c>
      <c r="G88">
        <v>0</v>
      </c>
      <c r="H88">
        <v>0</v>
      </c>
      <c r="J88">
        <v>0</v>
      </c>
      <c r="K88">
        <v>0</v>
      </c>
      <c r="L88">
        <v>0</v>
      </c>
      <c r="M88">
        <v>0</v>
      </c>
      <c r="N88">
        <v>0</v>
      </c>
      <c r="O88" s="20"/>
      <c r="P88" s="20"/>
      <c r="Q88" s="438"/>
      <c r="R88" s="197">
        <v>0.38700000000000001</v>
      </c>
      <c r="S88" s="197">
        <v>2.48</v>
      </c>
      <c r="T88" s="197">
        <v>0.72182006204756977</v>
      </c>
      <c r="U88" s="197">
        <v>0.90789473684210531</v>
      </c>
      <c r="V88" s="20">
        <f t="shared" si="88"/>
        <v>0</v>
      </c>
      <c r="W88" s="20">
        <f t="shared" si="88"/>
        <v>0</v>
      </c>
      <c r="X88" s="20">
        <f t="shared" si="88"/>
        <v>0</v>
      </c>
      <c r="Y88" s="20">
        <f t="shared" si="88"/>
        <v>0</v>
      </c>
      <c r="Z88" s="20">
        <f t="shared" si="89"/>
        <v>0</v>
      </c>
      <c r="AA88" s="20">
        <f t="shared" si="89"/>
        <v>0</v>
      </c>
      <c r="AB88" s="20">
        <f t="shared" si="89"/>
        <v>0</v>
      </c>
      <c r="AC88" s="20">
        <f t="shared" si="89"/>
        <v>0</v>
      </c>
      <c r="AD88" s="20">
        <f t="shared" si="90"/>
        <v>0</v>
      </c>
      <c r="AE88" s="20">
        <f t="shared" si="91"/>
        <v>0</v>
      </c>
      <c r="AF88" s="20">
        <f t="shared" si="91"/>
        <v>0</v>
      </c>
      <c r="AG88" s="20">
        <f t="shared" si="91"/>
        <v>0</v>
      </c>
      <c r="AH88" s="20">
        <f t="shared" si="91"/>
        <v>0</v>
      </c>
      <c r="AI88" s="20">
        <f t="shared" si="92"/>
        <v>0</v>
      </c>
      <c r="AJ88" s="20">
        <f t="shared" si="92"/>
        <v>0</v>
      </c>
      <c r="AK88" s="20">
        <f t="shared" si="92"/>
        <v>0</v>
      </c>
      <c r="AL88" s="20">
        <f t="shared" si="92"/>
        <v>0</v>
      </c>
      <c r="AM88" s="20">
        <f t="shared" si="93"/>
        <v>0</v>
      </c>
      <c r="AO88">
        <f t="shared" si="94"/>
        <v>0</v>
      </c>
      <c r="AP88">
        <f t="shared" si="94"/>
        <v>0</v>
      </c>
      <c r="AQ88">
        <f t="shared" si="94"/>
        <v>0</v>
      </c>
      <c r="AR88">
        <f t="shared" si="94"/>
        <v>0</v>
      </c>
      <c r="AS88" s="319">
        <f t="shared" si="95"/>
        <v>0</v>
      </c>
      <c r="AU88">
        <f t="shared" si="96"/>
        <v>0</v>
      </c>
      <c r="AV88">
        <f t="shared" si="96"/>
        <v>0</v>
      </c>
      <c r="AW88">
        <f t="shared" si="96"/>
        <v>0</v>
      </c>
      <c r="AX88">
        <f t="shared" si="96"/>
        <v>0</v>
      </c>
      <c r="AY88">
        <f t="shared" si="97"/>
        <v>0</v>
      </c>
    </row>
    <row r="89" spans="1:53" ht="15" x14ac:dyDescent="0.25">
      <c r="A89" s="1"/>
      <c r="B89" s="2"/>
      <c r="C89" s="1" t="s">
        <v>13</v>
      </c>
      <c r="D89">
        <v>0</v>
      </c>
      <c r="E89" s="360">
        <v>0.3357</v>
      </c>
      <c r="F89">
        <v>0</v>
      </c>
      <c r="G89">
        <v>0</v>
      </c>
      <c r="H89">
        <v>0</v>
      </c>
      <c r="J89">
        <v>0</v>
      </c>
      <c r="K89">
        <v>0</v>
      </c>
      <c r="L89">
        <v>0</v>
      </c>
      <c r="M89">
        <v>0</v>
      </c>
      <c r="N89">
        <v>0</v>
      </c>
      <c r="O89" s="20"/>
      <c r="P89" s="20"/>
      <c r="Q89" s="438">
        <v>0.16500565227425207</v>
      </c>
      <c r="R89" s="197">
        <v>0.38700000000000001</v>
      </c>
      <c r="S89" s="197">
        <v>2.48</v>
      </c>
      <c r="T89" s="197">
        <v>0.72182006204756977</v>
      </c>
      <c r="U89" s="197">
        <v>0.90789473684210531</v>
      </c>
      <c r="V89" s="20">
        <f t="shared" si="88"/>
        <v>0.21436857820296504</v>
      </c>
      <c r="W89" s="20">
        <f t="shared" si="88"/>
        <v>0</v>
      </c>
      <c r="X89" s="20">
        <f t="shared" si="88"/>
        <v>0</v>
      </c>
      <c r="Y89" s="20">
        <f t="shared" si="88"/>
        <v>0</v>
      </c>
      <c r="Z89" s="20">
        <f t="shared" si="89"/>
        <v>0.16561873434795657</v>
      </c>
      <c r="AA89" s="20">
        <f t="shared" si="89"/>
        <v>0</v>
      </c>
      <c r="AB89" s="20">
        <f t="shared" si="89"/>
        <v>0</v>
      </c>
      <c r="AC89" s="20">
        <f t="shared" si="89"/>
        <v>0</v>
      </c>
      <c r="AD89" s="20">
        <f t="shared" si="90"/>
        <v>0.16561873434795657</v>
      </c>
      <c r="AE89" s="20">
        <f t="shared" si="91"/>
        <v>1.3737314572179673</v>
      </c>
      <c r="AF89" s="20">
        <f t="shared" si="91"/>
        <v>0</v>
      </c>
      <c r="AG89" s="20">
        <f t="shared" si="91"/>
        <v>0</v>
      </c>
      <c r="AH89" s="20">
        <f t="shared" si="91"/>
        <v>0</v>
      </c>
      <c r="AI89" s="20">
        <f t="shared" si="92"/>
        <v>1.2702952502155793</v>
      </c>
      <c r="AJ89" s="20">
        <f t="shared" si="92"/>
        <v>0</v>
      </c>
      <c r="AK89" s="20">
        <f t="shared" si="92"/>
        <v>0</v>
      </c>
      <c r="AL89" s="20">
        <f t="shared" si="92"/>
        <v>0</v>
      </c>
      <c r="AM89" s="20">
        <f t="shared" si="93"/>
        <v>1.2702952502155793</v>
      </c>
      <c r="AO89">
        <f t="shared" si="94"/>
        <v>0.21682804700834474</v>
      </c>
      <c r="AP89">
        <f t="shared" si="94"/>
        <v>0</v>
      </c>
      <c r="AQ89">
        <f t="shared" si="94"/>
        <v>0</v>
      </c>
      <c r="AR89">
        <f t="shared" si="94"/>
        <v>0</v>
      </c>
      <c r="AS89" s="319">
        <f t="shared" si="95"/>
        <v>0.21682804700834474</v>
      </c>
      <c r="AU89">
        <f t="shared" si="96"/>
        <v>1.6630705415822364</v>
      </c>
      <c r="AV89">
        <f t="shared" si="96"/>
        <v>0</v>
      </c>
      <c r="AW89">
        <f t="shared" si="96"/>
        <v>0</v>
      </c>
      <c r="AX89">
        <f t="shared" si="96"/>
        <v>0</v>
      </c>
      <c r="AY89">
        <f t="shared" si="97"/>
        <v>1.6630705415822364</v>
      </c>
    </row>
    <row r="90" spans="1:53" ht="15" x14ac:dyDescent="0.25">
      <c r="A90" s="7"/>
      <c r="B90" s="8" t="s">
        <v>14</v>
      </c>
      <c r="C90" s="7"/>
      <c r="D90" s="357">
        <f t="shared" ref="D90:H90" si="98">SUM(D84:D89)</f>
        <v>0</v>
      </c>
      <c r="E90" s="363">
        <f>SUM(E84:E89)</f>
        <v>231.7655</v>
      </c>
      <c r="F90" s="357">
        <f t="shared" si="98"/>
        <v>0</v>
      </c>
      <c r="G90" s="357">
        <f t="shared" si="98"/>
        <v>0</v>
      </c>
      <c r="H90" s="357">
        <f t="shared" si="98"/>
        <v>0</v>
      </c>
      <c r="J90">
        <v>0</v>
      </c>
      <c r="K90">
        <v>0</v>
      </c>
      <c r="L90">
        <v>0</v>
      </c>
      <c r="M90">
        <v>0</v>
      </c>
      <c r="N90">
        <v>0</v>
      </c>
      <c r="O90" s="20"/>
      <c r="P90" s="20"/>
      <c r="Q90" s="438">
        <v>0.10253249515555644</v>
      </c>
      <c r="R90" s="197"/>
      <c r="S90" s="197"/>
      <c r="T90" s="197"/>
      <c r="U90" s="197"/>
      <c r="AS90" s="319"/>
      <c r="BA90" s="319">
        <f>(E90*10000*Q90*AU$10)</f>
        <v>311111.67661822622</v>
      </c>
    </row>
    <row r="91" spans="1:53" ht="15" x14ac:dyDescent="0.25">
      <c r="A91" s="10"/>
      <c r="B91" s="9" t="s">
        <v>15</v>
      </c>
      <c r="C91" s="5"/>
      <c r="E91" s="363">
        <f>SUM(E90)</f>
        <v>231.7655</v>
      </c>
      <c r="H91" s="358">
        <f>SUM(D90:H90)</f>
        <v>231.7655</v>
      </c>
      <c r="K91" s="14"/>
      <c r="N91">
        <v>0</v>
      </c>
      <c r="O91" s="20"/>
      <c r="P91" s="20"/>
      <c r="Q91" s="438"/>
      <c r="R91" s="197"/>
      <c r="S91" s="197"/>
      <c r="T91" s="197"/>
      <c r="U91" s="197"/>
      <c r="AS91" s="319"/>
    </row>
    <row r="92" spans="1:53" ht="15.75" x14ac:dyDescent="0.25">
      <c r="A92" s="1"/>
      <c r="B92" s="2"/>
      <c r="C92" s="1"/>
      <c r="E92" s="361"/>
      <c r="K92" s="14"/>
      <c r="O92" s="20"/>
      <c r="P92" s="20"/>
      <c r="Q92" s="439"/>
      <c r="R92" s="197"/>
      <c r="S92" s="197"/>
      <c r="T92" s="197"/>
      <c r="U92" s="197"/>
      <c r="AS92" s="319"/>
    </row>
    <row r="93" spans="1:53" ht="15" x14ac:dyDescent="0.25">
      <c r="A93" s="1">
        <v>10</v>
      </c>
      <c r="B93" s="2" t="s">
        <v>24</v>
      </c>
      <c r="C93" s="1" t="s">
        <v>8</v>
      </c>
      <c r="D93">
        <v>0</v>
      </c>
      <c r="E93" s="360">
        <v>125.95440000000001</v>
      </c>
      <c r="F93">
        <v>0</v>
      </c>
      <c r="G93">
        <v>0</v>
      </c>
      <c r="H93">
        <v>0</v>
      </c>
      <c r="J93">
        <v>0</v>
      </c>
      <c r="K93">
        <v>0</v>
      </c>
      <c r="L93">
        <v>0</v>
      </c>
      <c r="M93">
        <v>0</v>
      </c>
      <c r="N93">
        <v>0</v>
      </c>
      <c r="O93" s="20"/>
      <c r="P93" s="20"/>
      <c r="Q93" s="438">
        <v>4.8001413068563016E-2</v>
      </c>
      <c r="R93" s="197">
        <v>0.66599999999999993</v>
      </c>
      <c r="S93" s="197">
        <v>4.5549999999999997</v>
      </c>
      <c r="T93" s="197">
        <v>0.60039794540960334</v>
      </c>
      <c r="U93" s="197">
        <v>0.90789473684210531</v>
      </c>
      <c r="V93" s="20">
        <f t="shared" ref="V93:Y98" si="99">IF(K93&gt;0,((E93-K93)*$Q93*$R93*10)+(K93*$O$12*$Q93*$R93*10),(E93*$Q93*$R93*10))</f>
        <v>40.266287953472073</v>
      </c>
      <c r="W93" s="20">
        <f t="shared" si="99"/>
        <v>0</v>
      </c>
      <c r="X93" s="20">
        <f t="shared" si="99"/>
        <v>0</v>
      </c>
      <c r="Y93" s="20">
        <f t="shared" si="99"/>
        <v>0</v>
      </c>
      <c r="Z93" s="20">
        <f t="shared" ref="Z93:AC98" si="100">V93*(EXP(1.01-0.34*LN(Z$8))*(1-$T93)+(1*$T93))</f>
        <v>27.112355631602941</v>
      </c>
      <c r="AA93" s="20">
        <f t="shared" si="100"/>
        <v>0</v>
      </c>
      <c r="AB93" s="20">
        <f t="shared" si="100"/>
        <v>0</v>
      </c>
      <c r="AC93" s="20">
        <f t="shared" si="100"/>
        <v>0</v>
      </c>
      <c r="AD93" s="20">
        <f t="shared" ref="AD93:AD98" si="101">SUM(Z93:AC93)</f>
        <v>27.112355631602941</v>
      </c>
      <c r="AE93" s="20">
        <f t="shared" ref="AE93:AH98" si="102">IF(K93&gt;0,((E93-K93)*$Q93*$S93*10)+(K93*$P$12*$Q93*$S93)*10,(E93*$Q93*$S93*10))</f>
        <v>275.39480724934725</v>
      </c>
      <c r="AF93" s="20">
        <f t="shared" si="102"/>
        <v>0</v>
      </c>
      <c r="AG93" s="20">
        <f t="shared" si="102"/>
        <v>0</v>
      </c>
      <c r="AH93" s="20">
        <f t="shared" si="102"/>
        <v>0</v>
      </c>
      <c r="AI93" s="20">
        <f t="shared" ref="AI93:AL98" si="103">AE93*(EXP(1.01-0.34*LN(AI$8))*(1-$U93)+(1*$U93))</f>
        <v>254.65873533343242</v>
      </c>
      <c r="AJ93" s="20">
        <f t="shared" si="103"/>
        <v>0</v>
      </c>
      <c r="AK93" s="20">
        <f t="shared" si="103"/>
        <v>0</v>
      </c>
      <c r="AL93" s="20">
        <f t="shared" si="103"/>
        <v>0</v>
      </c>
      <c r="AM93" s="20">
        <f t="shared" ref="AM93:AM98" si="104">SUM(AI93:AL93)</f>
        <v>254.65873533343242</v>
      </c>
      <c r="AO93">
        <f t="shared" ref="AO93:AR98" si="105">Z93*AO$10</f>
        <v>35.495495992894568</v>
      </c>
      <c r="AP93">
        <f t="shared" si="105"/>
        <v>0</v>
      </c>
      <c r="AQ93">
        <f t="shared" si="105"/>
        <v>0</v>
      </c>
      <c r="AR93">
        <f t="shared" si="105"/>
        <v>0</v>
      </c>
      <c r="AS93" s="319">
        <f t="shared" ref="AS93:AS98" si="106">SUM(AO93:AR93)</f>
        <v>35.495495992894568</v>
      </c>
      <c r="AU93">
        <f t="shared" ref="AU93:AX98" si="107">AI93*AU$10</f>
        <v>333.39921629852972</v>
      </c>
      <c r="AV93">
        <f t="shared" si="107"/>
        <v>0</v>
      </c>
      <c r="AW93">
        <f t="shared" si="107"/>
        <v>0</v>
      </c>
      <c r="AX93">
        <f t="shared" si="107"/>
        <v>0</v>
      </c>
      <c r="AY93">
        <f t="shared" ref="AY93:AY98" si="108">SUM(AU93:AX93)</f>
        <v>333.39921629852972</v>
      </c>
    </row>
    <row r="94" spans="1:53" ht="15" x14ac:dyDescent="0.25">
      <c r="A94" s="1"/>
      <c r="B94" s="2"/>
      <c r="C94" s="1" t="s">
        <v>9</v>
      </c>
      <c r="D94">
        <v>0</v>
      </c>
      <c r="E94" s="360">
        <v>5.7535999999999996</v>
      </c>
      <c r="F94">
        <v>0</v>
      </c>
      <c r="G94">
        <v>0</v>
      </c>
      <c r="H94">
        <v>0</v>
      </c>
      <c r="J94">
        <v>0</v>
      </c>
      <c r="K94">
        <v>0</v>
      </c>
      <c r="L94">
        <v>0</v>
      </c>
      <c r="M94">
        <v>0</v>
      </c>
      <c r="N94">
        <v>0</v>
      </c>
      <c r="O94" s="20"/>
      <c r="P94" s="20"/>
      <c r="Q94" s="438">
        <v>8.7002826137126024E-2</v>
      </c>
      <c r="R94" s="197">
        <v>0.66599999999999993</v>
      </c>
      <c r="S94" s="197">
        <v>4.5549999999999997</v>
      </c>
      <c r="T94" s="197">
        <v>0.60039794540960334</v>
      </c>
      <c r="U94" s="197">
        <v>0.90789473684210531</v>
      </c>
      <c r="V94" s="20">
        <f t="shared" si="99"/>
        <v>3.3338592066807045</v>
      </c>
      <c r="W94" s="20">
        <f t="shared" si="99"/>
        <v>0</v>
      </c>
      <c r="X94" s="20">
        <f t="shared" si="99"/>
        <v>0</v>
      </c>
      <c r="Y94" s="20">
        <f t="shared" si="99"/>
        <v>0</v>
      </c>
      <c r="Z94" s="20">
        <f t="shared" si="100"/>
        <v>2.2447754941221714</v>
      </c>
      <c r="AA94" s="20">
        <f t="shared" si="100"/>
        <v>0</v>
      </c>
      <c r="AB94" s="20">
        <f t="shared" si="100"/>
        <v>0</v>
      </c>
      <c r="AC94" s="20">
        <f t="shared" si="100"/>
        <v>0</v>
      </c>
      <c r="AD94" s="20">
        <f t="shared" si="101"/>
        <v>2.2447754941221714</v>
      </c>
      <c r="AE94" s="20">
        <f t="shared" si="102"/>
        <v>22.801394424069983</v>
      </c>
      <c r="AF94" s="20">
        <f t="shared" si="102"/>
        <v>0</v>
      </c>
      <c r="AG94" s="20">
        <f t="shared" si="102"/>
        <v>0</v>
      </c>
      <c r="AH94" s="20">
        <f t="shared" si="102"/>
        <v>0</v>
      </c>
      <c r="AI94" s="20">
        <f t="shared" si="103"/>
        <v>21.08454522388676</v>
      </c>
      <c r="AJ94" s="20">
        <f t="shared" si="103"/>
        <v>0</v>
      </c>
      <c r="AK94" s="20">
        <f t="shared" si="103"/>
        <v>0</v>
      </c>
      <c r="AL94" s="20">
        <f t="shared" si="103"/>
        <v>0</v>
      </c>
      <c r="AM94" s="20">
        <f t="shared" si="104"/>
        <v>21.08454522388676</v>
      </c>
      <c r="AO94">
        <f t="shared" si="105"/>
        <v>2.9388600769047466</v>
      </c>
      <c r="AP94">
        <f t="shared" si="105"/>
        <v>0</v>
      </c>
      <c r="AQ94">
        <f t="shared" si="105"/>
        <v>0</v>
      </c>
      <c r="AR94">
        <f t="shared" si="105"/>
        <v>0</v>
      </c>
      <c r="AS94" s="319">
        <f t="shared" si="106"/>
        <v>2.9388600769047466</v>
      </c>
      <c r="AU94">
        <f t="shared" si="107"/>
        <v>27.603886607112546</v>
      </c>
      <c r="AV94">
        <f t="shared" si="107"/>
        <v>0</v>
      </c>
      <c r="AW94">
        <f t="shared" si="107"/>
        <v>0</v>
      </c>
      <c r="AX94">
        <f t="shared" si="107"/>
        <v>0</v>
      </c>
      <c r="AY94">
        <f t="shared" si="108"/>
        <v>27.603886607112546</v>
      </c>
    </row>
    <row r="95" spans="1:53" ht="15" x14ac:dyDescent="0.25">
      <c r="A95" s="1"/>
      <c r="B95" s="2"/>
      <c r="C95" s="1" t="s">
        <v>10</v>
      </c>
      <c r="D95">
        <v>0</v>
      </c>
      <c r="E95" s="360"/>
      <c r="F95">
        <v>0</v>
      </c>
      <c r="G95">
        <v>0</v>
      </c>
      <c r="H95">
        <v>0</v>
      </c>
      <c r="J95">
        <v>0</v>
      </c>
      <c r="K95">
        <v>0</v>
      </c>
      <c r="L95">
        <v>0</v>
      </c>
      <c r="M95">
        <v>0</v>
      </c>
      <c r="N95">
        <v>0</v>
      </c>
      <c r="O95" s="20"/>
      <c r="P95" s="20"/>
      <c r="Q95" s="438"/>
      <c r="R95" s="197">
        <v>0.66599999999999993</v>
      </c>
      <c r="S95" s="197">
        <v>4.5549999999999997</v>
      </c>
      <c r="T95" s="197">
        <v>0.60039794540960334</v>
      </c>
      <c r="U95" s="197">
        <v>0.90789473684210531</v>
      </c>
      <c r="V95" s="20">
        <f t="shared" si="99"/>
        <v>0</v>
      </c>
      <c r="W95" s="20">
        <f t="shared" si="99"/>
        <v>0</v>
      </c>
      <c r="X95" s="20">
        <f t="shared" si="99"/>
        <v>0</v>
      </c>
      <c r="Y95" s="20">
        <f t="shared" si="99"/>
        <v>0</v>
      </c>
      <c r="Z95" s="20">
        <f t="shared" si="100"/>
        <v>0</v>
      </c>
      <c r="AA95" s="20">
        <f t="shared" si="100"/>
        <v>0</v>
      </c>
      <c r="AB95" s="20">
        <f t="shared" si="100"/>
        <v>0</v>
      </c>
      <c r="AC95" s="20">
        <f t="shared" si="100"/>
        <v>0</v>
      </c>
      <c r="AD95" s="20">
        <f t="shared" si="101"/>
        <v>0</v>
      </c>
      <c r="AE95" s="20">
        <f t="shared" si="102"/>
        <v>0</v>
      </c>
      <c r="AF95" s="20">
        <f t="shared" si="102"/>
        <v>0</v>
      </c>
      <c r="AG95" s="20">
        <f t="shared" si="102"/>
        <v>0</v>
      </c>
      <c r="AH95" s="20">
        <f t="shared" si="102"/>
        <v>0</v>
      </c>
      <c r="AI95" s="20">
        <f t="shared" si="103"/>
        <v>0</v>
      </c>
      <c r="AJ95" s="20">
        <f t="shared" si="103"/>
        <v>0</v>
      </c>
      <c r="AK95" s="20">
        <f t="shared" si="103"/>
        <v>0</v>
      </c>
      <c r="AL95" s="20">
        <f t="shared" si="103"/>
        <v>0</v>
      </c>
      <c r="AM95" s="20">
        <f t="shared" si="104"/>
        <v>0</v>
      </c>
      <c r="AO95">
        <f t="shared" si="105"/>
        <v>0</v>
      </c>
      <c r="AP95">
        <f t="shared" si="105"/>
        <v>0</v>
      </c>
      <c r="AQ95">
        <f t="shared" si="105"/>
        <v>0</v>
      </c>
      <c r="AR95">
        <f t="shared" si="105"/>
        <v>0</v>
      </c>
      <c r="AS95" s="319">
        <f t="shared" si="106"/>
        <v>0</v>
      </c>
      <c r="AU95">
        <f t="shared" si="107"/>
        <v>0</v>
      </c>
      <c r="AV95">
        <f t="shared" si="107"/>
        <v>0</v>
      </c>
      <c r="AW95">
        <f t="shared" si="107"/>
        <v>0</v>
      </c>
      <c r="AX95">
        <f t="shared" si="107"/>
        <v>0</v>
      </c>
      <c r="AY95">
        <f t="shared" si="108"/>
        <v>0</v>
      </c>
    </row>
    <row r="96" spans="1:53" ht="15" x14ac:dyDescent="0.25">
      <c r="A96" s="1"/>
      <c r="B96" s="2"/>
      <c r="C96" s="1" t="s">
        <v>11</v>
      </c>
      <c r="D96">
        <v>0</v>
      </c>
      <c r="E96" s="360">
        <v>55.817700000000002</v>
      </c>
      <c r="F96">
        <v>0</v>
      </c>
      <c r="G96">
        <v>0</v>
      </c>
      <c r="H96">
        <v>0</v>
      </c>
      <c r="J96">
        <v>0</v>
      </c>
      <c r="K96">
        <v>0</v>
      </c>
      <c r="L96">
        <v>0</v>
      </c>
      <c r="M96">
        <v>0</v>
      </c>
      <c r="N96">
        <v>0</v>
      </c>
      <c r="O96" s="20"/>
      <c r="P96" s="20"/>
      <c r="Q96" s="438">
        <v>0.1650056522742521</v>
      </c>
      <c r="R96" s="197">
        <v>0.66599999999999993</v>
      </c>
      <c r="S96" s="197">
        <v>4.5549999999999997</v>
      </c>
      <c r="T96" s="197">
        <v>0.60039794540960334</v>
      </c>
      <c r="U96" s="197">
        <v>0.90789473684210531</v>
      </c>
      <c r="V96" s="20">
        <f t="shared" si="99"/>
        <v>61.340171739677139</v>
      </c>
      <c r="W96" s="20">
        <f t="shared" si="99"/>
        <v>0</v>
      </c>
      <c r="X96" s="20">
        <f t="shared" si="99"/>
        <v>0</v>
      </c>
      <c r="Y96" s="20">
        <f t="shared" si="99"/>
        <v>0</v>
      </c>
      <c r="Z96" s="20">
        <f t="shared" si="100"/>
        <v>41.301958418203874</v>
      </c>
      <c r="AA96" s="20">
        <f t="shared" si="100"/>
        <v>0</v>
      </c>
      <c r="AB96" s="20">
        <f t="shared" si="100"/>
        <v>0</v>
      </c>
      <c r="AC96" s="20">
        <f t="shared" si="100"/>
        <v>0</v>
      </c>
      <c r="AD96" s="20">
        <f t="shared" si="101"/>
        <v>41.301958418203874</v>
      </c>
      <c r="AE96" s="20">
        <f t="shared" si="102"/>
        <v>419.52624966100507</v>
      </c>
      <c r="AF96" s="20">
        <f t="shared" si="102"/>
        <v>0</v>
      </c>
      <c r="AG96" s="20">
        <f t="shared" si="102"/>
        <v>0</v>
      </c>
      <c r="AH96" s="20">
        <f t="shared" si="102"/>
        <v>0</v>
      </c>
      <c r="AI96" s="20">
        <f t="shared" si="103"/>
        <v>387.93768569905603</v>
      </c>
      <c r="AJ96" s="20">
        <f t="shared" si="103"/>
        <v>0</v>
      </c>
      <c r="AK96" s="20">
        <f t="shared" si="103"/>
        <v>0</v>
      </c>
      <c r="AL96" s="20">
        <f t="shared" si="103"/>
        <v>0</v>
      </c>
      <c r="AM96" s="20">
        <f t="shared" si="104"/>
        <v>387.93768569905603</v>
      </c>
      <c r="AO96">
        <f t="shared" si="105"/>
        <v>54.072523961112509</v>
      </c>
      <c r="AP96">
        <f t="shared" si="105"/>
        <v>0</v>
      </c>
      <c r="AQ96">
        <f t="shared" si="105"/>
        <v>0</v>
      </c>
      <c r="AR96">
        <f t="shared" si="105"/>
        <v>0</v>
      </c>
      <c r="AS96" s="319">
        <f t="shared" si="106"/>
        <v>54.072523961112509</v>
      </c>
      <c r="AU96">
        <f t="shared" si="107"/>
        <v>507.88801811720413</v>
      </c>
      <c r="AV96">
        <f t="shared" si="107"/>
        <v>0</v>
      </c>
      <c r="AW96">
        <f t="shared" si="107"/>
        <v>0</v>
      </c>
      <c r="AX96">
        <f t="shared" si="107"/>
        <v>0</v>
      </c>
      <c r="AY96">
        <f t="shared" si="108"/>
        <v>507.88801811720413</v>
      </c>
    </row>
    <row r="97" spans="1:53" ht="15" x14ac:dyDescent="0.25">
      <c r="A97" s="1"/>
      <c r="B97" s="2"/>
      <c r="C97" s="1" t="s">
        <v>12</v>
      </c>
      <c r="D97">
        <v>0</v>
      </c>
      <c r="E97" s="360">
        <v>0</v>
      </c>
      <c r="F97">
        <v>0</v>
      </c>
      <c r="G97">
        <v>0</v>
      </c>
      <c r="H9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20"/>
      <c r="P97" s="20"/>
      <c r="Q97" s="438"/>
      <c r="R97" s="197">
        <v>0.66599999999999993</v>
      </c>
      <c r="S97" s="197">
        <v>4.5549999999999997</v>
      </c>
      <c r="T97" s="197">
        <v>0.60039794540960334</v>
      </c>
      <c r="U97" s="197">
        <v>0.90789473684210531</v>
      </c>
      <c r="V97" s="20">
        <f t="shared" si="99"/>
        <v>0</v>
      </c>
      <c r="W97" s="20">
        <f t="shared" si="99"/>
        <v>0</v>
      </c>
      <c r="X97" s="20">
        <f t="shared" si="99"/>
        <v>0</v>
      </c>
      <c r="Y97" s="20">
        <f t="shared" si="99"/>
        <v>0</v>
      </c>
      <c r="Z97" s="20">
        <f t="shared" si="100"/>
        <v>0</v>
      </c>
      <c r="AA97" s="20">
        <f t="shared" si="100"/>
        <v>0</v>
      </c>
      <c r="AB97" s="20">
        <f t="shared" si="100"/>
        <v>0</v>
      </c>
      <c r="AC97" s="20">
        <f t="shared" si="100"/>
        <v>0</v>
      </c>
      <c r="AD97" s="20">
        <f t="shared" si="101"/>
        <v>0</v>
      </c>
      <c r="AE97" s="20">
        <f t="shared" si="102"/>
        <v>0</v>
      </c>
      <c r="AF97" s="20">
        <f t="shared" si="102"/>
        <v>0</v>
      </c>
      <c r="AG97" s="20">
        <f t="shared" si="102"/>
        <v>0</v>
      </c>
      <c r="AH97" s="20">
        <f t="shared" si="102"/>
        <v>0</v>
      </c>
      <c r="AI97" s="20">
        <f t="shared" si="103"/>
        <v>0</v>
      </c>
      <c r="AJ97" s="20">
        <f t="shared" si="103"/>
        <v>0</v>
      </c>
      <c r="AK97" s="20">
        <f t="shared" si="103"/>
        <v>0</v>
      </c>
      <c r="AL97" s="20">
        <f t="shared" si="103"/>
        <v>0</v>
      </c>
      <c r="AM97" s="20">
        <f t="shared" si="104"/>
        <v>0</v>
      </c>
      <c r="AO97">
        <f t="shared" si="105"/>
        <v>0</v>
      </c>
      <c r="AP97">
        <f t="shared" si="105"/>
        <v>0</v>
      </c>
      <c r="AQ97">
        <f t="shared" si="105"/>
        <v>0</v>
      </c>
      <c r="AR97">
        <f t="shared" si="105"/>
        <v>0</v>
      </c>
      <c r="AS97" s="319">
        <f t="shared" si="106"/>
        <v>0</v>
      </c>
      <c r="AU97">
        <f t="shared" si="107"/>
        <v>0</v>
      </c>
      <c r="AV97">
        <f t="shared" si="107"/>
        <v>0</v>
      </c>
      <c r="AW97">
        <f t="shared" si="107"/>
        <v>0</v>
      </c>
      <c r="AX97">
        <f t="shared" si="107"/>
        <v>0</v>
      </c>
      <c r="AY97">
        <f t="shared" si="108"/>
        <v>0</v>
      </c>
    </row>
    <row r="98" spans="1:53" ht="15" x14ac:dyDescent="0.25">
      <c r="A98" s="1"/>
      <c r="B98" s="2"/>
      <c r="C98" s="1" t="s">
        <v>13</v>
      </c>
      <c r="D98">
        <v>0</v>
      </c>
      <c r="E98" s="360">
        <v>0.22670000000000001</v>
      </c>
      <c r="F98">
        <v>0</v>
      </c>
      <c r="G98">
        <v>0</v>
      </c>
      <c r="H98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20"/>
      <c r="P98" s="20"/>
      <c r="Q98" s="438">
        <v>0.16500565227425207</v>
      </c>
      <c r="R98" s="197">
        <v>0.66599999999999993</v>
      </c>
      <c r="S98" s="197">
        <v>4.5549999999999997</v>
      </c>
      <c r="T98" s="197">
        <v>0.60039794540960334</v>
      </c>
      <c r="U98" s="197">
        <v>0.90789473684210531</v>
      </c>
      <c r="V98" s="20">
        <f t="shared" si="99"/>
        <v>0.24912916392801579</v>
      </c>
      <c r="W98" s="20">
        <f t="shared" si="99"/>
        <v>0</v>
      </c>
      <c r="X98" s="20">
        <f t="shared" si="99"/>
        <v>0</v>
      </c>
      <c r="Y98" s="20">
        <f t="shared" si="99"/>
        <v>0</v>
      </c>
      <c r="Z98" s="20">
        <f t="shared" si="100"/>
        <v>0.16774524879038041</v>
      </c>
      <c r="AA98" s="20">
        <f t="shared" si="100"/>
        <v>0</v>
      </c>
      <c r="AB98" s="20">
        <f t="shared" si="100"/>
        <v>0</v>
      </c>
      <c r="AC98" s="20">
        <f t="shared" si="100"/>
        <v>0</v>
      </c>
      <c r="AD98" s="20">
        <f t="shared" si="101"/>
        <v>0.16774524879038041</v>
      </c>
      <c r="AE98" s="20">
        <f t="shared" si="102"/>
        <v>1.7038788914295977</v>
      </c>
      <c r="AF98" s="20">
        <f t="shared" si="102"/>
        <v>0</v>
      </c>
      <c r="AG98" s="20">
        <f t="shared" si="102"/>
        <v>0</v>
      </c>
      <c r="AH98" s="20">
        <f t="shared" si="102"/>
        <v>0</v>
      </c>
      <c r="AI98" s="20">
        <f t="shared" si="103"/>
        <v>1.5755839697439342</v>
      </c>
      <c r="AJ98" s="20">
        <f t="shared" si="103"/>
        <v>0</v>
      </c>
      <c r="AK98" s="20">
        <f t="shared" si="103"/>
        <v>0</v>
      </c>
      <c r="AL98" s="20">
        <f t="shared" si="103"/>
        <v>0</v>
      </c>
      <c r="AM98" s="20">
        <f t="shared" si="104"/>
        <v>1.5755839697439342</v>
      </c>
      <c r="AO98">
        <f t="shared" si="105"/>
        <v>0.21961207971636604</v>
      </c>
      <c r="AP98">
        <f t="shared" si="105"/>
        <v>0</v>
      </c>
      <c r="AQ98">
        <f t="shared" si="105"/>
        <v>0</v>
      </c>
      <c r="AR98">
        <f t="shared" si="105"/>
        <v>0</v>
      </c>
      <c r="AS98" s="319">
        <f t="shared" si="106"/>
        <v>0.21961207971636604</v>
      </c>
      <c r="AU98">
        <f t="shared" si="107"/>
        <v>2.0627545331887585</v>
      </c>
      <c r="AV98">
        <f t="shared" si="107"/>
        <v>0</v>
      </c>
      <c r="AW98">
        <f t="shared" si="107"/>
        <v>0</v>
      </c>
      <c r="AX98">
        <f t="shared" si="107"/>
        <v>0</v>
      </c>
      <c r="AY98">
        <f t="shared" si="108"/>
        <v>2.0627545331887585</v>
      </c>
    </row>
    <row r="99" spans="1:53" ht="15" x14ac:dyDescent="0.25">
      <c r="A99" s="7"/>
      <c r="B99" s="8" t="s">
        <v>14</v>
      </c>
      <c r="C99" s="7"/>
      <c r="D99" s="357">
        <f t="shared" ref="D99:H99" si="109">SUM(D93:D98)</f>
        <v>0</v>
      </c>
      <c r="E99" s="363">
        <f>SUM(E93:E98)</f>
        <v>187.75239999999999</v>
      </c>
      <c r="F99" s="357">
        <f t="shared" si="109"/>
        <v>0</v>
      </c>
      <c r="G99" s="357">
        <f t="shared" si="109"/>
        <v>0</v>
      </c>
      <c r="H99" s="357">
        <f t="shared" si="109"/>
        <v>0</v>
      </c>
      <c r="J99">
        <v>0</v>
      </c>
      <c r="K99">
        <v>0</v>
      </c>
      <c r="L99">
        <v>0</v>
      </c>
      <c r="M99">
        <v>0</v>
      </c>
      <c r="N99">
        <v>0</v>
      </c>
      <c r="O99" s="20"/>
      <c r="P99" s="20"/>
      <c r="Q99" s="438">
        <v>8.4122554071131325E-2</v>
      </c>
      <c r="R99" s="197"/>
      <c r="S99" s="197"/>
      <c r="T99" s="197"/>
      <c r="U99" s="197"/>
      <c r="AS99" s="319"/>
      <c r="BA99" s="319">
        <f>(E99*10000*Q99*AU$10)</f>
        <v>206777.81592353137</v>
      </c>
    </row>
    <row r="100" spans="1:53" ht="15" x14ac:dyDescent="0.25">
      <c r="A100" s="10"/>
      <c r="B100" s="9" t="s">
        <v>15</v>
      </c>
      <c r="C100" s="5"/>
      <c r="E100" s="363">
        <f>SUM(E99)</f>
        <v>187.75239999999999</v>
      </c>
      <c r="H100" s="358">
        <f>SUM(D99:H99)</f>
        <v>187.75239999999999</v>
      </c>
      <c r="K100" s="14"/>
      <c r="N100">
        <v>0</v>
      </c>
      <c r="O100" s="20"/>
      <c r="P100" s="20"/>
      <c r="Q100" s="438"/>
      <c r="R100" s="197"/>
      <c r="S100" s="197"/>
      <c r="T100" s="197"/>
      <c r="U100" s="197"/>
      <c r="AS100" s="319"/>
    </row>
    <row r="101" spans="1:53" ht="15.75" x14ac:dyDescent="0.25">
      <c r="A101" s="1"/>
      <c r="B101" s="2"/>
      <c r="C101" s="1"/>
      <c r="E101" s="361"/>
      <c r="K101" s="14"/>
      <c r="O101" s="20"/>
      <c r="P101" s="20"/>
      <c r="Q101" s="439"/>
      <c r="R101" s="197"/>
      <c r="S101" s="197"/>
      <c r="T101" s="197"/>
      <c r="U101" s="197"/>
      <c r="AS101" s="319"/>
    </row>
    <row r="102" spans="1:53" ht="15" x14ac:dyDescent="0.25">
      <c r="A102" s="1">
        <v>11</v>
      </c>
      <c r="B102" s="2" t="s">
        <v>25</v>
      </c>
      <c r="C102" s="1" t="s">
        <v>8</v>
      </c>
      <c r="D102">
        <v>0</v>
      </c>
      <c r="E102" s="360">
        <v>9.1846999999999994</v>
      </c>
      <c r="F102">
        <v>0</v>
      </c>
      <c r="G102">
        <v>0</v>
      </c>
      <c r="H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 s="20"/>
      <c r="P102" s="20"/>
      <c r="Q102" s="438">
        <v>4.8001413068563023E-2</v>
      </c>
      <c r="R102" s="197">
        <v>0.14000000000000001</v>
      </c>
      <c r="S102" s="197">
        <v>2.0499999999999998</v>
      </c>
      <c r="T102" s="197">
        <v>0.62857142857142845</v>
      </c>
      <c r="U102" s="197">
        <v>0.90789473684210531</v>
      </c>
      <c r="V102" s="20">
        <f t="shared" ref="V102:Y107" si="110">IF(K102&gt;0,((E102-K102)*$Q102*$R102*10)+(K102*$O$12*$Q102*$R102*10),(E102*$Q102*$R102*10))</f>
        <v>0.6172300100551632</v>
      </c>
      <c r="W102" s="20">
        <f t="shared" si="110"/>
        <v>0</v>
      </c>
      <c r="X102" s="20">
        <f t="shared" si="110"/>
        <v>0</v>
      </c>
      <c r="Y102" s="20">
        <f t="shared" si="110"/>
        <v>0</v>
      </c>
      <c r="Z102" s="20">
        <f t="shared" ref="Z102:AC107" si="111">V102*(EXP(1.01-0.34*LN(Z$8))*(1-$T102)+(1*$T102))</f>
        <v>0.42981315882818388</v>
      </c>
      <c r="AA102" s="20">
        <f t="shared" si="111"/>
        <v>0</v>
      </c>
      <c r="AB102" s="20">
        <f t="shared" si="111"/>
        <v>0</v>
      </c>
      <c r="AC102" s="20">
        <f t="shared" si="111"/>
        <v>0</v>
      </c>
      <c r="AD102" s="20">
        <f t="shared" ref="AD102:AD107" si="112">SUM(Z102:AC102)</f>
        <v>0.42981315882818388</v>
      </c>
      <c r="AE102" s="20">
        <f t="shared" ref="AE102:AH107" si="113">IF(K102&gt;0,((E102-K102)*$Q102*$S102*10)+(K102*$P$12*$Q102*$S102)*10,(E102*$Q102*$S102*10))</f>
        <v>9.0380108615220305</v>
      </c>
      <c r="AF102" s="20">
        <f t="shared" si="113"/>
        <v>0</v>
      </c>
      <c r="AG102" s="20">
        <f t="shared" si="113"/>
        <v>0</v>
      </c>
      <c r="AH102" s="20">
        <f t="shared" si="113"/>
        <v>0</v>
      </c>
      <c r="AI102" s="20">
        <f t="shared" ref="AI102:AL107" si="114">AE102*(EXP(1.01-0.34*LN(AI$8))*(1-$U102)+(1*$U102))</f>
        <v>8.3574866168086821</v>
      </c>
      <c r="AJ102" s="20">
        <f t="shared" si="114"/>
        <v>0</v>
      </c>
      <c r="AK102" s="20">
        <f t="shared" si="114"/>
        <v>0</v>
      </c>
      <c r="AL102" s="20">
        <f t="shared" si="114"/>
        <v>0</v>
      </c>
      <c r="AM102" s="20">
        <f t="shared" ref="AM102:AM107" si="115">SUM(AI102:AL102)</f>
        <v>8.3574866168086821</v>
      </c>
      <c r="AO102">
        <f t="shared" ref="AO102:AR107" si="116">Z102*AO$10</f>
        <v>0.56271138753785832</v>
      </c>
      <c r="AP102">
        <f t="shared" si="116"/>
        <v>0</v>
      </c>
      <c r="AQ102">
        <f t="shared" si="116"/>
        <v>0</v>
      </c>
      <c r="AR102">
        <f t="shared" si="116"/>
        <v>0</v>
      </c>
      <c r="AS102" s="319">
        <f t="shared" ref="AS102:AS107" si="117">SUM(AO102:AR102)</f>
        <v>0.56271138753785832</v>
      </c>
      <c r="AU102">
        <f t="shared" ref="AU102:AX107" si="118">AI102*AU$10</f>
        <v>10.941621478725926</v>
      </c>
      <c r="AV102">
        <f t="shared" si="118"/>
        <v>0</v>
      </c>
      <c r="AW102">
        <f t="shared" si="118"/>
        <v>0</v>
      </c>
      <c r="AX102">
        <f t="shared" si="118"/>
        <v>0</v>
      </c>
      <c r="AY102">
        <f t="shared" ref="AY102:AY107" si="119">SUM(AU102:AX102)</f>
        <v>10.941621478725926</v>
      </c>
    </row>
    <row r="103" spans="1:53" ht="15" x14ac:dyDescent="0.25">
      <c r="A103" s="1"/>
      <c r="B103" s="2"/>
      <c r="C103" s="1" t="s">
        <v>9</v>
      </c>
      <c r="D103">
        <v>0</v>
      </c>
      <c r="E103" s="360">
        <v>0</v>
      </c>
      <c r="F103">
        <v>0</v>
      </c>
      <c r="G103">
        <v>0</v>
      </c>
      <c r="H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 s="20"/>
      <c r="P103" s="20"/>
      <c r="Q103" s="438"/>
      <c r="R103" s="197">
        <v>0.14000000000000001</v>
      </c>
      <c r="S103" s="197">
        <v>2.0499999999999998</v>
      </c>
      <c r="T103" s="197">
        <v>0.62857142857142845</v>
      </c>
      <c r="U103" s="197">
        <v>0.90789473684210531</v>
      </c>
      <c r="V103" s="20">
        <f t="shared" si="110"/>
        <v>0</v>
      </c>
      <c r="W103" s="20">
        <f t="shared" si="110"/>
        <v>0</v>
      </c>
      <c r="X103" s="20">
        <f t="shared" si="110"/>
        <v>0</v>
      </c>
      <c r="Y103" s="20">
        <f t="shared" si="110"/>
        <v>0</v>
      </c>
      <c r="Z103" s="20">
        <f t="shared" si="111"/>
        <v>0</v>
      </c>
      <c r="AA103" s="20">
        <f t="shared" si="111"/>
        <v>0</v>
      </c>
      <c r="AB103" s="20">
        <f t="shared" si="111"/>
        <v>0</v>
      </c>
      <c r="AC103" s="20">
        <f t="shared" si="111"/>
        <v>0</v>
      </c>
      <c r="AD103" s="20">
        <f t="shared" si="112"/>
        <v>0</v>
      </c>
      <c r="AE103" s="20">
        <f t="shared" si="113"/>
        <v>0</v>
      </c>
      <c r="AF103" s="20">
        <f t="shared" si="113"/>
        <v>0</v>
      </c>
      <c r="AG103" s="20">
        <f t="shared" si="113"/>
        <v>0</v>
      </c>
      <c r="AH103" s="20">
        <f t="shared" si="113"/>
        <v>0</v>
      </c>
      <c r="AI103" s="20">
        <f t="shared" si="114"/>
        <v>0</v>
      </c>
      <c r="AJ103" s="20">
        <f t="shared" si="114"/>
        <v>0</v>
      </c>
      <c r="AK103" s="20">
        <f t="shared" si="114"/>
        <v>0</v>
      </c>
      <c r="AL103" s="20">
        <f t="shared" si="114"/>
        <v>0</v>
      </c>
      <c r="AM103" s="20">
        <f t="shared" si="115"/>
        <v>0</v>
      </c>
      <c r="AO103">
        <f t="shared" si="116"/>
        <v>0</v>
      </c>
      <c r="AP103">
        <f t="shared" si="116"/>
        <v>0</v>
      </c>
      <c r="AQ103">
        <f t="shared" si="116"/>
        <v>0</v>
      </c>
      <c r="AR103">
        <f t="shared" si="116"/>
        <v>0</v>
      </c>
      <c r="AS103" s="319">
        <f t="shared" si="117"/>
        <v>0</v>
      </c>
      <c r="AU103">
        <f t="shared" si="118"/>
        <v>0</v>
      </c>
      <c r="AV103">
        <f t="shared" si="118"/>
        <v>0</v>
      </c>
      <c r="AW103">
        <f t="shared" si="118"/>
        <v>0</v>
      </c>
      <c r="AX103">
        <f t="shared" si="118"/>
        <v>0</v>
      </c>
      <c r="AY103">
        <f t="shared" si="119"/>
        <v>0</v>
      </c>
    </row>
    <row r="104" spans="1:53" ht="15" x14ac:dyDescent="0.25">
      <c r="A104" s="1"/>
      <c r="B104" s="2"/>
      <c r="C104" s="1" t="s">
        <v>10</v>
      </c>
      <c r="D104">
        <v>0</v>
      </c>
      <c r="E104" s="360">
        <v>0</v>
      </c>
      <c r="F104">
        <v>0</v>
      </c>
      <c r="G104">
        <v>0</v>
      </c>
      <c r="H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 s="20"/>
      <c r="P104" s="20"/>
      <c r="Q104" s="438"/>
      <c r="R104" s="197">
        <v>0.14000000000000001</v>
      </c>
      <c r="S104" s="197">
        <v>2.0499999999999998</v>
      </c>
      <c r="T104" s="197">
        <v>0.62857142857142845</v>
      </c>
      <c r="U104" s="197">
        <v>0.90789473684210531</v>
      </c>
      <c r="V104" s="20">
        <f t="shared" si="110"/>
        <v>0</v>
      </c>
      <c r="W104" s="20">
        <f t="shared" si="110"/>
        <v>0</v>
      </c>
      <c r="X104" s="20">
        <f t="shared" si="110"/>
        <v>0</v>
      </c>
      <c r="Y104" s="20">
        <f t="shared" si="110"/>
        <v>0</v>
      </c>
      <c r="Z104" s="20">
        <f t="shared" si="111"/>
        <v>0</v>
      </c>
      <c r="AA104" s="20">
        <f t="shared" si="111"/>
        <v>0</v>
      </c>
      <c r="AB104" s="20">
        <f t="shared" si="111"/>
        <v>0</v>
      </c>
      <c r="AC104" s="20">
        <f t="shared" si="111"/>
        <v>0</v>
      </c>
      <c r="AD104" s="20">
        <f t="shared" si="112"/>
        <v>0</v>
      </c>
      <c r="AE104" s="20">
        <f t="shared" si="113"/>
        <v>0</v>
      </c>
      <c r="AF104" s="20">
        <f t="shared" si="113"/>
        <v>0</v>
      </c>
      <c r="AG104" s="20">
        <f t="shared" si="113"/>
        <v>0</v>
      </c>
      <c r="AH104" s="20">
        <f t="shared" si="113"/>
        <v>0</v>
      </c>
      <c r="AI104" s="20">
        <f t="shared" si="114"/>
        <v>0</v>
      </c>
      <c r="AJ104" s="20">
        <f t="shared" si="114"/>
        <v>0</v>
      </c>
      <c r="AK104" s="20">
        <f t="shared" si="114"/>
        <v>0</v>
      </c>
      <c r="AL104" s="20">
        <f t="shared" si="114"/>
        <v>0</v>
      </c>
      <c r="AM104" s="20">
        <f t="shared" si="115"/>
        <v>0</v>
      </c>
      <c r="AO104">
        <f t="shared" si="116"/>
        <v>0</v>
      </c>
      <c r="AP104">
        <f t="shared" si="116"/>
        <v>0</v>
      </c>
      <c r="AQ104">
        <f t="shared" si="116"/>
        <v>0</v>
      </c>
      <c r="AR104">
        <f t="shared" si="116"/>
        <v>0</v>
      </c>
      <c r="AS104" s="319">
        <f t="shared" si="117"/>
        <v>0</v>
      </c>
      <c r="AU104">
        <f t="shared" si="118"/>
        <v>0</v>
      </c>
      <c r="AV104">
        <f t="shared" si="118"/>
        <v>0</v>
      </c>
      <c r="AW104">
        <f t="shared" si="118"/>
        <v>0</v>
      </c>
      <c r="AX104">
        <f t="shared" si="118"/>
        <v>0</v>
      </c>
      <c r="AY104">
        <f t="shared" si="119"/>
        <v>0</v>
      </c>
    </row>
    <row r="105" spans="1:53" ht="15" x14ac:dyDescent="0.25">
      <c r="A105" s="1"/>
      <c r="B105" s="2"/>
      <c r="C105" s="1" t="s">
        <v>11</v>
      </c>
      <c r="D105">
        <v>0</v>
      </c>
      <c r="E105" s="360">
        <v>6.8199999999999997E-2</v>
      </c>
      <c r="F105">
        <v>0</v>
      </c>
      <c r="G105">
        <v>0</v>
      </c>
      <c r="H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 s="20"/>
      <c r="P105" s="20"/>
      <c r="Q105" s="438">
        <v>0.16500565227425204</v>
      </c>
      <c r="R105" s="197">
        <v>0.14000000000000001</v>
      </c>
      <c r="S105" s="197">
        <v>2.0499999999999998</v>
      </c>
      <c r="T105" s="197">
        <v>0.62857142857142845</v>
      </c>
      <c r="U105" s="197">
        <v>0.90789473684210531</v>
      </c>
      <c r="V105" s="20">
        <f t="shared" si="110"/>
        <v>1.5754739679145587E-2</v>
      </c>
      <c r="W105" s="20">
        <f t="shared" si="110"/>
        <v>0</v>
      </c>
      <c r="X105" s="20">
        <f t="shared" si="110"/>
        <v>0</v>
      </c>
      <c r="Y105" s="20">
        <f t="shared" si="110"/>
        <v>0</v>
      </c>
      <c r="Z105" s="20">
        <f t="shared" si="111"/>
        <v>1.0970941654966032E-2</v>
      </c>
      <c r="AA105" s="20">
        <f t="shared" si="111"/>
        <v>0</v>
      </c>
      <c r="AB105" s="20">
        <f t="shared" si="111"/>
        <v>0</v>
      </c>
      <c r="AC105" s="20">
        <f t="shared" si="111"/>
        <v>0</v>
      </c>
      <c r="AD105" s="20">
        <f t="shared" si="112"/>
        <v>1.0970941654966032E-2</v>
      </c>
      <c r="AE105" s="20">
        <f t="shared" si="113"/>
        <v>0.23069440244463174</v>
      </c>
      <c r="AF105" s="20">
        <f t="shared" si="113"/>
        <v>0</v>
      </c>
      <c r="AG105" s="20">
        <f t="shared" si="113"/>
        <v>0</v>
      </c>
      <c r="AH105" s="20">
        <f t="shared" si="113"/>
        <v>0</v>
      </c>
      <c r="AI105" s="20">
        <f t="shared" si="114"/>
        <v>0.21332408320197574</v>
      </c>
      <c r="AJ105" s="20">
        <f t="shared" si="114"/>
        <v>0</v>
      </c>
      <c r="AK105" s="20">
        <f t="shared" si="114"/>
        <v>0</v>
      </c>
      <c r="AL105" s="20">
        <f t="shared" si="114"/>
        <v>0</v>
      </c>
      <c r="AM105" s="20">
        <f t="shared" si="115"/>
        <v>0.21332408320197574</v>
      </c>
      <c r="AO105">
        <f t="shared" si="116"/>
        <v>1.4363156814681529E-2</v>
      </c>
      <c r="AP105">
        <f t="shared" si="116"/>
        <v>0</v>
      </c>
      <c r="AQ105">
        <f t="shared" si="116"/>
        <v>0</v>
      </c>
      <c r="AR105">
        <f t="shared" si="116"/>
        <v>0</v>
      </c>
      <c r="AS105" s="319">
        <f t="shared" si="117"/>
        <v>1.4363156814681529E-2</v>
      </c>
      <c r="AU105">
        <f t="shared" si="118"/>
        <v>0.27928388972802665</v>
      </c>
      <c r="AV105">
        <f t="shared" si="118"/>
        <v>0</v>
      </c>
      <c r="AW105">
        <f t="shared" si="118"/>
        <v>0</v>
      </c>
      <c r="AX105">
        <f t="shared" si="118"/>
        <v>0</v>
      </c>
      <c r="AY105">
        <f t="shared" si="119"/>
        <v>0.27928388972802665</v>
      </c>
    </row>
    <row r="106" spans="1:53" ht="15" x14ac:dyDescent="0.25">
      <c r="A106" s="1"/>
      <c r="B106" s="2"/>
      <c r="C106" s="1" t="s">
        <v>12</v>
      </c>
      <c r="D106">
        <v>0</v>
      </c>
      <c r="E106" s="360">
        <v>0</v>
      </c>
      <c r="F106">
        <v>0</v>
      </c>
      <c r="G106">
        <v>0</v>
      </c>
      <c r="H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 s="20"/>
      <c r="P106" s="20"/>
      <c r="Q106" s="438"/>
      <c r="R106" s="197">
        <v>0.14000000000000001</v>
      </c>
      <c r="S106" s="197">
        <v>2.0499999999999998</v>
      </c>
      <c r="T106" s="197">
        <v>0.62857142857142845</v>
      </c>
      <c r="U106" s="197">
        <v>0.90789473684210531</v>
      </c>
      <c r="V106" s="20">
        <f t="shared" si="110"/>
        <v>0</v>
      </c>
      <c r="W106" s="20">
        <f t="shared" si="110"/>
        <v>0</v>
      </c>
      <c r="X106" s="20">
        <f t="shared" si="110"/>
        <v>0</v>
      </c>
      <c r="Y106" s="20">
        <f t="shared" si="110"/>
        <v>0</v>
      </c>
      <c r="Z106" s="20">
        <f t="shared" si="111"/>
        <v>0</v>
      </c>
      <c r="AA106" s="20">
        <f t="shared" si="111"/>
        <v>0</v>
      </c>
      <c r="AB106" s="20">
        <f t="shared" si="111"/>
        <v>0</v>
      </c>
      <c r="AC106" s="20">
        <f t="shared" si="111"/>
        <v>0</v>
      </c>
      <c r="AD106" s="20">
        <f t="shared" si="112"/>
        <v>0</v>
      </c>
      <c r="AE106" s="20">
        <f t="shared" si="113"/>
        <v>0</v>
      </c>
      <c r="AF106" s="20">
        <f t="shared" si="113"/>
        <v>0</v>
      </c>
      <c r="AG106" s="20">
        <f t="shared" si="113"/>
        <v>0</v>
      </c>
      <c r="AH106" s="20">
        <f t="shared" si="113"/>
        <v>0</v>
      </c>
      <c r="AI106" s="20">
        <f t="shared" si="114"/>
        <v>0</v>
      </c>
      <c r="AJ106" s="20">
        <f t="shared" si="114"/>
        <v>0</v>
      </c>
      <c r="AK106" s="20">
        <f t="shared" si="114"/>
        <v>0</v>
      </c>
      <c r="AL106" s="20">
        <f t="shared" si="114"/>
        <v>0</v>
      </c>
      <c r="AM106" s="20">
        <f t="shared" si="115"/>
        <v>0</v>
      </c>
      <c r="AO106">
        <f t="shared" si="116"/>
        <v>0</v>
      </c>
      <c r="AP106">
        <f t="shared" si="116"/>
        <v>0</v>
      </c>
      <c r="AQ106">
        <f t="shared" si="116"/>
        <v>0</v>
      </c>
      <c r="AR106">
        <f t="shared" si="116"/>
        <v>0</v>
      </c>
      <c r="AS106" s="319">
        <f t="shared" si="117"/>
        <v>0</v>
      </c>
      <c r="AU106">
        <f t="shared" si="118"/>
        <v>0</v>
      </c>
      <c r="AV106">
        <f t="shared" si="118"/>
        <v>0</v>
      </c>
      <c r="AW106">
        <f t="shared" si="118"/>
        <v>0</v>
      </c>
      <c r="AX106">
        <f t="shared" si="118"/>
        <v>0</v>
      </c>
      <c r="AY106">
        <f t="shared" si="119"/>
        <v>0</v>
      </c>
    </row>
    <row r="107" spans="1:53" ht="15" x14ac:dyDescent="0.25">
      <c r="A107" s="1"/>
      <c r="B107" s="2"/>
      <c r="C107" s="1" t="s">
        <v>13</v>
      </c>
      <c r="D107">
        <v>0</v>
      </c>
      <c r="E107" s="360">
        <v>2.5700000000000001E-2</v>
      </c>
      <c r="F107">
        <v>0</v>
      </c>
      <c r="G107">
        <v>0</v>
      </c>
      <c r="H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0"/>
      <c r="P107" s="20"/>
      <c r="Q107" s="438">
        <v>0.16500565227425207</v>
      </c>
      <c r="R107" s="197">
        <v>0.14000000000000001</v>
      </c>
      <c r="S107" s="197">
        <v>2.0499999999999998</v>
      </c>
      <c r="T107" s="197">
        <v>0.62857142857142845</v>
      </c>
      <c r="U107" s="197">
        <v>0.90789473684210531</v>
      </c>
      <c r="V107" s="20">
        <f t="shared" si="110"/>
        <v>5.9369033688275903E-3</v>
      </c>
      <c r="W107" s="20">
        <f t="shared" si="110"/>
        <v>0</v>
      </c>
      <c r="X107" s="20">
        <f t="shared" si="110"/>
        <v>0</v>
      </c>
      <c r="Y107" s="20">
        <f t="shared" si="110"/>
        <v>0</v>
      </c>
      <c r="Z107" s="20">
        <f t="shared" si="111"/>
        <v>4.1342111515047962E-3</v>
      </c>
      <c r="AA107" s="20">
        <f t="shared" si="111"/>
        <v>0</v>
      </c>
      <c r="AB107" s="20">
        <f t="shared" si="111"/>
        <v>0</v>
      </c>
      <c r="AC107" s="20">
        <f t="shared" si="111"/>
        <v>0</v>
      </c>
      <c r="AD107" s="20">
        <f t="shared" si="112"/>
        <v>4.1342111515047962E-3</v>
      </c>
      <c r="AE107" s="20">
        <f t="shared" si="113"/>
        <v>8.6933227900689705E-2</v>
      </c>
      <c r="AF107" s="20">
        <f t="shared" si="113"/>
        <v>0</v>
      </c>
      <c r="AG107" s="20">
        <f t="shared" si="113"/>
        <v>0</v>
      </c>
      <c r="AH107" s="20">
        <f t="shared" si="113"/>
        <v>0</v>
      </c>
      <c r="AI107" s="20">
        <f t="shared" si="114"/>
        <v>8.0387521089307593E-2</v>
      </c>
      <c r="AJ107" s="20">
        <f t="shared" si="114"/>
        <v>0</v>
      </c>
      <c r="AK107" s="20">
        <f t="shared" si="114"/>
        <v>0</v>
      </c>
      <c r="AL107" s="20">
        <f t="shared" si="114"/>
        <v>0</v>
      </c>
      <c r="AM107" s="20">
        <f t="shared" si="115"/>
        <v>8.0387521089307593E-2</v>
      </c>
      <c r="AO107">
        <f t="shared" si="116"/>
        <v>5.4125092395500788E-3</v>
      </c>
      <c r="AP107">
        <f t="shared" si="116"/>
        <v>0</v>
      </c>
      <c r="AQ107">
        <f t="shared" si="116"/>
        <v>0</v>
      </c>
      <c r="AR107">
        <f t="shared" si="116"/>
        <v>0</v>
      </c>
      <c r="AS107" s="319">
        <f t="shared" si="117"/>
        <v>5.4125092395500788E-3</v>
      </c>
      <c r="AU107">
        <f t="shared" si="118"/>
        <v>0.1052433426101215</v>
      </c>
      <c r="AV107">
        <f t="shared" si="118"/>
        <v>0</v>
      </c>
      <c r="AW107">
        <f t="shared" si="118"/>
        <v>0</v>
      </c>
      <c r="AX107">
        <f t="shared" si="118"/>
        <v>0</v>
      </c>
      <c r="AY107">
        <f t="shared" si="119"/>
        <v>0.1052433426101215</v>
      </c>
    </row>
    <row r="108" spans="1:53" ht="15" x14ac:dyDescent="0.25">
      <c r="A108" s="7"/>
      <c r="B108" s="8" t="s">
        <v>14</v>
      </c>
      <c r="C108" s="7"/>
      <c r="D108" s="357">
        <f t="shared" ref="D108:H108" si="120">SUM(D102:D107)</f>
        <v>0</v>
      </c>
      <c r="E108" s="363">
        <f>SUM(E102:E107)</f>
        <v>9.2785999999999991</v>
      </c>
      <c r="F108" s="357">
        <f t="shared" si="120"/>
        <v>0</v>
      </c>
      <c r="G108" s="357">
        <f t="shared" si="120"/>
        <v>0</v>
      </c>
      <c r="H108" s="357">
        <f t="shared" si="120"/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 s="20"/>
      <c r="P108" s="20"/>
      <c r="Q108" s="438">
        <v>4.9185503131871519E-2</v>
      </c>
      <c r="R108" s="197"/>
      <c r="S108" s="197"/>
      <c r="T108" s="197"/>
      <c r="U108" s="197"/>
      <c r="AS108" s="319"/>
      <c r="BA108" s="319">
        <f>(E108*10000*Q108*AU$10)</f>
        <v>5974.8302017330425</v>
      </c>
    </row>
    <row r="109" spans="1:53" ht="15" x14ac:dyDescent="0.25">
      <c r="A109" s="10"/>
      <c r="B109" s="9" t="s">
        <v>15</v>
      </c>
      <c r="C109" s="5"/>
      <c r="E109" s="363">
        <f>SUM(E108)</f>
        <v>9.2785999999999991</v>
      </c>
      <c r="H109" s="358">
        <f>SUM(D108:H108)</f>
        <v>9.2785999999999991</v>
      </c>
      <c r="K109" s="14"/>
      <c r="N109">
        <v>0</v>
      </c>
      <c r="O109" s="20"/>
      <c r="P109" s="20"/>
      <c r="Q109" s="438"/>
      <c r="R109" s="197"/>
      <c r="S109" s="197"/>
      <c r="T109" s="197"/>
      <c r="U109" s="197"/>
      <c r="AS109" s="319"/>
    </row>
    <row r="110" spans="1:53" ht="15.75" x14ac:dyDescent="0.25">
      <c r="A110" s="1"/>
      <c r="B110" s="2"/>
      <c r="C110" s="1"/>
      <c r="E110" s="361"/>
      <c r="K110" s="14"/>
      <c r="O110" s="20"/>
      <c r="P110" s="20"/>
      <c r="Q110" s="439"/>
      <c r="R110" s="197"/>
      <c r="S110" s="197"/>
      <c r="T110" s="197"/>
      <c r="U110" s="197"/>
      <c r="AS110" s="319"/>
    </row>
    <row r="111" spans="1:53" ht="15" x14ac:dyDescent="0.25">
      <c r="A111" s="1">
        <v>12</v>
      </c>
      <c r="B111" s="2" t="s">
        <v>26</v>
      </c>
      <c r="C111" s="1" t="s">
        <v>8</v>
      </c>
      <c r="D111">
        <v>0</v>
      </c>
      <c r="E111" s="360"/>
      <c r="F111">
        <v>0</v>
      </c>
      <c r="G111">
        <v>0</v>
      </c>
      <c r="H111">
        <v>0</v>
      </c>
      <c r="J111">
        <v>0</v>
      </c>
      <c r="K111" s="14">
        <v>0</v>
      </c>
      <c r="L111">
        <v>0</v>
      </c>
      <c r="M111">
        <v>0</v>
      </c>
      <c r="N111">
        <v>0</v>
      </c>
      <c r="O111" s="20"/>
      <c r="P111" s="20"/>
      <c r="Q111" s="438"/>
      <c r="R111" s="197">
        <v>6.531704360902256</v>
      </c>
      <c r="S111" s="197">
        <v>78.227142857142866</v>
      </c>
      <c r="T111" s="197">
        <v>0.5825685654008439</v>
      </c>
      <c r="U111" s="197">
        <v>0.90789473684210531</v>
      </c>
      <c r="V111" s="20">
        <f t="shared" ref="V111:Y116" si="121">IF(K111&gt;0,((E111-K111)*$Q111*$R111*10)+(K111*$O$12*$Q111*$R111*10),(E111*$Q111*$R111*10))</f>
        <v>0</v>
      </c>
      <c r="W111" s="20">
        <f t="shared" si="121"/>
        <v>0</v>
      </c>
      <c r="X111" s="20">
        <f t="shared" si="121"/>
        <v>0</v>
      </c>
      <c r="Y111" s="20">
        <f t="shared" si="121"/>
        <v>0</v>
      </c>
      <c r="Z111" s="20">
        <f t="shared" ref="Z111:AC116" si="122">V111*(EXP(1.01-0.34*LN(Z$8))*(1-$T111)+(1*$T111))</f>
        <v>0</v>
      </c>
      <c r="AA111" s="20">
        <f t="shared" si="122"/>
        <v>0</v>
      </c>
      <c r="AB111" s="20">
        <f t="shared" si="122"/>
        <v>0</v>
      </c>
      <c r="AC111" s="20">
        <f t="shared" si="122"/>
        <v>0</v>
      </c>
      <c r="AD111" s="20">
        <f t="shared" ref="AD111:AD116" si="123">SUM(Z111:AC111)</f>
        <v>0</v>
      </c>
      <c r="AE111" s="20">
        <f t="shared" ref="AE111:AH116" si="124">IF(K111&gt;0,((E111-K111)*$Q111*$S111*10)+(K111*$P$12*$Q111*$S111)*10,(E111*$Q111*$S111*10))</f>
        <v>0</v>
      </c>
      <c r="AF111" s="20">
        <f t="shared" si="124"/>
        <v>0</v>
      </c>
      <c r="AG111" s="20">
        <f t="shared" si="124"/>
        <v>0</v>
      </c>
      <c r="AH111" s="20">
        <f t="shared" si="124"/>
        <v>0</v>
      </c>
      <c r="AI111" s="20">
        <f t="shared" ref="AI111:AL116" si="125">AE111*(EXP(1.01-0.34*LN(AI$8))*(1-$U111)+(1*$U111))</f>
        <v>0</v>
      </c>
      <c r="AJ111" s="20">
        <f t="shared" si="125"/>
        <v>0</v>
      </c>
      <c r="AK111" s="20">
        <f t="shared" si="125"/>
        <v>0</v>
      </c>
      <c r="AL111" s="20">
        <f t="shared" si="125"/>
        <v>0</v>
      </c>
      <c r="AM111" s="20">
        <f t="shared" ref="AM111:AM116" si="126">SUM(AI111:AL111)</f>
        <v>0</v>
      </c>
      <c r="AO111">
        <f t="shared" ref="AO111:AR116" si="127">Z111*AO$10</f>
        <v>0</v>
      </c>
      <c r="AP111">
        <f t="shared" si="127"/>
        <v>0</v>
      </c>
      <c r="AQ111">
        <f t="shared" si="127"/>
        <v>0</v>
      </c>
      <c r="AR111">
        <f t="shared" si="127"/>
        <v>0</v>
      </c>
      <c r="AS111" s="319">
        <f t="shared" ref="AS111:AS116" si="128">SUM(AO111:AR111)</f>
        <v>0</v>
      </c>
      <c r="AU111">
        <f t="shared" ref="AU111:AX116" si="129">AI111*AU$10</f>
        <v>0</v>
      </c>
      <c r="AV111">
        <f t="shared" si="129"/>
        <v>0</v>
      </c>
      <c r="AW111">
        <f t="shared" si="129"/>
        <v>0</v>
      </c>
      <c r="AX111">
        <f t="shared" si="129"/>
        <v>0</v>
      </c>
      <c r="AY111">
        <f t="shared" ref="AY111:AY116" si="130">SUM(AU111:AX111)</f>
        <v>0</v>
      </c>
    </row>
    <row r="112" spans="1:53" ht="15" x14ac:dyDescent="0.25">
      <c r="A112" s="1"/>
      <c r="B112" s="2"/>
      <c r="C112" s="1" t="s">
        <v>9</v>
      </c>
      <c r="D112">
        <v>0</v>
      </c>
      <c r="E112" s="360"/>
      <c r="F112">
        <v>0</v>
      </c>
      <c r="G112">
        <v>0</v>
      </c>
      <c r="H112">
        <v>0</v>
      </c>
      <c r="J112">
        <v>0</v>
      </c>
      <c r="K112" s="14">
        <v>0</v>
      </c>
      <c r="L112">
        <v>0</v>
      </c>
      <c r="M112">
        <v>0</v>
      </c>
      <c r="N112">
        <v>0</v>
      </c>
      <c r="O112" s="20"/>
      <c r="P112" s="20"/>
      <c r="Q112" s="438"/>
      <c r="R112" s="197">
        <v>6.531704360902256</v>
      </c>
      <c r="S112" s="197">
        <v>78.227142857142866</v>
      </c>
      <c r="T112" s="197">
        <v>0.5825685654008439</v>
      </c>
      <c r="U112" s="197">
        <v>0.90789473684210531</v>
      </c>
      <c r="V112" s="20">
        <f t="shared" si="121"/>
        <v>0</v>
      </c>
      <c r="W112" s="20">
        <f t="shared" si="121"/>
        <v>0</v>
      </c>
      <c r="X112" s="20">
        <f t="shared" si="121"/>
        <v>0</v>
      </c>
      <c r="Y112" s="20">
        <f t="shared" si="121"/>
        <v>0</v>
      </c>
      <c r="Z112" s="20">
        <f t="shared" si="122"/>
        <v>0</v>
      </c>
      <c r="AA112" s="20">
        <f t="shared" si="122"/>
        <v>0</v>
      </c>
      <c r="AB112" s="20">
        <f t="shared" si="122"/>
        <v>0</v>
      </c>
      <c r="AC112" s="20">
        <f t="shared" si="122"/>
        <v>0</v>
      </c>
      <c r="AD112" s="20">
        <f t="shared" si="123"/>
        <v>0</v>
      </c>
      <c r="AE112" s="20">
        <f t="shared" si="124"/>
        <v>0</v>
      </c>
      <c r="AF112" s="20">
        <f t="shared" si="124"/>
        <v>0</v>
      </c>
      <c r="AG112" s="20">
        <f t="shared" si="124"/>
        <v>0</v>
      </c>
      <c r="AH112" s="20">
        <f t="shared" si="124"/>
        <v>0</v>
      </c>
      <c r="AI112" s="20">
        <f t="shared" si="125"/>
        <v>0</v>
      </c>
      <c r="AJ112" s="20">
        <f t="shared" si="125"/>
        <v>0</v>
      </c>
      <c r="AK112" s="20">
        <f t="shared" si="125"/>
        <v>0</v>
      </c>
      <c r="AL112" s="20">
        <f t="shared" si="125"/>
        <v>0</v>
      </c>
      <c r="AM112" s="20">
        <f t="shared" si="126"/>
        <v>0</v>
      </c>
      <c r="AO112">
        <f t="shared" si="127"/>
        <v>0</v>
      </c>
      <c r="AP112">
        <f t="shared" si="127"/>
        <v>0</v>
      </c>
      <c r="AQ112">
        <f t="shared" si="127"/>
        <v>0</v>
      </c>
      <c r="AR112">
        <f t="shared" si="127"/>
        <v>0</v>
      </c>
      <c r="AS112" s="319">
        <f t="shared" si="128"/>
        <v>0</v>
      </c>
      <c r="AU112">
        <f t="shared" si="129"/>
        <v>0</v>
      </c>
      <c r="AV112">
        <f t="shared" si="129"/>
        <v>0</v>
      </c>
      <c r="AW112">
        <f t="shared" si="129"/>
        <v>0</v>
      </c>
      <c r="AX112">
        <f t="shared" si="129"/>
        <v>0</v>
      </c>
      <c r="AY112">
        <f t="shared" si="130"/>
        <v>0</v>
      </c>
    </row>
    <row r="113" spans="1:53" ht="15" x14ac:dyDescent="0.25">
      <c r="A113" s="1"/>
      <c r="B113" s="2"/>
      <c r="C113" s="1" t="s">
        <v>10</v>
      </c>
      <c r="D113">
        <v>0</v>
      </c>
      <c r="E113" s="360"/>
      <c r="F113">
        <v>0</v>
      </c>
      <c r="G113">
        <v>0</v>
      </c>
      <c r="H113">
        <v>0</v>
      </c>
      <c r="J113">
        <v>0</v>
      </c>
      <c r="K113" s="14">
        <v>0</v>
      </c>
      <c r="L113">
        <v>0</v>
      </c>
      <c r="M113">
        <v>0</v>
      </c>
      <c r="N113">
        <v>0</v>
      </c>
      <c r="O113" s="20"/>
      <c r="P113" s="20"/>
      <c r="Q113" s="438"/>
      <c r="R113" s="197">
        <v>6.531704360902256</v>
      </c>
      <c r="S113" s="197">
        <v>78.227142857142866</v>
      </c>
      <c r="T113" s="197">
        <v>0.5825685654008439</v>
      </c>
      <c r="U113" s="197">
        <v>0.90789473684210531</v>
      </c>
      <c r="V113" s="20">
        <f t="shared" si="121"/>
        <v>0</v>
      </c>
      <c r="W113" s="20">
        <f t="shared" si="121"/>
        <v>0</v>
      </c>
      <c r="X113" s="20">
        <f t="shared" si="121"/>
        <v>0</v>
      </c>
      <c r="Y113" s="20">
        <f t="shared" si="121"/>
        <v>0</v>
      </c>
      <c r="Z113" s="20">
        <f t="shared" si="122"/>
        <v>0</v>
      </c>
      <c r="AA113" s="20">
        <f t="shared" si="122"/>
        <v>0</v>
      </c>
      <c r="AB113" s="20">
        <f t="shared" si="122"/>
        <v>0</v>
      </c>
      <c r="AC113" s="20">
        <f t="shared" si="122"/>
        <v>0</v>
      </c>
      <c r="AD113" s="20">
        <f t="shared" si="123"/>
        <v>0</v>
      </c>
      <c r="AE113" s="20">
        <f t="shared" si="124"/>
        <v>0</v>
      </c>
      <c r="AF113" s="20">
        <f t="shared" si="124"/>
        <v>0</v>
      </c>
      <c r="AG113" s="20">
        <f t="shared" si="124"/>
        <v>0</v>
      </c>
      <c r="AH113" s="20">
        <f t="shared" si="124"/>
        <v>0</v>
      </c>
      <c r="AI113" s="20">
        <f t="shared" si="125"/>
        <v>0</v>
      </c>
      <c r="AJ113" s="20">
        <f t="shared" si="125"/>
        <v>0</v>
      </c>
      <c r="AK113" s="20">
        <f t="shared" si="125"/>
        <v>0</v>
      </c>
      <c r="AL113" s="20">
        <f t="shared" si="125"/>
        <v>0</v>
      </c>
      <c r="AM113" s="20">
        <f t="shared" si="126"/>
        <v>0</v>
      </c>
      <c r="AO113">
        <f t="shared" si="127"/>
        <v>0</v>
      </c>
      <c r="AP113">
        <f t="shared" si="127"/>
        <v>0</v>
      </c>
      <c r="AQ113">
        <f t="shared" si="127"/>
        <v>0</v>
      </c>
      <c r="AR113">
        <f t="shared" si="127"/>
        <v>0</v>
      </c>
      <c r="AS113" s="319">
        <f t="shared" si="128"/>
        <v>0</v>
      </c>
      <c r="AU113">
        <f t="shared" si="129"/>
        <v>0</v>
      </c>
      <c r="AV113">
        <f t="shared" si="129"/>
        <v>0</v>
      </c>
      <c r="AW113">
        <f t="shared" si="129"/>
        <v>0</v>
      </c>
      <c r="AX113">
        <f t="shared" si="129"/>
        <v>0</v>
      </c>
      <c r="AY113">
        <f t="shared" si="130"/>
        <v>0</v>
      </c>
    </row>
    <row r="114" spans="1:53" ht="15" x14ac:dyDescent="0.25">
      <c r="A114" s="1"/>
      <c r="B114" s="2"/>
      <c r="C114" s="1" t="s">
        <v>11</v>
      </c>
      <c r="D114">
        <v>0</v>
      </c>
      <c r="E114" s="360"/>
      <c r="F114">
        <v>0</v>
      </c>
      <c r="G114">
        <v>0</v>
      </c>
      <c r="H114">
        <v>0</v>
      </c>
      <c r="J114">
        <v>0</v>
      </c>
      <c r="K114" s="14">
        <v>0</v>
      </c>
      <c r="L114">
        <v>0</v>
      </c>
      <c r="M114">
        <v>0</v>
      </c>
      <c r="N114">
        <v>0</v>
      </c>
      <c r="O114" s="20"/>
      <c r="P114" s="20"/>
      <c r="Q114" s="438"/>
      <c r="R114" s="197">
        <v>6.531704360902256</v>
      </c>
      <c r="S114" s="197">
        <v>78.227142857142866</v>
      </c>
      <c r="T114" s="197">
        <v>0.5825685654008439</v>
      </c>
      <c r="U114" s="197">
        <v>0.90789473684210531</v>
      </c>
      <c r="V114" s="20">
        <f t="shared" si="121"/>
        <v>0</v>
      </c>
      <c r="W114" s="20">
        <f t="shared" si="121"/>
        <v>0</v>
      </c>
      <c r="X114" s="20">
        <f t="shared" si="121"/>
        <v>0</v>
      </c>
      <c r="Y114" s="20">
        <f t="shared" si="121"/>
        <v>0</v>
      </c>
      <c r="Z114" s="20">
        <f t="shared" si="122"/>
        <v>0</v>
      </c>
      <c r="AA114" s="20">
        <f t="shared" si="122"/>
        <v>0</v>
      </c>
      <c r="AB114" s="20">
        <f t="shared" si="122"/>
        <v>0</v>
      </c>
      <c r="AC114" s="20">
        <f t="shared" si="122"/>
        <v>0</v>
      </c>
      <c r="AD114" s="20">
        <f t="shared" si="123"/>
        <v>0</v>
      </c>
      <c r="AE114" s="20">
        <f t="shared" si="124"/>
        <v>0</v>
      </c>
      <c r="AF114" s="20">
        <f t="shared" si="124"/>
        <v>0</v>
      </c>
      <c r="AG114" s="20">
        <f t="shared" si="124"/>
        <v>0</v>
      </c>
      <c r="AH114" s="20">
        <f t="shared" si="124"/>
        <v>0</v>
      </c>
      <c r="AI114" s="20">
        <f t="shared" si="125"/>
        <v>0</v>
      </c>
      <c r="AJ114" s="20">
        <f t="shared" si="125"/>
        <v>0</v>
      </c>
      <c r="AK114" s="20">
        <f t="shared" si="125"/>
        <v>0</v>
      </c>
      <c r="AL114" s="20">
        <f t="shared" si="125"/>
        <v>0</v>
      </c>
      <c r="AM114" s="20">
        <f t="shared" si="126"/>
        <v>0</v>
      </c>
      <c r="AO114">
        <f t="shared" si="127"/>
        <v>0</v>
      </c>
      <c r="AP114">
        <f t="shared" si="127"/>
        <v>0</v>
      </c>
      <c r="AQ114">
        <f t="shared" si="127"/>
        <v>0</v>
      </c>
      <c r="AR114">
        <f t="shared" si="127"/>
        <v>0</v>
      </c>
      <c r="AS114" s="319">
        <f t="shared" si="128"/>
        <v>0</v>
      </c>
      <c r="AU114">
        <f t="shared" si="129"/>
        <v>0</v>
      </c>
      <c r="AV114">
        <f t="shared" si="129"/>
        <v>0</v>
      </c>
      <c r="AW114">
        <f t="shared" si="129"/>
        <v>0</v>
      </c>
      <c r="AX114">
        <f t="shared" si="129"/>
        <v>0</v>
      </c>
      <c r="AY114">
        <f t="shared" si="130"/>
        <v>0</v>
      </c>
    </row>
    <row r="115" spans="1:53" ht="15" x14ac:dyDescent="0.25">
      <c r="A115" s="1"/>
      <c r="B115" s="2"/>
      <c r="C115" s="1" t="s">
        <v>12</v>
      </c>
      <c r="D115">
        <v>0</v>
      </c>
      <c r="E115" s="360"/>
      <c r="F115">
        <v>0</v>
      </c>
      <c r="G115">
        <v>0</v>
      </c>
      <c r="H115">
        <v>0</v>
      </c>
      <c r="J115">
        <v>0</v>
      </c>
      <c r="K115" s="14">
        <v>0</v>
      </c>
      <c r="L115">
        <v>0</v>
      </c>
      <c r="M115">
        <v>0</v>
      </c>
      <c r="N115">
        <v>0</v>
      </c>
      <c r="O115" s="20"/>
      <c r="P115" s="20"/>
      <c r="Q115" s="438"/>
      <c r="R115" s="197">
        <v>6.531704360902256</v>
      </c>
      <c r="S115" s="197">
        <v>78.227142857142866</v>
      </c>
      <c r="T115" s="197">
        <v>0.5825685654008439</v>
      </c>
      <c r="U115" s="197">
        <v>0.90789473684210531</v>
      </c>
      <c r="V115" s="20">
        <f t="shared" si="121"/>
        <v>0</v>
      </c>
      <c r="W115" s="20">
        <f t="shared" si="121"/>
        <v>0</v>
      </c>
      <c r="X115" s="20">
        <f t="shared" si="121"/>
        <v>0</v>
      </c>
      <c r="Y115" s="20">
        <f t="shared" si="121"/>
        <v>0</v>
      </c>
      <c r="Z115" s="20">
        <f t="shared" si="122"/>
        <v>0</v>
      </c>
      <c r="AA115" s="20">
        <f t="shared" si="122"/>
        <v>0</v>
      </c>
      <c r="AB115" s="20">
        <f t="shared" si="122"/>
        <v>0</v>
      </c>
      <c r="AC115" s="20">
        <f t="shared" si="122"/>
        <v>0</v>
      </c>
      <c r="AD115" s="20">
        <f t="shared" si="123"/>
        <v>0</v>
      </c>
      <c r="AE115" s="20">
        <f t="shared" si="124"/>
        <v>0</v>
      </c>
      <c r="AF115" s="20">
        <f t="shared" si="124"/>
        <v>0</v>
      </c>
      <c r="AG115" s="20">
        <f t="shared" si="124"/>
        <v>0</v>
      </c>
      <c r="AH115" s="20">
        <f t="shared" si="124"/>
        <v>0</v>
      </c>
      <c r="AI115" s="20">
        <f t="shared" si="125"/>
        <v>0</v>
      </c>
      <c r="AJ115" s="20">
        <f t="shared" si="125"/>
        <v>0</v>
      </c>
      <c r="AK115" s="20">
        <f t="shared" si="125"/>
        <v>0</v>
      </c>
      <c r="AL115" s="20">
        <f t="shared" si="125"/>
        <v>0</v>
      </c>
      <c r="AM115" s="20">
        <f t="shared" si="126"/>
        <v>0</v>
      </c>
      <c r="AO115">
        <f t="shared" si="127"/>
        <v>0</v>
      </c>
      <c r="AP115">
        <f t="shared" si="127"/>
        <v>0</v>
      </c>
      <c r="AQ115">
        <f t="shared" si="127"/>
        <v>0</v>
      </c>
      <c r="AR115">
        <f t="shared" si="127"/>
        <v>0</v>
      </c>
      <c r="AS115" s="319">
        <f t="shared" si="128"/>
        <v>0</v>
      </c>
      <c r="AU115">
        <f t="shared" si="129"/>
        <v>0</v>
      </c>
      <c r="AV115">
        <f t="shared" si="129"/>
        <v>0</v>
      </c>
      <c r="AW115">
        <f t="shared" si="129"/>
        <v>0</v>
      </c>
      <c r="AX115">
        <f t="shared" si="129"/>
        <v>0</v>
      </c>
      <c r="AY115">
        <f t="shared" si="130"/>
        <v>0</v>
      </c>
    </row>
    <row r="116" spans="1:53" ht="15" x14ac:dyDescent="0.25">
      <c r="A116" s="1"/>
      <c r="B116" s="2"/>
      <c r="C116" s="1" t="s">
        <v>13</v>
      </c>
      <c r="D116">
        <v>0</v>
      </c>
      <c r="E116" s="360"/>
      <c r="F116">
        <v>0</v>
      </c>
      <c r="G116">
        <v>0</v>
      </c>
      <c r="H116">
        <v>0</v>
      </c>
      <c r="J116">
        <v>0</v>
      </c>
      <c r="K116" s="14">
        <v>0</v>
      </c>
      <c r="L116">
        <v>0</v>
      </c>
      <c r="M116">
        <v>0</v>
      </c>
      <c r="N116">
        <v>0</v>
      </c>
      <c r="O116" s="20"/>
      <c r="P116" s="20"/>
      <c r="Q116" s="438"/>
      <c r="R116" s="197">
        <v>6.531704360902256</v>
      </c>
      <c r="S116" s="197">
        <v>78.227142857142866</v>
      </c>
      <c r="T116" s="197">
        <v>0.5825685654008439</v>
      </c>
      <c r="U116" s="197">
        <v>0.90789473684210531</v>
      </c>
      <c r="V116" s="20">
        <f t="shared" si="121"/>
        <v>0</v>
      </c>
      <c r="W116" s="20">
        <f t="shared" si="121"/>
        <v>0</v>
      </c>
      <c r="X116" s="20">
        <f t="shared" si="121"/>
        <v>0</v>
      </c>
      <c r="Y116" s="20">
        <f t="shared" si="121"/>
        <v>0</v>
      </c>
      <c r="Z116" s="20">
        <f t="shared" si="122"/>
        <v>0</v>
      </c>
      <c r="AA116" s="20">
        <f t="shared" si="122"/>
        <v>0</v>
      </c>
      <c r="AB116" s="20">
        <f t="shared" si="122"/>
        <v>0</v>
      </c>
      <c r="AC116" s="20">
        <f t="shared" si="122"/>
        <v>0</v>
      </c>
      <c r="AD116" s="20">
        <f t="shared" si="123"/>
        <v>0</v>
      </c>
      <c r="AE116" s="20">
        <f t="shared" si="124"/>
        <v>0</v>
      </c>
      <c r="AF116" s="20">
        <f t="shared" si="124"/>
        <v>0</v>
      </c>
      <c r="AG116" s="20">
        <f t="shared" si="124"/>
        <v>0</v>
      </c>
      <c r="AH116" s="20">
        <f t="shared" si="124"/>
        <v>0</v>
      </c>
      <c r="AI116" s="20">
        <f t="shared" si="125"/>
        <v>0</v>
      </c>
      <c r="AJ116" s="20">
        <f t="shared" si="125"/>
        <v>0</v>
      </c>
      <c r="AK116" s="20">
        <f t="shared" si="125"/>
        <v>0</v>
      </c>
      <c r="AL116" s="20">
        <f t="shared" si="125"/>
        <v>0</v>
      </c>
      <c r="AM116" s="20">
        <f t="shared" si="126"/>
        <v>0</v>
      </c>
      <c r="AO116">
        <f t="shared" si="127"/>
        <v>0</v>
      </c>
      <c r="AP116">
        <f t="shared" si="127"/>
        <v>0</v>
      </c>
      <c r="AQ116">
        <f t="shared" si="127"/>
        <v>0</v>
      </c>
      <c r="AR116">
        <f t="shared" si="127"/>
        <v>0</v>
      </c>
      <c r="AS116" s="319">
        <f t="shared" si="128"/>
        <v>0</v>
      </c>
      <c r="AU116">
        <f t="shared" si="129"/>
        <v>0</v>
      </c>
      <c r="AV116">
        <f t="shared" si="129"/>
        <v>0</v>
      </c>
      <c r="AW116">
        <f t="shared" si="129"/>
        <v>0</v>
      </c>
      <c r="AX116">
        <f t="shared" si="129"/>
        <v>0</v>
      </c>
      <c r="AY116">
        <f t="shared" si="130"/>
        <v>0</v>
      </c>
    </row>
    <row r="117" spans="1:53" ht="15" x14ac:dyDescent="0.25">
      <c r="A117" s="7"/>
      <c r="B117" s="8" t="s">
        <v>14</v>
      </c>
      <c r="C117" s="7"/>
      <c r="D117" s="357">
        <f t="shared" ref="D117:H117" si="131">SUM(D111:D116)</f>
        <v>0</v>
      </c>
      <c r="E117" s="363">
        <f>SUM(E111:E116)</f>
        <v>0</v>
      </c>
      <c r="F117" s="357">
        <f t="shared" si="131"/>
        <v>0</v>
      </c>
      <c r="G117" s="357">
        <f t="shared" si="131"/>
        <v>0</v>
      </c>
      <c r="H117" s="357">
        <f t="shared" si="131"/>
        <v>0</v>
      </c>
      <c r="J117">
        <v>0</v>
      </c>
      <c r="K117" s="14">
        <v>0</v>
      </c>
      <c r="L117">
        <v>0</v>
      </c>
      <c r="M117">
        <v>0</v>
      </c>
      <c r="N117">
        <v>0</v>
      </c>
      <c r="O117" s="20"/>
      <c r="P117" s="20"/>
      <c r="Q117" s="438"/>
      <c r="R117" s="197"/>
      <c r="S117" s="197"/>
      <c r="T117" s="197"/>
      <c r="U117" s="197"/>
      <c r="AS117" s="319"/>
      <c r="BA117" s="319">
        <f>(E117*10000*Q117*AU$10)</f>
        <v>0</v>
      </c>
    </row>
    <row r="118" spans="1:53" ht="15" x14ac:dyDescent="0.25">
      <c r="A118" s="10"/>
      <c r="B118" s="9" t="s">
        <v>15</v>
      </c>
      <c r="C118" s="5"/>
      <c r="E118" s="363">
        <f>SUM(E117)</f>
        <v>0</v>
      </c>
      <c r="H118" s="358">
        <f>SUM(D117:H117)</f>
        <v>0</v>
      </c>
      <c r="K118" s="14"/>
      <c r="N118">
        <v>0</v>
      </c>
      <c r="O118" s="20"/>
      <c r="P118" s="20"/>
      <c r="Q118" s="438"/>
      <c r="R118" s="197"/>
      <c r="S118" s="197"/>
      <c r="T118" s="197"/>
      <c r="U118" s="197"/>
      <c r="AS118" s="319"/>
    </row>
    <row r="119" spans="1:53" ht="15.75" x14ac:dyDescent="0.25">
      <c r="A119" s="1"/>
      <c r="B119" s="2"/>
      <c r="C119" s="1"/>
      <c r="E119" s="361"/>
      <c r="K119" s="14"/>
      <c r="O119" s="20"/>
      <c r="P119" s="20"/>
      <c r="Q119" s="439"/>
      <c r="R119" s="197"/>
      <c r="S119" s="197"/>
      <c r="T119" s="197"/>
      <c r="U119" s="197"/>
      <c r="AS119" s="319"/>
    </row>
    <row r="120" spans="1:53" ht="15" x14ac:dyDescent="0.25">
      <c r="A120" s="1">
        <v>13</v>
      </c>
      <c r="B120" s="2" t="s">
        <v>27</v>
      </c>
      <c r="C120" s="1" t="s">
        <v>8</v>
      </c>
      <c r="D120">
        <v>0</v>
      </c>
      <c r="E120" s="360">
        <v>6.2455999999999996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 s="20"/>
      <c r="P120" s="20"/>
      <c r="Q120" s="438">
        <v>4.8001413068563023E-2</v>
      </c>
      <c r="R120" s="197">
        <v>0.49226666666666663</v>
      </c>
      <c r="S120" s="197">
        <v>2.8337500000000002</v>
      </c>
      <c r="T120" s="197">
        <v>0.68718466195761863</v>
      </c>
      <c r="U120" s="197">
        <v>0.90789473684210531</v>
      </c>
      <c r="V120" s="20">
        <f t="shared" ref="V120:Y125" si="132">IF(K120&gt;0,((E120-K120)*$Q120*$R120*10)+(K120*$O$12*$Q120*$R120*10),(E120*$Q120*$R120*10))</f>
        <v>1.475803777602767</v>
      </c>
      <c r="W120" s="20">
        <f t="shared" si="132"/>
        <v>0</v>
      </c>
      <c r="X120" s="20">
        <f t="shared" si="132"/>
        <v>0</v>
      </c>
      <c r="Y120" s="20">
        <f t="shared" si="132"/>
        <v>0</v>
      </c>
      <c r="Z120" s="20">
        <f t="shared" ref="Z120:AC125" si="133">V120*(EXP(1.01-0.34*LN(Z$8))*(1-$T120)+(1*$T120))</f>
        <v>1.098402859280619</v>
      </c>
      <c r="AA120" s="20">
        <f t="shared" si="133"/>
        <v>0</v>
      </c>
      <c r="AB120" s="20">
        <f t="shared" si="133"/>
        <v>0</v>
      </c>
      <c r="AC120" s="20">
        <f t="shared" si="133"/>
        <v>0</v>
      </c>
      <c r="AD120" s="20">
        <f t="shared" ref="AD120:AD125" si="134">SUM(Z120:AC120)</f>
        <v>1.098402859280619</v>
      </c>
      <c r="AE120" s="20">
        <f t="shared" ref="AE120:AH125" si="135">IF(K120&gt;0,((E120-K120)*$Q120*$S120*10)+(K120*$P$12*$Q120*$S120)*10,(E120*$Q120*$S120*10))</f>
        <v>8.4955152115015746</v>
      </c>
      <c r="AF120" s="20">
        <f t="shared" si="135"/>
        <v>0</v>
      </c>
      <c r="AG120" s="20">
        <f t="shared" si="135"/>
        <v>0</v>
      </c>
      <c r="AH120" s="20">
        <f t="shared" si="135"/>
        <v>0</v>
      </c>
      <c r="AI120" s="20">
        <f t="shared" ref="AI120:AL125" si="136">AE120*(EXP(1.01-0.34*LN(AI$8))*(1-$U120)+(1*$U120))</f>
        <v>7.8558386099418964</v>
      </c>
      <c r="AJ120" s="20">
        <f t="shared" si="136"/>
        <v>0</v>
      </c>
      <c r="AK120" s="20">
        <f t="shared" si="136"/>
        <v>0</v>
      </c>
      <c r="AL120" s="20">
        <f t="shared" si="136"/>
        <v>0</v>
      </c>
      <c r="AM120" s="20">
        <f t="shared" ref="AM120:AM125" si="137">SUM(AI120:AL120)</f>
        <v>7.8558386099418964</v>
      </c>
      <c r="AO120">
        <f t="shared" ref="AO120:AR125" si="138">Z120*AO$10</f>
        <v>1.4380290233701862</v>
      </c>
      <c r="AP120">
        <f t="shared" si="138"/>
        <v>0</v>
      </c>
      <c r="AQ120">
        <f t="shared" si="138"/>
        <v>0</v>
      </c>
      <c r="AR120">
        <f t="shared" si="138"/>
        <v>0</v>
      </c>
      <c r="AS120" s="319">
        <f t="shared" ref="AS120:AS125" si="139">SUM(AO120:AR120)</f>
        <v>1.4380290233701862</v>
      </c>
      <c r="AU120">
        <f t="shared" ref="AU120:AX125" si="140">AI120*AU$10</f>
        <v>10.284863908135931</v>
      </c>
      <c r="AV120">
        <f t="shared" si="140"/>
        <v>0</v>
      </c>
      <c r="AW120">
        <f t="shared" si="140"/>
        <v>0</v>
      </c>
      <c r="AX120">
        <f t="shared" si="140"/>
        <v>0</v>
      </c>
      <c r="AY120">
        <f t="shared" ref="AY120:AY125" si="141">SUM(AU120:AX120)</f>
        <v>10.284863908135931</v>
      </c>
    </row>
    <row r="121" spans="1:53" ht="15" x14ac:dyDescent="0.25">
      <c r="A121" s="1"/>
      <c r="B121" s="2"/>
      <c r="C121" s="1" t="s">
        <v>9</v>
      </c>
      <c r="D121">
        <v>0</v>
      </c>
      <c r="E121" s="360">
        <v>0.30580000000000002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20"/>
      <c r="P121" s="20"/>
      <c r="Q121" s="438">
        <v>8.7002826137126038E-2</v>
      </c>
      <c r="R121" s="197">
        <v>0.49226666666666663</v>
      </c>
      <c r="S121" s="197">
        <v>2.8337500000000002</v>
      </c>
      <c r="T121" s="197">
        <v>0.68718466195761863</v>
      </c>
      <c r="U121" s="197">
        <v>0.90789473684210531</v>
      </c>
      <c r="V121" s="20">
        <f t="shared" si="132"/>
        <v>0.13096983192966768</v>
      </c>
      <c r="W121" s="20">
        <f t="shared" si="132"/>
        <v>0</v>
      </c>
      <c r="X121" s="20">
        <f t="shared" si="132"/>
        <v>0</v>
      </c>
      <c r="Y121" s="20">
        <f t="shared" si="132"/>
        <v>0</v>
      </c>
      <c r="Z121" s="20">
        <f t="shared" si="133"/>
        <v>9.7477483154789948E-2</v>
      </c>
      <c r="AA121" s="20">
        <f t="shared" si="133"/>
        <v>0</v>
      </c>
      <c r="AB121" s="20">
        <f t="shared" si="133"/>
        <v>0</v>
      </c>
      <c r="AC121" s="20">
        <f t="shared" si="133"/>
        <v>0</v>
      </c>
      <c r="AD121" s="20">
        <f t="shared" si="134"/>
        <v>9.7477483154789948E-2</v>
      </c>
      <c r="AE121" s="20">
        <f t="shared" si="135"/>
        <v>0.75393234269507559</v>
      </c>
      <c r="AF121" s="20">
        <f t="shared" si="135"/>
        <v>0</v>
      </c>
      <c r="AG121" s="20">
        <f t="shared" si="135"/>
        <v>0</v>
      </c>
      <c r="AH121" s="20">
        <f t="shared" si="135"/>
        <v>0</v>
      </c>
      <c r="AI121" s="20">
        <f t="shared" si="136"/>
        <v>0.69716440493325604</v>
      </c>
      <c r="AJ121" s="20">
        <f t="shared" si="136"/>
        <v>0</v>
      </c>
      <c r="AK121" s="20">
        <f t="shared" si="136"/>
        <v>0</v>
      </c>
      <c r="AL121" s="20">
        <f t="shared" si="136"/>
        <v>0</v>
      </c>
      <c r="AM121" s="20">
        <f t="shared" si="137"/>
        <v>0.69716440493325604</v>
      </c>
      <c r="AO121">
        <f t="shared" si="138"/>
        <v>0.12761752094625101</v>
      </c>
      <c r="AP121">
        <f t="shared" si="138"/>
        <v>0</v>
      </c>
      <c r="AQ121">
        <f t="shared" si="138"/>
        <v>0</v>
      </c>
      <c r="AR121">
        <f t="shared" si="138"/>
        <v>0</v>
      </c>
      <c r="AS121" s="319">
        <f t="shared" si="139"/>
        <v>0.12761752094625101</v>
      </c>
      <c r="AU121">
        <f t="shared" si="140"/>
        <v>0.91272763893861875</v>
      </c>
      <c r="AV121">
        <f t="shared" si="140"/>
        <v>0</v>
      </c>
      <c r="AW121">
        <f t="shared" si="140"/>
        <v>0</v>
      </c>
      <c r="AX121">
        <f t="shared" si="140"/>
        <v>0</v>
      </c>
      <c r="AY121">
        <f t="shared" si="141"/>
        <v>0.91272763893861875</v>
      </c>
    </row>
    <row r="122" spans="1:53" ht="15" x14ac:dyDescent="0.25">
      <c r="A122" s="1"/>
      <c r="B122" s="2"/>
      <c r="C122" s="1" t="s">
        <v>10</v>
      </c>
      <c r="D122">
        <v>0</v>
      </c>
      <c r="E122" s="360"/>
      <c r="F122">
        <v>0</v>
      </c>
      <c r="G122">
        <v>0</v>
      </c>
      <c r="H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s="20"/>
      <c r="P122" s="20"/>
      <c r="Q122" s="438"/>
      <c r="R122" s="197">
        <v>0.49226666666666663</v>
      </c>
      <c r="S122" s="197">
        <v>2.8337500000000002</v>
      </c>
      <c r="T122" s="197">
        <v>0.68718466195761863</v>
      </c>
      <c r="U122" s="197">
        <v>0.90789473684210531</v>
      </c>
      <c r="V122" s="20">
        <f t="shared" si="132"/>
        <v>0</v>
      </c>
      <c r="W122" s="20">
        <f t="shared" si="132"/>
        <v>0</v>
      </c>
      <c r="X122" s="20">
        <f t="shared" si="132"/>
        <v>0</v>
      </c>
      <c r="Y122" s="20">
        <f t="shared" si="132"/>
        <v>0</v>
      </c>
      <c r="Z122" s="20">
        <f t="shared" si="133"/>
        <v>0</v>
      </c>
      <c r="AA122" s="20">
        <f t="shared" si="133"/>
        <v>0</v>
      </c>
      <c r="AB122" s="20">
        <f t="shared" si="133"/>
        <v>0</v>
      </c>
      <c r="AC122" s="20">
        <f t="shared" si="133"/>
        <v>0</v>
      </c>
      <c r="AD122" s="20">
        <f t="shared" si="134"/>
        <v>0</v>
      </c>
      <c r="AE122" s="20">
        <f t="shared" si="135"/>
        <v>0</v>
      </c>
      <c r="AF122" s="20">
        <f t="shared" si="135"/>
        <v>0</v>
      </c>
      <c r="AG122" s="20">
        <f t="shared" si="135"/>
        <v>0</v>
      </c>
      <c r="AH122" s="20">
        <f t="shared" si="135"/>
        <v>0</v>
      </c>
      <c r="AI122" s="20">
        <f t="shared" si="136"/>
        <v>0</v>
      </c>
      <c r="AJ122" s="20">
        <f t="shared" si="136"/>
        <v>0</v>
      </c>
      <c r="AK122" s="20">
        <f t="shared" si="136"/>
        <v>0</v>
      </c>
      <c r="AL122" s="20">
        <f t="shared" si="136"/>
        <v>0</v>
      </c>
      <c r="AM122" s="20">
        <f t="shared" si="137"/>
        <v>0</v>
      </c>
      <c r="AO122">
        <f t="shared" si="138"/>
        <v>0</v>
      </c>
      <c r="AP122">
        <f t="shared" si="138"/>
        <v>0</v>
      </c>
      <c r="AQ122">
        <f t="shared" si="138"/>
        <v>0</v>
      </c>
      <c r="AR122">
        <f t="shared" si="138"/>
        <v>0</v>
      </c>
      <c r="AS122" s="319">
        <f t="shared" si="139"/>
        <v>0</v>
      </c>
      <c r="AU122">
        <f t="shared" si="140"/>
        <v>0</v>
      </c>
      <c r="AV122">
        <f t="shared" si="140"/>
        <v>0</v>
      </c>
      <c r="AW122">
        <f t="shared" si="140"/>
        <v>0</v>
      </c>
      <c r="AX122">
        <f t="shared" si="140"/>
        <v>0</v>
      </c>
      <c r="AY122">
        <f t="shared" si="141"/>
        <v>0</v>
      </c>
    </row>
    <row r="123" spans="1:53" ht="15" x14ac:dyDescent="0.25">
      <c r="A123" s="1"/>
      <c r="B123" s="2"/>
      <c r="C123" s="1" t="s">
        <v>11</v>
      </c>
      <c r="D123">
        <v>0</v>
      </c>
      <c r="E123" s="360">
        <v>1.7323999999999999</v>
      </c>
      <c r="F123">
        <v>0</v>
      </c>
      <c r="G123">
        <v>0</v>
      </c>
      <c r="H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 s="20"/>
      <c r="P123" s="20"/>
      <c r="Q123" s="438">
        <v>0.16500565227425204</v>
      </c>
      <c r="R123" s="197">
        <v>0.49226666666666663</v>
      </c>
      <c r="S123" s="197">
        <v>2.8337500000000002</v>
      </c>
      <c r="T123" s="197">
        <v>0.68718466195761863</v>
      </c>
      <c r="U123" s="197">
        <v>0.90789473684210531</v>
      </c>
      <c r="V123" s="20">
        <f t="shared" si="132"/>
        <v>1.4071727787515778</v>
      </c>
      <c r="W123" s="20">
        <f t="shared" si="132"/>
        <v>0</v>
      </c>
      <c r="X123" s="20">
        <f t="shared" si="132"/>
        <v>0</v>
      </c>
      <c r="Y123" s="20">
        <f t="shared" si="132"/>
        <v>0</v>
      </c>
      <c r="Z123" s="20">
        <f t="shared" si="133"/>
        <v>1.0473225689889905</v>
      </c>
      <c r="AA123" s="20">
        <f t="shared" si="133"/>
        <v>0</v>
      </c>
      <c r="AB123" s="20">
        <f t="shared" si="133"/>
        <v>0</v>
      </c>
      <c r="AC123" s="20">
        <f t="shared" si="133"/>
        <v>0</v>
      </c>
      <c r="AD123" s="20">
        <f t="shared" si="134"/>
        <v>1.0473225689889905</v>
      </c>
      <c r="AE123" s="20">
        <f t="shared" si="135"/>
        <v>8.1004385057975696</v>
      </c>
      <c r="AF123" s="20">
        <f t="shared" si="135"/>
        <v>0</v>
      </c>
      <c r="AG123" s="20">
        <f t="shared" si="135"/>
        <v>0</v>
      </c>
      <c r="AH123" s="20">
        <f t="shared" si="135"/>
        <v>0</v>
      </c>
      <c r="AI123" s="20">
        <f t="shared" si="136"/>
        <v>7.4905095202645207</v>
      </c>
      <c r="AJ123" s="20">
        <f t="shared" si="136"/>
        <v>0</v>
      </c>
      <c r="AK123" s="20">
        <f t="shared" si="136"/>
        <v>0</v>
      </c>
      <c r="AL123" s="20">
        <f t="shared" si="136"/>
        <v>0</v>
      </c>
      <c r="AM123" s="20">
        <f t="shared" si="137"/>
        <v>7.4905095202645207</v>
      </c>
      <c r="AO123">
        <f t="shared" si="138"/>
        <v>1.3711547073203862</v>
      </c>
      <c r="AP123">
        <f t="shared" si="138"/>
        <v>0</v>
      </c>
      <c r="AQ123">
        <f t="shared" si="138"/>
        <v>0</v>
      </c>
      <c r="AR123">
        <f t="shared" si="138"/>
        <v>0</v>
      </c>
      <c r="AS123" s="319">
        <f t="shared" si="139"/>
        <v>1.3711547073203862</v>
      </c>
      <c r="AU123">
        <f t="shared" si="140"/>
        <v>9.8065750639303104</v>
      </c>
      <c r="AV123">
        <f t="shared" si="140"/>
        <v>0</v>
      </c>
      <c r="AW123">
        <f t="shared" si="140"/>
        <v>0</v>
      </c>
      <c r="AX123">
        <f t="shared" si="140"/>
        <v>0</v>
      </c>
      <c r="AY123">
        <f t="shared" si="141"/>
        <v>9.8065750639303104</v>
      </c>
    </row>
    <row r="124" spans="1:53" ht="15" x14ac:dyDescent="0.25">
      <c r="A124" s="1"/>
      <c r="B124" s="2"/>
      <c r="C124" s="1" t="s">
        <v>12</v>
      </c>
      <c r="D124">
        <v>0</v>
      </c>
      <c r="E124" s="360"/>
      <c r="F124">
        <v>0</v>
      </c>
      <c r="G124">
        <v>0</v>
      </c>
      <c r="H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 s="20"/>
      <c r="P124" s="20"/>
      <c r="Q124" s="438"/>
      <c r="R124" s="197">
        <v>0.49226666666666663</v>
      </c>
      <c r="S124" s="197">
        <v>2.8337500000000002</v>
      </c>
      <c r="T124" s="197">
        <v>0.68718466195761863</v>
      </c>
      <c r="U124" s="197">
        <v>0.90789473684210531</v>
      </c>
      <c r="V124" s="20">
        <f t="shared" si="132"/>
        <v>0</v>
      </c>
      <c r="W124" s="20">
        <f t="shared" si="132"/>
        <v>0</v>
      </c>
      <c r="X124" s="20">
        <f t="shared" si="132"/>
        <v>0</v>
      </c>
      <c r="Y124" s="20">
        <f t="shared" si="132"/>
        <v>0</v>
      </c>
      <c r="Z124" s="20">
        <f t="shared" si="133"/>
        <v>0</v>
      </c>
      <c r="AA124" s="20">
        <f t="shared" si="133"/>
        <v>0</v>
      </c>
      <c r="AB124" s="20">
        <f t="shared" si="133"/>
        <v>0</v>
      </c>
      <c r="AC124" s="20">
        <f t="shared" si="133"/>
        <v>0</v>
      </c>
      <c r="AD124" s="20">
        <f t="shared" si="134"/>
        <v>0</v>
      </c>
      <c r="AE124" s="20">
        <f t="shared" si="135"/>
        <v>0</v>
      </c>
      <c r="AF124" s="20">
        <f t="shared" si="135"/>
        <v>0</v>
      </c>
      <c r="AG124" s="20">
        <f t="shared" si="135"/>
        <v>0</v>
      </c>
      <c r="AH124" s="20">
        <f t="shared" si="135"/>
        <v>0</v>
      </c>
      <c r="AI124" s="20">
        <f t="shared" si="136"/>
        <v>0</v>
      </c>
      <c r="AJ124" s="20">
        <f t="shared" si="136"/>
        <v>0</v>
      </c>
      <c r="AK124" s="20">
        <f t="shared" si="136"/>
        <v>0</v>
      </c>
      <c r="AL124" s="20">
        <f t="shared" si="136"/>
        <v>0</v>
      </c>
      <c r="AM124" s="20">
        <f t="shared" si="137"/>
        <v>0</v>
      </c>
      <c r="AO124">
        <f t="shared" si="138"/>
        <v>0</v>
      </c>
      <c r="AP124">
        <f t="shared" si="138"/>
        <v>0</v>
      </c>
      <c r="AQ124">
        <f t="shared" si="138"/>
        <v>0</v>
      </c>
      <c r="AR124">
        <f t="shared" si="138"/>
        <v>0</v>
      </c>
      <c r="AS124" s="319">
        <f t="shared" si="139"/>
        <v>0</v>
      </c>
      <c r="AU124">
        <f t="shared" si="140"/>
        <v>0</v>
      </c>
      <c r="AV124">
        <f t="shared" si="140"/>
        <v>0</v>
      </c>
      <c r="AW124">
        <f t="shared" si="140"/>
        <v>0</v>
      </c>
      <c r="AX124">
        <f t="shared" si="140"/>
        <v>0</v>
      </c>
      <c r="AY124">
        <f t="shared" si="141"/>
        <v>0</v>
      </c>
    </row>
    <row r="125" spans="1:53" ht="15" x14ac:dyDescent="0.25">
      <c r="A125" s="1"/>
      <c r="B125" s="2"/>
      <c r="C125" s="1" t="s">
        <v>13</v>
      </c>
      <c r="D125">
        <v>0</v>
      </c>
      <c r="E125" s="360"/>
      <c r="F125">
        <v>0</v>
      </c>
      <c r="G125">
        <v>0</v>
      </c>
      <c r="H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20"/>
      <c r="P125" s="20"/>
      <c r="Q125" s="438"/>
      <c r="R125" s="197">
        <v>0.49226666666666663</v>
      </c>
      <c r="S125" s="197">
        <v>2.8337500000000002</v>
      </c>
      <c r="T125" s="197">
        <v>0.68718466195761863</v>
      </c>
      <c r="U125" s="197">
        <v>0.90789473684210531</v>
      </c>
      <c r="V125" s="20">
        <f t="shared" si="132"/>
        <v>0</v>
      </c>
      <c r="W125" s="20">
        <f t="shared" si="132"/>
        <v>0</v>
      </c>
      <c r="X125" s="20">
        <f t="shared" si="132"/>
        <v>0</v>
      </c>
      <c r="Y125" s="20">
        <f t="shared" si="132"/>
        <v>0</v>
      </c>
      <c r="Z125" s="20">
        <f t="shared" si="133"/>
        <v>0</v>
      </c>
      <c r="AA125" s="20">
        <f t="shared" si="133"/>
        <v>0</v>
      </c>
      <c r="AB125" s="20">
        <f t="shared" si="133"/>
        <v>0</v>
      </c>
      <c r="AC125" s="20">
        <f t="shared" si="133"/>
        <v>0</v>
      </c>
      <c r="AD125" s="20">
        <f t="shared" si="134"/>
        <v>0</v>
      </c>
      <c r="AE125" s="20">
        <f t="shared" si="135"/>
        <v>0</v>
      </c>
      <c r="AF125" s="20">
        <f t="shared" si="135"/>
        <v>0</v>
      </c>
      <c r="AG125" s="20">
        <f t="shared" si="135"/>
        <v>0</v>
      </c>
      <c r="AH125" s="20">
        <f t="shared" si="135"/>
        <v>0</v>
      </c>
      <c r="AI125" s="20">
        <f t="shared" si="136"/>
        <v>0</v>
      </c>
      <c r="AJ125" s="20">
        <f t="shared" si="136"/>
        <v>0</v>
      </c>
      <c r="AK125" s="20">
        <f t="shared" si="136"/>
        <v>0</v>
      </c>
      <c r="AL125" s="20">
        <f t="shared" si="136"/>
        <v>0</v>
      </c>
      <c r="AM125" s="20">
        <f t="shared" si="137"/>
        <v>0</v>
      </c>
      <c r="AO125">
        <f t="shared" si="138"/>
        <v>0</v>
      </c>
      <c r="AP125">
        <f t="shared" si="138"/>
        <v>0</v>
      </c>
      <c r="AQ125">
        <f t="shared" si="138"/>
        <v>0</v>
      </c>
      <c r="AR125">
        <f t="shared" si="138"/>
        <v>0</v>
      </c>
      <c r="AS125" s="319">
        <f t="shared" si="139"/>
        <v>0</v>
      </c>
      <c r="AU125">
        <f t="shared" si="140"/>
        <v>0</v>
      </c>
      <c r="AV125">
        <f t="shared" si="140"/>
        <v>0</v>
      </c>
      <c r="AW125">
        <f t="shared" si="140"/>
        <v>0</v>
      </c>
      <c r="AX125">
        <f t="shared" si="140"/>
        <v>0</v>
      </c>
      <c r="AY125">
        <f t="shared" si="141"/>
        <v>0</v>
      </c>
    </row>
    <row r="126" spans="1:53" ht="15" x14ac:dyDescent="0.25">
      <c r="A126" s="7"/>
      <c r="B126" s="8" t="s">
        <v>14</v>
      </c>
      <c r="C126" s="7"/>
      <c r="D126" s="357">
        <f t="shared" ref="D126:H126" si="142">SUM(D120:D125)</f>
        <v>0</v>
      </c>
      <c r="E126" s="363">
        <f>SUM(E120:E125)</f>
        <v>8.2837999999999994</v>
      </c>
      <c r="F126" s="357">
        <f t="shared" si="142"/>
        <v>0</v>
      </c>
      <c r="G126" s="357">
        <f t="shared" si="142"/>
        <v>0</v>
      </c>
      <c r="H126" s="357">
        <f t="shared" si="142"/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 s="20"/>
      <c r="P126" s="20"/>
      <c r="Q126" s="438">
        <v>7.3910389156385314E-2</v>
      </c>
      <c r="R126" s="197"/>
      <c r="S126" s="197"/>
      <c r="T126" s="197"/>
      <c r="U126" s="197"/>
      <c r="AS126" s="319"/>
      <c r="BA126" s="319">
        <f>(E126*10000*Q126*AU$10)</f>
        <v>8015.6932791334566</v>
      </c>
    </row>
    <row r="127" spans="1:53" ht="15" x14ac:dyDescent="0.25">
      <c r="A127" s="10"/>
      <c r="B127" s="9" t="s">
        <v>15</v>
      </c>
      <c r="C127" s="5"/>
      <c r="E127" s="363">
        <f>SUM(E126)</f>
        <v>8.2837999999999994</v>
      </c>
      <c r="H127" s="358">
        <f>SUM(D126:H126)</f>
        <v>8.2837999999999994</v>
      </c>
      <c r="K127" s="14"/>
      <c r="N127">
        <v>0</v>
      </c>
      <c r="O127" s="20"/>
      <c r="P127" s="20"/>
      <c r="Q127" s="438"/>
      <c r="R127" s="197"/>
      <c r="S127" s="197"/>
      <c r="T127" s="197"/>
      <c r="U127" s="197"/>
      <c r="AS127" s="319"/>
    </row>
    <row r="128" spans="1:53" ht="15.75" x14ac:dyDescent="0.25">
      <c r="A128" s="1"/>
      <c r="B128" s="2"/>
      <c r="C128" s="1"/>
      <c r="E128" s="361"/>
      <c r="K128" s="14"/>
      <c r="O128" s="20"/>
      <c r="P128" s="20"/>
      <c r="Q128" s="439"/>
      <c r="R128" s="197"/>
      <c r="S128" s="197"/>
      <c r="T128" s="197"/>
      <c r="U128" s="197"/>
      <c r="AS128" s="319"/>
    </row>
    <row r="129" spans="1:53" ht="15" x14ac:dyDescent="0.25">
      <c r="A129" s="1">
        <v>14</v>
      </c>
      <c r="B129" s="2" t="s">
        <v>28</v>
      </c>
      <c r="C129" s="1" t="s">
        <v>8</v>
      </c>
      <c r="D129">
        <v>0</v>
      </c>
      <c r="E129" s="360">
        <v>216.33430000000001</v>
      </c>
      <c r="F129">
        <v>0</v>
      </c>
      <c r="G129">
        <v>0</v>
      </c>
      <c r="H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 s="20"/>
      <c r="P129" s="20"/>
      <c r="Q129" s="438">
        <v>4.8001413068563016E-2</v>
      </c>
      <c r="R129" s="197">
        <v>5.6499999999999995E-2</v>
      </c>
      <c r="S129" s="197">
        <v>1.25</v>
      </c>
      <c r="T129" s="197">
        <v>0.50078889239507718</v>
      </c>
      <c r="U129" s="197">
        <v>0.75268470790377973</v>
      </c>
      <c r="V129" s="20">
        <f t="shared" ref="V129:Y134" si="143">E129*$Q129*$R129*10</f>
        <v>5.8671589337871133</v>
      </c>
      <c r="W129" s="20">
        <f t="shared" si="143"/>
        <v>0</v>
      </c>
      <c r="X129" s="20">
        <f t="shared" si="143"/>
        <v>0</v>
      </c>
      <c r="Y129" s="20">
        <f t="shared" si="143"/>
        <v>0</v>
      </c>
      <c r="Z129" s="20">
        <f t="shared" ref="Z129:AC134" si="144">V129*(EXP(1.01-0.34*LN(Z$8))*(1-$T129)+(1*$T129))</f>
        <v>3.4727496462424745</v>
      </c>
      <c r="AA129" s="20">
        <f t="shared" si="144"/>
        <v>0</v>
      </c>
      <c r="AB129" s="20">
        <f t="shared" si="144"/>
        <v>0</v>
      </c>
      <c r="AC129" s="20">
        <f t="shared" si="144"/>
        <v>0</v>
      </c>
      <c r="AD129" s="20">
        <f t="shared" ref="AD129:AD134" si="145">SUM(Z129:AC129)</f>
        <v>3.4727496462424745</v>
      </c>
      <c r="AE129" s="20">
        <f t="shared" ref="AE129:AH134" si="146">E129*$Q129*$S129*10</f>
        <v>129.80440118998041</v>
      </c>
      <c r="AF129" s="20">
        <f t="shared" si="146"/>
        <v>0</v>
      </c>
      <c r="AG129" s="20">
        <f t="shared" si="146"/>
        <v>0</v>
      </c>
      <c r="AH129" s="20">
        <f t="shared" si="146"/>
        <v>0</v>
      </c>
      <c r="AI129" s="20">
        <f t="shared" ref="AI129:AL134" si="147">AE129*(EXP(1.01-0.34*LN(AI$8))*(1-$U129)+(1*$U129))</f>
        <v>103.56060331303989</v>
      </c>
      <c r="AJ129" s="20">
        <f t="shared" si="147"/>
        <v>0</v>
      </c>
      <c r="AK129" s="20">
        <f t="shared" si="147"/>
        <v>0</v>
      </c>
      <c r="AL129" s="20">
        <f t="shared" si="147"/>
        <v>0</v>
      </c>
      <c r="AM129" s="20">
        <f t="shared" ref="AM129:AM134" si="148">SUM(AI129:AL129)</f>
        <v>103.56060331303989</v>
      </c>
      <c r="AO129">
        <f t="shared" ref="AO129:AR134" si="149">Z129*AO$10</f>
        <v>4.5465238368606471</v>
      </c>
      <c r="AP129">
        <f t="shared" si="149"/>
        <v>0</v>
      </c>
      <c r="AQ129">
        <f t="shared" si="149"/>
        <v>0</v>
      </c>
      <c r="AR129">
        <f t="shared" si="149"/>
        <v>0</v>
      </c>
      <c r="AS129" s="319">
        <f t="shared" ref="AS129:AS134" si="150">SUM(AO129:AR129)</f>
        <v>4.5465238368606471</v>
      </c>
      <c r="AU129">
        <f t="shared" ref="AU129:AX134" si="151">AI129*AU$10</f>
        <v>135.58154185743183</v>
      </c>
      <c r="AV129">
        <f t="shared" si="151"/>
        <v>0</v>
      </c>
      <c r="AW129">
        <f t="shared" si="151"/>
        <v>0</v>
      </c>
      <c r="AX129">
        <f t="shared" si="151"/>
        <v>0</v>
      </c>
      <c r="AY129">
        <f t="shared" ref="AY129:AY134" si="152">SUM(AU129:AX129)</f>
        <v>135.58154185743183</v>
      </c>
    </row>
    <row r="130" spans="1:53" ht="15" x14ac:dyDescent="0.25">
      <c r="A130" s="1"/>
      <c r="B130" s="2"/>
      <c r="C130" s="1" t="s">
        <v>9</v>
      </c>
      <c r="D130">
        <v>0</v>
      </c>
      <c r="E130" s="360">
        <v>4.1064999999999996</v>
      </c>
      <c r="F130">
        <v>0</v>
      </c>
      <c r="G130">
        <v>0</v>
      </c>
      <c r="H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 s="20"/>
      <c r="P130" s="20"/>
      <c r="Q130" s="438">
        <v>8.7002826137126038E-2</v>
      </c>
      <c r="R130" s="197">
        <v>5.6499999999999995E-2</v>
      </c>
      <c r="S130" s="197">
        <v>1.25</v>
      </c>
      <c r="T130" s="197">
        <v>0.50078889239507718</v>
      </c>
      <c r="U130" s="197">
        <v>0.75268470790377973</v>
      </c>
      <c r="V130" s="20">
        <f t="shared" si="143"/>
        <v>0.20186156462564106</v>
      </c>
      <c r="W130" s="20">
        <f t="shared" si="143"/>
        <v>0</v>
      </c>
      <c r="X130" s="20">
        <f t="shared" si="143"/>
        <v>0</v>
      </c>
      <c r="Y130" s="20">
        <f t="shared" si="143"/>
        <v>0</v>
      </c>
      <c r="Z130" s="20">
        <f t="shared" si="144"/>
        <v>0.1194811125887055</v>
      </c>
      <c r="AA130" s="20">
        <f t="shared" si="144"/>
        <v>0</v>
      </c>
      <c r="AB130" s="20">
        <f t="shared" si="144"/>
        <v>0</v>
      </c>
      <c r="AC130" s="20">
        <f t="shared" si="144"/>
        <v>0</v>
      </c>
      <c r="AD130" s="20">
        <f t="shared" si="145"/>
        <v>0.1194811125887055</v>
      </c>
      <c r="AE130" s="20">
        <f t="shared" si="146"/>
        <v>4.4659638191513507</v>
      </c>
      <c r="AF130" s="20">
        <f t="shared" si="146"/>
        <v>0</v>
      </c>
      <c r="AG130" s="20">
        <f t="shared" si="146"/>
        <v>0</v>
      </c>
      <c r="AH130" s="20">
        <f t="shared" si="146"/>
        <v>0</v>
      </c>
      <c r="AI130" s="20">
        <f t="shared" si="147"/>
        <v>3.5630371793681666</v>
      </c>
      <c r="AJ130" s="20">
        <f t="shared" si="147"/>
        <v>0</v>
      </c>
      <c r="AK130" s="20">
        <f t="shared" si="147"/>
        <v>0</v>
      </c>
      <c r="AL130" s="20">
        <f t="shared" si="147"/>
        <v>0</v>
      </c>
      <c r="AM130" s="20">
        <f t="shared" si="148"/>
        <v>3.5630371793681666</v>
      </c>
      <c r="AO130">
        <f t="shared" si="149"/>
        <v>0.15642467260113324</v>
      </c>
      <c r="AP130">
        <f t="shared" si="149"/>
        <v>0</v>
      </c>
      <c r="AQ130">
        <f t="shared" si="149"/>
        <v>0</v>
      </c>
      <c r="AR130">
        <f t="shared" si="149"/>
        <v>0</v>
      </c>
      <c r="AS130" s="319">
        <f t="shared" si="150"/>
        <v>0.15642467260113324</v>
      </c>
      <c r="AU130">
        <f t="shared" si="151"/>
        <v>4.6647282752288035</v>
      </c>
      <c r="AV130">
        <f t="shared" si="151"/>
        <v>0</v>
      </c>
      <c r="AW130">
        <f t="shared" si="151"/>
        <v>0</v>
      </c>
      <c r="AX130">
        <f t="shared" si="151"/>
        <v>0</v>
      </c>
      <c r="AY130">
        <f t="shared" si="152"/>
        <v>4.6647282752288035</v>
      </c>
    </row>
    <row r="131" spans="1:53" ht="15" x14ac:dyDescent="0.25">
      <c r="A131" s="1"/>
      <c r="B131" s="2"/>
      <c r="C131" s="1" t="s">
        <v>10</v>
      </c>
      <c r="D131">
        <v>0</v>
      </c>
      <c r="E131" s="360">
        <v>9.0899999999999995E-2</v>
      </c>
      <c r="F131">
        <v>0</v>
      </c>
      <c r="G131">
        <v>0</v>
      </c>
      <c r="H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 s="20"/>
      <c r="P131" s="20"/>
      <c r="Q131" s="438">
        <v>0.12600423920568904</v>
      </c>
      <c r="R131" s="197">
        <v>5.6499999999999995E-2</v>
      </c>
      <c r="S131" s="197">
        <v>1.25</v>
      </c>
      <c r="T131" s="197">
        <v>0.50078889239507718</v>
      </c>
      <c r="U131" s="197">
        <v>0.75268470790377973</v>
      </c>
      <c r="V131" s="20">
        <f t="shared" si="143"/>
        <v>6.4713887192453792E-3</v>
      </c>
      <c r="W131" s="20">
        <f t="shared" si="143"/>
        <v>0</v>
      </c>
      <c r="X131" s="20">
        <f t="shared" si="143"/>
        <v>0</v>
      </c>
      <c r="Y131" s="20">
        <f t="shared" si="143"/>
        <v>0</v>
      </c>
      <c r="Z131" s="20">
        <f t="shared" si="144"/>
        <v>3.8303910187329464E-3</v>
      </c>
      <c r="AA131" s="20">
        <f t="shared" si="144"/>
        <v>0</v>
      </c>
      <c r="AB131" s="20">
        <f t="shared" si="144"/>
        <v>0</v>
      </c>
      <c r="AC131" s="20">
        <f t="shared" si="144"/>
        <v>0</v>
      </c>
      <c r="AD131" s="20">
        <f t="shared" si="145"/>
        <v>3.8303910187329464E-3</v>
      </c>
      <c r="AE131" s="20">
        <f t="shared" si="146"/>
        <v>0.14317231679746414</v>
      </c>
      <c r="AF131" s="20">
        <f t="shared" si="146"/>
        <v>0</v>
      </c>
      <c r="AG131" s="20">
        <f t="shared" si="146"/>
        <v>0</v>
      </c>
      <c r="AH131" s="20">
        <f t="shared" si="146"/>
        <v>0</v>
      </c>
      <c r="AI131" s="20">
        <f t="shared" si="147"/>
        <v>0.11422579950559919</v>
      </c>
      <c r="AJ131" s="20">
        <f t="shared" si="147"/>
        <v>0</v>
      </c>
      <c r="AK131" s="20">
        <f t="shared" si="147"/>
        <v>0</v>
      </c>
      <c r="AL131" s="20">
        <f t="shared" si="147"/>
        <v>0</v>
      </c>
      <c r="AM131" s="20">
        <f t="shared" si="148"/>
        <v>0.11422579950559919</v>
      </c>
      <c r="AO131">
        <f t="shared" si="149"/>
        <v>5.0147479217251736E-3</v>
      </c>
      <c r="AP131">
        <f t="shared" si="149"/>
        <v>0</v>
      </c>
      <c r="AQ131">
        <f t="shared" si="149"/>
        <v>0</v>
      </c>
      <c r="AR131">
        <f t="shared" si="149"/>
        <v>0</v>
      </c>
      <c r="AS131" s="319">
        <f t="shared" si="150"/>
        <v>5.0147479217251736E-3</v>
      </c>
      <c r="AU131">
        <f t="shared" si="151"/>
        <v>0.14954441671273044</v>
      </c>
      <c r="AV131">
        <f t="shared" si="151"/>
        <v>0</v>
      </c>
      <c r="AW131">
        <f t="shared" si="151"/>
        <v>0</v>
      </c>
      <c r="AX131">
        <f t="shared" si="151"/>
        <v>0</v>
      </c>
      <c r="AY131">
        <f t="shared" si="152"/>
        <v>0.14954441671273044</v>
      </c>
    </row>
    <row r="132" spans="1:53" ht="15" x14ac:dyDescent="0.25">
      <c r="A132" s="1"/>
      <c r="B132" s="2"/>
      <c r="C132" s="1" t="s">
        <v>11</v>
      </c>
      <c r="D132">
        <v>0</v>
      </c>
      <c r="E132" s="360">
        <v>98.100099999999998</v>
      </c>
      <c r="F132">
        <v>0</v>
      </c>
      <c r="G132">
        <v>0</v>
      </c>
      <c r="H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 s="20"/>
      <c r="P132" s="20"/>
      <c r="Q132" s="438">
        <v>0.16500565227425207</v>
      </c>
      <c r="R132" s="197">
        <v>5.6499999999999995E-2</v>
      </c>
      <c r="S132" s="197">
        <v>1.25</v>
      </c>
      <c r="T132" s="197">
        <v>0.50078889239507718</v>
      </c>
      <c r="U132" s="197">
        <v>0.75268470790377973</v>
      </c>
      <c r="V132" s="20">
        <f t="shared" si="143"/>
        <v>9.1456951085981846</v>
      </c>
      <c r="W132" s="20">
        <f t="shared" si="143"/>
        <v>0</v>
      </c>
      <c r="X132" s="20">
        <f t="shared" si="143"/>
        <v>0</v>
      </c>
      <c r="Y132" s="20">
        <f t="shared" si="143"/>
        <v>0</v>
      </c>
      <c r="Z132" s="20">
        <f t="shared" si="144"/>
        <v>5.4133030673714986</v>
      </c>
      <c r="AA132" s="20">
        <f t="shared" si="144"/>
        <v>0</v>
      </c>
      <c r="AB132" s="20">
        <f t="shared" si="144"/>
        <v>0</v>
      </c>
      <c r="AC132" s="20">
        <f t="shared" si="144"/>
        <v>0</v>
      </c>
      <c r="AD132" s="20">
        <f t="shared" si="145"/>
        <v>5.4133030673714986</v>
      </c>
      <c r="AE132" s="20">
        <f t="shared" si="146"/>
        <v>202.3383873583669</v>
      </c>
      <c r="AF132" s="20">
        <f t="shared" si="146"/>
        <v>0</v>
      </c>
      <c r="AG132" s="20">
        <f t="shared" si="146"/>
        <v>0</v>
      </c>
      <c r="AH132" s="20">
        <f t="shared" si="146"/>
        <v>0</v>
      </c>
      <c r="AI132" s="20">
        <f t="shared" si="147"/>
        <v>161.42969942561163</v>
      </c>
      <c r="AJ132" s="20">
        <f t="shared" si="147"/>
        <v>0</v>
      </c>
      <c r="AK132" s="20">
        <f t="shared" si="147"/>
        <v>0</v>
      </c>
      <c r="AL132" s="20">
        <f t="shared" si="147"/>
        <v>0</v>
      </c>
      <c r="AM132" s="20">
        <f t="shared" si="148"/>
        <v>161.42969942561163</v>
      </c>
      <c r="AO132">
        <f t="shared" si="149"/>
        <v>7.0870963758027656</v>
      </c>
      <c r="AP132">
        <f t="shared" si="149"/>
        <v>0</v>
      </c>
      <c r="AQ132">
        <f t="shared" si="149"/>
        <v>0</v>
      </c>
      <c r="AR132">
        <f t="shared" si="149"/>
        <v>0</v>
      </c>
      <c r="AS132" s="319">
        <f t="shared" si="150"/>
        <v>7.0870963758027656</v>
      </c>
      <c r="AU132">
        <f t="shared" si="151"/>
        <v>211.34376248801073</v>
      </c>
      <c r="AV132">
        <f t="shared" si="151"/>
        <v>0</v>
      </c>
      <c r="AW132">
        <f t="shared" si="151"/>
        <v>0</v>
      </c>
      <c r="AX132">
        <f t="shared" si="151"/>
        <v>0</v>
      </c>
      <c r="AY132">
        <f t="shared" si="152"/>
        <v>211.34376248801073</v>
      </c>
    </row>
    <row r="133" spans="1:53" ht="15" x14ac:dyDescent="0.25">
      <c r="A133" s="1"/>
      <c r="B133" s="2"/>
      <c r="C133" s="1" t="s">
        <v>12</v>
      </c>
      <c r="D133">
        <v>0</v>
      </c>
      <c r="E133" s="360">
        <v>0</v>
      </c>
      <c r="F133">
        <v>0</v>
      </c>
      <c r="G133">
        <v>0</v>
      </c>
      <c r="H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 s="20"/>
      <c r="P133" s="20"/>
      <c r="Q133" s="438"/>
      <c r="R133" s="197">
        <v>5.6499999999999995E-2</v>
      </c>
      <c r="S133" s="197">
        <v>1.25</v>
      </c>
      <c r="T133" s="197">
        <v>0.50078889239507718</v>
      </c>
      <c r="U133" s="197">
        <v>0.75268470790377973</v>
      </c>
      <c r="V133" s="20">
        <f t="shared" si="143"/>
        <v>0</v>
      </c>
      <c r="W133" s="20">
        <f t="shared" si="143"/>
        <v>0</v>
      </c>
      <c r="X133" s="20">
        <f t="shared" si="143"/>
        <v>0</v>
      </c>
      <c r="Y133" s="20">
        <f t="shared" si="143"/>
        <v>0</v>
      </c>
      <c r="Z133" s="20">
        <f t="shared" si="144"/>
        <v>0</v>
      </c>
      <c r="AA133" s="20">
        <f t="shared" si="144"/>
        <v>0</v>
      </c>
      <c r="AB133" s="20">
        <f t="shared" si="144"/>
        <v>0</v>
      </c>
      <c r="AC133" s="20">
        <f t="shared" si="144"/>
        <v>0</v>
      </c>
      <c r="AD133" s="20">
        <f t="shared" si="145"/>
        <v>0</v>
      </c>
      <c r="AE133" s="20">
        <f t="shared" si="146"/>
        <v>0</v>
      </c>
      <c r="AF133" s="20">
        <f t="shared" si="146"/>
        <v>0</v>
      </c>
      <c r="AG133" s="20">
        <f t="shared" si="146"/>
        <v>0</v>
      </c>
      <c r="AH133" s="20">
        <f t="shared" si="146"/>
        <v>0</v>
      </c>
      <c r="AI133" s="20">
        <f t="shared" si="147"/>
        <v>0</v>
      </c>
      <c r="AJ133" s="20">
        <f t="shared" si="147"/>
        <v>0</v>
      </c>
      <c r="AK133" s="20">
        <f t="shared" si="147"/>
        <v>0</v>
      </c>
      <c r="AL133" s="20">
        <f t="shared" si="147"/>
        <v>0</v>
      </c>
      <c r="AM133" s="20">
        <f t="shared" si="148"/>
        <v>0</v>
      </c>
      <c r="AO133">
        <f t="shared" si="149"/>
        <v>0</v>
      </c>
      <c r="AP133">
        <f t="shared" si="149"/>
        <v>0</v>
      </c>
      <c r="AQ133">
        <f t="shared" si="149"/>
        <v>0</v>
      </c>
      <c r="AR133">
        <f t="shared" si="149"/>
        <v>0</v>
      </c>
      <c r="AS133" s="319">
        <f t="shared" si="150"/>
        <v>0</v>
      </c>
      <c r="AU133">
        <f t="shared" si="151"/>
        <v>0</v>
      </c>
      <c r="AV133">
        <f t="shared" si="151"/>
        <v>0</v>
      </c>
      <c r="AW133">
        <f t="shared" si="151"/>
        <v>0</v>
      </c>
      <c r="AX133">
        <f t="shared" si="151"/>
        <v>0</v>
      </c>
      <c r="AY133">
        <f t="shared" si="152"/>
        <v>0</v>
      </c>
    </row>
    <row r="134" spans="1:53" ht="15" x14ac:dyDescent="0.25">
      <c r="A134" s="1"/>
      <c r="B134" s="2"/>
      <c r="C134" s="1" t="s">
        <v>13</v>
      </c>
      <c r="D134">
        <v>0</v>
      </c>
      <c r="E134" s="360">
        <v>0.71750000000000003</v>
      </c>
      <c r="F134">
        <v>0</v>
      </c>
      <c r="G134">
        <v>0</v>
      </c>
      <c r="H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20"/>
      <c r="P134" s="20"/>
      <c r="Q134" s="438">
        <v>0.16500565227425207</v>
      </c>
      <c r="R134" s="197">
        <v>5.6499999999999995E-2</v>
      </c>
      <c r="S134" s="197">
        <v>1.25</v>
      </c>
      <c r="T134" s="197">
        <v>0.50078889239507718</v>
      </c>
      <c r="U134" s="197">
        <v>0.75268470790377973</v>
      </c>
      <c r="V134" s="20">
        <f t="shared" si="143"/>
        <v>6.6891228861328367E-2</v>
      </c>
      <c r="W134" s="20">
        <f t="shared" si="143"/>
        <v>0</v>
      </c>
      <c r="X134" s="20">
        <f t="shared" si="143"/>
        <v>0</v>
      </c>
      <c r="Y134" s="20">
        <f t="shared" si="143"/>
        <v>0</v>
      </c>
      <c r="Z134" s="20">
        <f t="shared" si="144"/>
        <v>3.9592670658226151E-2</v>
      </c>
      <c r="AA134" s="20">
        <f t="shared" si="144"/>
        <v>0</v>
      </c>
      <c r="AB134" s="20">
        <f t="shared" si="144"/>
        <v>0</v>
      </c>
      <c r="AC134" s="20">
        <f t="shared" si="144"/>
        <v>0</v>
      </c>
      <c r="AD134" s="20">
        <f t="shared" si="145"/>
        <v>3.9592670658226151E-2</v>
      </c>
      <c r="AE134" s="20">
        <f t="shared" si="146"/>
        <v>1.4798944438346984</v>
      </c>
      <c r="AF134" s="20">
        <f t="shared" si="146"/>
        <v>0</v>
      </c>
      <c r="AG134" s="20">
        <f t="shared" si="146"/>
        <v>0</v>
      </c>
      <c r="AH134" s="20">
        <f t="shared" si="146"/>
        <v>0</v>
      </c>
      <c r="AI134" s="20">
        <f t="shared" si="147"/>
        <v>1.1806900231281758</v>
      </c>
      <c r="AJ134" s="20">
        <f t="shared" si="147"/>
        <v>0</v>
      </c>
      <c r="AK134" s="20">
        <f t="shared" si="147"/>
        <v>0</v>
      </c>
      <c r="AL134" s="20">
        <f t="shared" si="147"/>
        <v>0</v>
      </c>
      <c r="AM134" s="20">
        <f t="shared" si="148"/>
        <v>1.1806900231281758</v>
      </c>
      <c r="AO134">
        <f t="shared" si="149"/>
        <v>5.183472442574967E-2</v>
      </c>
      <c r="AP134">
        <f t="shared" si="149"/>
        <v>0</v>
      </c>
      <c r="AQ134">
        <f t="shared" si="149"/>
        <v>0</v>
      </c>
      <c r="AR134">
        <f t="shared" si="149"/>
        <v>0</v>
      </c>
      <c r="AS134" s="319">
        <f t="shared" si="150"/>
        <v>5.183472442574967E-2</v>
      </c>
      <c r="AU134">
        <f t="shared" si="151"/>
        <v>1.5457593782794077</v>
      </c>
      <c r="AV134">
        <f t="shared" si="151"/>
        <v>0</v>
      </c>
      <c r="AW134">
        <f t="shared" si="151"/>
        <v>0</v>
      </c>
      <c r="AX134">
        <f t="shared" si="151"/>
        <v>0</v>
      </c>
      <c r="AY134">
        <f t="shared" si="152"/>
        <v>1.5457593782794077</v>
      </c>
    </row>
    <row r="135" spans="1:53" ht="15" x14ac:dyDescent="0.25">
      <c r="A135" s="7"/>
      <c r="B135" s="8" t="s">
        <v>14</v>
      </c>
      <c r="C135" s="7"/>
      <c r="D135" s="357">
        <f t="shared" ref="D135:H135" si="153">SUM(D129:D134)</f>
        <v>0</v>
      </c>
      <c r="E135" s="363">
        <f>SUM(E129:E134)</f>
        <v>319.34929999999997</v>
      </c>
      <c r="F135" s="357">
        <f t="shared" si="153"/>
        <v>0</v>
      </c>
      <c r="G135" s="357">
        <f t="shared" si="153"/>
        <v>0</v>
      </c>
      <c r="H135" s="357">
        <f t="shared" si="153"/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 s="20"/>
      <c r="P135" s="20"/>
      <c r="Q135" s="438">
        <v>8.4730248446608369E-2</v>
      </c>
      <c r="R135" s="197"/>
      <c r="S135" s="197"/>
      <c r="T135" s="197"/>
      <c r="U135" s="197"/>
      <c r="AS135" s="319"/>
      <c r="BA135" s="319">
        <f>(E135*10000*Q135*AU$10)</f>
        <v>354250.47808203904</v>
      </c>
    </row>
    <row r="136" spans="1:53" ht="15" x14ac:dyDescent="0.25">
      <c r="A136" s="10"/>
      <c r="B136" s="9" t="s">
        <v>15</v>
      </c>
      <c r="C136" s="5"/>
      <c r="E136" s="363">
        <f>SUM(E135)</f>
        <v>319.34929999999997</v>
      </c>
      <c r="H136" s="358">
        <f>SUM(D135:H135)</f>
        <v>319.34929999999997</v>
      </c>
      <c r="K136" s="14"/>
      <c r="N136">
        <v>0</v>
      </c>
      <c r="O136" s="20"/>
      <c r="P136" s="20"/>
      <c r="Q136" s="438"/>
      <c r="R136" s="197"/>
      <c r="S136" s="197"/>
      <c r="T136" s="197"/>
      <c r="U136" s="197"/>
      <c r="AS136" s="319"/>
    </row>
    <row r="137" spans="1:53" ht="15.75" x14ac:dyDescent="0.25">
      <c r="A137" s="1"/>
      <c r="B137" s="2"/>
      <c r="C137" s="1"/>
      <c r="E137" s="361"/>
      <c r="K137" s="14"/>
      <c r="O137" s="20"/>
      <c r="P137" s="20"/>
      <c r="Q137" s="439"/>
      <c r="R137" s="197"/>
      <c r="S137" s="197"/>
      <c r="T137" s="197"/>
      <c r="U137" s="197"/>
      <c r="AS137" s="319"/>
    </row>
    <row r="138" spans="1:53" ht="15" x14ac:dyDescent="0.25">
      <c r="A138" s="1">
        <v>15</v>
      </c>
      <c r="B138" s="2" t="s">
        <v>29</v>
      </c>
      <c r="C138" s="1" t="s">
        <v>8</v>
      </c>
      <c r="D138">
        <v>0</v>
      </c>
      <c r="E138" s="360">
        <v>2.8900999999999999</v>
      </c>
      <c r="F138">
        <v>0</v>
      </c>
      <c r="G138">
        <v>0</v>
      </c>
      <c r="H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 s="20"/>
      <c r="P138" s="20"/>
      <c r="Q138" s="438">
        <v>0.77090930501038846</v>
      </c>
      <c r="R138" s="197">
        <v>2.5000000000000001E-2</v>
      </c>
      <c r="S138" s="197">
        <v>0.71599999999999997</v>
      </c>
      <c r="T138" s="197">
        <v>0.11808671869809276</v>
      </c>
      <c r="U138" s="197">
        <v>0.41263016220713056</v>
      </c>
      <c r="V138" s="20">
        <f t="shared" ref="V138:Y143" si="154">E138*$Q138*$R138*10</f>
        <v>0.55700124560263087</v>
      </c>
      <c r="W138" s="20">
        <f t="shared" si="154"/>
        <v>0</v>
      </c>
      <c r="X138" s="20">
        <f t="shared" si="154"/>
        <v>0</v>
      </c>
      <c r="Y138" s="20">
        <f t="shared" si="154"/>
        <v>0</v>
      </c>
      <c r="Z138" s="20">
        <f t="shared" ref="Z138:AC143" si="155">V138*(EXP(1.01-0.34*LN(Z$8))*(1-$T138)+(1*$T138))</f>
        <v>0.15542469504953277</v>
      </c>
      <c r="AA138" s="20">
        <f t="shared" si="155"/>
        <v>0</v>
      </c>
      <c r="AB138" s="20">
        <f t="shared" si="155"/>
        <v>0</v>
      </c>
      <c r="AC138" s="20">
        <f t="shared" si="155"/>
        <v>0</v>
      </c>
      <c r="AD138" s="20">
        <f t="shared" ref="AD138:AD143" si="156">SUM(Z138:AC138)</f>
        <v>0.15542469504953277</v>
      </c>
      <c r="AE138" s="20">
        <f t="shared" ref="AE138:AH143" si="157">E138*$Q138*$S138*10</f>
        <v>15.952515674059347</v>
      </c>
      <c r="AF138" s="20">
        <f t="shared" si="157"/>
        <v>0</v>
      </c>
      <c r="AG138" s="20">
        <f t="shared" si="157"/>
        <v>0</v>
      </c>
      <c r="AH138" s="20">
        <f t="shared" si="157"/>
        <v>0</v>
      </c>
      <c r="AI138" s="20">
        <f t="shared" ref="AI138:AL143" si="158">AE138*(EXP(1.01-0.34*LN(AI$8))*(1-$U138)+(1*$U138))</f>
        <v>8.2925448272070277</v>
      </c>
      <c r="AJ138" s="20">
        <f t="shared" si="158"/>
        <v>0</v>
      </c>
      <c r="AK138" s="20">
        <f t="shared" si="158"/>
        <v>0</v>
      </c>
      <c r="AL138" s="20">
        <f t="shared" si="158"/>
        <v>0</v>
      </c>
      <c r="AM138" s="20">
        <f t="shared" ref="AM138:AM143" si="159">SUM(AI138:AL138)</f>
        <v>8.2925448272070277</v>
      </c>
      <c r="AO138">
        <f t="shared" ref="AO138:AR143" si="160">Z138*AO$10</f>
        <v>0.20348201075884828</v>
      </c>
      <c r="AP138">
        <f t="shared" si="160"/>
        <v>0</v>
      </c>
      <c r="AQ138">
        <f t="shared" si="160"/>
        <v>0</v>
      </c>
      <c r="AR138">
        <f t="shared" si="160"/>
        <v>0</v>
      </c>
      <c r="AS138" s="319">
        <f t="shared" ref="AS138:AS143" si="161">SUM(AO138:AR138)</f>
        <v>0.20348201075884828</v>
      </c>
      <c r="AU138">
        <f t="shared" ref="AU138:AX143" si="162">AI138*AU$10</f>
        <v>10.85659968777944</v>
      </c>
      <c r="AV138">
        <f t="shared" si="162"/>
        <v>0</v>
      </c>
      <c r="AW138">
        <f t="shared" si="162"/>
        <v>0</v>
      </c>
      <c r="AX138">
        <f t="shared" si="162"/>
        <v>0</v>
      </c>
      <c r="AY138">
        <f t="shared" ref="AY138:AY143" si="163">SUM(AU138:AX138)</f>
        <v>10.85659968777944</v>
      </c>
    </row>
    <row r="139" spans="1:53" ht="15" x14ac:dyDescent="0.25">
      <c r="A139" s="1"/>
      <c r="B139" s="2"/>
      <c r="C139" s="1" t="s">
        <v>9</v>
      </c>
      <c r="D139">
        <v>0</v>
      </c>
      <c r="E139" s="360">
        <v>0.32750000000000001</v>
      </c>
      <c r="F139">
        <v>0</v>
      </c>
      <c r="G139">
        <v>0</v>
      </c>
      <c r="H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 s="20"/>
      <c r="P139" s="20"/>
      <c r="Q139" s="438">
        <v>0.77681861002077646</v>
      </c>
      <c r="R139" s="197">
        <v>2.5000000000000001E-2</v>
      </c>
      <c r="S139" s="197">
        <v>0.71599999999999997</v>
      </c>
      <c r="T139" s="197">
        <v>0.11808671869809276</v>
      </c>
      <c r="U139" s="197">
        <v>0.41263016220713056</v>
      </c>
      <c r="V139" s="20">
        <f t="shared" si="154"/>
        <v>6.3602023695451093E-2</v>
      </c>
      <c r="W139" s="20">
        <f t="shared" si="154"/>
        <v>0</v>
      </c>
      <c r="X139" s="20">
        <f t="shared" si="154"/>
        <v>0</v>
      </c>
      <c r="Y139" s="20">
        <f t="shared" si="154"/>
        <v>0</v>
      </c>
      <c r="Z139" s="20">
        <f t="shared" si="155"/>
        <v>1.774740221039095E-2</v>
      </c>
      <c r="AA139" s="20">
        <f t="shared" si="155"/>
        <v>0</v>
      </c>
      <c r="AB139" s="20">
        <f t="shared" si="155"/>
        <v>0</v>
      </c>
      <c r="AC139" s="20">
        <f t="shared" si="155"/>
        <v>0</v>
      </c>
      <c r="AD139" s="20">
        <f t="shared" si="156"/>
        <v>1.774740221039095E-2</v>
      </c>
      <c r="AE139" s="20">
        <f t="shared" si="157"/>
        <v>1.8215619586377187</v>
      </c>
      <c r="AF139" s="20">
        <f t="shared" si="157"/>
        <v>0</v>
      </c>
      <c r="AG139" s="20">
        <f t="shared" si="157"/>
        <v>0</v>
      </c>
      <c r="AH139" s="20">
        <f t="shared" si="157"/>
        <v>0</v>
      </c>
      <c r="AI139" s="20">
        <f t="shared" si="158"/>
        <v>0.94689668427039586</v>
      </c>
      <c r="AJ139" s="20">
        <f t="shared" si="158"/>
        <v>0</v>
      </c>
      <c r="AK139" s="20">
        <f t="shared" si="158"/>
        <v>0</v>
      </c>
      <c r="AL139" s="20">
        <f t="shared" si="158"/>
        <v>0</v>
      </c>
      <c r="AM139" s="20">
        <f t="shared" si="159"/>
        <v>0.94689668427039586</v>
      </c>
      <c r="AO139">
        <f t="shared" si="160"/>
        <v>2.3234898973843829E-2</v>
      </c>
      <c r="AP139">
        <f t="shared" si="160"/>
        <v>0</v>
      </c>
      <c r="AQ139">
        <f t="shared" si="160"/>
        <v>0</v>
      </c>
      <c r="AR139">
        <f t="shared" si="160"/>
        <v>0</v>
      </c>
      <c r="AS139" s="319">
        <f t="shared" si="161"/>
        <v>2.3234898973843829E-2</v>
      </c>
      <c r="AU139">
        <f t="shared" si="162"/>
        <v>1.2396771390468022</v>
      </c>
      <c r="AV139">
        <f t="shared" si="162"/>
        <v>0</v>
      </c>
      <c r="AW139">
        <f t="shared" si="162"/>
        <v>0</v>
      </c>
      <c r="AX139">
        <f t="shared" si="162"/>
        <v>0</v>
      </c>
      <c r="AY139">
        <f t="shared" si="163"/>
        <v>1.2396771390468022</v>
      </c>
    </row>
    <row r="140" spans="1:53" ht="15" x14ac:dyDescent="0.25">
      <c r="A140" s="1"/>
      <c r="B140" s="2"/>
      <c r="C140" s="1" t="s">
        <v>10</v>
      </c>
      <c r="D140">
        <v>0</v>
      </c>
      <c r="E140" s="360">
        <v>0</v>
      </c>
      <c r="F140">
        <v>0</v>
      </c>
      <c r="G140">
        <v>0</v>
      </c>
      <c r="H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 s="20"/>
      <c r="P140" s="20"/>
      <c r="Q140" s="438"/>
      <c r="R140" s="197">
        <v>2.5000000000000001E-2</v>
      </c>
      <c r="S140" s="197">
        <v>0.71599999999999997</v>
      </c>
      <c r="T140" s="197">
        <v>0.11808671869809276</v>
      </c>
      <c r="U140" s="197">
        <v>0.41263016220713056</v>
      </c>
      <c r="V140" s="20">
        <f t="shared" si="154"/>
        <v>0</v>
      </c>
      <c r="W140" s="20">
        <f t="shared" si="154"/>
        <v>0</v>
      </c>
      <c r="X140" s="20">
        <f t="shared" si="154"/>
        <v>0</v>
      </c>
      <c r="Y140" s="20">
        <f t="shared" si="154"/>
        <v>0</v>
      </c>
      <c r="Z140" s="20">
        <f t="shared" si="155"/>
        <v>0</v>
      </c>
      <c r="AA140" s="20">
        <f t="shared" si="155"/>
        <v>0</v>
      </c>
      <c r="AB140" s="20">
        <f t="shared" si="155"/>
        <v>0</v>
      </c>
      <c r="AC140" s="20">
        <f t="shared" si="155"/>
        <v>0</v>
      </c>
      <c r="AD140" s="20">
        <f t="shared" si="156"/>
        <v>0</v>
      </c>
      <c r="AE140" s="20">
        <f t="shared" si="157"/>
        <v>0</v>
      </c>
      <c r="AF140" s="20">
        <f t="shared" si="157"/>
        <v>0</v>
      </c>
      <c r="AG140" s="20">
        <f t="shared" si="157"/>
        <v>0</v>
      </c>
      <c r="AH140" s="20">
        <f t="shared" si="157"/>
        <v>0</v>
      </c>
      <c r="AI140" s="20">
        <f t="shared" si="158"/>
        <v>0</v>
      </c>
      <c r="AJ140" s="20">
        <f t="shared" si="158"/>
        <v>0</v>
      </c>
      <c r="AK140" s="20">
        <f t="shared" si="158"/>
        <v>0</v>
      </c>
      <c r="AL140" s="20">
        <f t="shared" si="158"/>
        <v>0</v>
      </c>
      <c r="AM140" s="20">
        <f t="shared" si="159"/>
        <v>0</v>
      </c>
      <c r="AO140">
        <f t="shared" si="160"/>
        <v>0</v>
      </c>
      <c r="AP140">
        <f t="shared" si="160"/>
        <v>0</v>
      </c>
      <c r="AQ140">
        <f t="shared" si="160"/>
        <v>0</v>
      </c>
      <c r="AR140">
        <f t="shared" si="160"/>
        <v>0</v>
      </c>
      <c r="AS140" s="319">
        <f t="shared" si="161"/>
        <v>0</v>
      </c>
      <c r="AU140">
        <f t="shared" si="162"/>
        <v>0</v>
      </c>
      <c r="AV140">
        <f t="shared" si="162"/>
        <v>0</v>
      </c>
      <c r="AW140">
        <f t="shared" si="162"/>
        <v>0</v>
      </c>
      <c r="AX140">
        <f t="shared" si="162"/>
        <v>0</v>
      </c>
      <c r="AY140">
        <f t="shared" si="163"/>
        <v>0</v>
      </c>
    </row>
    <row r="141" spans="1:53" ht="15" x14ac:dyDescent="0.25">
      <c r="A141" s="1"/>
      <c r="B141" s="2"/>
      <c r="C141" s="1" t="s">
        <v>11</v>
      </c>
      <c r="D141">
        <v>0</v>
      </c>
      <c r="E141" s="360">
        <v>10.4046</v>
      </c>
      <c r="F141">
        <v>0</v>
      </c>
      <c r="G141">
        <v>0</v>
      </c>
      <c r="H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 s="20"/>
      <c r="P141" s="20"/>
      <c r="Q141" s="438">
        <v>0.78863722004155323</v>
      </c>
      <c r="R141" s="197">
        <v>2.5000000000000001E-2</v>
      </c>
      <c r="S141" s="197">
        <v>0.71599999999999997</v>
      </c>
      <c r="T141" s="197">
        <v>0.11808671869809276</v>
      </c>
      <c r="U141" s="197">
        <v>0.41263016220713056</v>
      </c>
      <c r="V141" s="20">
        <f t="shared" si="154"/>
        <v>2.0513637049110862</v>
      </c>
      <c r="W141" s="20">
        <f t="shared" si="154"/>
        <v>0</v>
      </c>
      <c r="X141" s="20">
        <f t="shared" si="154"/>
        <v>0</v>
      </c>
      <c r="Y141" s="20">
        <f t="shared" si="154"/>
        <v>0</v>
      </c>
      <c r="Z141" s="20">
        <f t="shared" si="155"/>
        <v>0.57240909385495886</v>
      </c>
      <c r="AA141" s="20">
        <f t="shared" si="155"/>
        <v>0</v>
      </c>
      <c r="AB141" s="20">
        <f t="shared" si="155"/>
        <v>0</v>
      </c>
      <c r="AC141" s="20">
        <f t="shared" si="155"/>
        <v>0</v>
      </c>
      <c r="AD141" s="20">
        <f t="shared" si="156"/>
        <v>0.57240909385495886</v>
      </c>
      <c r="AE141" s="20">
        <f t="shared" si="157"/>
        <v>58.751056508653505</v>
      </c>
      <c r="AF141" s="20">
        <f t="shared" si="157"/>
        <v>0</v>
      </c>
      <c r="AG141" s="20">
        <f t="shared" si="157"/>
        <v>0</v>
      </c>
      <c r="AH141" s="20">
        <f t="shared" si="157"/>
        <v>0</v>
      </c>
      <c r="AI141" s="20">
        <f t="shared" si="158"/>
        <v>30.540372421386778</v>
      </c>
      <c r="AJ141" s="20">
        <f t="shared" si="158"/>
        <v>0</v>
      </c>
      <c r="AK141" s="20">
        <f t="shared" si="158"/>
        <v>0</v>
      </c>
      <c r="AL141" s="20">
        <f t="shared" si="158"/>
        <v>0</v>
      </c>
      <c r="AM141" s="20">
        <f t="shared" si="159"/>
        <v>30.540372421386778</v>
      </c>
      <c r="AO141">
        <f t="shared" si="160"/>
        <v>0.74939798567491211</v>
      </c>
      <c r="AP141">
        <f t="shared" si="160"/>
        <v>0</v>
      </c>
      <c r="AQ141">
        <f t="shared" si="160"/>
        <v>0</v>
      </c>
      <c r="AR141">
        <f t="shared" si="160"/>
        <v>0</v>
      </c>
      <c r="AS141" s="319">
        <f t="shared" si="161"/>
        <v>0.74939798567491211</v>
      </c>
      <c r="AU141">
        <f t="shared" si="162"/>
        <v>39.983455574079564</v>
      </c>
      <c r="AV141">
        <f t="shared" si="162"/>
        <v>0</v>
      </c>
      <c r="AW141">
        <f t="shared" si="162"/>
        <v>0</v>
      </c>
      <c r="AX141">
        <f t="shared" si="162"/>
        <v>0</v>
      </c>
      <c r="AY141">
        <f t="shared" si="163"/>
        <v>39.983455574079564</v>
      </c>
    </row>
    <row r="142" spans="1:53" ht="15" x14ac:dyDescent="0.25">
      <c r="A142" s="1"/>
      <c r="B142" s="2"/>
      <c r="C142" s="1" t="s">
        <v>12</v>
      </c>
      <c r="D142">
        <v>0</v>
      </c>
      <c r="E142" s="360">
        <v>0</v>
      </c>
      <c r="F142">
        <v>0</v>
      </c>
      <c r="G142">
        <v>0</v>
      </c>
      <c r="H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 s="20"/>
      <c r="P142" s="20"/>
      <c r="Q142" s="438"/>
      <c r="R142" s="197">
        <v>2.5000000000000001E-2</v>
      </c>
      <c r="S142" s="197">
        <v>0.71599999999999997</v>
      </c>
      <c r="T142" s="197">
        <v>0.11808671869809276</v>
      </c>
      <c r="U142" s="197">
        <v>0.41263016220713056</v>
      </c>
      <c r="V142" s="20">
        <f t="shared" si="154"/>
        <v>0</v>
      </c>
      <c r="W142" s="20">
        <f t="shared" si="154"/>
        <v>0</v>
      </c>
      <c r="X142" s="20">
        <f t="shared" si="154"/>
        <v>0</v>
      </c>
      <c r="Y142" s="20">
        <f t="shared" si="154"/>
        <v>0</v>
      </c>
      <c r="Z142" s="20">
        <f t="shared" si="155"/>
        <v>0</v>
      </c>
      <c r="AA142" s="20">
        <f t="shared" si="155"/>
        <v>0</v>
      </c>
      <c r="AB142" s="20">
        <f t="shared" si="155"/>
        <v>0</v>
      </c>
      <c r="AC142" s="20">
        <f t="shared" si="155"/>
        <v>0</v>
      </c>
      <c r="AD142" s="20">
        <f t="shared" si="156"/>
        <v>0</v>
      </c>
      <c r="AE142" s="20">
        <f t="shared" si="157"/>
        <v>0</v>
      </c>
      <c r="AF142" s="20">
        <f t="shared" si="157"/>
        <v>0</v>
      </c>
      <c r="AG142" s="20">
        <f t="shared" si="157"/>
        <v>0</v>
      </c>
      <c r="AH142" s="20">
        <f t="shared" si="157"/>
        <v>0</v>
      </c>
      <c r="AI142" s="20">
        <f t="shared" si="158"/>
        <v>0</v>
      </c>
      <c r="AJ142" s="20">
        <f t="shared" si="158"/>
        <v>0</v>
      </c>
      <c r="AK142" s="20">
        <f t="shared" si="158"/>
        <v>0</v>
      </c>
      <c r="AL142" s="20">
        <f t="shared" si="158"/>
        <v>0</v>
      </c>
      <c r="AM142" s="20">
        <f t="shared" si="159"/>
        <v>0</v>
      </c>
      <c r="AO142">
        <f t="shared" si="160"/>
        <v>0</v>
      </c>
      <c r="AP142">
        <f t="shared" si="160"/>
        <v>0</v>
      </c>
      <c r="AQ142">
        <f t="shared" si="160"/>
        <v>0</v>
      </c>
      <c r="AR142">
        <f t="shared" si="160"/>
        <v>0</v>
      </c>
      <c r="AS142" s="319">
        <f t="shared" si="161"/>
        <v>0</v>
      </c>
      <c r="AU142">
        <f t="shared" si="162"/>
        <v>0</v>
      </c>
      <c r="AV142">
        <f t="shared" si="162"/>
        <v>0</v>
      </c>
      <c r="AW142">
        <f t="shared" si="162"/>
        <v>0</v>
      </c>
      <c r="AX142">
        <f t="shared" si="162"/>
        <v>0</v>
      </c>
      <c r="AY142">
        <f t="shared" si="163"/>
        <v>0</v>
      </c>
    </row>
    <row r="143" spans="1:53" ht="15" x14ac:dyDescent="0.25">
      <c r="A143" s="1"/>
      <c r="B143" s="2"/>
      <c r="C143" s="1" t="s">
        <v>13</v>
      </c>
      <c r="D143">
        <v>0</v>
      </c>
      <c r="E143" s="360">
        <v>9.9110999999999994</v>
      </c>
      <c r="F143">
        <v>0</v>
      </c>
      <c r="G143">
        <v>0</v>
      </c>
      <c r="H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20"/>
      <c r="P143" s="20"/>
      <c r="Q143" s="438">
        <v>0.78863722004155334</v>
      </c>
      <c r="R143" s="197">
        <v>2.5000000000000001E-2</v>
      </c>
      <c r="S143" s="197">
        <v>0.71599999999999997</v>
      </c>
      <c r="T143" s="197">
        <v>0.11808671869809276</v>
      </c>
      <c r="U143" s="197">
        <v>0.41263016220713056</v>
      </c>
      <c r="V143" s="20">
        <f t="shared" si="154"/>
        <v>1.9540655878884596</v>
      </c>
      <c r="W143" s="20">
        <f t="shared" si="154"/>
        <v>0</v>
      </c>
      <c r="X143" s="20">
        <f t="shared" si="154"/>
        <v>0</v>
      </c>
      <c r="Y143" s="20">
        <f t="shared" si="154"/>
        <v>0</v>
      </c>
      <c r="Z143" s="20">
        <f t="shared" si="155"/>
        <v>0.54525919017606461</v>
      </c>
      <c r="AA143" s="20">
        <f t="shared" si="155"/>
        <v>0</v>
      </c>
      <c r="AB143" s="20">
        <f t="shared" si="155"/>
        <v>0</v>
      </c>
      <c r="AC143" s="20">
        <f t="shared" si="155"/>
        <v>0</v>
      </c>
      <c r="AD143" s="20">
        <f t="shared" si="156"/>
        <v>0.54525919017606461</v>
      </c>
      <c r="AE143" s="20">
        <f t="shared" si="157"/>
        <v>55.964438437125487</v>
      </c>
      <c r="AF143" s="20">
        <f t="shared" si="157"/>
        <v>0</v>
      </c>
      <c r="AG143" s="20">
        <f t="shared" si="157"/>
        <v>0</v>
      </c>
      <c r="AH143" s="20">
        <f t="shared" si="157"/>
        <v>0</v>
      </c>
      <c r="AI143" s="20">
        <f t="shared" si="158"/>
        <v>29.091813727159767</v>
      </c>
      <c r="AJ143" s="20">
        <f t="shared" si="158"/>
        <v>0</v>
      </c>
      <c r="AK143" s="20">
        <f t="shared" si="158"/>
        <v>0</v>
      </c>
      <c r="AL143" s="20">
        <f t="shared" si="158"/>
        <v>0</v>
      </c>
      <c r="AM143" s="20">
        <f t="shared" si="159"/>
        <v>29.091813727159767</v>
      </c>
      <c r="AO143">
        <f t="shared" si="160"/>
        <v>0.71385333177850374</v>
      </c>
      <c r="AP143">
        <f t="shared" si="160"/>
        <v>0</v>
      </c>
      <c r="AQ143">
        <f t="shared" si="160"/>
        <v>0</v>
      </c>
      <c r="AR143">
        <f t="shared" si="160"/>
        <v>0</v>
      </c>
      <c r="AS143" s="319">
        <f t="shared" si="161"/>
        <v>0.71385333177850374</v>
      </c>
      <c r="AU143">
        <f t="shared" si="162"/>
        <v>38.087002531597562</v>
      </c>
      <c r="AV143">
        <f t="shared" si="162"/>
        <v>0</v>
      </c>
      <c r="AW143">
        <f t="shared" si="162"/>
        <v>0</v>
      </c>
      <c r="AX143">
        <f t="shared" si="162"/>
        <v>0</v>
      </c>
      <c r="AY143">
        <f t="shared" si="163"/>
        <v>38.087002531597562</v>
      </c>
    </row>
    <row r="144" spans="1:53" ht="15" x14ac:dyDescent="0.25">
      <c r="A144" s="7"/>
      <c r="B144" s="8" t="s">
        <v>14</v>
      </c>
      <c r="C144" s="7"/>
      <c r="D144" s="357">
        <f t="shared" ref="D144:H144" si="164">SUM(D138:D143)</f>
        <v>0</v>
      </c>
      <c r="E144" s="363">
        <f>SUM(E138:E143)</f>
        <v>23.533299999999997</v>
      </c>
      <c r="F144" s="357">
        <f t="shared" si="164"/>
        <v>0</v>
      </c>
      <c r="G144" s="357">
        <f t="shared" si="164"/>
        <v>0</v>
      </c>
      <c r="H144" s="357">
        <f t="shared" si="164"/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 s="20"/>
      <c r="P144" s="20"/>
      <c r="Q144" s="438">
        <v>0.7862956002086624</v>
      </c>
      <c r="R144" s="197"/>
      <c r="S144" s="197"/>
      <c r="T144" s="197"/>
      <c r="U144" s="197"/>
      <c r="AS144" s="319"/>
      <c r="BA144" s="319">
        <f>(E144*10000*Q144*AU$10)</f>
        <v>242256.0732119286</v>
      </c>
    </row>
    <row r="145" spans="1:53" ht="15" x14ac:dyDescent="0.25">
      <c r="A145" s="10"/>
      <c r="B145" s="9" t="s">
        <v>15</v>
      </c>
      <c r="C145" s="5"/>
      <c r="E145" s="363">
        <f>SUM(E144)</f>
        <v>23.533299999999997</v>
      </c>
      <c r="H145" s="358">
        <f>SUM(D144:H144)</f>
        <v>23.533299999999997</v>
      </c>
      <c r="K145" s="14"/>
      <c r="N145">
        <v>0</v>
      </c>
      <c r="O145" s="20"/>
      <c r="P145" s="20"/>
      <c r="Q145" s="438"/>
      <c r="R145" s="197"/>
      <c r="S145" s="197"/>
      <c r="T145" s="197"/>
      <c r="U145" s="197"/>
      <c r="AS145" s="319"/>
    </row>
    <row r="146" spans="1:53" ht="15.75" x14ac:dyDescent="0.25">
      <c r="A146" s="1"/>
      <c r="B146" s="2"/>
      <c r="C146" s="1"/>
      <c r="E146" s="361"/>
      <c r="K146" s="14"/>
      <c r="O146" s="20"/>
      <c r="P146" s="20"/>
      <c r="Q146" s="439"/>
      <c r="R146" s="197"/>
      <c r="S146" s="197"/>
      <c r="T146" s="197"/>
      <c r="U146" s="197"/>
      <c r="AS146" s="319"/>
    </row>
    <row r="147" spans="1:53" ht="15" x14ac:dyDescent="0.25">
      <c r="A147" s="1">
        <v>16</v>
      </c>
      <c r="B147" s="2" t="s">
        <v>30</v>
      </c>
      <c r="C147" s="1" t="s">
        <v>8</v>
      </c>
      <c r="D147">
        <v>0</v>
      </c>
      <c r="E147" s="360">
        <v>72.439700000000002</v>
      </c>
      <c r="F147">
        <v>0</v>
      </c>
      <c r="G147">
        <v>0</v>
      </c>
      <c r="H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 s="20"/>
      <c r="P147" s="20"/>
      <c r="Q147" s="438">
        <v>0.68484884168398052</v>
      </c>
      <c r="R147" s="197">
        <v>5.6499999999999995E-2</v>
      </c>
      <c r="S147" s="197">
        <v>1.25</v>
      </c>
      <c r="T147" s="197">
        <v>0.50650413159351704</v>
      </c>
      <c r="U147" s="197">
        <v>0.77519673403474398</v>
      </c>
      <c r="V147" s="20">
        <f t="shared" ref="V147:Y152" si="165">E147*$Q147*$R147*10</f>
        <v>28.029788219868298</v>
      </c>
      <c r="W147" s="20">
        <f t="shared" si="165"/>
        <v>0</v>
      </c>
      <c r="X147" s="20">
        <f t="shared" si="165"/>
        <v>0</v>
      </c>
      <c r="Y147" s="20">
        <f t="shared" si="165"/>
        <v>0</v>
      </c>
      <c r="Z147" s="20">
        <f t="shared" ref="Z147:AC152" si="166">V147*(EXP(1.01-0.34*LN(Z$8))*(1-$T147)+(1*$T147))</f>
        <v>16.721688410294568</v>
      </c>
      <c r="AA147" s="20">
        <f t="shared" si="166"/>
        <v>0</v>
      </c>
      <c r="AB147" s="20">
        <f t="shared" si="166"/>
        <v>0</v>
      </c>
      <c r="AC147" s="20">
        <f t="shared" si="166"/>
        <v>0</v>
      </c>
      <c r="AD147" s="20">
        <f t="shared" ref="AD147:AD152" si="167">SUM(Z147:AC147)</f>
        <v>16.721688410294568</v>
      </c>
      <c r="AE147" s="20">
        <f t="shared" ref="AE147:AH152" si="168">E147*$Q147*$S147*10</f>
        <v>620.128057961688</v>
      </c>
      <c r="AF147" s="20">
        <f t="shared" si="168"/>
        <v>0</v>
      </c>
      <c r="AG147" s="20">
        <f t="shared" si="168"/>
        <v>0</v>
      </c>
      <c r="AH147" s="20">
        <f t="shared" si="168"/>
        <v>0</v>
      </c>
      <c r="AI147" s="20">
        <f t="shared" ref="AI147:AL152" si="169">AE147*(EXP(1.01-0.34*LN(AI$8))*(1-$U147)+(1*$U147))</f>
        <v>506.16337317748935</v>
      </c>
      <c r="AJ147" s="20">
        <f t="shared" si="169"/>
        <v>0</v>
      </c>
      <c r="AK147" s="20">
        <f t="shared" si="169"/>
        <v>0</v>
      </c>
      <c r="AL147" s="20">
        <f t="shared" si="169"/>
        <v>0</v>
      </c>
      <c r="AM147" s="20">
        <f t="shared" ref="AM147:AM152" si="170">SUM(AI147:AL147)</f>
        <v>506.16337317748935</v>
      </c>
      <c r="AO147">
        <f t="shared" ref="AO147:AR152" si="171">Z147*AO$10</f>
        <v>21.892034466757647</v>
      </c>
      <c r="AP147">
        <f t="shared" si="171"/>
        <v>0</v>
      </c>
      <c r="AQ147">
        <f t="shared" si="171"/>
        <v>0</v>
      </c>
      <c r="AR147">
        <f t="shared" si="171"/>
        <v>0</v>
      </c>
      <c r="AS147" s="319">
        <f t="shared" ref="AS147:AS152" si="172">SUM(AO147:AR147)</f>
        <v>21.892034466757647</v>
      </c>
      <c r="AU147">
        <f t="shared" ref="AU147:AX152" si="173">AI147*AU$10</f>
        <v>662.66908816396904</v>
      </c>
      <c r="AV147">
        <f t="shared" si="173"/>
        <v>0</v>
      </c>
      <c r="AW147">
        <f t="shared" si="173"/>
        <v>0</v>
      </c>
      <c r="AX147">
        <f t="shared" si="173"/>
        <v>0</v>
      </c>
      <c r="AY147">
        <f t="shared" ref="AY147:AY152" si="174">SUM(AU147:AX147)</f>
        <v>662.66908816396904</v>
      </c>
    </row>
    <row r="148" spans="1:53" ht="15" x14ac:dyDescent="0.25">
      <c r="A148" s="1"/>
      <c r="B148" s="2"/>
      <c r="C148" s="1" t="s">
        <v>9</v>
      </c>
      <c r="D148">
        <v>0</v>
      </c>
      <c r="E148" s="360">
        <v>6.3832000000000004</v>
      </c>
      <c r="F148">
        <v>0</v>
      </c>
      <c r="G148">
        <v>0</v>
      </c>
      <c r="H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 s="20"/>
      <c r="P148" s="20"/>
      <c r="Q148" s="438">
        <v>0.69469768336796112</v>
      </c>
      <c r="R148" s="197">
        <v>5.6499999999999995E-2</v>
      </c>
      <c r="S148" s="197">
        <v>1.25</v>
      </c>
      <c r="T148" s="197">
        <v>0.50650413159351704</v>
      </c>
      <c r="U148" s="197">
        <v>0.77519673403474398</v>
      </c>
      <c r="V148" s="20">
        <f t="shared" si="165"/>
        <v>2.5054327526480185</v>
      </c>
      <c r="W148" s="20">
        <f t="shared" si="165"/>
        <v>0</v>
      </c>
      <c r="X148" s="20">
        <f t="shared" si="165"/>
        <v>0</v>
      </c>
      <c r="Y148" s="20">
        <f t="shared" si="165"/>
        <v>0</v>
      </c>
      <c r="Z148" s="20">
        <f t="shared" si="166"/>
        <v>1.4946622319832725</v>
      </c>
      <c r="AA148" s="20">
        <f t="shared" si="166"/>
        <v>0</v>
      </c>
      <c r="AB148" s="20">
        <f t="shared" si="166"/>
        <v>0</v>
      </c>
      <c r="AC148" s="20">
        <f t="shared" si="166"/>
        <v>0</v>
      </c>
      <c r="AD148" s="20">
        <f t="shared" si="167"/>
        <v>1.4946622319832725</v>
      </c>
      <c r="AE148" s="20">
        <f t="shared" si="168"/>
        <v>55.429928155929616</v>
      </c>
      <c r="AF148" s="20">
        <f t="shared" si="168"/>
        <v>0</v>
      </c>
      <c r="AG148" s="20">
        <f t="shared" si="168"/>
        <v>0</v>
      </c>
      <c r="AH148" s="20">
        <f t="shared" si="168"/>
        <v>0</v>
      </c>
      <c r="AI148" s="20">
        <f t="shared" si="169"/>
        <v>45.24323492572011</v>
      </c>
      <c r="AJ148" s="20">
        <f t="shared" si="169"/>
        <v>0</v>
      </c>
      <c r="AK148" s="20">
        <f t="shared" si="169"/>
        <v>0</v>
      </c>
      <c r="AL148" s="20">
        <f t="shared" si="169"/>
        <v>0</v>
      </c>
      <c r="AM148" s="20">
        <f t="shared" si="170"/>
        <v>45.24323492572011</v>
      </c>
      <c r="AO148">
        <f t="shared" si="171"/>
        <v>1.9568117941125003</v>
      </c>
      <c r="AP148">
        <f t="shared" si="171"/>
        <v>0</v>
      </c>
      <c r="AQ148">
        <f t="shared" si="171"/>
        <v>0</v>
      </c>
      <c r="AR148">
        <f t="shared" si="171"/>
        <v>0</v>
      </c>
      <c r="AS148" s="319">
        <f t="shared" si="172"/>
        <v>1.9568117941125003</v>
      </c>
      <c r="AU148">
        <f t="shared" si="173"/>
        <v>59.232443164752766</v>
      </c>
      <c r="AV148">
        <f t="shared" si="173"/>
        <v>0</v>
      </c>
      <c r="AW148">
        <f t="shared" si="173"/>
        <v>0</v>
      </c>
      <c r="AX148">
        <f t="shared" si="173"/>
        <v>0</v>
      </c>
      <c r="AY148">
        <f t="shared" si="174"/>
        <v>59.232443164752766</v>
      </c>
    </row>
    <row r="149" spans="1:53" ht="15" x14ac:dyDescent="0.25">
      <c r="A149" s="1"/>
      <c r="B149" s="2"/>
      <c r="C149" s="1" t="s">
        <v>10</v>
      </c>
      <c r="D149">
        <v>0</v>
      </c>
      <c r="E149" s="360">
        <v>0</v>
      </c>
      <c r="F149">
        <v>0</v>
      </c>
      <c r="G149">
        <v>0</v>
      </c>
      <c r="H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 s="20"/>
      <c r="P149" s="20"/>
      <c r="Q149" s="438"/>
      <c r="R149" s="197">
        <v>5.6499999999999995E-2</v>
      </c>
      <c r="S149" s="197">
        <v>1.25</v>
      </c>
      <c r="T149" s="197">
        <v>0.50650413159351704</v>
      </c>
      <c r="U149" s="197">
        <v>0.77519673403474398</v>
      </c>
      <c r="V149" s="20">
        <f t="shared" si="165"/>
        <v>0</v>
      </c>
      <c r="W149" s="20">
        <f t="shared" si="165"/>
        <v>0</v>
      </c>
      <c r="X149" s="20">
        <f t="shared" si="165"/>
        <v>0</v>
      </c>
      <c r="Y149" s="20">
        <f t="shared" si="165"/>
        <v>0</v>
      </c>
      <c r="Z149" s="20">
        <f t="shared" si="166"/>
        <v>0</v>
      </c>
      <c r="AA149" s="20">
        <f t="shared" si="166"/>
        <v>0</v>
      </c>
      <c r="AB149" s="20">
        <f t="shared" si="166"/>
        <v>0</v>
      </c>
      <c r="AC149" s="20">
        <f t="shared" si="166"/>
        <v>0</v>
      </c>
      <c r="AD149" s="20">
        <f t="shared" si="167"/>
        <v>0</v>
      </c>
      <c r="AE149" s="20">
        <f t="shared" si="168"/>
        <v>0</v>
      </c>
      <c r="AF149" s="20">
        <f t="shared" si="168"/>
        <v>0</v>
      </c>
      <c r="AG149" s="20">
        <f t="shared" si="168"/>
        <v>0</v>
      </c>
      <c r="AH149" s="20">
        <f t="shared" si="168"/>
        <v>0</v>
      </c>
      <c r="AI149" s="20">
        <f t="shared" si="169"/>
        <v>0</v>
      </c>
      <c r="AJ149" s="20">
        <f t="shared" si="169"/>
        <v>0</v>
      </c>
      <c r="AK149" s="20">
        <f t="shared" si="169"/>
        <v>0</v>
      </c>
      <c r="AL149" s="20">
        <f t="shared" si="169"/>
        <v>0</v>
      </c>
      <c r="AM149" s="20">
        <f t="shared" si="170"/>
        <v>0</v>
      </c>
      <c r="AO149">
        <f t="shared" si="171"/>
        <v>0</v>
      </c>
      <c r="AP149">
        <f t="shared" si="171"/>
        <v>0</v>
      </c>
      <c r="AQ149">
        <f t="shared" si="171"/>
        <v>0</v>
      </c>
      <c r="AR149">
        <f t="shared" si="171"/>
        <v>0</v>
      </c>
      <c r="AS149" s="319">
        <f t="shared" si="172"/>
        <v>0</v>
      </c>
      <c r="AU149">
        <f t="shared" si="173"/>
        <v>0</v>
      </c>
      <c r="AV149">
        <f t="shared" si="173"/>
        <v>0</v>
      </c>
      <c r="AW149">
        <f t="shared" si="173"/>
        <v>0</v>
      </c>
      <c r="AX149">
        <f t="shared" si="173"/>
        <v>0</v>
      </c>
      <c r="AY149">
        <f t="shared" si="174"/>
        <v>0</v>
      </c>
    </row>
    <row r="150" spans="1:53" ht="15" x14ac:dyDescent="0.25">
      <c r="A150" s="1"/>
      <c r="B150" s="2"/>
      <c r="C150" s="1" t="s">
        <v>11</v>
      </c>
      <c r="D150">
        <v>0</v>
      </c>
      <c r="E150" s="360">
        <v>1282.5646999999999</v>
      </c>
      <c r="F150">
        <v>0</v>
      </c>
      <c r="G150">
        <v>0</v>
      </c>
      <c r="H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s="20"/>
      <c r="P150" s="20"/>
      <c r="Q150" s="438">
        <v>0.7143953667359223</v>
      </c>
      <c r="R150" s="197">
        <v>5.6499999999999995E-2</v>
      </c>
      <c r="S150" s="197">
        <v>1.25</v>
      </c>
      <c r="T150" s="197">
        <v>0.50650413159351704</v>
      </c>
      <c r="U150" s="197">
        <v>0.77519673403474398</v>
      </c>
      <c r="V150" s="20">
        <f t="shared" si="165"/>
        <v>517.68592775876209</v>
      </c>
      <c r="W150" s="20">
        <f t="shared" si="165"/>
        <v>0</v>
      </c>
      <c r="X150" s="20">
        <f t="shared" si="165"/>
        <v>0</v>
      </c>
      <c r="Y150" s="20">
        <f t="shared" si="165"/>
        <v>0</v>
      </c>
      <c r="Z150" s="20">
        <f t="shared" si="166"/>
        <v>308.83511179154237</v>
      </c>
      <c r="AA150" s="20">
        <f t="shared" si="166"/>
        <v>0</v>
      </c>
      <c r="AB150" s="20">
        <f t="shared" si="166"/>
        <v>0</v>
      </c>
      <c r="AC150" s="20">
        <f t="shared" si="166"/>
        <v>0</v>
      </c>
      <c r="AD150" s="20">
        <f t="shared" si="167"/>
        <v>308.83511179154237</v>
      </c>
      <c r="AE150" s="20">
        <f t="shared" si="168"/>
        <v>11453.2284902381</v>
      </c>
      <c r="AF150" s="20">
        <f t="shared" si="168"/>
        <v>0</v>
      </c>
      <c r="AG150" s="20">
        <f t="shared" si="168"/>
        <v>0</v>
      </c>
      <c r="AH150" s="20">
        <f t="shared" si="168"/>
        <v>0</v>
      </c>
      <c r="AI150" s="20">
        <f t="shared" si="169"/>
        <v>9348.3994022886091</v>
      </c>
      <c r="AJ150" s="20">
        <f t="shared" si="169"/>
        <v>0</v>
      </c>
      <c r="AK150" s="20">
        <f t="shared" si="169"/>
        <v>0</v>
      </c>
      <c r="AL150" s="20">
        <f t="shared" si="169"/>
        <v>0</v>
      </c>
      <c r="AM150" s="20">
        <f t="shared" si="170"/>
        <v>9348.3994022886091</v>
      </c>
      <c r="AO150">
        <f t="shared" si="171"/>
        <v>404.32692835748725</v>
      </c>
      <c r="AP150">
        <f t="shared" si="171"/>
        <v>0</v>
      </c>
      <c r="AQ150">
        <f t="shared" si="171"/>
        <v>0</v>
      </c>
      <c r="AR150">
        <f t="shared" si="171"/>
        <v>0</v>
      </c>
      <c r="AS150" s="319">
        <f t="shared" si="172"/>
        <v>404.32692835748725</v>
      </c>
      <c r="AU150">
        <f t="shared" si="173"/>
        <v>12238.924497476246</v>
      </c>
      <c r="AV150">
        <f t="shared" si="173"/>
        <v>0</v>
      </c>
      <c r="AW150">
        <f t="shared" si="173"/>
        <v>0</v>
      </c>
      <c r="AX150">
        <f t="shared" si="173"/>
        <v>0</v>
      </c>
      <c r="AY150">
        <f t="shared" si="174"/>
        <v>12238.924497476246</v>
      </c>
    </row>
    <row r="151" spans="1:53" ht="15" x14ac:dyDescent="0.25">
      <c r="A151" s="1"/>
      <c r="B151" s="2"/>
      <c r="C151" s="1" t="s">
        <v>12</v>
      </c>
      <c r="D151">
        <v>0</v>
      </c>
      <c r="E151" s="360">
        <v>0</v>
      </c>
      <c r="F151">
        <v>0</v>
      </c>
      <c r="G151">
        <v>0</v>
      </c>
      <c r="H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 s="20"/>
      <c r="P151" s="20"/>
      <c r="Q151" s="438"/>
      <c r="R151" s="197">
        <v>5.6499999999999995E-2</v>
      </c>
      <c r="S151" s="197">
        <v>1.25</v>
      </c>
      <c r="T151" s="197">
        <v>0.50650413159351704</v>
      </c>
      <c r="U151" s="197">
        <v>0.77519673403474398</v>
      </c>
      <c r="V151" s="20">
        <f t="shared" si="165"/>
        <v>0</v>
      </c>
      <c r="W151" s="20">
        <f t="shared" si="165"/>
        <v>0</v>
      </c>
      <c r="X151" s="20">
        <f t="shared" si="165"/>
        <v>0</v>
      </c>
      <c r="Y151" s="20">
        <f t="shared" si="165"/>
        <v>0</v>
      </c>
      <c r="Z151" s="20">
        <f t="shared" si="166"/>
        <v>0</v>
      </c>
      <c r="AA151" s="20">
        <f t="shared" si="166"/>
        <v>0</v>
      </c>
      <c r="AB151" s="20">
        <f t="shared" si="166"/>
        <v>0</v>
      </c>
      <c r="AC151" s="20">
        <f t="shared" si="166"/>
        <v>0</v>
      </c>
      <c r="AD151" s="20">
        <f t="shared" si="167"/>
        <v>0</v>
      </c>
      <c r="AE151" s="20">
        <f t="shared" si="168"/>
        <v>0</v>
      </c>
      <c r="AF151" s="20">
        <f t="shared" si="168"/>
        <v>0</v>
      </c>
      <c r="AG151" s="20">
        <f t="shared" si="168"/>
        <v>0</v>
      </c>
      <c r="AH151" s="20">
        <f t="shared" si="168"/>
        <v>0</v>
      </c>
      <c r="AI151" s="20">
        <f t="shared" si="169"/>
        <v>0</v>
      </c>
      <c r="AJ151" s="20">
        <f t="shared" si="169"/>
        <v>0</v>
      </c>
      <c r="AK151" s="20">
        <f t="shared" si="169"/>
        <v>0</v>
      </c>
      <c r="AL151" s="20">
        <f t="shared" si="169"/>
        <v>0</v>
      </c>
      <c r="AM151" s="20">
        <f t="shared" si="170"/>
        <v>0</v>
      </c>
      <c r="AO151">
        <f t="shared" si="171"/>
        <v>0</v>
      </c>
      <c r="AP151">
        <f t="shared" si="171"/>
        <v>0</v>
      </c>
      <c r="AQ151">
        <f t="shared" si="171"/>
        <v>0</v>
      </c>
      <c r="AR151">
        <f t="shared" si="171"/>
        <v>0</v>
      </c>
      <c r="AS151" s="319">
        <f t="shared" si="172"/>
        <v>0</v>
      </c>
      <c r="AU151">
        <f t="shared" si="173"/>
        <v>0</v>
      </c>
      <c r="AV151">
        <f t="shared" si="173"/>
        <v>0</v>
      </c>
      <c r="AW151">
        <f t="shared" si="173"/>
        <v>0</v>
      </c>
      <c r="AX151">
        <f t="shared" si="173"/>
        <v>0</v>
      </c>
      <c r="AY151">
        <f t="shared" si="174"/>
        <v>0</v>
      </c>
    </row>
    <row r="152" spans="1:53" ht="15" x14ac:dyDescent="0.25">
      <c r="A152" s="1"/>
      <c r="B152" s="2"/>
      <c r="C152" s="1" t="s">
        <v>13</v>
      </c>
      <c r="D152">
        <v>0</v>
      </c>
      <c r="E152" s="360">
        <v>29.971499999999999</v>
      </c>
      <c r="F152">
        <v>0</v>
      </c>
      <c r="G152">
        <v>0</v>
      </c>
      <c r="H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20"/>
      <c r="P152" s="20"/>
      <c r="Q152" s="438">
        <v>0.7143953667359223</v>
      </c>
      <c r="R152" s="197">
        <v>5.6499999999999995E-2</v>
      </c>
      <c r="S152" s="197">
        <v>1.25</v>
      </c>
      <c r="T152" s="197">
        <v>0.50650413159351704</v>
      </c>
      <c r="U152" s="197">
        <v>0.77519673403474398</v>
      </c>
      <c r="V152" s="20">
        <f t="shared" si="165"/>
        <v>12.097497914781016</v>
      </c>
      <c r="W152" s="20">
        <f t="shared" si="165"/>
        <v>0</v>
      </c>
      <c r="X152" s="20">
        <f t="shared" si="165"/>
        <v>0</v>
      </c>
      <c r="Y152" s="20">
        <f t="shared" si="165"/>
        <v>0</v>
      </c>
      <c r="Z152" s="20">
        <f t="shared" si="166"/>
        <v>7.2169860538499249</v>
      </c>
      <c r="AA152" s="20">
        <f t="shared" si="166"/>
        <v>0</v>
      </c>
      <c r="AB152" s="20">
        <f t="shared" si="166"/>
        <v>0</v>
      </c>
      <c r="AC152" s="20">
        <f t="shared" si="166"/>
        <v>0</v>
      </c>
      <c r="AD152" s="20">
        <f t="shared" si="167"/>
        <v>7.2169860538499249</v>
      </c>
      <c r="AE152" s="20">
        <f t="shared" si="168"/>
        <v>267.64375917657117</v>
      </c>
      <c r="AF152" s="20">
        <f t="shared" si="168"/>
        <v>0</v>
      </c>
      <c r="AG152" s="20">
        <f t="shared" si="168"/>
        <v>0</v>
      </c>
      <c r="AH152" s="20">
        <f t="shared" si="168"/>
        <v>0</v>
      </c>
      <c r="AI152" s="20">
        <f t="shared" si="169"/>
        <v>218.45724639520569</v>
      </c>
      <c r="AJ152" s="20">
        <f t="shared" si="169"/>
        <v>0</v>
      </c>
      <c r="AK152" s="20">
        <f t="shared" si="169"/>
        <v>0</v>
      </c>
      <c r="AL152" s="20">
        <f t="shared" si="169"/>
        <v>0</v>
      </c>
      <c r="AM152" s="20">
        <f t="shared" si="170"/>
        <v>218.45724639520569</v>
      </c>
      <c r="AO152">
        <f t="shared" si="171"/>
        <v>9.4484781417003205</v>
      </c>
      <c r="AP152">
        <f t="shared" si="171"/>
        <v>0</v>
      </c>
      <c r="AQ152">
        <f t="shared" si="171"/>
        <v>0</v>
      </c>
      <c r="AR152">
        <f t="shared" si="171"/>
        <v>0</v>
      </c>
      <c r="AS152" s="319">
        <f t="shared" si="172"/>
        <v>9.4484781417003205</v>
      </c>
      <c r="AU152">
        <f t="shared" si="173"/>
        <v>286.00422698060328</v>
      </c>
      <c r="AV152">
        <f t="shared" si="173"/>
        <v>0</v>
      </c>
      <c r="AW152">
        <f t="shared" si="173"/>
        <v>0</v>
      </c>
      <c r="AX152">
        <f t="shared" si="173"/>
        <v>0</v>
      </c>
      <c r="AY152">
        <f t="shared" si="174"/>
        <v>286.00422698060328</v>
      </c>
    </row>
    <row r="153" spans="1:53" ht="15" x14ac:dyDescent="0.25">
      <c r="A153" s="7"/>
      <c r="B153" s="8" t="s">
        <v>14</v>
      </c>
      <c r="C153" s="7"/>
      <c r="D153" s="357">
        <f t="shared" ref="D153:H153" si="175">SUM(D147:D152)</f>
        <v>0</v>
      </c>
      <c r="E153" s="363">
        <f>SUM(E147:E152)</f>
        <v>1391.3591000000001</v>
      </c>
      <c r="F153" s="357">
        <f t="shared" si="175"/>
        <v>0</v>
      </c>
      <c r="G153" s="357">
        <f t="shared" si="175"/>
        <v>0</v>
      </c>
      <c r="H153" s="357">
        <f t="shared" si="175"/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 s="20"/>
      <c r="P153" s="20"/>
      <c r="Q153" s="438">
        <v>0.71276668894650053</v>
      </c>
      <c r="R153" s="197"/>
      <c r="S153" s="197"/>
      <c r="T153" s="197"/>
      <c r="U153" s="197"/>
      <c r="AS153" s="319"/>
      <c r="BA153" s="319">
        <f>(E153*10000*Q153*AU$10)</f>
        <v>12983525.171487095</v>
      </c>
    </row>
    <row r="154" spans="1:53" ht="15" x14ac:dyDescent="0.25">
      <c r="A154" s="10"/>
      <c r="B154" s="9" t="s">
        <v>15</v>
      </c>
      <c r="C154" s="5"/>
      <c r="E154" s="363">
        <f>SUM(E153)</f>
        <v>1391.3591000000001</v>
      </c>
      <c r="H154" s="358">
        <f>SUM(D153:H153)</f>
        <v>1391.3591000000001</v>
      </c>
      <c r="K154" s="14"/>
      <c r="N154">
        <v>0</v>
      </c>
      <c r="O154" s="20"/>
      <c r="P154" s="20"/>
      <c r="Q154" s="438"/>
      <c r="R154" s="197"/>
      <c r="S154" s="197"/>
      <c r="T154" s="197"/>
      <c r="U154" s="197"/>
      <c r="AS154" s="319"/>
    </row>
    <row r="155" spans="1:53" ht="15.75" x14ac:dyDescent="0.25">
      <c r="A155" s="1"/>
      <c r="B155" s="2"/>
      <c r="C155" s="1"/>
      <c r="E155" s="361"/>
      <c r="K155" s="14"/>
      <c r="O155" s="20"/>
      <c r="P155" s="20"/>
      <c r="Q155" s="439"/>
      <c r="R155" s="197"/>
      <c r="S155" s="197"/>
      <c r="T155" s="197"/>
      <c r="U155" s="197"/>
      <c r="AS155" s="319"/>
    </row>
    <row r="156" spans="1:53" ht="15" x14ac:dyDescent="0.25">
      <c r="A156" s="1">
        <v>17</v>
      </c>
      <c r="B156" s="2" t="s">
        <v>31</v>
      </c>
      <c r="C156" s="1" t="s">
        <v>8</v>
      </c>
      <c r="D156">
        <v>0</v>
      </c>
      <c r="E156" s="360"/>
      <c r="F156">
        <v>0</v>
      </c>
      <c r="G156">
        <v>0</v>
      </c>
      <c r="H156">
        <v>0</v>
      </c>
      <c r="J156">
        <v>0</v>
      </c>
      <c r="K156" s="14">
        <v>0</v>
      </c>
      <c r="L156">
        <v>0</v>
      </c>
      <c r="M156">
        <v>0</v>
      </c>
      <c r="N156">
        <v>0</v>
      </c>
      <c r="O156" s="20"/>
      <c r="P156" s="20"/>
      <c r="Q156" s="438"/>
      <c r="R156" s="197"/>
      <c r="S156" s="197"/>
      <c r="T156" s="197"/>
      <c r="U156" s="197"/>
      <c r="V156" s="20">
        <f t="shared" ref="V156:Y161" si="176">IF(K156&gt;0,((E156-K156)*$Q156*$R156*10)+(K156*$O$12*$Q156*$R156*10),(E156*$Q156*$R156*10))</f>
        <v>0</v>
      </c>
      <c r="W156" s="20">
        <f t="shared" si="176"/>
        <v>0</v>
      </c>
      <c r="X156" s="20">
        <f t="shared" si="176"/>
        <v>0</v>
      </c>
      <c r="Y156" s="20">
        <f t="shared" si="176"/>
        <v>0</v>
      </c>
      <c r="Z156" s="20">
        <f t="shared" ref="Z156:AC161" si="177">V156*(EXP(1.01-0.34*LN(Z$8))*(1-$T156)+(1*$T156))</f>
        <v>0</v>
      </c>
      <c r="AA156" s="20">
        <f t="shared" si="177"/>
        <v>0</v>
      </c>
      <c r="AB156" s="20">
        <f t="shared" si="177"/>
        <v>0</v>
      </c>
      <c r="AC156" s="20">
        <f t="shared" si="177"/>
        <v>0</v>
      </c>
      <c r="AD156" s="20">
        <f t="shared" ref="AD156:AD161" si="178">SUM(Z156:AC156)</f>
        <v>0</v>
      </c>
      <c r="AE156" s="20">
        <f t="shared" ref="AE156:AH161" si="179">IF(K156&gt;0,((E156-K156)*$Q156*$S156*10)+(K156*$P$12*$Q156*$S156)*10,(E156*$Q156*$S156*10))</f>
        <v>0</v>
      </c>
      <c r="AF156" s="20">
        <f t="shared" si="179"/>
        <v>0</v>
      </c>
      <c r="AG156" s="20">
        <f t="shared" si="179"/>
        <v>0</v>
      </c>
      <c r="AH156" s="20">
        <f t="shared" si="179"/>
        <v>0</v>
      </c>
      <c r="AI156" s="20">
        <f t="shared" ref="AI156:AL161" si="180">AE156*(EXP(1.01-0.34*LN(AI$8))*(1-$U156)+(1*$U156))</f>
        <v>0</v>
      </c>
      <c r="AJ156" s="20">
        <f t="shared" si="180"/>
        <v>0</v>
      </c>
      <c r="AK156" s="20">
        <f t="shared" si="180"/>
        <v>0</v>
      </c>
      <c r="AL156" s="20">
        <f t="shared" si="180"/>
        <v>0</v>
      </c>
      <c r="AM156" s="20">
        <f t="shared" ref="AM156:AM161" si="181">SUM(AI156:AL156)</f>
        <v>0</v>
      </c>
      <c r="AO156">
        <f t="shared" ref="AO156:AR161" si="182">Z156*AO$10</f>
        <v>0</v>
      </c>
      <c r="AP156">
        <f t="shared" si="182"/>
        <v>0</v>
      </c>
      <c r="AQ156">
        <f t="shared" si="182"/>
        <v>0</v>
      </c>
      <c r="AR156">
        <f t="shared" si="182"/>
        <v>0</v>
      </c>
      <c r="AS156" s="319">
        <f t="shared" ref="AS156:AS161" si="183">SUM(AO156:AR156)</f>
        <v>0</v>
      </c>
      <c r="AU156">
        <f t="shared" ref="AU156:AX161" si="184">AI156*AU$10</f>
        <v>0</v>
      </c>
      <c r="AV156">
        <f t="shared" si="184"/>
        <v>0</v>
      </c>
      <c r="AW156">
        <f t="shared" si="184"/>
        <v>0</v>
      </c>
      <c r="AX156">
        <f t="shared" si="184"/>
        <v>0</v>
      </c>
      <c r="AY156">
        <f t="shared" ref="AY156:AY161" si="185">SUM(AU156:AX156)</f>
        <v>0</v>
      </c>
    </row>
    <row r="157" spans="1:53" ht="15" x14ac:dyDescent="0.25">
      <c r="A157" s="1"/>
      <c r="B157" s="2"/>
      <c r="C157" s="1" t="s">
        <v>9</v>
      </c>
      <c r="D157">
        <v>0</v>
      </c>
      <c r="E157" s="360"/>
      <c r="F157">
        <v>0</v>
      </c>
      <c r="G157">
        <v>0</v>
      </c>
      <c r="H157">
        <v>0</v>
      </c>
      <c r="J157">
        <v>0</v>
      </c>
      <c r="K157" s="14">
        <v>0</v>
      </c>
      <c r="L157">
        <v>0</v>
      </c>
      <c r="M157">
        <v>0</v>
      </c>
      <c r="N157">
        <v>0</v>
      </c>
      <c r="O157" s="20"/>
      <c r="P157" s="20"/>
      <c r="Q157" s="438"/>
      <c r="R157" s="197"/>
      <c r="S157" s="197"/>
      <c r="T157" s="197"/>
      <c r="U157" s="197"/>
      <c r="V157" s="20">
        <f t="shared" si="176"/>
        <v>0</v>
      </c>
      <c r="W157" s="20">
        <f t="shared" si="176"/>
        <v>0</v>
      </c>
      <c r="X157" s="20">
        <f t="shared" si="176"/>
        <v>0</v>
      </c>
      <c r="Y157" s="20">
        <f t="shared" si="176"/>
        <v>0</v>
      </c>
      <c r="Z157" s="20">
        <f t="shared" si="177"/>
        <v>0</v>
      </c>
      <c r="AA157" s="20">
        <f t="shared" si="177"/>
        <v>0</v>
      </c>
      <c r="AB157" s="20">
        <f t="shared" si="177"/>
        <v>0</v>
      </c>
      <c r="AC157" s="20">
        <f t="shared" si="177"/>
        <v>0</v>
      </c>
      <c r="AD157" s="20">
        <f t="shared" si="178"/>
        <v>0</v>
      </c>
      <c r="AE157" s="20">
        <f t="shared" si="179"/>
        <v>0</v>
      </c>
      <c r="AF157" s="20">
        <f t="shared" si="179"/>
        <v>0</v>
      </c>
      <c r="AG157" s="20">
        <f t="shared" si="179"/>
        <v>0</v>
      </c>
      <c r="AH157" s="20">
        <f t="shared" si="179"/>
        <v>0</v>
      </c>
      <c r="AI157" s="20">
        <f t="shared" si="180"/>
        <v>0</v>
      </c>
      <c r="AJ157" s="20">
        <f t="shared" si="180"/>
        <v>0</v>
      </c>
      <c r="AK157" s="20">
        <f t="shared" si="180"/>
        <v>0</v>
      </c>
      <c r="AL157" s="20">
        <f t="shared" si="180"/>
        <v>0</v>
      </c>
      <c r="AM157" s="20">
        <f t="shared" si="181"/>
        <v>0</v>
      </c>
      <c r="AO157">
        <f t="shared" si="182"/>
        <v>0</v>
      </c>
      <c r="AP157">
        <f t="shared" si="182"/>
        <v>0</v>
      </c>
      <c r="AQ157">
        <f t="shared" si="182"/>
        <v>0</v>
      </c>
      <c r="AR157">
        <f t="shared" si="182"/>
        <v>0</v>
      </c>
      <c r="AS157" s="319">
        <f t="shared" si="183"/>
        <v>0</v>
      </c>
      <c r="AU157">
        <f t="shared" si="184"/>
        <v>0</v>
      </c>
      <c r="AV157">
        <f t="shared" si="184"/>
        <v>0</v>
      </c>
      <c r="AW157">
        <f t="shared" si="184"/>
        <v>0</v>
      </c>
      <c r="AX157">
        <f t="shared" si="184"/>
        <v>0</v>
      </c>
      <c r="AY157">
        <f t="shared" si="185"/>
        <v>0</v>
      </c>
    </row>
    <row r="158" spans="1:53" ht="15" x14ac:dyDescent="0.25">
      <c r="A158" s="1"/>
      <c r="B158" s="2"/>
      <c r="C158" s="1" t="s">
        <v>10</v>
      </c>
      <c r="D158">
        <v>0</v>
      </c>
      <c r="E158" s="360"/>
      <c r="F158">
        <v>0</v>
      </c>
      <c r="G158">
        <v>0</v>
      </c>
      <c r="H158">
        <v>0</v>
      </c>
      <c r="J158">
        <v>0</v>
      </c>
      <c r="K158" s="14">
        <v>0</v>
      </c>
      <c r="L158">
        <v>0</v>
      </c>
      <c r="M158">
        <v>0</v>
      </c>
      <c r="N158">
        <v>0</v>
      </c>
      <c r="O158" s="20"/>
      <c r="P158" s="20"/>
      <c r="Q158" s="438"/>
      <c r="R158" s="197"/>
      <c r="S158" s="197"/>
      <c r="T158" s="197"/>
      <c r="U158" s="197"/>
      <c r="V158" s="20">
        <f t="shared" si="176"/>
        <v>0</v>
      </c>
      <c r="W158" s="20">
        <f t="shared" si="176"/>
        <v>0</v>
      </c>
      <c r="X158" s="20">
        <f t="shared" si="176"/>
        <v>0</v>
      </c>
      <c r="Y158" s="20">
        <f t="shared" si="176"/>
        <v>0</v>
      </c>
      <c r="Z158" s="20">
        <f t="shared" si="177"/>
        <v>0</v>
      </c>
      <c r="AA158" s="20">
        <f t="shared" si="177"/>
        <v>0</v>
      </c>
      <c r="AB158" s="20">
        <f t="shared" si="177"/>
        <v>0</v>
      </c>
      <c r="AC158" s="20">
        <f t="shared" si="177"/>
        <v>0</v>
      </c>
      <c r="AD158" s="20">
        <f t="shared" si="178"/>
        <v>0</v>
      </c>
      <c r="AE158" s="20">
        <f t="shared" si="179"/>
        <v>0</v>
      </c>
      <c r="AF158" s="20">
        <f t="shared" si="179"/>
        <v>0</v>
      </c>
      <c r="AG158" s="20">
        <f t="shared" si="179"/>
        <v>0</v>
      </c>
      <c r="AH158" s="20">
        <f t="shared" si="179"/>
        <v>0</v>
      </c>
      <c r="AI158" s="20">
        <f t="shared" si="180"/>
        <v>0</v>
      </c>
      <c r="AJ158" s="20">
        <f t="shared" si="180"/>
        <v>0</v>
      </c>
      <c r="AK158" s="20">
        <f t="shared" si="180"/>
        <v>0</v>
      </c>
      <c r="AL158" s="20">
        <f t="shared" si="180"/>
        <v>0</v>
      </c>
      <c r="AM158" s="20">
        <f t="shared" si="181"/>
        <v>0</v>
      </c>
      <c r="AO158">
        <f t="shared" si="182"/>
        <v>0</v>
      </c>
      <c r="AP158">
        <f t="shared" si="182"/>
        <v>0</v>
      </c>
      <c r="AQ158">
        <f t="shared" si="182"/>
        <v>0</v>
      </c>
      <c r="AR158">
        <f t="shared" si="182"/>
        <v>0</v>
      </c>
      <c r="AS158" s="319">
        <f t="shared" si="183"/>
        <v>0</v>
      </c>
      <c r="AU158">
        <f t="shared" si="184"/>
        <v>0</v>
      </c>
      <c r="AV158">
        <f t="shared" si="184"/>
        <v>0</v>
      </c>
      <c r="AW158">
        <f t="shared" si="184"/>
        <v>0</v>
      </c>
      <c r="AX158">
        <f t="shared" si="184"/>
        <v>0</v>
      </c>
      <c r="AY158">
        <f t="shared" si="185"/>
        <v>0</v>
      </c>
    </row>
    <row r="159" spans="1:53" ht="15" x14ac:dyDescent="0.25">
      <c r="A159" s="1"/>
      <c r="B159" s="2"/>
      <c r="C159" s="1" t="s">
        <v>11</v>
      </c>
      <c r="D159">
        <v>0</v>
      </c>
      <c r="E159" s="360"/>
      <c r="F159">
        <v>0</v>
      </c>
      <c r="G159">
        <v>0</v>
      </c>
      <c r="H159">
        <v>0</v>
      </c>
      <c r="J159">
        <v>0</v>
      </c>
      <c r="K159" s="14">
        <v>0</v>
      </c>
      <c r="L159">
        <v>0</v>
      </c>
      <c r="M159">
        <v>0</v>
      </c>
      <c r="N159">
        <v>0</v>
      </c>
      <c r="O159" s="20"/>
      <c r="P159" s="20"/>
      <c r="Q159" s="438"/>
      <c r="R159" s="197"/>
      <c r="S159" s="197"/>
      <c r="T159" s="197"/>
      <c r="U159" s="197"/>
      <c r="V159" s="20">
        <f t="shared" si="176"/>
        <v>0</v>
      </c>
      <c r="W159" s="20">
        <f t="shared" si="176"/>
        <v>0</v>
      </c>
      <c r="X159" s="20">
        <f t="shared" si="176"/>
        <v>0</v>
      </c>
      <c r="Y159" s="20">
        <f t="shared" si="176"/>
        <v>0</v>
      </c>
      <c r="Z159" s="20">
        <f t="shared" si="177"/>
        <v>0</v>
      </c>
      <c r="AA159" s="20">
        <f t="shared" si="177"/>
        <v>0</v>
      </c>
      <c r="AB159" s="20">
        <f t="shared" si="177"/>
        <v>0</v>
      </c>
      <c r="AC159" s="20">
        <f t="shared" si="177"/>
        <v>0</v>
      </c>
      <c r="AD159" s="20">
        <f t="shared" si="178"/>
        <v>0</v>
      </c>
      <c r="AE159" s="20">
        <f t="shared" si="179"/>
        <v>0</v>
      </c>
      <c r="AF159" s="20">
        <f t="shared" si="179"/>
        <v>0</v>
      </c>
      <c r="AG159" s="20">
        <f t="shared" si="179"/>
        <v>0</v>
      </c>
      <c r="AH159" s="20">
        <f t="shared" si="179"/>
        <v>0</v>
      </c>
      <c r="AI159" s="20">
        <f t="shared" si="180"/>
        <v>0</v>
      </c>
      <c r="AJ159" s="20">
        <f t="shared" si="180"/>
        <v>0</v>
      </c>
      <c r="AK159" s="20">
        <f t="shared" si="180"/>
        <v>0</v>
      </c>
      <c r="AL159" s="20">
        <f t="shared" si="180"/>
        <v>0</v>
      </c>
      <c r="AM159" s="20">
        <f t="shared" si="181"/>
        <v>0</v>
      </c>
      <c r="AO159">
        <f t="shared" si="182"/>
        <v>0</v>
      </c>
      <c r="AP159">
        <f t="shared" si="182"/>
        <v>0</v>
      </c>
      <c r="AQ159">
        <f t="shared" si="182"/>
        <v>0</v>
      </c>
      <c r="AR159">
        <f t="shared" si="182"/>
        <v>0</v>
      </c>
      <c r="AS159" s="319">
        <f t="shared" si="183"/>
        <v>0</v>
      </c>
      <c r="AU159">
        <f t="shared" si="184"/>
        <v>0</v>
      </c>
      <c r="AV159">
        <f t="shared" si="184"/>
        <v>0</v>
      </c>
      <c r="AW159">
        <f t="shared" si="184"/>
        <v>0</v>
      </c>
      <c r="AX159">
        <f t="shared" si="184"/>
        <v>0</v>
      </c>
      <c r="AY159">
        <f t="shared" si="185"/>
        <v>0</v>
      </c>
    </row>
    <row r="160" spans="1:53" ht="15" x14ac:dyDescent="0.25">
      <c r="A160" s="1"/>
      <c r="B160" s="2"/>
      <c r="C160" s="1" t="s">
        <v>12</v>
      </c>
      <c r="D160">
        <v>0</v>
      </c>
      <c r="E160" s="360"/>
      <c r="F160">
        <v>0</v>
      </c>
      <c r="G160">
        <v>0</v>
      </c>
      <c r="H160">
        <v>0</v>
      </c>
      <c r="J160">
        <v>0</v>
      </c>
      <c r="K160" s="14">
        <v>0</v>
      </c>
      <c r="L160">
        <v>0</v>
      </c>
      <c r="M160">
        <v>0</v>
      </c>
      <c r="N160">
        <v>0</v>
      </c>
      <c r="O160" s="20"/>
      <c r="P160" s="20"/>
      <c r="Q160" s="438"/>
      <c r="R160" s="197"/>
      <c r="S160" s="197"/>
      <c r="T160" s="197"/>
      <c r="U160" s="197"/>
      <c r="V160" s="20">
        <f t="shared" si="176"/>
        <v>0</v>
      </c>
      <c r="W160" s="20">
        <f t="shared" si="176"/>
        <v>0</v>
      </c>
      <c r="X160" s="20">
        <f t="shared" si="176"/>
        <v>0</v>
      </c>
      <c r="Y160" s="20">
        <f t="shared" si="176"/>
        <v>0</v>
      </c>
      <c r="Z160" s="20">
        <f t="shared" si="177"/>
        <v>0</v>
      </c>
      <c r="AA160" s="20">
        <f t="shared" si="177"/>
        <v>0</v>
      </c>
      <c r="AB160" s="20">
        <f t="shared" si="177"/>
        <v>0</v>
      </c>
      <c r="AC160" s="20">
        <f t="shared" si="177"/>
        <v>0</v>
      </c>
      <c r="AD160" s="20">
        <f t="shared" si="178"/>
        <v>0</v>
      </c>
      <c r="AE160" s="20">
        <f t="shared" si="179"/>
        <v>0</v>
      </c>
      <c r="AF160" s="20">
        <f t="shared" si="179"/>
        <v>0</v>
      </c>
      <c r="AG160" s="20">
        <f t="shared" si="179"/>
        <v>0</v>
      </c>
      <c r="AH160" s="20">
        <f t="shared" si="179"/>
        <v>0</v>
      </c>
      <c r="AI160" s="20">
        <f t="shared" si="180"/>
        <v>0</v>
      </c>
      <c r="AJ160" s="20">
        <f t="shared" si="180"/>
        <v>0</v>
      </c>
      <c r="AK160" s="20">
        <f t="shared" si="180"/>
        <v>0</v>
      </c>
      <c r="AL160" s="20">
        <f t="shared" si="180"/>
        <v>0</v>
      </c>
      <c r="AM160" s="20">
        <f t="shared" si="181"/>
        <v>0</v>
      </c>
      <c r="AO160">
        <f t="shared" si="182"/>
        <v>0</v>
      </c>
      <c r="AP160">
        <f t="shared" si="182"/>
        <v>0</v>
      </c>
      <c r="AQ160">
        <f t="shared" si="182"/>
        <v>0</v>
      </c>
      <c r="AR160">
        <f t="shared" si="182"/>
        <v>0</v>
      </c>
      <c r="AS160" s="319">
        <f t="shared" si="183"/>
        <v>0</v>
      </c>
      <c r="AU160">
        <f t="shared" si="184"/>
        <v>0</v>
      </c>
      <c r="AV160">
        <f t="shared" si="184"/>
        <v>0</v>
      </c>
      <c r="AW160">
        <f t="shared" si="184"/>
        <v>0</v>
      </c>
      <c r="AX160">
        <f t="shared" si="184"/>
        <v>0</v>
      </c>
      <c r="AY160">
        <f t="shared" si="185"/>
        <v>0</v>
      </c>
    </row>
    <row r="161" spans="1:53" ht="15" x14ac:dyDescent="0.25">
      <c r="A161" s="1"/>
      <c r="B161" s="2"/>
      <c r="C161" s="1" t="s">
        <v>13</v>
      </c>
      <c r="D161">
        <v>0</v>
      </c>
      <c r="E161" s="360"/>
      <c r="F161">
        <v>0</v>
      </c>
      <c r="G161">
        <v>0</v>
      </c>
      <c r="H161">
        <v>0</v>
      </c>
      <c r="J161">
        <v>0</v>
      </c>
      <c r="K161" s="14">
        <v>0</v>
      </c>
      <c r="L161">
        <v>0</v>
      </c>
      <c r="M161">
        <v>0</v>
      </c>
      <c r="N161">
        <v>0</v>
      </c>
      <c r="O161" s="20"/>
      <c r="P161" s="20"/>
      <c r="Q161" s="438"/>
      <c r="R161" s="197"/>
      <c r="S161" s="197"/>
      <c r="T161" s="197"/>
      <c r="U161" s="197"/>
      <c r="V161" s="20">
        <f t="shared" si="176"/>
        <v>0</v>
      </c>
      <c r="W161" s="20">
        <f t="shared" si="176"/>
        <v>0</v>
      </c>
      <c r="X161" s="20">
        <f t="shared" si="176"/>
        <v>0</v>
      </c>
      <c r="Y161" s="20">
        <f t="shared" si="176"/>
        <v>0</v>
      </c>
      <c r="Z161" s="20">
        <f t="shared" si="177"/>
        <v>0</v>
      </c>
      <c r="AA161" s="20">
        <f t="shared" si="177"/>
        <v>0</v>
      </c>
      <c r="AB161" s="20">
        <f t="shared" si="177"/>
        <v>0</v>
      </c>
      <c r="AC161" s="20">
        <f t="shared" si="177"/>
        <v>0</v>
      </c>
      <c r="AD161" s="20">
        <f t="shared" si="178"/>
        <v>0</v>
      </c>
      <c r="AE161" s="20">
        <f t="shared" si="179"/>
        <v>0</v>
      </c>
      <c r="AF161" s="20">
        <f t="shared" si="179"/>
        <v>0</v>
      </c>
      <c r="AG161" s="20">
        <f t="shared" si="179"/>
        <v>0</v>
      </c>
      <c r="AH161" s="20">
        <f t="shared" si="179"/>
        <v>0</v>
      </c>
      <c r="AI161" s="20">
        <f t="shared" si="180"/>
        <v>0</v>
      </c>
      <c r="AJ161" s="20">
        <f t="shared" si="180"/>
        <v>0</v>
      </c>
      <c r="AK161" s="20">
        <f t="shared" si="180"/>
        <v>0</v>
      </c>
      <c r="AL161" s="20">
        <f t="shared" si="180"/>
        <v>0</v>
      </c>
      <c r="AM161" s="20">
        <f t="shared" si="181"/>
        <v>0</v>
      </c>
      <c r="AO161">
        <f t="shared" si="182"/>
        <v>0</v>
      </c>
      <c r="AP161">
        <f t="shared" si="182"/>
        <v>0</v>
      </c>
      <c r="AQ161">
        <f t="shared" si="182"/>
        <v>0</v>
      </c>
      <c r="AR161">
        <f t="shared" si="182"/>
        <v>0</v>
      </c>
      <c r="AS161" s="319">
        <f t="shared" si="183"/>
        <v>0</v>
      </c>
      <c r="AU161">
        <f t="shared" si="184"/>
        <v>0</v>
      </c>
      <c r="AV161">
        <f t="shared" si="184"/>
        <v>0</v>
      </c>
      <c r="AW161">
        <f t="shared" si="184"/>
        <v>0</v>
      </c>
      <c r="AX161">
        <f t="shared" si="184"/>
        <v>0</v>
      </c>
      <c r="AY161">
        <f t="shared" si="185"/>
        <v>0</v>
      </c>
    </row>
    <row r="162" spans="1:53" ht="15" x14ac:dyDescent="0.25">
      <c r="A162" s="7"/>
      <c r="B162" s="8" t="s">
        <v>14</v>
      </c>
      <c r="C162" s="7"/>
      <c r="D162" s="357">
        <f t="shared" ref="D162:H162" si="186">SUM(D156:D161)</f>
        <v>0</v>
      </c>
      <c r="E162" s="363">
        <f>SUM(E156:E161)</f>
        <v>0</v>
      </c>
      <c r="F162" s="357">
        <f t="shared" si="186"/>
        <v>0</v>
      </c>
      <c r="G162" s="357">
        <f t="shared" si="186"/>
        <v>0</v>
      </c>
      <c r="H162" s="357">
        <f t="shared" si="186"/>
        <v>0</v>
      </c>
      <c r="J162">
        <v>0</v>
      </c>
      <c r="K162" s="14">
        <v>0</v>
      </c>
      <c r="L162">
        <v>0</v>
      </c>
      <c r="M162">
        <v>0</v>
      </c>
      <c r="N162">
        <v>0</v>
      </c>
      <c r="O162" s="20"/>
      <c r="P162" s="20"/>
      <c r="Q162" s="438"/>
      <c r="R162" s="197"/>
      <c r="S162" s="197"/>
      <c r="T162" s="197"/>
      <c r="U162" s="197"/>
      <c r="AS162" s="319"/>
      <c r="BA162" s="319">
        <f>(E162*10000*Q162*AU$10)</f>
        <v>0</v>
      </c>
    </row>
    <row r="163" spans="1:53" ht="15" x14ac:dyDescent="0.25">
      <c r="A163" s="10"/>
      <c r="B163" s="9" t="s">
        <v>15</v>
      </c>
      <c r="C163" s="5"/>
      <c r="E163" s="363">
        <f>SUM(E162)</f>
        <v>0</v>
      </c>
      <c r="H163" s="358">
        <f>SUM(D162:H162)</f>
        <v>0</v>
      </c>
      <c r="K163" s="14"/>
      <c r="N163">
        <v>0</v>
      </c>
      <c r="O163" s="20"/>
      <c r="P163" s="20"/>
      <c r="Q163" s="438"/>
      <c r="R163" s="197"/>
      <c r="S163" s="197"/>
      <c r="T163" s="197"/>
      <c r="U163" s="197"/>
      <c r="AS163" s="319"/>
    </row>
    <row r="164" spans="1:53" ht="15.75" x14ac:dyDescent="0.25">
      <c r="A164" s="1"/>
      <c r="B164" s="2"/>
      <c r="C164" s="1"/>
      <c r="E164" s="361"/>
      <c r="K164" s="14"/>
      <c r="O164" s="20"/>
      <c r="P164" s="20"/>
      <c r="Q164" s="439"/>
      <c r="R164" s="197"/>
      <c r="S164" s="197"/>
      <c r="T164" s="197"/>
      <c r="U164" s="197"/>
      <c r="AS164" s="319"/>
    </row>
    <row r="165" spans="1:53" ht="15" x14ac:dyDescent="0.25">
      <c r="A165" s="1">
        <v>18</v>
      </c>
      <c r="B165" s="2" t="s">
        <v>709</v>
      </c>
      <c r="C165" s="1" t="s">
        <v>8</v>
      </c>
      <c r="D165">
        <v>0</v>
      </c>
      <c r="E165" s="360"/>
      <c r="F165">
        <v>0</v>
      </c>
      <c r="G165">
        <v>0</v>
      </c>
      <c r="H165">
        <v>0</v>
      </c>
      <c r="J165">
        <v>0</v>
      </c>
      <c r="K165" s="14">
        <v>0</v>
      </c>
      <c r="L165">
        <v>0</v>
      </c>
      <c r="M165">
        <v>0</v>
      </c>
      <c r="N165">
        <v>0</v>
      </c>
      <c r="O165" s="20"/>
      <c r="P165" s="20"/>
      <c r="Q165" s="438"/>
      <c r="R165" s="197">
        <v>0.66599999999999993</v>
      </c>
      <c r="S165" s="197">
        <v>4.5549999999999997</v>
      </c>
      <c r="T165" s="197">
        <v>0.60039794540960334</v>
      </c>
      <c r="U165" s="197">
        <v>0.90789473684210531</v>
      </c>
      <c r="V165" s="20">
        <f t="shared" ref="V165:Y170" si="187">IF(K165&gt;0,((E165-K165)*$Q165*$R165*10)+(K165*$O$12*$Q165*$R165*10),(E165*$Q165*$R165*10))</f>
        <v>0</v>
      </c>
      <c r="W165" s="20">
        <f t="shared" si="187"/>
        <v>0</v>
      </c>
      <c r="X165" s="20">
        <f t="shared" si="187"/>
        <v>0</v>
      </c>
      <c r="Y165" s="20">
        <f t="shared" si="187"/>
        <v>0</v>
      </c>
      <c r="Z165" s="20">
        <f t="shared" ref="Z165:AC170" si="188">V165*(EXP(1.01-0.34*LN(Z$8))*(1-$T165)+(1*$T165))</f>
        <v>0</v>
      </c>
      <c r="AA165" s="20">
        <f t="shared" si="188"/>
        <v>0</v>
      </c>
      <c r="AB165" s="20">
        <f t="shared" si="188"/>
        <v>0</v>
      </c>
      <c r="AC165" s="20">
        <f t="shared" si="188"/>
        <v>0</v>
      </c>
      <c r="AD165" s="20">
        <f t="shared" ref="AD165:AD170" si="189">SUM(Z165:AC165)</f>
        <v>0</v>
      </c>
      <c r="AE165" s="20">
        <f t="shared" ref="AE165:AH170" si="190">IF(K165&gt;0,((E165-K165)*$Q165*$S165*10)+(K165*$P$12*$Q165*$S165)*10,(E165*$Q165*$S165*10))</f>
        <v>0</v>
      </c>
      <c r="AF165" s="20">
        <f t="shared" si="190"/>
        <v>0</v>
      </c>
      <c r="AG165" s="20">
        <f t="shared" si="190"/>
        <v>0</v>
      </c>
      <c r="AH165" s="20">
        <f t="shared" si="190"/>
        <v>0</v>
      </c>
      <c r="AI165" s="20">
        <f t="shared" ref="AI165:AL170" si="191">AE165*(EXP(1.01-0.34*LN(AI$8))*(1-$U165)+(1*$U165))</f>
        <v>0</v>
      </c>
      <c r="AJ165" s="20">
        <f t="shared" si="191"/>
        <v>0</v>
      </c>
      <c r="AK165" s="20">
        <f t="shared" si="191"/>
        <v>0</v>
      </c>
      <c r="AL165" s="20">
        <f t="shared" si="191"/>
        <v>0</v>
      </c>
      <c r="AM165" s="20">
        <f t="shared" ref="AM165:AM170" si="192">SUM(AI165:AL165)</f>
        <v>0</v>
      </c>
      <c r="AO165">
        <f t="shared" ref="AO165:AR170" si="193">Z165*AO$10</f>
        <v>0</v>
      </c>
      <c r="AP165">
        <f t="shared" si="193"/>
        <v>0</v>
      </c>
      <c r="AQ165">
        <f t="shared" si="193"/>
        <v>0</v>
      </c>
      <c r="AR165">
        <f t="shared" si="193"/>
        <v>0</v>
      </c>
      <c r="AS165" s="319">
        <f t="shared" ref="AS165:AS170" si="194">SUM(AO165:AR165)</f>
        <v>0</v>
      </c>
      <c r="AU165">
        <f t="shared" ref="AU165:AX170" si="195">AI165*AU$10</f>
        <v>0</v>
      </c>
      <c r="AV165">
        <f t="shared" si="195"/>
        <v>0</v>
      </c>
      <c r="AW165">
        <f t="shared" si="195"/>
        <v>0</v>
      </c>
      <c r="AX165">
        <f t="shared" si="195"/>
        <v>0</v>
      </c>
      <c r="AY165">
        <f t="shared" ref="AY165:AY170" si="196">SUM(AU165:AX165)</f>
        <v>0</v>
      </c>
    </row>
    <row r="166" spans="1:53" ht="15" x14ac:dyDescent="0.25">
      <c r="A166" s="1"/>
      <c r="B166" s="2"/>
      <c r="C166" s="1" t="s">
        <v>9</v>
      </c>
      <c r="D166">
        <v>0</v>
      </c>
      <c r="E166" s="360"/>
      <c r="F166">
        <v>0</v>
      </c>
      <c r="G166">
        <v>0</v>
      </c>
      <c r="H166">
        <v>0</v>
      </c>
      <c r="J166">
        <v>0</v>
      </c>
      <c r="K166" s="14">
        <v>0</v>
      </c>
      <c r="L166">
        <v>0</v>
      </c>
      <c r="M166">
        <v>0</v>
      </c>
      <c r="N166">
        <v>0</v>
      </c>
      <c r="O166" s="20"/>
      <c r="P166" s="20"/>
      <c r="Q166" s="438"/>
      <c r="R166" s="197">
        <v>0.66599999999999993</v>
      </c>
      <c r="S166" s="197">
        <v>4.5549999999999997</v>
      </c>
      <c r="T166" s="197">
        <v>0.60039794540960334</v>
      </c>
      <c r="U166" s="197">
        <v>0.90789473684210531</v>
      </c>
      <c r="V166" s="20">
        <f t="shared" si="187"/>
        <v>0</v>
      </c>
      <c r="W166" s="20">
        <f t="shared" si="187"/>
        <v>0</v>
      </c>
      <c r="X166" s="20">
        <f t="shared" si="187"/>
        <v>0</v>
      </c>
      <c r="Y166" s="20">
        <f t="shared" si="187"/>
        <v>0</v>
      </c>
      <c r="Z166" s="20">
        <f t="shared" si="188"/>
        <v>0</v>
      </c>
      <c r="AA166" s="20">
        <f t="shared" si="188"/>
        <v>0</v>
      </c>
      <c r="AB166" s="20">
        <f t="shared" si="188"/>
        <v>0</v>
      </c>
      <c r="AC166" s="20">
        <f t="shared" si="188"/>
        <v>0</v>
      </c>
      <c r="AD166" s="20">
        <f t="shared" si="189"/>
        <v>0</v>
      </c>
      <c r="AE166" s="20">
        <f t="shared" si="190"/>
        <v>0</v>
      </c>
      <c r="AF166" s="20">
        <f t="shared" si="190"/>
        <v>0</v>
      </c>
      <c r="AG166" s="20">
        <f t="shared" si="190"/>
        <v>0</v>
      </c>
      <c r="AH166" s="20">
        <f t="shared" si="190"/>
        <v>0</v>
      </c>
      <c r="AI166" s="20">
        <f t="shared" si="191"/>
        <v>0</v>
      </c>
      <c r="AJ166" s="20">
        <f t="shared" si="191"/>
        <v>0</v>
      </c>
      <c r="AK166" s="20">
        <f t="shared" si="191"/>
        <v>0</v>
      </c>
      <c r="AL166" s="20">
        <f t="shared" si="191"/>
        <v>0</v>
      </c>
      <c r="AM166" s="20">
        <f t="shared" si="192"/>
        <v>0</v>
      </c>
      <c r="AO166">
        <f t="shared" si="193"/>
        <v>0</v>
      </c>
      <c r="AP166">
        <f t="shared" si="193"/>
        <v>0</v>
      </c>
      <c r="AQ166">
        <f t="shared" si="193"/>
        <v>0</v>
      </c>
      <c r="AR166">
        <f t="shared" si="193"/>
        <v>0</v>
      </c>
      <c r="AS166" s="319">
        <f t="shared" si="194"/>
        <v>0</v>
      </c>
      <c r="AU166">
        <f t="shared" si="195"/>
        <v>0</v>
      </c>
      <c r="AV166">
        <f t="shared" si="195"/>
        <v>0</v>
      </c>
      <c r="AW166">
        <f t="shared" si="195"/>
        <v>0</v>
      </c>
      <c r="AX166">
        <f t="shared" si="195"/>
        <v>0</v>
      </c>
      <c r="AY166">
        <f t="shared" si="196"/>
        <v>0</v>
      </c>
    </row>
    <row r="167" spans="1:53" ht="15" x14ac:dyDescent="0.25">
      <c r="A167" s="1"/>
      <c r="B167" s="2"/>
      <c r="C167" s="1" t="s">
        <v>10</v>
      </c>
      <c r="D167">
        <v>0</v>
      </c>
      <c r="E167" s="360"/>
      <c r="F167">
        <v>0</v>
      </c>
      <c r="G167">
        <v>0</v>
      </c>
      <c r="H167">
        <v>0</v>
      </c>
      <c r="J167">
        <v>0</v>
      </c>
      <c r="K167" s="14">
        <v>0</v>
      </c>
      <c r="L167">
        <v>0</v>
      </c>
      <c r="M167">
        <v>0</v>
      </c>
      <c r="N167">
        <v>0</v>
      </c>
      <c r="O167" s="20"/>
      <c r="P167" s="20"/>
      <c r="Q167" s="438"/>
      <c r="R167" s="197">
        <v>0.66599999999999993</v>
      </c>
      <c r="S167" s="197">
        <v>4.5549999999999997</v>
      </c>
      <c r="T167" s="197">
        <v>0.60039794540960334</v>
      </c>
      <c r="U167" s="197">
        <v>0.90789473684210531</v>
      </c>
      <c r="V167" s="20">
        <f t="shared" si="187"/>
        <v>0</v>
      </c>
      <c r="W167" s="20">
        <f t="shared" si="187"/>
        <v>0</v>
      </c>
      <c r="X167" s="20">
        <f t="shared" si="187"/>
        <v>0</v>
      </c>
      <c r="Y167" s="20">
        <f t="shared" si="187"/>
        <v>0</v>
      </c>
      <c r="Z167" s="20">
        <f t="shared" si="188"/>
        <v>0</v>
      </c>
      <c r="AA167" s="20">
        <f t="shared" si="188"/>
        <v>0</v>
      </c>
      <c r="AB167" s="20">
        <f t="shared" si="188"/>
        <v>0</v>
      </c>
      <c r="AC167" s="20">
        <f t="shared" si="188"/>
        <v>0</v>
      </c>
      <c r="AD167" s="20">
        <f t="shared" si="189"/>
        <v>0</v>
      </c>
      <c r="AE167" s="20">
        <f t="shared" si="190"/>
        <v>0</v>
      </c>
      <c r="AF167" s="20">
        <f t="shared" si="190"/>
        <v>0</v>
      </c>
      <c r="AG167" s="20">
        <f t="shared" si="190"/>
        <v>0</v>
      </c>
      <c r="AH167" s="20">
        <f t="shared" si="190"/>
        <v>0</v>
      </c>
      <c r="AI167" s="20">
        <f t="shared" si="191"/>
        <v>0</v>
      </c>
      <c r="AJ167" s="20">
        <f t="shared" si="191"/>
        <v>0</v>
      </c>
      <c r="AK167" s="20">
        <f t="shared" si="191"/>
        <v>0</v>
      </c>
      <c r="AL167" s="20">
        <f t="shared" si="191"/>
        <v>0</v>
      </c>
      <c r="AM167" s="20">
        <f t="shared" si="192"/>
        <v>0</v>
      </c>
      <c r="AO167">
        <f t="shared" si="193"/>
        <v>0</v>
      </c>
      <c r="AP167">
        <f t="shared" si="193"/>
        <v>0</v>
      </c>
      <c r="AQ167">
        <f t="shared" si="193"/>
        <v>0</v>
      </c>
      <c r="AR167">
        <f t="shared" si="193"/>
        <v>0</v>
      </c>
      <c r="AS167" s="319">
        <f t="shared" si="194"/>
        <v>0</v>
      </c>
      <c r="AU167">
        <f t="shared" si="195"/>
        <v>0</v>
      </c>
      <c r="AV167">
        <f t="shared" si="195"/>
        <v>0</v>
      </c>
      <c r="AW167">
        <f t="shared" si="195"/>
        <v>0</v>
      </c>
      <c r="AX167">
        <f t="shared" si="195"/>
        <v>0</v>
      </c>
      <c r="AY167">
        <f t="shared" si="196"/>
        <v>0</v>
      </c>
    </row>
    <row r="168" spans="1:53" ht="15" x14ac:dyDescent="0.25">
      <c r="A168" s="1"/>
      <c r="B168" s="2"/>
      <c r="C168" s="1" t="s">
        <v>11</v>
      </c>
      <c r="D168">
        <v>0</v>
      </c>
      <c r="E168" s="360">
        <v>137.8776</v>
      </c>
      <c r="F168">
        <v>0</v>
      </c>
      <c r="G168">
        <v>0</v>
      </c>
      <c r="H168">
        <v>0</v>
      </c>
      <c r="J168">
        <v>0</v>
      </c>
      <c r="K168" s="14">
        <v>6.583568409723739E-5</v>
      </c>
      <c r="L168">
        <v>0</v>
      </c>
      <c r="M168">
        <v>0</v>
      </c>
      <c r="N168">
        <v>0</v>
      </c>
      <c r="O168" s="20"/>
      <c r="P168" s="20"/>
      <c r="Q168" s="438">
        <v>0.1724298376048152</v>
      </c>
      <c r="R168" s="197">
        <v>0.66599999999999993</v>
      </c>
      <c r="S168" s="197">
        <v>4.5549999999999997</v>
      </c>
      <c r="T168" s="197">
        <v>0.60039794540960334</v>
      </c>
      <c r="U168" s="197">
        <v>0.90789473684210531</v>
      </c>
      <c r="V168" s="20">
        <f t="shared" si="187"/>
        <v>158.33620530026587</v>
      </c>
      <c r="W168" s="20">
        <f t="shared" si="187"/>
        <v>0</v>
      </c>
      <c r="X168" s="20">
        <f t="shared" si="187"/>
        <v>0</v>
      </c>
      <c r="Y168" s="20">
        <f t="shared" si="187"/>
        <v>0</v>
      </c>
      <c r="Z168" s="20">
        <f t="shared" si="188"/>
        <v>106.61195073207979</v>
      </c>
      <c r="AA168" s="20">
        <f t="shared" si="188"/>
        <v>0</v>
      </c>
      <c r="AB168" s="20">
        <f t="shared" si="188"/>
        <v>0</v>
      </c>
      <c r="AC168" s="20">
        <f t="shared" si="188"/>
        <v>0</v>
      </c>
      <c r="AD168" s="20">
        <f t="shared" si="189"/>
        <v>106.61195073207979</v>
      </c>
      <c r="AE168" s="20">
        <f t="shared" si="190"/>
        <v>1082.9151470523443</v>
      </c>
      <c r="AF168" s="20">
        <f t="shared" si="190"/>
        <v>0</v>
      </c>
      <c r="AG168" s="20">
        <f t="shared" si="190"/>
        <v>0</v>
      </c>
      <c r="AH168" s="20">
        <f t="shared" si="190"/>
        <v>0</v>
      </c>
      <c r="AI168" s="20">
        <f t="shared" si="191"/>
        <v>1001.3761863420962</v>
      </c>
      <c r="AJ168" s="20">
        <f t="shared" si="191"/>
        <v>0</v>
      </c>
      <c r="AK168" s="20">
        <f t="shared" si="191"/>
        <v>0</v>
      </c>
      <c r="AL168" s="20">
        <f t="shared" si="191"/>
        <v>0</v>
      </c>
      <c r="AM168" s="20">
        <f t="shared" si="192"/>
        <v>1001.3761863420962</v>
      </c>
      <c r="AO168">
        <f t="shared" si="193"/>
        <v>139.57636589843887</v>
      </c>
      <c r="AP168">
        <f t="shared" si="193"/>
        <v>0</v>
      </c>
      <c r="AQ168">
        <f t="shared" si="193"/>
        <v>0</v>
      </c>
      <c r="AR168">
        <f t="shared" si="193"/>
        <v>0</v>
      </c>
      <c r="AS168" s="319">
        <f t="shared" si="194"/>
        <v>139.57636589843887</v>
      </c>
      <c r="AU168">
        <f t="shared" si="195"/>
        <v>1311.0017031590721</v>
      </c>
      <c r="AV168">
        <f t="shared" si="195"/>
        <v>0</v>
      </c>
      <c r="AW168">
        <f t="shared" si="195"/>
        <v>0</v>
      </c>
      <c r="AX168">
        <f t="shared" si="195"/>
        <v>0</v>
      </c>
      <c r="AY168">
        <f t="shared" si="196"/>
        <v>1311.0017031590721</v>
      </c>
    </row>
    <row r="169" spans="1:53" ht="15" x14ac:dyDescent="0.25">
      <c r="A169" s="1"/>
      <c r="B169" s="2"/>
      <c r="C169" s="1" t="s">
        <v>12</v>
      </c>
      <c r="D169">
        <v>0</v>
      </c>
      <c r="E169" s="360"/>
      <c r="F169">
        <v>0</v>
      </c>
      <c r="G169">
        <v>0</v>
      </c>
      <c r="H169">
        <v>0</v>
      </c>
      <c r="J169">
        <v>0</v>
      </c>
      <c r="K169" s="14">
        <v>0</v>
      </c>
      <c r="L169">
        <v>0</v>
      </c>
      <c r="M169">
        <v>0</v>
      </c>
      <c r="N169">
        <v>0</v>
      </c>
      <c r="O169" s="20"/>
      <c r="P169" s="20"/>
      <c r="Q169" s="438"/>
      <c r="R169" s="197">
        <v>0.66599999999999993</v>
      </c>
      <c r="S169" s="197">
        <v>4.5549999999999997</v>
      </c>
      <c r="T169" s="197">
        <v>0.60039794540960334</v>
      </c>
      <c r="U169" s="197">
        <v>0.90789473684210531</v>
      </c>
      <c r="V169" s="20">
        <f t="shared" si="187"/>
        <v>0</v>
      </c>
      <c r="W169" s="20">
        <f t="shared" si="187"/>
        <v>0</v>
      </c>
      <c r="X169" s="20">
        <f t="shared" si="187"/>
        <v>0</v>
      </c>
      <c r="Y169" s="20">
        <f t="shared" si="187"/>
        <v>0</v>
      </c>
      <c r="Z169" s="20">
        <f t="shared" si="188"/>
        <v>0</v>
      </c>
      <c r="AA169" s="20">
        <f t="shared" si="188"/>
        <v>0</v>
      </c>
      <c r="AB169" s="20">
        <f t="shared" si="188"/>
        <v>0</v>
      </c>
      <c r="AC169" s="20">
        <f t="shared" si="188"/>
        <v>0</v>
      </c>
      <c r="AD169" s="20">
        <f t="shared" si="189"/>
        <v>0</v>
      </c>
      <c r="AE169" s="20">
        <f t="shared" si="190"/>
        <v>0</v>
      </c>
      <c r="AF169" s="20">
        <f t="shared" si="190"/>
        <v>0</v>
      </c>
      <c r="AG169" s="20">
        <f t="shared" si="190"/>
        <v>0</v>
      </c>
      <c r="AH169" s="20">
        <f t="shared" si="190"/>
        <v>0</v>
      </c>
      <c r="AI169" s="20">
        <f t="shared" si="191"/>
        <v>0</v>
      </c>
      <c r="AJ169" s="20">
        <f t="shared" si="191"/>
        <v>0</v>
      </c>
      <c r="AK169" s="20">
        <f t="shared" si="191"/>
        <v>0</v>
      </c>
      <c r="AL169" s="20">
        <f t="shared" si="191"/>
        <v>0</v>
      </c>
      <c r="AM169" s="20">
        <f t="shared" si="192"/>
        <v>0</v>
      </c>
      <c r="AO169">
        <f t="shared" si="193"/>
        <v>0</v>
      </c>
      <c r="AP169">
        <f t="shared" si="193"/>
        <v>0</v>
      </c>
      <c r="AQ169">
        <f t="shared" si="193"/>
        <v>0</v>
      </c>
      <c r="AR169">
        <f t="shared" si="193"/>
        <v>0</v>
      </c>
      <c r="AS169" s="319">
        <f t="shared" si="194"/>
        <v>0</v>
      </c>
      <c r="AU169">
        <f t="shared" si="195"/>
        <v>0</v>
      </c>
      <c r="AV169">
        <f t="shared" si="195"/>
        <v>0</v>
      </c>
      <c r="AW169">
        <f t="shared" si="195"/>
        <v>0</v>
      </c>
      <c r="AX169">
        <f t="shared" si="195"/>
        <v>0</v>
      </c>
      <c r="AY169">
        <f t="shared" si="196"/>
        <v>0</v>
      </c>
    </row>
    <row r="170" spans="1:53" ht="15" x14ac:dyDescent="0.25">
      <c r="A170" s="1"/>
      <c r="B170" s="2"/>
      <c r="C170" s="1" t="s">
        <v>13</v>
      </c>
      <c r="D170">
        <v>0</v>
      </c>
      <c r="E170" s="360"/>
      <c r="F170">
        <v>0</v>
      </c>
      <c r="G170">
        <v>0</v>
      </c>
      <c r="H170">
        <v>0</v>
      </c>
      <c r="J170">
        <v>0</v>
      </c>
      <c r="K170" s="14">
        <v>0</v>
      </c>
      <c r="L170">
        <v>0</v>
      </c>
      <c r="M170">
        <v>0</v>
      </c>
      <c r="N170">
        <v>0</v>
      </c>
      <c r="O170" s="20"/>
      <c r="P170" s="20"/>
      <c r="Q170" s="438"/>
      <c r="R170" s="197">
        <v>0.66599999999999993</v>
      </c>
      <c r="S170" s="197">
        <v>4.5549999999999997</v>
      </c>
      <c r="T170" s="197">
        <v>0.60039794540960334</v>
      </c>
      <c r="U170" s="197">
        <v>0.90789473684210531</v>
      </c>
      <c r="V170" s="20">
        <f t="shared" si="187"/>
        <v>0</v>
      </c>
      <c r="W170" s="20">
        <f t="shared" si="187"/>
        <v>0</v>
      </c>
      <c r="X170" s="20">
        <f t="shared" si="187"/>
        <v>0</v>
      </c>
      <c r="Y170" s="20">
        <f t="shared" si="187"/>
        <v>0</v>
      </c>
      <c r="Z170" s="20">
        <f t="shared" si="188"/>
        <v>0</v>
      </c>
      <c r="AA170" s="20">
        <f t="shared" si="188"/>
        <v>0</v>
      </c>
      <c r="AB170" s="20">
        <f t="shared" si="188"/>
        <v>0</v>
      </c>
      <c r="AC170" s="20">
        <f t="shared" si="188"/>
        <v>0</v>
      </c>
      <c r="AD170" s="20">
        <f t="shared" si="189"/>
        <v>0</v>
      </c>
      <c r="AE170" s="20">
        <f t="shared" si="190"/>
        <v>0</v>
      </c>
      <c r="AF170" s="20">
        <f t="shared" si="190"/>
        <v>0</v>
      </c>
      <c r="AG170" s="20">
        <f t="shared" si="190"/>
        <v>0</v>
      </c>
      <c r="AH170" s="20">
        <f t="shared" si="190"/>
        <v>0</v>
      </c>
      <c r="AI170" s="20">
        <f t="shared" si="191"/>
        <v>0</v>
      </c>
      <c r="AJ170" s="20">
        <f t="shared" si="191"/>
        <v>0</v>
      </c>
      <c r="AK170" s="20">
        <f t="shared" si="191"/>
        <v>0</v>
      </c>
      <c r="AL170" s="20">
        <f t="shared" si="191"/>
        <v>0</v>
      </c>
      <c r="AM170" s="20">
        <f t="shared" si="192"/>
        <v>0</v>
      </c>
      <c r="AO170">
        <f t="shared" si="193"/>
        <v>0</v>
      </c>
      <c r="AP170">
        <f t="shared" si="193"/>
        <v>0</v>
      </c>
      <c r="AQ170">
        <f t="shared" si="193"/>
        <v>0</v>
      </c>
      <c r="AR170">
        <f t="shared" si="193"/>
        <v>0</v>
      </c>
      <c r="AS170" s="319">
        <f t="shared" si="194"/>
        <v>0</v>
      </c>
      <c r="AU170">
        <f t="shared" si="195"/>
        <v>0</v>
      </c>
      <c r="AV170">
        <f t="shared" si="195"/>
        <v>0</v>
      </c>
      <c r="AW170">
        <f t="shared" si="195"/>
        <v>0</v>
      </c>
      <c r="AX170">
        <f t="shared" si="195"/>
        <v>0</v>
      </c>
      <c r="AY170">
        <f t="shared" si="196"/>
        <v>0</v>
      </c>
    </row>
    <row r="171" spans="1:53" ht="15" x14ac:dyDescent="0.25">
      <c r="A171" s="7"/>
      <c r="B171" s="8" t="s">
        <v>14</v>
      </c>
      <c r="C171" s="7"/>
      <c r="D171" s="357">
        <f t="shared" ref="D171:H171" si="197">SUM(D165:D170)</f>
        <v>0</v>
      </c>
      <c r="E171" s="363">
        <f>SUM(E165:E170)</f>
        <v>137.8776</v>
      </c>
      <c r="F171" s="357">
        <f t="shared" si="197"/>
        <v>0</v>
      </c>
      <c r="G171" s="357">
        <f t="shared" si="197"/>
        <v>0</v>
      </c>
      <c r="H171" s="357">
        <f t="shared" si="197"/>
        <v>0</v>
      </c>
      <c r="J171">
        <v>0</v>
      </c>
      <c r="K171" s="14">
        <v>6.583568409723739E-5</v>
      </c>
      <c r="L171">
        <v>0</v>
      </c>
      <c r="M171">
        <v>0</v>
      </c>
      <c r="N171">
        <v>0</v>
      </c>
      <c r="O171" s="20"/>
      <c r="P171" s="20"/>
      <c r="Q171" s="438">
        <v>0.1724298376048152</v>
      </c>
      <c r="R171" s="20"/>
      <c r="S171" s="20"/>
      <c r="T171" s="20"/>
      <c r="U171" s="20"/>
      <c r="BA171" s="319">
        <f>(E171*10000*Q171*AU$10)</f>
        <v>311251.98582575709</v>
      </c>
    </row>
    <row r="172" spans="1:53" ht="15" x14ac:dyDescent="0.25">
      <c r="A172" s="1"/>
      <c r="B172" s="9" t="s">
        <v>15</v>
      </c>
      <c r="C172" s="5"/>
      <c r="E172" s="363">
        <f>SUM(E171)</f>
        <v>137.8776</v>
      </c>
      <c r="H172" s="358">
        <f>SUM(D171:H171)</f>
        <v>137.8776</v>
      </c>
      <c r="K172" s="14"/>
      <c r="N172">
        <v>0</v>
      </c>
      <c r="O172" s="20"/>
      <c r="P172" s="20"/>
      <c r="Q172" s="438"/>
      <c r="R172" s="20"/>
      <c r="S172" s="20"/>
      <c r="T172" s="20"/>
      <c r="U172" s="20"/>
    </row>
    <row r="173" spans="1:53" ht="15.75" x14ac:dyDescent="0.25">
      <c r="A173" s="1"/>
      <c r="B173" s="2"/>
      <c r="C173" s="1"/>
      <c r="E173" s="361"/>
      <c r="K173" s="14"/>
      <c r="O173" s="20"/>
      <c r="P173" s="20"/>
      <c r="Q173" s="439"/>
      <c r="R173" s="20"/>
      <c r="S173" s="20"/>
      <c r="T173" s="20"/>
      <c r="U173" s="20"/>
    </row>
    <row r="174" spans="1:53" ht="15" x14ac:dyDescent="0.25">
      <c r="A174" s="1">
        <v>19</v>
      </c>
      <c r="B174" s="154" t="s">
        <v>865</v>
      </c>
      <c r="C174" s="1" t="s">
        <v>8</v>
      </c>
      <c r="D174">
        <v>0</v>
      </c>
      <c r="E174" s="360">
        <v>0</v>
      </c>
      <c r="F174">
        <v>0</v>
      </c>
      <c r="G174">
        <v>0</v>
      </c>
      <c r="H174">
        <v>0</v>
      </c>
      <c r="J174">
        <v>0</v>
      </c>
      <c r="K174" s="14">
        <v>0</v>
      </c>
      <c r="L174">
        <v>0</v>
      </c>
      <c r="M174">
        <v>0</v>
      </c>
      <c r="N174">
        <v>0</v>
      </c>
      <c r="O174" s="20"/>
      <c r="P174" s="20"/>
      <c r="Q174" s="438"/>
      <c r="R174" s="20"/>
      <c r="S174" s="20"/>
      <c r="T174" s="20"/>
      <c r="U174" s="20"/>
    </row>
    <row r="175" spans="1:53" ht="15" x14ac:dyDescent="0.25">
      <c r="A175" s="1"/>
      <c r="B175" s="2"/>
      <c r="C175" s="1" t="s">
        <v>9</v>
      </c>
      <c r="D175">
        <v>0</v>
      </c>
      <c r="E175" s="360">
        <v>0</v>
      </c>
      <c r="F175">
        <v>0</v>
      </c>
      <c r="G175">
        <v>0</v>
      </c>
      <c r="H175">
        <v>0</v>
      </c>
      <c r="J175">
        <v>0</v>
      </c>
      <c r="K175" s="14">
        <v>0</v>
      </c>
      <c r="L175">
        <v>0</v>
      </c>
      <c r="M175">
        <v>0</v>
      </c>
      <c r="N175">
        <v>0</v>
      </c>
      <c r="O175" s="20"/>
      <c r="P175" s="20"/>
      <c r="Q175" s="438"/>
      <c r="R175" s="20"/>
      <c r="S175" s="20"/>
      <c r="T175" s="20"/>
      <c r="U175" s="20"/>
    </row>
    <row r="176" spans="1:53" ht="15" x14ac:dyDescent="0.25">
      <c r="A176" s="1"/>
      <c r="B176" s="2"/>
      <c r="C176" s="1" t="s">
        <v>10</v>
      </c>
      <c r="D176">
        <v>0</v>
      </c>
      <c r="E176" s="360">
        <v>0</v>
      </c>
      <c r="F176">
        <v>0</v>
      </c>
      <c r="G176">
        <v>0</v>
      </c>
      <c r="H176">
        <v>0</v>
      </c>
      <c r="J176">
        <v>0</v>
      </c>
      <c r="K176" s="14">
        <v>0</v>
      </c>
      <c r="L176">
        <v>0</v>
      </c>
      <c r="M176">
        <v>0</v>
      </c>
      <c r="N176">
        <v>0</v>
      </c>
      <c r="O176" s="20"/>
      <c r="P176" s="20"/>
      <c r="Q176" s="438"/>
      <c r="R176" s="20"/>
      <c r="S176" s="20"/>
      <c r="T176" s="20"/>
      <c r="U176" s="20"/>
    </row>
    <row r="177" spans="1:53" ht="15" x14ac:dyDescent="0.25">
      <c r="A177" s="1"/>
      <c r="B177" s="2"/>
      <c r="C177" s="1" t="s">
        <v>11</v>
      </c>
      <c r="D177">
        <v>0</v>
      </c>
      <c r="E177" s="360">
        <v>1.3947290000000001</v>
      </c>
      <c r="F177">
        <v>0</v>
      </c>
      <c r="G177">
        <v>0</v>
      </c>
      <c r="H177">
        <v>0</v>
      </c>
      <c r="J177">
        <v>0</v>
      </c>
      <c r="K177" s="14">
        <v>1.3220211001474524E-6</v>
      </c>
      <c r="L177">
        <v>0</v>
      </c>
      <c r="M177">
        <v>0</v>
      </c>
      <c r="N177">
        <v>0</v>
      </c>
      <c r="O177" s="20"/>
      <c r="P177" s="20"/>
      <c r="Q177" s="438">
        <v>0.90000000000000013</v>
      </c>
      <c r="R177" s="20"/>
      <c r="S177" s="20"/>
      <c r="T177" s="20"/>
      <c r="U177" s="20"/>
    </row>
    <row r="178" spans="1:53" ht="15" x14ac:dyDescent="0.25">
      <c r="A178" s="1"/>
      <c r="B178" s="2"/>
      <c r="C178" s="1" t="s">
        <v>12</v>
      </c>
      <c r="D178">
        <v>0</v>
      </c>
      <c r="E178" s="360">
        <v>0</v>
      </c>
      <c r="F178">
        <v>0</v>
      </c>
      <c r="G178">
        <v>0</v>
      </c>
      <c r="H178">
        <v>0</v>
      </c>
      <c r="J178">
        <v>0</v>
      </c>
      <c r="K178" s="14">
        <v>0</v>
      </c>
      <c r="L178">
        <v>0</v>
      </c>
      <c r="M178">
        <v>0</v>
      </c>
      <c r="N178">
        <v>0</v>
      </c>
      <c r="O178" s="20"/>
      <c r="P178" s="20"/>
      <c r="Q178" s="438"/>
      <c r="R178" s="20"/>
      <c r="S178" s="20"/>
      <c r="T178" s="20"/>
      <c r="U178" s="20"/>
    </row>
    <row r="179" spans="1:53" ht="15" x14ac:dyDescent="0.25">
      <c r="A179" s="1"/>
      <c r="B179" s="2"/>
      <c r="C179" s="1" t="s">
        <v>13</v>
      </c>
      <c r="D179">
        <v>0</v>
      </c>
      <c r="E179" s="360">
        <v>99.678190000000001</v>
      </c>
      <c r="F179">
        <v>0</v>
      </c>
      <c r="G179">
        <v>0</v>
      </c>
      <c r="H179">
        <v>0</v>
      </c>
      <c r="J179">
        <v>0</v>
      </c>
      <c r="K179" s="14">
        <v>8.7469220872549158E-5</v>
      </c>
      <c r="L179">
        <v>0</v>
      </c>
      <c r="M179">
        <v>0</v>
      </c>
      <c r="N179">
        <v>0</v>
      </c>
      <c r="O179" s="20"/>
      <c r="P179" s="20"/>
      <c r="Q179" s="438">
        <v>0.90000000000000013</v>
      </c>
      <c r="R179" s="20"/>
      <c r="S179" s="20"/>
      <c r="T179" s="20"/>
      <c r="U179" s="20"/>
    </row>
    <row r="180" spans="1:53" ht="15" x14ac:dyDescent="0.25">
      <c r="A180" s="7"/>
      <c r="B180" s="8" t="s">
        <v>14</v>
      </c>
      <c r="C180" s="7"/>
      <c r="D180" s="357">
        <f t="shared" ref="D180:H180" si="198">SUM(D174:D179)</f>
        <v>0</v>
      </c>
      <c r="E180" s="363">
        <f>SUM(E174:E179)</f>
        <v>101.072919</v>
      </c>
      <c r="F180" s="357">
        <f t="shared" si="198"/>
        <v>0</v>
      </c>
      <c r="G180" s="357">
        <f t="shared" si="198"/>
        <v>0</v>
      </c>
      <c r="H180" s="357">
        <f t="shared" si="198"/>
        <v>0</v>
      </c>
      <c r="J180">
        <v>0</v>
      </c>
      <c r="K180">
        <v>0</v>
      </c>
      <c r="L180">
        <v>0</v>
      </c>
      <c r="M180">
        <v>0</v>
      </c>
      <c r="N180">
        <v>0</v>
      </c>
      <c r="Q180" s="438">
        <v>0.9</v>
      </c>
      <c r="BA180" s="319">
        <f>(E180*10000*Q180*AU$10)</f>
        <v>1190921.9899931999</v>
      </c>
    </row>
    <row r="181" spans="1:53" ht="15" x14ac:dyDescent="0.25">
      <c r="A181" s="5"/>
      <c r="B181" s="9" t="s">
        <v>15</v>
      </c>
      <c r="C181" s="5"/>
      <c r="E181" s="363">
        <f>SUM(E180)</f>
        <v>101.072919</v>
      </c>
      <c r="H181" s="358">
        <f>SUM(D180:H180)</f>
        <v>101.072919</v>
      </c>
      <c r="N181">
        <v>0</v>
      </c>
    </row>
    <row r="182" spans="1:53" s="79" customFormat="1" ht="15" x14ac:dyDescent="0.25">
      <c r="A182" s="199"/>
      <c r="B182" s="198" t="s">
        <v>661</v>
      </c>
      <c r="C182" s="199"/>
    </row>
    <row r="183" spans="1:53" x14ac:dyDescent="0.2">
      <c r="E183" s="14">
        <f>SUM(E180,E171,E162,E153,E144,E135,E126,E117,E108,E99,E90,E81,E72,E63,E54,E45,E36,E27,E18,)</f>
        <v>2788.5663690000001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BA183"/>
  <sheetViews>
    <sheetView defaultGridColor="0" colorId="11" zoomScale="90" zoomScaleNormal="90" workbookViewId="0">
      <pane xSplit="3" topLeftCell="D1" activePane="topRight" state="frozen"/>
      <selection pane="topRight" activeCell="Q12" sqref="Q12:Q180"/>
    </sheetView>
  </sheetViews>
  <sheetFormatPr defaultRowHeight="12.75" x14ac:dyDescent="0.2"/>
  <cols>
    <col min="2" max="2" width="26.42578125" bestFit="1" customWidth="1"/>
    <col min="4" max="8" width="13.7109375" customWidth="1"/>
    <col min="10" max="14" width="13.5703125" customWidth="1"/>
    <col min="15" max="15" width="12" bestFit="1" customWidth="1"/>
    <col min="17" max="17" width="15.7109375" style="108" bestFit="1" customWidth="1"/>
    <col min="18" max="19" width="12" bestFit="1" customWidth="1"/>
    <col min="20" max="21" width="12" customWidth="1"/>
    <col min="22" max="25" width="11.5703125" customWidth="1"/>
    <col min="26" max="29" width="10.7109375" customWidth="1"/>
    <col min="30" max="30" width="11.42578125" customWidth="1"/>
    <col min="31" max="34" width="13.42578125" customWidth="1"/>
    <col min="35" max="39" width="10.85546875" customWidth="1"/>
    <col min="45" max="45" width="28.140625" customWidth="1"/>
    <col min="51" max="51" width="28.42578125" customWidth="1"/>
  </cols>
  <sheetData>
    <row r="1" spans="1:53" ht="15" x14ac:dyDescent="0.25">
      <c r="A1" s="15"/>
      <c r="B1" s="16"/>
    </row>
    <row r="2" spans="1:53" ht="15" x14ac:dyDescent="0.25">
      <c r="A2" s="15"/>
      <c r="B2" s="16"/>
      <c r="V2" s="99"/>
      <c r="W2" s="99"/>
      <c r="X2" s="99"/>
      <c r="Y2" s="99"/>
      <c r="Z2" s="26"/>
      <c r="AA2" s="26"/>
      <c r="AB2" s="26"/>
      <c r="AC2" s="26"/>
      <c r="AD2" s="26"/>
      <c r="AE2" s="28"/>
      <c r="AF2" s="28"/>
      <c r="AG2" s="28"/>
      <c r="AH2" s="28"/>
      <c r="AI2" s="124"/>
      <c r="AJ2" s="124"/>
      <c r="AK2" s="124"/>
      <c r="AL2" s="124"/>
      <c r="AM2" s="124"/>
    </row>
    <row r="3" spans="1:53" ht="81" x14ac:dyDescent="0.25">
      <c r="B3" s="16"/>
      <c r="D3" s="179" t="s">
        <v>788</v>
      </c>
      <c r="E3" s="179"/>
      <c r="F3" s="179"/>
      <c r="G3" s="179"/>
      <c r="H3" s="179"/>
      <c r="J3" s="181" t="s">
        <v>789</v>
      </c>
      <c r="K3" s="181"/>
      <c r="L3" s="181"/>
      <c r="M3" s="181"/>
      <c r="N3" s="181"/>
      <c r="V3" s="99" t="s">
        <v>534</v>
      </c>
      <c r="W3" s="99"/>
      <c r="X3" s="99"/>
      <c r="Y3" s="99"/>
      <c r="Z3" s="26" t="s">
        <v>535</v>
      </c>
      <c r="AA3" s="26"/>
      <c r="AB3" s="26"/>
      <c r="AC3" s="26"/>
      <c r="AD3" s="125"/>
      <c r="AE3" s="28" t="s">
        <v>536</v>
      </c>
      <c r="AF3" s="28"/>
      <c r="AG3" s="28"/>
      <c r="AH3" s="28"/>
      <c r="AI3" s="124" t="s">
        <v>537</v>
      </c>
      <c r="AJ3" s="131"/>
      <c r="AK3" s="131"/>
      <c r="AL3" s="131"/>
      <c r="AM3" s="131"/>
    </row>
    <row r="4" spans="1:53" ht="15.75" x14ac:dyDescent="0.25">
      <c r="D4" s="180"/>
      <c r="E4" s="180"/>
      <c r="F4" s="180"/>
      <c r="G4" s="180"/>
      <c r="H4" s="180"/>
      <c r="J4" s="314" t="s">
        <v>793</v>
      </c>
      <c r="K4" s="182"/>
      <c r="L4" s="182"/>
      <c r="M4" s="182"/>
      <c r="N4" s="182"/>
      <c r="V4" s="101" t="s">
        <v>40</v>
      </c>
      <c r="W4" s="101"/>
      <c r="X4" s="101"/>
      <c r="Y4" s="101"/>
      <c r="Z4" s="27" t="s">
        <v>40</v>
      </c>
      <c r="AA4" s="27"/>
      <c r="AB4" s="27"/>
      <c r="AC4" s="27"/>
      <c r="AD4" s="126"/>
      <c r="AE4" s="30" t="s">
        <v>40</v>
      </c>
      <c r="AF4" s="30"/>
      <c r="AG4" s="30"/>
      <c r="AH4" s="30"/>
      <c r="AI4" s="132" t="s">
        <v>40</v>
      </c>
      <c r="AJ4" s="133"/>
      <c r="AK4" s="133"/>
      <c r="AL4" s="133"/>
      <c r="AM4" s="133"/>
    </row>
    <row r="5" spans="1:53" ht="94.5" x14ac:dyDescent="0.25">
      <c r="A5" s="1"/>
      <c r="B5" s="2"/>
      <c r="C5" s="3"/>
      <c r="D5" s="103"/>
      <c r="E5" s="229"/>
      <c r="F5" s="229"/>
      <c r="G5" s="229"/>
      <c r="H5" s="229"/>
      <c r="J5" s="115"/>
      <c r="K5" s="232"/>
      <c r="L5" s="232"/>
      <c r="M5" s="232"/>
      <c r="N5" s="232"/>
      <c r="V5" s="103"/>
      <c r="W5" s="103"/>
      <c r="X5" s="103"/>
      <c r="Y5" s="103"/>
      <c r="Z5" s="93"/>
      <c r="AA5" s="236"/>
      <c r="AB5" s="236"/>
      <c r="AC5" s="236"/>
      <c r="AD5" s="127"/>
      <c r="AE5" s="90"/>
      <c r="AF5" s="90"/>
      <c r="AG5" s="90"/>
      <c r="AH5" s="90"/>
      <c r="AI5" s="134"/>
      <c r="AJ5" s="135"/>
      <c r="AK5" s="135"/>
      <c r="AL5" s="135"/>
      <c r="AM5" s="135"/>
      <c r="AO5" s="240" t="s">
        <v>727</v>
      </c>
      <c r="AP5" s="241"/>
      <c r="AQ5" s="241"/>
      <c r="AR5" s="241"/>
      <c r="AS5" s="242" t="s">
        <v>727</v>
      </c>
      <c r="AU5" s="244" t="s">
        <v>728</v>
      </c>
      <c r="AV5" s="245"/>
      <c r="AW5" s="245"/>
      <c r="AX5" s="245"/>
      <c r="AY5" s="246" t="s">
        <v>728</v>
      </c>
    </row>
    <row r="6" spans="1:53" ht="39" x14ac:dyDescent="0.25">
      <c r="A6" s="1"/>
      <c r="B6" s="2" t="s">
        <v>0</v>
      </c>
      <c r="C6" s="3"/>
      <c r="D6" s="234"/>
      <c r="E6" s="234" t="s">
        <v>862</v>
      </c>
      <c r="F6" s="234"/>
      <c r="G6" s="234"/>
      <c r="H6" s="234"/>
      <c r="J6" s="117"/>
      <c r="K6" s="117" t="s">
        <v>862</v>
      </c>
      <c r="L6" s="117"/>
      <c r="M6" s="117"/>
      <c r="N6" s="117"/>
      <c r="O6" s="17" t="s">
        <v>35</v>
      </c>
      <c r="P6" s="18"/>
      <c r="Q6" s="146">
        <v>2008</v>
      </c>
      <c r="R6" s="22" t="s">
        <v>38</v>
      </c>
      <c r="S6" s="22" t="s">
        <v>39</v>
      </c>
      <c r="T6" s="196" t="s">
        <v>659</v>
      </c>
      <c r="U6" s="196" t="s">
        <v>660</v>
      </c>
      <c r="V6" s="105" t="s">
        <v>862</v>
      </c>
      <c r="W6" s="105"/>
      <c r="X6" s="105"/>
      <c r="Y6" s="105"/>
      <c r="Z6" s="78" t="s">
        <v>862</v>
      </c>
      <c r="AA6" s="78"/>
      <c r="AB6" s="78"/>
      <c r="AC6" s="78"/>
      <c r="AD6" s="128" t="s">
        <v>42</v>
      </c>
      <c r="AE6" s="72" t="s">
        <v>862</v>
      </c>
      <c r="AF6" s="72"/>
      <c r="AG6" s="72"/>
      <c r="AH6" s="72"/>
      <c r="AI6" s="137" t="s">
        <v>862</v>
      </c>
      <c r="AJ6" s="137"/>
      <c r="AK6" s="137"/>
      <c r="AL6" s="137"/>
      <c r="AM6" s="137"/>
      <c r="AO6" s="118" t="s">
        <v>862</v>
      </c>
      <c r="AP6" s="118"/>
      <c r="AQ6" s="118"/>
      <c r="AR6" s="118"/>
      <c r="AS6" s="129"/>
      <c r="AU6" s="118" t="s">
        <v>862</v>
      </c>
      <c r="AV6" s="118"/>
      <c r="AW6" s="118"/>
      <c r="AX6" s="118"/>
      <c r="AY6" s="247"/>
    </row>
    <row r="7" spans="1:53" ht="26.25" x14ac:dyDescent="0.25">
      <c r="A7" s="1"/>
      <c r="B7" s="2" t="s">
        <v>1</v>
      </c>
      <c r="C7" s="2"/>
      <c r="D7" s="107"/>
      <c r="E7" s="107"/>
      <c r="F7" s="107"/>
      <c r="G7" s="107"/>
      <c r="H7" s="107"/>
      <c r="J7" s="119"/>
      <c r="K7" s="233"/>
      <c r="L7" s="233"/>
      <c r="M7" s="233"/>
      <c r="N7" s="233"/>
      <c r="O7" s="21" t="s">
        <v>36</v>
      </c>
      <c r="P7" s="21" t="s">
        <v>37</v>
      </c>
      <c r="Q7" s="148" t="s">
        <v>538</v>
      </c>
      <c r="R7" s="22"/>
      <c r="S7" s="22"/>
      <c r="T7" s="22"/>
      <c r="U7" s="22"/>
      <c r="V7" s="107"/>
      <c r="W7" s="107"/>
      <c r="X7" s="107"/>
      <c r="Y7" s="107"/>
      <c r="Z7" s="237"/>
      <c r="AA7" s="237"/>
      <c r="AB7" s="237"/>
      <c r="AC7" s="237"/>
      <c r="AD7" s="129"/>
      <c r="AE7" s="91"/>
      <c r="AF7" s="91"/>
      <c r="AG7" s="91"/>
      <c r="AH7" s="91"/>
      <c r="AI7" s="139"/>
      <c r="AJ7" s="139"/>
      <c r="AK7" s="139"/>
      <c r="AL7" s="139"/>
      <c r="AM7" s="139"/>
      <c r="AS7" s="129"/>
      <c r="AY7" s="247"/>
      <c r="BA7" t="s">
        <v>864</v>
      </c>
    </row>
    <row r="8" spans="1:53" ht="15.75" x14ac:dyDescent="0.25">
      <c r="A8" s="1"/>
      <c r="B8" s="2" t="s">
        <v>4</v>
      </c>
      <c r="C8" s="2"/>
      <c r="D8" s="107"/>
      <c r="E8" s="230"/>
      <c r="F8" s="230"/>
      <c r="G8" s="230"/>
      <c r="H8" s="230"/>
      <c r="J8" s="183"/>
      <c r="K8" s="183"/>
      <c r="L8" s="183"/>
      <c r="M8" s="183"/>
      <c r="N8" s="183"/>
      <c r="O8" s="20"/>
      <c r="P8" s="20"/>
      <c r="Q8" s="145"/>
      <c r="R8" s="20"/>
      <c r="S8" s="20"/>
      <c r="T8" s="20"/>
      <c r="U8" s="20"/>
      <c r="V8" s="107"/>
      <c r="W8" s="107"/>
      <c r="X8" s="107"/>
      <c r="Y8" s="107"/>
      <c r="Z8" s="237">
        <v>2903</v>
      </c>
      <c r="AA8" s="237">
        <v>2903</v>
      </c>
      <c r="AB8" s="237">
        <v>2903</v>
      </c>
      <c r="AC8" s="237">
        <v>2903</v>
      </c>
      <c r="AD8" s="129"/>
      <c r="AE8" s="91"/>
      <c r="AF8" s="91"/>
      <c r="AG8" s="91"/>
      <c r="AH8" s="91"/>
      <c r="AI8" s="237">
        <v>2903</v>
      </c>
      <c r="AJ8" s="237">
        <v>2903</v>
      </c>
      <c r="AK8" s="237">
        <v>2903</v>
      </c>
      <c r="AL8" s="237">
        <v>2903</v>
      </c>
      <c r="AM8" s="139"/>
      <c r="AS8" s="129"/>
      <c r="AY8" s="247"/>
    </row>
    <row r="9" spans="1:53" ht="15.75" x14ac:dyDescent="0.25">
      <c r="A9" s="1"/>
      <c r="B9" s="15" t="s">
        <v>558</v>
      </c>
      <c r="C9" s="2"/>
      <c r="D9" s="109"/>
      <c r="E9" s="231"/>
      <c r="F9" s="231"/>
      <c r="G9" s="231"/>
      <c r="H9" s="231"/>
      <c r="J9" s="119"/>
      <c r="K9" s="233"/>
      <c r="L9" s="233"/>
      <c r="M9" s="233"/>
      <c r="N9" s="233"/>
      <c r="O9" s="21"/>
      <c r="P9" s="21"/>
      <c r="Q9" s="145"/>
      <c r="R9" s="20"/>
      <c r="S9" s="20"/>
      <c r="T9" s="20"/>
      <c r="U9" s="20"/>
      <c r="V9" s="109"/>
      <c r="W9" s="109"/>
      <c r="X9" s="109"/>
      <c r="Y9" s="109"/>
      <c r="Z9" s="238"/>
      <c r="AA9" s="238"/>
      <c r="AB9" s="238"/>
      <c r="AC9" s="238"/>
      <c r="AD9" s="129"/>
      <c r="AE9" s="92"/>
      <c r="AF9" s="92"/>
      <c r="AG9" s="92"/>
      <c r="AH9" s="92"/>
      <c r="AI9" s="139"/>
      <c r="AJ9" s="139"/>
      <c r="AK9" s="139"/>
      <c r="AL9" s="139"/>
      <c r="AM9" s="139"/>
      <c r="AO9" s="239">
        <v>2008</v>
      </c>
      <c r="AP9" s="239">
        <v>2008</v>
      </c>
      <c r="AQ9" s="239">
        <v>2008</v>
      </c>
      <c r="AR9" s="239">
        <v>2008</v>
      </c>
      <c r="AS9" s="243">
        <v>2008</v>
      </c>
      <c r="AU9" s="239">
        <v>2008</v>
      </c>
      <c r="AV9" s="239">
        <v>2008</v>
      </c>
      <c r="AW9" s="239">
        <v>2008</v>
      </c>
      <c r="AX9" s="239">
        <v>2008</v>
      </c>
      <c r="AY9" s="248">
        <v>2008</v>
      </c>
    </row>
    <row r="10" spans="1:53" ht="15" x14ac:dyDescent="0.2">
      <c r="B10" s="15" t="s">
        <v>726</v>
      </c>
      <c r="AO10" s="239">
        <v>1.1117999999999999</v>
      </c>
      <c r="AP10" s="239">
        <v>1.1117999999999999</v>
      </c>
      <c r="AQ10" s="239">
        <v>1.1117999999999999</v>
      </c>
      <c r="AR10" s="239">
        <v>1.1117999999999999</v>
      </c>
      <c r="AU10" s="239">
        <v>1.1117999999999999</v>
      </c>
      <c r="AV10" s="239">
        <v>1.1117999999999999</v>
      </c>
      <c r="AW10" s="239">
        <v>1.1117999999999999</v>
      </c>
      <c r="AX10" s="239">
        <v>1.1117999999999999</v>
      </c>
    </row>
    <row r="11" spans="1:53" ht="27" x14ac:dyDescent="0.25">
      <c r="A11" s="1"/>
      <c r="B11" s="2" t="s">
        <v>5</v>
      </c>
      <c r="C11" s="4" t="s">
        <v>6</v>
      </c>
      <c r="D11" s="107"/>
      <c r="E11" s="230"/>
      <c r="F11" s="230"/>
      <c r="G11" s="230"/>
      <c r="H11" s="230"/>
      <c r="J11" s="183"/>
      <c r="K11" s="183"/>
      <c r="L11" s="183"/>
      <c r="M11" s="183"/>
      <c r="N11" s="183"/>
      <c r="O11" s="20"/>
      <c r="P11" s="20"/>
      <c r="Q11" s="147"/>
      <c r="R11" s="20"/>
      <c r="S11" s="20"/>
      <c r="T11" s="20"/>
      <c r="U11" s="20"/>
      <c r="V11" s="230"/>
      <c r="W11" s="230"/>
      <c r="X11" s="230"/>
      <c r="Y11" s="230"/>
      <c r="Z11" s="130"/>
      <c r="AA11" s="130"/>
      <c r="AB11" s="130"/>
      <c r="AC11" s="130"/>
      <c r="AD11" s="129"/>
      <c r="AE11" s="91"/>
      <c r="AF11" s="91"/>
      <c r="AG11" s="91"/>
      <c r="AH11" s="91"/>
      <c r="AI11" s="139"/>
      <c r="AJ11" s="139"/>
      <c r="AK11" s="139"/>
      <c r="AL11" s="139"/>
      <c r="AM11" s="139"/>
    </row>
    <row r="12" spans="1:53" ht="15" x14ac:dyDescent="0.25">
      <c r="A12" s="1">
        <v>1</v>
      </c>
      <c r="B12" s="2" t="s">
        <v>7</v>
      </c>
      <c r="C12" s="3" t="s">
        <v>8</v>
      </c>
      <c r="D12">
        <v>0</v>
      </c>
      <c r="E12" s="360">
        <v>47.0105</v>
      </c>
      <c r="F12">
        <v>0</v>
      </c>
      <c r="G12">
        <v>0</v>
      </c>
      <c r="H12">
        <v>0</v>
      </c>
      <c r="J12">
        <v>0</v>
      </c>
      <c r="K12" s="14">
        <v>37.234618939624283</v>
      </c>
      <c r="L12">
        <v>0</v>
      </c>
      <c r="M12">
        <v>0</v>
      </c>
      <c r="N12">
        <v>0</v>
      </c>
      <c r="O12" s="20">
        <v>0.36775204520040022</v>
      </c>
      <c r="P12" s="20">
        <v>0.57913019816794442</v>
      </c>
      <c r="Q12" s="438">
        <v>7.6651201657338006E-2</v>
      </c>
      <c r="R12" s="197">
        <v>0.17699999999999999</v>
      </c>
      <c r="S12" s="197">
        <v>1.77</v>
      </c>
      <c r="T12" s="197">
        <v>0.50078889239507718</v>
      </c>
      <c r="U12" s="197">
        <v>0.75268470790377973</v>
      </c>
      <c r="V12" s="20">
        <f t="shared" ref="V12:Y17" si="0">IF(K12&gt;0,((E12-K12)*$Q12*$R12*10)+(K12*$O$12*$Q12*$R12*10),(E12*$Q12*$R12*10))</f>
        <v>3.1840992978877334</v>
      </c>
      <c r="W12" s="20">
        <f t="shared" si="0"/>
        <v>0</v>
      </c>
      <c r="X12" s="20">
        <f t="shared" si="0"/>
        <v>0</v>
      </c>
      <c r="Y12" s="20">
        <f t="shared" si="0"/>
        <v>0</v>
      </c>
      <c r="Z12" s="20">
        <f t="shared" ref="Z12:AC17" si="1">V12*(EXP(1.01-0.34*LN(Z$8))*(1-$T12)+(1*$T12))</f>
        <v>1.8846565833871367</v>
      </c>
      <c r="AA12" s="20">
        <f t="shared" si="1"/>
        <v>0</v>
      </c>
      <c r="AB12" s="20">
        <f t="shared" si="1"/>
        <v>0</v>
      </c>
      <c r="AC12" s="20">
        <f t="shared" si="1"/>
        <v>0</v>
      </c>
      <c r="AD12" s="20">
        <f t="shared" ref="AD12:AD17" si="2">SUM(Z12:AC12)</f>
        <v>1.8846565833871367</v>
      </c>
      <c r="AE12" s="20">
        <f t="shared" ref="AE12:AH17" si="3">IF(K12&gt;0,((E12-K12)*$Q12*$S12*10)+(K12*$P$12*$Q12*$S12)*10,(E12*$Q12*$S12*10))</f>
        <v>42.519222373437785</v>
      </c>
      <c r="AF12" s="20">
        <f t="shared" si="3"/>
        <v>0</v>
      </c>
      <c r="AG12" s="20">
        <f t="shared" si="3"/>
        <v>0</v>
      </c>
      <c r="AH12" s="20">
        <f t="shared" si="3"/>
        <v>0</v>
      </c>
      <c r="AI12" s="20">
        <f>AE12*(EXP(1.01-0.34*LN(AI$8))*(1-$U12)+(1*$U12))</f>
        <v>33.922704323021158</v>
      </c>
      <c r="AJ12" s="20">
        <f t="shared" ref="AJ12:AL17" si="4">AF12*(EXP(1.01-0.34*LN(AJ$8))*(1-$T12)+(1*$T12))</f>
        <v>0</v>
      </c>
      <c r="AK12" s="20">
        <f t="shared" si="4"/>
        <v>0</v>
      </c>
      <c r="AL12" s="20">
        <f t="shared" si="4"/>
        <v>0</v>
      </c>
      <c r="AM12" s="20">
        <f t="shared" ref="AM12:AM17" si="5">SUM(AI12:AL12)</f>
        <v>33.922704323021158</v>
      </c>
      <c r="AO12">
        <f t="shared" ref="AO12:AR17" si="6">Z12*AO$10</f>
        <v>2.0953611894098185</v>
      </c>
      <c r="AP12">
        <f t="shared" si="6"/>
        <v>0</v>
      </c>
      <c r="AQ12">
        <f t="shared" si="6"/>
        <v>0</v>
      </c>
      <c r="AR12">
        <f t="shared" si="6"/>
        <v>0</v>
      </c>
      <c r="AS12">
        <f t="shared" ref="AS12:AS17" si="7">SUM(AO12:AR12)</f>
        <v>2.0953611894098185</v>
      </c>
      <c r="AU12">
        <f t="shared" ref="AU12:AX17" si="8">AI12*AU$10</f>
        <v>37.715262666334922</v>
      </c>
      <c r="AV12">
        <f t="shared" si="8"/>
        <v>0</v>
      </c>
      <c r="AW12">
        <f t="shared" si="8"/>
        <v>0</v>
      </c>
      <c r="AX12">
        <f t="shared" si="8"/>
        <v>0</v>
      </c>
      <c r="AY12">
        <f t="shared" ref="AY12:AY17" si="9">SUM(AU12:AX12)</f>
        <v>37.715262666334922</v>
      </c>
    </row>
    <row r="13" spans="1:53" ht="15" x14ac:dyDescent="0.25">
      <c r="A13" s="1"/>
      <c r="B13" s="2"/>
      <c r="C13" s="1" t="s">
        <v>9</v>
      </c>
      <c r="D13">
        <v>0</v>
      </c>
      <c r="E13" s="360">
        <v>6.9507000000000003</v>
      </c>
      <c r="F13">
        <v>0</v>
      </c>
      <c r="G13">
        <v>0</v>
      </c>
      <c r="H13">
        <v>0</v>
      </c>
      <c r="J13">
        <v>0</v>
      </c>
      <c r="K13" s="14">
        <v>5.320047699801</v>
      </c>
      <c r="L13">
        <v>0</v>
      </c>
      <c r="M13">
        <v>0</v>
      </c>
      <c r="N13">
        <v>0</v>
      </c>
      <c r="O13" s="20"/>
      <c r="P13" s="20"/>
      <c r="Q13" s="438">
        <v>0.108302403314676</v>
      </c>
      <c r="R13" s="197">
        <v>0.17699999999999999</v>
      </c>
      <c r="S13" s="197">
        <v>1.77</v>
      </c>
      <c r="T13" s="197">
        <v>0.50078889239507718</v>
      </c>
      <c r="U13" s="197">
        <v>0.75268470790377973</v>
      </c>
      <c r="V13" s="20">
        <f t="shared" si="0"/>
        <v>0.6876321005726167</v>
      </c>
      <c r="W13" s="20">
        <f t="shared" si="0"/>
        <v>0</v>
      </c>
      <c r="X13" s="20">
        <f t="shared" si="0"/>
        <v>0</v>
      </c>
      <c r="Y13" s="20">
        <f t="shared" si="0"/>
        <v>0</v>
      </c>
      <c r="Z13" s="20">
        <f t="shared" si="1"/>
        <v>0.40700689395968742</v>
      </c>
      <c r="AA13" s="20">
        <f t="shared" si="1"/>
        <v>0</v>
      </c>
      <c r="AB13" s="20">
        <f t="shared" si="1"/>
        <v>0</v>
      </c>
      <c r="AC13" s="20">
        <f t="shared" si="1"/>
        <v>0</v>
      </c>
      <c r="AD13" s="20">
        <f t="shared" si="2"/>
        <v>0.40700689395968742</v>
      </c>
      <c r="AE13" s="20">
        <f t="shared" si="3"/>
        <v>9.0320143723519859</v>
      </c>
      <c r="AF13" s="20">
        <f t="shared" si="3"/>
        <v>0</v>
      </c>
      <c r="AG13" s="20">
        <f t="shared" si="3"/>
        <v>0</v>
      </c>
      <c r="AH13" s="20">
        <f t="shared" si="3"/>
        <v>0</v>
      </c>
      <c r="AI13" s="20">
        <f t="shared" ref="AI13:AI17" si="10">AE13*(EXP(1.01-0.34*LN(AI$8))*(1-$U13)+(1*$U13))</f>
        <v>7.2059256000405894</v>
      </c>
      <c r="AJ13" s="20">
        <f t="shared" si="4"/>
        <v>0</v>
      </c>
      <c r="AK13" s="20">
        <f t="shared" si="4"/>
        <v>0</v>
      </c>
      <c r="AL13" s="20">
        <f t="shared" si="4"/>
        <v>0</v>
      </c>
      <c r="AM13" s="20">
        <f t="shared" si="5"/>
        <v>7.2059256000405894</v>
      </c>
      <c r="AO13">
        <f t="shared" si="6"/>
        <v>0.45251026470438044</v>
      </c>
      <c r="AP13">
        <f t="shared" si="6"/>
        <v>0</v>
      </c>
      <c r="AQ13">
        <f t="shared" si="6"/>
        <v>0</v>
      </c>
      <c r="AR13">
        <f t="shared" si="6"/>
        <v>0</v>
      </c>
      <c r="AS13">
        <f t="shared" si="7"/>
        <v>0.45251026470438044</v>
      </c>
      <c r="AU13">
        <f t="shared" si="8"/>
        <v>8.0115480821251257</v>
      </c>
      <c r="AV13">
        <f t="shared" si="8"/>
        <v>0</v>
      </c>
      <c r="AW13">
        <f t="shared" si="8"/>
        <v>0</v>
      </c>
      <c r="AX13">
        <f t="shared" si="8"/>
        <v>0</v>
      </c>
      <c r="AY13">
        <f t="shared" si="9"/>
        <v>8.0115480821251257</v>
      </c>
    </row>
    <row r="14" spans="1:53" ht="15" x14ac:dyDescent="0.25">
      <c r="A14" s="1"/>
      <c r="B14" s="2"/>
      <c r="C14" s="1" t="s">
        <v>10</v>
      </c>
      <c r="D14">
        <v>0</v>
      </c>
      <c r="E14" s="360">
        <v>0.9526</v>
      </c>
      <c r="F14">
        <v>0</v>
      </c>
      <c r="G14">
        <v>0</v>
      </c>
      <c r="H14">
        <v>0</v>
      </c>
      <c r="J14">
        <v>0</v>
      </c>
      <c r="K14" s="14">
        <v>-1.1364075421309998</v>
      </c>
      <c r="L14">
        <v>0</v>
      </c>
      <c r="M14">
        <v>0</v>
      </c>
      <c r="N14">
        <v>0</v>
      </c>
      <c r="O14" s="20"/>
      <c r="P14" s="20"/>
      <c r="Q14" s="438">
        <v>0.13995360497201403</v>
      </c>
      <c r="R14" s="197">
        <v>0.17699999999999999</v>
      </c>
      <c r="S14" s="197">
        <v>1.77</v>
      </c>
      <c r="T14" s="197">
        <v>0.50078889239507718</v>
      </c>
      <c r="U14" s="197">
        <v>0.75268470790377973</v>
      </c>
      <c r="V14" s="20">
        <f t="shared" si="0"/>
        <v>0.23597605325052279</v>
      </c>
      <c r="W14" s="20">
        <f t="shared" si="0"/>
        <v>0</v>
      </c>
      <c r="X14" s="20">
        <f t="shared" si="0"/>
        <v>0</v>
      </c>
      <c r="Y14" s="20">
        <f t="shared" si="0"/>
        <v>0</v>
      </c>
      <c r="Z14" s="20">
        <f t="shared" si="1"/>
        <v>0.13967335207646905</v>
      </c>
      <c r="AA14" s="20">
        <f t="shared" si="1"/>
        <v>0</v>
      </c>
      <c r="AB14" s="20">
        <f t="shared" si="1"/>
        <v>0</v>
      </c>
      <c r="AC14" s="20">
        <f t="shared" si="1"/>
        <v>0</v>
      </c>
      <c r="AD14" s="20">
        <f t="shared" si="2"/>
        <v>0.13967335207646905</v>
      </c>
      <c r="AE14" s="20">
        <f t="shared" si="3"/>
        <v>2.359760532505228</v>
      </c>
      <c r="AF14" s="20">
        <f t="shared" si="3"/>
        <v>0</v>
      </c>
      <c r="AG14" s="20">
        <f t="shared" si="3"/>
        <v>0</v>
      </c>
      <c r="AH14" s="20">
        <f t="shared" si="3"/>
        <v>0</v>
      </c>
      <c r="AI14" s="20">
        <f t="shared" si="10"/>
        <v>1.8826651652810462</v>
      </c>
      <c r="AJ14" s="20">
        <f t="shared" si="4"/>
        <v>0</v>
      </c>
      <c r="AK14" s="20">
        <f t="shared" si="4"/>
        <v>0</v>
      </c>
      <c r="AL14" s="20">
        <f t="shared" si="4"/>
        <v>0</v>
      </c>
      <c r="AM14" s="20">
        <f t="shared" si="5"/>
        <v>1.8826651652810462</v>
      </c>
      <c r="AO14">
        <f t="shared" si="6"/>
        <v>0.15528883283861827</v>
      </c>
      <c r="AP14">
        <f t="shared" si="6"/>
        <v>0</v>
      </c>
      <c r="AQ14">
        <f t="shared" si="6"/>
        <v>0</v>
      </c>
      <c r="AR14">
        <f t="shared" si="6"/>
        <v>0</v>
      </c>
      <c r="AS14">
        <f t="shared" si="7"/>
        <v>0.15528883283861827</v>
      </c>
      <c r="AU14">
        <f t="shared" si="8"/>
        <v>2.0931471307594669</v>
      </c>
      <c r="AV14">
        <f t="shared" si="8"/>
        <v>0</v>
      </c>
      <c r="AW14">
        <f t="shared" si="8"/>
        <v>0</v>
      </c>
      <c r="AX14">
        <f t="shared" si="8"/>
        <v>0</v>
      </c>
      <c r="AY14">
        <f t="shared" si="9"/>
        <v>2.0931471307594669</v>
      </c>
    </row>
    <row r="15" spans="1:53" ht="15" x14ac:dyDescent="0.25">
      <c r="A15" s="1"/>
      <c r="B15" s="2"/>
      <c r="C15" s="1" t="s">
        <v>11</v>
      </c>
      <c r="D15">
        <v>0</v>
      </c>
      <c r="E15" s="360">
        <v>17.2622</v>
      </c>
      <c r="F15">
        <v>0</v>
      </c>
      <c r="G15">
        <v>0</v>
      </c>
      <c r="H15">
        <v>0</v>
      </c>
      <c r="J15">
        <v>0</v>
      </c>
      <c r="K15" s="14">
        <v>5.5363741905186252</v>
      </c>
      <c r="L15">
        <v>0</v>
      </c>
      <c r="M15">
        <v>0</v>
      </c>
      <c r="N15">
        <v>0</v>
      </c>
      <c r="O15" s="20"/>
      <c r="P15" s="20"/>
      <c r="Q15" s="438">
        <v>0.17160480662935199</v>
      </c>
      <c r="R15" s="197">
        <v>0.17699999999999999</v>
      </c>
      <c r="S15" s="197">
        <v>1.77</v>
      </c>
      <c r="T15" s="197">
        <v>0.50078889239507718</v>
      </c>
      <c r="U15" s="197">
        <v>0.75268470790377973</v>
      </c>
      <c r="V15" s="20">
        <f t="shared" si="0"/>
        <v>4.1800278865560641</v>
      </c>
      <c r="W15" s="20">
        <f t="shared" si="0"/>
        <v>0</v>
      </c>
      <c r="X15" s="20">
        <f t="shared" si="0"/>
        <v>0</v>
      </c>
      <c r="Y15" s="20">
        <f t="shared" si="0"/>
        <v>0</v>
      </c>
      <c r="Z15" s="20">
        <f t="shared" si="1"/>
        <v>2.4741430269984845</v>
      </c>
      <c r="AA15" s="20">
        <f t="shared" si="1"/>
        <v>0</v>
      </c>
      <c r="AB15" s="20">
        <f t="shared" si="1"/>
        <v>0</v>
      </c>
      <c r="AC15" s="20">
        <f t="shared" si="1"/>
        <v>0</v>
      </c>
      <c r="AD15" s="20">
        <f t="shared" si="2"/>
        <v>2.4741430269984845</v>
      </c>
      <c r="AE15" s="20">
        <f t="shared" si="3"/>
        <v>45.354858502788225</v>
      </c>
      <c r="AF15" s="20">
        <f t="shared" si="3"/>
        <v>0</v>
      </c>
      <c r="AG15" s="20">
        <f t="shared" si="3"/>
        <v>0</v>
      </c>
      <c r="AH15" s="20">
        <f t="shared" si="3"/>
        <v>0</v>
      </c>
      <c r="AI15" s="20">
        <f t="shared" si="10"/>
        <v>36.185032762116123</v>
      </c>
      <c r="AJ15" s="20">
        <f t="shared" si="4"/>
        <v>0</v>
      </c>
      <c r="AK15" s="20">
        <f t="shared" si="4"/>
        <v>0</v>
      </c>
      <c r="AL15" s="20">
        <f t="shared" si="4"/>
        <v>0</v>
      </c>
      <c r="AM15" s="20">
        <f t="shared" si="5"/>
        <v>36.185032762116123</v>
      </c>
      <c r="AO15">
        <f t="shared" si="6"/>
        <v>2.750752217416915</v>
      </c>
      <c r="AP15">
        <f t="shared" si="6"/>
        <v>0</v>
      </c>
      <c r="AQ15">
        <f t="shared" si="6"/>
        <v>0</v>
      </c>
      <c r="AR15">
        <f t="shared" si="6"/>
        <v>0</v>
      </c>
      <c r="AS15">
        <f t="shared" si="7"/>
        <v>2.750752217416915</v>
      </c>
      <c r="AU15">
        <f t="shared" si="8"/>
        <v>40.230519424920701</v>
      </c>
      <c r="AV15">
        <f t="shared" si="8"/>
        <v>0</v>
      </c>
      <c r="AW15">
        <f t="shared" si="8"/>
        <v>0</v>
      </c>
      <c r="AX15">
        <f t="shared" si="8"/>
        <v>0</v>
      </c>
      <c r="AY15">
        <f t="shared" si="9"/>
        <v>40.230519424920701</v>
      </c>
    </row>
    <row r="16" spans="1:53" ht="15" x14ac:dyDescent="0.25">
      <c r="A16" s="5"/>
      <c r="B16" s="6"/>
      <c r="C16" s="5" t="s">
        <v>12</v>
      </c>
      <c r="D16">
        <v>0</v>
      </c>
      <c r="E16" s="360">
        <v>0</v>
      </c>
      <c r="F16">
        <v>0</v>
      </c>
      <c r="G16">
        <v>0</v>
      </c>
      <c r="H16">
        <v>0</v>
      </c>
      <c r="J16">
        <v>0</v>
      </c>
      <c r="K16" s="14">
        <v>0</v>
      </c>
      <c r="L16">
        <v>0</v>
      </c>
      <c r="M16">
        <v>0</v>
      </c>
      <c r="N16">
        <v>0</v>
      </c>
      <c r="O16" s="20"/>
      <c r="P16" s="20"/>
      <c r="Q16" s="438"/>
      <c r="R16" s="197">
        <v>0.17699999999999999</v>
      </c>
      <c r="S16" s="197">
        <v>1.77</v>
      </c>
      <c r="T16" s="197">
        <v>0.50078889239507718</v>
      </c>
      <c r="U16" s="197">
        <v>0.75268470790377973</v>
      </c>
      <c r="V16" s="20">
        <f t="shared" si="0"/>
        <v>0</v>
      </c>
      <c r="W16" s="20">
        <f t="shared" si="0"/>
        <v>0</v>
      </c>
      <c r="X16" s="20">
        <f t="shared" si="0"/>
        <v>0</v>
      </c>
      <c r="Y16" s="20">
        <f t="shared" si="0"/>
        <v>0</v>
      </c>
      <c r="Z16" s="20">
        <f t="shared" si="1"/>
        <v>0</v>
      </c>
      <c r="AA16" s="20">
        <f t="shared" si="1"/>
        <v>0</v>
      </c>
      <c r="AB16" s="20">
        <f t="shared" si="1"/>
        <v>0</v>
      </c>
      <c r="AC16" s="20">
        <f t="shared" si="1"/>
        <v>0</v>
      </c>
      <c r="AD16" s="20">
        <f t="shared" si="2"/>
        <v>0</v>
      </c>
      <c r="AE16" s="20">
        <f t="shared" si="3"/>
        <v>0</v>
      </c>
      <c r="AF16" s="20">
        <f t="shared" si="3"/>
        <v>0</v>
      </c>
      <c r="AG16" s="20">
        <f t="shared" si="3"/>
        <v>0</v>
      </c>
      <c r="AH16" s="20">
        <f t="shared" si="3"/>
        <v>0</v>
      </c>
      <c r="AI16" s="20">
        <f t="shared" si="10"/>
        <v>0</v>
      </c>
      <c r="AJ16" s="20">
        <f t="shared" si="4"/>
        <v>0</v>
      </c>
      <c r="AK16" s="20">
        <f t="shared" si="4"/>
        <v>0</v>
      </c>
      <c r="AL16" s="20">
        <f t="shared" si="4"/>
        <v>0</v>
      </c>
      <c r="AM16" s="20">
        <f t="shared" si="5"/>
        <v>0</v>
      </c>
      <c r="AO16">
        <f t="shared" si="6"/>
        <v>0</v>
      </c>
      <c r="AP16">
        <f t="shared" si="6"/>
        <v>0</v>
      </c>
      <c r="AQ16">
        <f t="shared" si="6"/>
        <v>0</v>
      </c>
      <c r="AR16">
        <f t="shared" si="6"/>
        <v>0</v>
      </c>
      <c r="AS16">
        <f t="shared" si="7"/>
        <v>0</v>
      </c>
      <c r="AU16">
        <f t="shared" si="8"/>
        <v>0</v>
      </c>
      <c r="AV16">
        <f t="shared" si="8"/>
        <v>0</v>
      </c>
      <c r="AW16">
        <f t="shared" si="8"/>
        <v>0</v>
      </c>
      <c r="AX16">
        <f t="shared" si="8"/>
        <v>0</v>
      </c>
      <c r="AY16">
        <f t="shared" si="9"/>
        <v>0</v>
      </c>
    </row>
    <row r="17" spans="1:53" ht="15" x14ac:dyDescent="0.25">
      <c r="A17" s="5"/>
      <c r="B17" s="6"/>
      <c r="C17" s="5" t="s">
        <v>13</v>
      </c>
      <c r="D17">
        <v>0</v>
      </c>
      <c r="E17" s="360">
        <v>0.1033</v>
      </c>
      <c r="F17">
        <v>0</v>
      </c>
      <c r="G17">
        <v>0</v>
      </c>
      <c r="H17">
        <v>0</v>
      </c>
      <c r="J17">
        <v>0</v>
      </c>
      <c r="K17" s="14">
        <v>0.1033</v>
      </c>
      <c r="L17">
        <v>0</v>
      </c>
      <c r="M17">
        <v>0</v>
      </c>
      <c r="N17">
        <v>0</v>
      </c>
      <c r="O17" s="20"/>
      <c r="P17" s="20"/>
      <c r="Q17" s="438">
        <v>0.17160480662935204</v>
      </c>
      <c r="R17" s="197">
        <v>0.17699999999999999</v>
      </c>
      <c r="S17" s="197">
        <v>1.77</v>
      </c>
      <c r="T17" s="197">
        <v>0.50078889239507718</v>
      </c>
      <c r="U17" s="197">
        <v>0.75268470790377973</v>
      </c>
      <c r="V17" s="20">
        <f t="shared" si="0"/>
        <v>1.1538733229603842E-2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1"/>
        <v>6.8297334695394136E-3</v>
      </c>
      <c r="AA17" s="20">
        <f t="shared" si="1"/>
        <v>0</v>
      </c>
      <c r="AB17" s="20">
        <f t="shared" si="1"/>
        <v>0</v>
      </c>
      <c r="AC17" s="20">
        <f t="shared" si="1"/>
        <v>0</v>
      </c>
      <c r="AD17" s="20">
        <f t="shared" si="2"/>
        <v>6.8297334695394136E-3</v>
      </c>
      <c r="AE17" s="20">
        <f t="shared" si="3"/>
        <v>0.18171017534997103</v>
      </c>
      <c r="AF17" s="20">
        <f t="shared" si="3"/>
        <v>0</v>
      </c>
      <c r="AG17" s="20">
        <f t="shared" si="3"/>
        <v>0</v>
      </c>
      <c r="AH17" s="20">
        <f t="shared" si="3"/>
        <v>0</v>
      </c>
      <c r="AI17" s="20">
        <f t="shared" si="10"/>
        <v>0.14497209042873216</v>
      </c>
      <c r="AJ17" s="20">
        <f t="shared" si="4"/>
        <v>0</v>
      </c>
      <c r="AK17" s="20">
        <f t="shared" si="4"/>
        <v>0</v>
      </c>
      <c r="AL17" s="20">
        <f t="shared" si="4"/>
        <v>0</v>
      </c>
      <c r="AM17" s="20">
        <f t="shared" si="5"/>
        <v>0.14497209042873216</v>
      </c>
      <c r="AO17">
        <f t="shared" si="6"/>
        <v>7.5932976714339195E-3</v>
      </c>
      <c r="AP17">
        <f t="shared" si="6"/>
        <v>0</v>
      </c>
      <c r="AQ17">
        <f t="shared" si="6"/>
        <v>0</v>
      </c>
      <c r="AR17">
        <f t="shared" si="6"/>
        <v>0</v>
      </c>
      <c r="AS17">
        <f t="shared" si="7"/>
        <v>7.5932976714339195E-3</v>
      </c>
      <c r="AU17">
        <f t="shared" si="8"/>
        <v>0.16117997013866439</v>
      </c>
      <c r="AV17">
        <f t="shared" si="8"/>
        <v>0</v>
      </c>
      <c r="AW17">
        <f t="shared" si="8"/>
        <v>0</v>
      </c>
      <c r="AX17">
        <f t="shared" si="8"/>
        <v>0</v>
      </c>
      <c r="AY17">
        <f t="shared" si="9"/>
        <v>0.16117997013866439</v>
      </c>
    </row>
    <row r="18" spans="1:53" ht="15" x14ac:dyDescent="0.25">
      <c r="A18" s="7"/>
      <c r="B18" s="8" t="s">
        <v>14</v>
      </c>
      <c r="C18" s="7"/>
      <c r="D18" s="357">
        <f t="shared" ref="D18:H18" si="11">SUM(D12:D17)</f>
        <v>0</v>
      </c>
      <c r="E18" s="363">
        <f>SUM(E12:E17)</f>
        <v>72.279299999999992</v>
      </c>
      <c r="F18" s="357">
        <f t="shared" si="11"/>
        <v>0</v>
      </c>
      <c r="G18" s="357">
        <f t="shared" si="11"/>
        <v>0</v>
      </c>
      <c r="H18" s="357">
        <f t="shared" si="11"/>
        <v>0</v>
      </c>
      <c r="J18">
        <v>0</v>
      </c>
      <c r="K18" s="14">
        <v>47.057933287812901</v>
      </c>
      <c r="L18">
        <v>0</v>
      </c>
      <c r="M18">
        <v>0</v>
      </c>
      <c r="N18">
        <v>0</v>
      </c>
      <c r="O18" s="20"/>
      <c r="P18" s="20"/>
      <c r="Q18" s="438">
        <v>0.10334233873114378</v>
      </c>
      <c r="R18" s="197"/>
      <c r="S18" s="197"/>
      <c r="T18" s="197"/>
      <c r="U18" s="197"/>
      <c r="BA18" s="319">
        <f>(E18*10000*Q18*AU$10)</f>
        <v>83046.033347003831</v>
      </c>
    </row>
    <row r="19" spans="1:53" ht="15" x14ac:dyDescent="0.25">
      <c r="A19" s="5"/>
      <c r="B19" s="9" t="s">
        <v>15</v>
      </c>
      <c r="C19" s="5"/>
      <c r="E19" s="363">
        <f>SUM(E18)</f>
        <v>72.279299999999992</v>
      </c>
      <c r="H19" s="358">
        <f>SUM(D18:H18)</f>
        <v>72.279299999999992</v>
      </c>
      <c r="K19" s="14"/>
      <c r="N19">
        <v>0</v>
      </c>
      <c r="O19" s="20"/>
      <c r="P19" s="20"/>
      <c r="Q19" s="438"/>
      <c r="R19" s="197"/>
      <c r="S19" s="197"/>
      <c r="T19" s="197"/>
      <c r="U19" s="197"/>
    </row>
    <row r="20" spans="1:53" ht="15.75" x14ac:dyDescent="0.25">
      <c r="A20" s="1"/>
      <c r="B20" s="2"/>
      <c r="C20" s="1"/>
      <c r="E20" s="361"/>
      <c r="K20" s="14"/>
      <c r="O20" s="20"/>
      <c r="P20" s="20"/>
      <c r="Q20" s="439"/>
      <c r="R20" s="197"/>
      <c r="S20" s="197"/>
      <c r="T20" s="197"/>
      <c r="U20" s="197"/>
    </row>
    <row r="21" spans="1:53" ht="15" x14ac:dyDescent="0.25">
      <c r="A21" s="1">
        <v>2</v>
      </c>
      <c r="B21" s="2" t="s">
        <v>16</v>
      </c>
      <c r="C21" s="1" t="s">
        <v>8</v>
      </c>
      <c r="D21">
        <v>0</v>
      </c>
      <c r="E21" s="360">
        <v>16.384799999999998</v>
      </c>
      <c r="F21">
        <v>0</v>
      </c>
      <c r="G21">
        <v>0</v>
      </c>
      <c r="H21">
        <v>0</v>
      </c>
      <c r="J21">
        <v>0</v>
      </c>
      <c r="K21" s="14">
        <v>-39.910024524594213</v>
      </c>
      <c r="L21">
        <v>0</v>
      </c>
      <c r="M21">
        <v>0</v>
      </c>
      <c r="N21">
        <v>0</v>
      </c>
      <c r="O21" s="20"/>
      <c r="P21" s="20"/>
      <c r="Q21" s="438">
        <v>0.16331949621972347</v>
      </c>
      <c r="R21" s="197">
        <v>0.3</v>
      </c>
      <c r="S21" s="197">
        <v>2.29</v>
      </c>
      <c r="T21" s="197">
        <v>0.50078889239507718</v>
      </c>
      <c r="U21" s="197">
        <v>0.75268470790377973</v>
      </c>
      <c r="V21" s="20">
        <f t="shared" ref="V21:Y26" si="12">IF(K21&gt;0,((E21-K21)*$Q21*$R21*10)+(K21*$O$12*$Q21*$R21*10),(E21*$Q21*$R21*10))</f>
        <v>8.0278718449827728</v>
      </c>
      <c r="W21" s="20">
        <f t="shared" si="12"/>
        <v>0</v>
      </c>
      <c r="X21" s="20">
        <f t="shared" si="12"/>
        <v>0</v>
      </c>
      <c r="Y21" s="20">
        <f t="shared" si="12"/>
        <v>0</v>
      </c>
      <c r="Z21" s="20">
        <f t="shared" ref="Z21:AC26" si="13">V21*(EXP(1.01-0.34*LN(Z$8))*(1-$T21)+(1*$T21))</f>
        <v>4.7516676170469347</v>
      </c>
      <c r="AA21" s="20">
        <f t="shared" si="13"/>
        <v>0</v>
      </c>
      <c r="AB21" s="20">
        <f t="shared" si="13"/>
        <v>0</v>
      </c>
      <c r="AC21" s="20">
        <f t="shared" si="13"/>
        <v>0</v>
      </c>
      <c r="AD21" s="20">
        <f t="shared" ref="AD21:AD26" si="14">SUM(Z21:AC21)</f>
        <v>4.7516676170469347</v>
      </c>
      <c r="AE21" s="20">
        <f t="shared" ref="AE21:AH26" si="15">IF(K21&gt;0,((E21-K21)*$Q21*$S21*10)+(K21*$P$12*$Q21*$S21)*10,(E21*$Q21*$S21*10))</f>
        <v>61.279421750035176</v>
      </c>
      <c r="AF21" s="20">
        <f t="shared" si="15"/>
        <v>0</v>
      </c>
      <c r="AG21" s="20">
        <f t="shared" si="15"/>
        <v>0</v>
      </c>
      <c r="AH21" s="20">
        <f t="shared" si="15"/>
        <v>0</v>
      </c>
      <c r="AI21" s="20">
        <f t="shared" ref="AI21:AI26" si="16">AE21*(EXP(1.01-0.34*LN(AI$8))*(1-$U21)+(1*$U21))</f>
        <v>48.889974676742469</v>
      </c>
      <c r="AJ21" s="20">
        <f t="shared" ref="AJ21:AL26" si="17">AF21*(EXP(1.01-0.34*LN(AJ$8))*(1-$T21)+(1*$T21))</f>
        <v>0</v>
      </c>
      <c r="AK21" s="20">
        <f t="shared" si="17"/>
        <v>0</v>
      </c>
      <c r="AL21" s="20">
        <f t="shared" si="17"/>
        <v>0</v>
      </c>
      <c r="AM21" s="20">
        <f t="shared" ref="AM21:AM26" si="18">SUM(AI21:AL21)</f>
        <v>48.889974676742469</v>
      </c>
      <c r="AO21">
        <f t="shared" ref="AO21:AR26" si="19">Z21*AO$10</f>
        <v>5.2829040566327814</v>
      </c>
      <c r="AP21">
        <f t="shared" si="19"/>
        <v>0</v>
      </c>
      <c r="AQ21">
        <f t="shared" si="19"/>
        <v>0</v>
      </c>
      <c r="AR21">
        <f t="shared" si="19"/>
        <v>0</v>
      </c>
      <c r="AS21">
        <f t="shared" ref="AS21:AS26" si="20">SUM(AO21:AR21)</f>
        <v>5.2829040566327814</v>
      </c>
      <c r="AU21">
        <f t="shared" ref="AU21:AX26" si="21">AI21*AU$10</f>
        <v>54.355873845602275</v>
      </c>
      <c r="AV21">
        <f t="shared" si="21"/>
        <v>0</v>
      </c>
      <c r="AW21">
        <f t="shared" si="21"/>
        <v>0</v>
      </c>
      <c r="AX21">
        <f t="shared" si="21"/>
        <v>0</v>
      </c>
      <c r="AY21">
        <f t="shared" ref="AY21:AY26" si="22">SUM(AU21:AX21)</f>
        <v>54.355873845602275</v>
      </c>
    </row>
    <row r="22" spans="1:53" ht="15" x14ac:dyDescent="0.25">
      <c r="A22" s="1"/>
      <c r="B22" s="2"/>
      <c r="C22" s="1" t="s">
        <v>9</v>
      </c>
      <c r="D22">
        <v>0</v>
      </c>
      <c r="E22" s="360">
        <v>2.0095999999999998</v>
      </c>
      <c r="F22">
        <v>0</v>
      </c>
      <c r="G22">
        <v>0</v>
      </c>
      <c r="H22">
        <v>0</v>
      </c>
      <c r="J22">
        <v>0</v>
      </c>
      <c r="K22" s="14">
        <v>-0.49104187160940027</v>
      </c>
      <c r="L22">
        <v>0</v>
      </c>
      <c r="M22">
        <v>0</v>
      </c>
      <c r="N22">
        <v>0</v>
      </c>
      <c r="O22" s="20"/>
      <c r="P22" s="20"/>
      <c r="Q22" s="438">
        <v>0.19163899243944693</v>
      </c>
      <c r="R22" s="197">
        <v>0.3</v>
      </c>
      <c r="S22" s="197">
        <v>2.29</v>
      </c>
      <c r="T22" s="197">
        <v>0.50078889239507718</v>
      </c>
      <c r="U22" s="197">
        <v>0.75268470790377973</v>
      </c>
      <c r="V22" s="20">
        <f t="shared" si="12"/>
        <v>1.1553531576189375</v>
      </c>
      <c r="W22" s="20">
        <f t="shared" si="12"/>
        <v>0</v>
      </c>
      <c r="X22" s="20">
        <f t="shared" si="12"/>
        <v>0</v>
      </c>
      <c r="Y22" s="20">
        <f t="shared" si="12"/>
        <v>0</v>
      </c>
      <c r="Z22" s="20">
        <f t="shared" si="13"/>
        <v>0.68384925560836585</v>
      </c>
      <c r="AA22" s="20">
        <f t="shared" si="13"/>
        <v>0</v>
      </c>
      <c r="AB22" s="20">
        <f t="shared" si="13"/>
        <v>0</v>
      </c>
      <c r="AC22" s="20">
        <f t="shared" si="13"/>
        <v>0</v>
      </c>
      <c r="AD22" s="20">
        <f t="shared" si="14"/>
        <v>0.68384925560836585</v>
      </c>
      <c r="AE22" s="20">
        <f t="shared" si="15"/>
        <v>8.8191957698245567</v>
      </c>
      <c r="AF22" s="20">
        <f t="shared" si="15"/>
        <v>0</v>
      </c>
      <c r="AG22" s="20">
        <f t="shared" si="15"/>
        <v>0</v>
      </c>
      <c r="AH22" s="20">
        <f t="shared" si="15"/>
        <v>0</v>
      </c>
      <c r="AI22" s="20">
        <f t="shared" si="16"/>
        <v>7.0361345708310203</v>
      </c>
      <c r="AJ22" s="20">
        <f t="shared" si="17"/>
        <v>0</v>
      </c>
      <c r="AK22" s="20">
        <f t="shared" si="17"/>
        <v>0</v>
      </c>
      <c r="AL22" s="20">
        <f t="shared" si="17"/>
        <v>0</v>
      </c>
      <c r="AM22" s="20">
        <f t="shared" si="18"/>
        <v>7.0361345708310203</v>
      </c>
      <c r="AO22">
        <f t="shared" si="19"/>
        <v>0.76030360238538108</v>
      </c>
      <c r="AP22">
        <f t="shared" si="19"/>
        <v>0</v>
      </c>
      <c r="AQ22">
        <f t="shared" si="19"/>
        <v>0</v>
      </c>
      <c r="AR22">
        <f t="shared" si="19"/>
        <v>0</v>
      </c>
      <c r="AS22">
        <f t="shared" si="20"/>
        <v>0.76030360238538108</v>
      </c>
      <c r="AU22">
        <f t="shared" si="21"/>
        <v>7.8227744158499277</v>
      </c>
      <c r="AV22">
        <f t="shared" si="21"/>
        <v>0</v>
      </c>
      <c r="AW22">
        <f t="shared" si="21"/>
        <v>0</v>
      </c>
      <c r="AX22">
        <f t="shared" si="21"/>
        <v>0</v>
      </c>
      <c r="AY22">
        <f t="shared" si="22"/>
        <v>7.8227744158499277</v>
      </c>
    </row>
    <row r="23" spans="1:53" ht="15" x14ac:dyDescent="0.25">
      <c r="A23" s="1"/>
      <c r="B23" s="2"/>
      <c r="C23" s="1" t="s">
        <v>10</v>
      </c>
      <c r="D23">
        <v>0</v>
      </c>
      <c r="E23" s="360">
        <v>0</v>
      </c>
      <c r="F23">
        <v>0</v>
      </c>
      <c r="G23">
        <v>0</v>
      </c>
      <c r="H23">
        <v>0</v>
      </c>
      <c r="J23">
        <v>0</v>
      </c>
      <c r="K23" s="14">
        <v>0</v>
      </c>
      <c r="L23">
        <v>0</v>
      </c>
      <c r="M23">
        <v>0</v>
      </c>
      <c r="N23">
        <v>0</v>
      </c>
      <c r="O23" s="20"/>
      <c r="P23" s="20"/>
      <c r="Q23" s="438"/>
      <c r="R23" s="197">
        <v>0.3</v>
      </c>
      <c r="S23" s="197">
        <v>2.29</v>
      </c>
      <c r="T23" s="197">
        <v>0.50078889239507718</v>
      </c>
      <c r="U23" s="197">
        <v>0.75268470790377973</v>
      </c>
      <c r="V23" s="20">
        <f t="shared" si="12"/>
        <v>0</v>
      </c>
      <c r="W23" s="20">
        <f t="shared" si="12"/>
        <v>0</v>
      </c>
      <c r="X23" s="20">
        <f t="shared" si="12"/>
        <v>0</v>
      </c>
      <c r="Y23" s="20">
        <f t="shared" si="12"/>
        <v>0</v>
      </c>
      <c r="Z23" s="20">
        <f t="shared" si="13"/>
        <v>0</v>
      </c>
      <c r="AA23" s="20">
        <f t="shared" si="13"/>
        <v>0</v>
      </c>
      <c r="AB23" s="20">
        <f t="shared" si="13"/>
        <v>0</v>
      </c>
      <c r="AC23" s="20">
        <f t="shared" si="13"/>
        <v>0</v>
      </c>
      <c r="AD23" s="20">
        <f t="shared" si="14"/>
        <v>0</v>
      </c>
      <c r="AE23" s="20">
        <f t="shared" si="15"/>
        <v>0</v>
      </c>
      <c r="AF23" s="20">
        <f t="shared" si="15"/>
        <v>0</v>
      </c>
      <c r="AG23" s="20">
        <f t="shared" si="15"/>
        <v>0</v>
      </c>
      <c r="AH23" s="20">
        <f t="shared" si="15"/>
        <v>0</v>
      </c>
      <c r="AI23" s="20">
        <f t="shared" si="16"/>
        <v>0</v>
      </c>
      <c r="AJ23" s="20">
        <f t="shared" si="17"/>
        <v>0</v>
      </c>
      <c r="AK23" s="20">
        <f t="shared" si="17"/>
        <v>0</v>
      </c>
      <c r="AL23" s="20">
        <f t="shared" si="17"/>
        <v>0</v>
      </c>
      <c r="AM23" s="20">
        <f t="shared" si="18"/>
        <v>0</v>
      </c>
      <c r="AO23">
        <f t="shared" si="19"/>
        <v>0</v>
      </c>
      <c r="AP23">
        <f t="shared" si="19"/>
        <v>0</v>
      </c>
      <c r="AQ23">
        <f t="shared" si="19"/>
        <v>0</v>
      </c>
      <c r="AR23">
        <f t="shared" si="19"/>
        <v>0</v>
      </c>
      <c r="AS23">
        <f t="shared" si="20"/>
        <v>0</v>
      </c>
      <c r="AU23">
        <f t="shared" si="21"/>
        <v>0</v>
      </c>
      <c r="AV23">
        <f t="shared" si="21"/>
        <v>0</v>
      </c>
      <c r="AW23">
        <f t="shared" si="21"/>
        <v>0</v>
      </c>
      <c r="AX23">
        <f t="shared" si="21"/>
        <v>0</v>
      </c>
      <c r="AY23">
        <f t="shared" si="22"/>
        <v>0</v>
      </c>
    </row>
    <row r="24" spans="1:53" ht="15" x14ac:dyDescent="0.25">
      <c r="A24" s="1"/>
      <c r="B24" s="2"/>
      <c r="C24" s="1" t="s">
        <v>11</v>
      </c>
      <c r="D24">
        <v>0</v>
      </c>
      <c r="E24" s="360">
        <v>0.63349999999999995</v>
      </c>
      <c r="F24">
        <v>0</v>
      </c>
      <c r="G24">
        <v>0</v>
      </c>
      <c r="H24">
        <v>0</v>
      </c>
      <c r="J24">
        <v>0</v>
      </c>
      <c r="K24" s="14">
        <v>-9.2556332118376989</v>
      </c>
      <c r="L24">
        <v>0</v>
      </c>
      <c r="M24">
        <v>0</v>
      </c>
      <c r="N24">
        <v>0</v>
      </c>
      <c r="O24" s="20"/>
      <c r="P24" s="20"/>
      <c r="Q24" s="438">
        <v>0.24827798487889388</v>
      </c>
      <c r="R24" s="197">
        <v>0.3</v>
      </c>
      <c r="S24" s="197">
        <v>2.29</v>
      </c>
      <c r="T24" s="197">
        <v>0.50078889239507718</v>
      </c>
      <c r="U24" s="197">
        <v>0.75268470790377973</v>
      </c>
      <c r="V24" s="20">
        <f t="shared" si="12"/>
        <v>0.47185231026233776</v>
      </c>
      <c r="W24" s="20">
        <f t="shared" si="12"/>
        <v>0</v>
      </c>
      <c r="X24" s="20">
        <f t="shared" si="12"/>
        <v>0</v>
      </c>
      <c r="Y24" s="20">
        <f t="shared" si="12"/>
        <v>0</v>
      </c>
      <c r="Z24" s="20">
        <f t="shared" si="13"/>
        <v>0.27928763512880223</v>
      </c>
      <c r="AA24" s="20">
        <f t="shared" si="13"/>
        <v>0</v>
      </c>
      <c r="AB24" s="20">
        <f t="shared" si="13"/>
        <v>0</v>
      </c>
      <c r="AC24" s="20">
        <f t="shared" si="13"/>
        <v>0</v>
      </c>
      <c r="AD24" s="20">
        <f t="shared" si="14"/>
        <v>0.27928763512880223</v>
      </c>
      <c r="AE24" s="20">
        <f t="shared" si="15"/>
        <v>3.601805968335845</v>
      </c>
      <c r="AF24" s="20">
        <f t="shared" si="15"/>
        <v>0</v>
      </c>
      <c r="AG24" s="20">
        <f t="shared" si="15"/>
        <v>0</v>
      </c>
      <c r="AH24" s="20">
        <f t="shared" si="15"/>
        <v>0</v>
      </c>
      <c r="AI24" s="20">
        <f t="shared" si="16"/>
        <v>2.8735943903122463</v>
      </c>
      <c r="AJ24" s="20">
        <f t="shared" si="17"/>
        <v>0</v>
      </c>
      <c r="AK24" s="20">
        <f t="shared" si="17"/>
        <v>0</v>
      </c>
      <c r="AL24" s="20">
        <f t="shared" si="17"/>
        <v>0</v>
      </c>
      <c r="AM24" s="20">
        <f t="shared" si="18"/>
        <v>2.8735943903122463</v>
      </c>
      <c r="AO24">
        <f t="shared" si="19"/>
        <v>0.31051199273620228</v>
      </c>
      <c r="AP24">
        <f t="shared" si="19"/>
        <v>0</v>
      </c>
      <c r="AQ24">
        <f t="shared" si="19"/>
        <v>0</v>
      </c>
      <c r="AR24">
        <f t="shared" si="19"/>
        <v>0</v>
      </c>
      <c r="AS24">
        <f t="shared" si="20"/>
        <v>0.31051199273620228</v>
      </c>
      <c r="AU24">
        <f t="shared" si="21"/>
        <v>3.1948622431491551</v>
      </c>
      <c r="AV24">
        <f t="shared" si="21"/>
        <v>0</v>
      </c>
      <c r="AW24">
        <f t="shared" si="21"/>
        <v>0</v>
      </c>
      <c r="AX24">
        <f t="shared" si="21"/>
        <v>0</v>
      </c>
      <c r="AY24">
        <f t="shared" si="22"/>
        <v>3.1948622431491551</v>
      </c>
    </row>
    <row r="25" spans="1:53" ht="15" x14ac:dyDescent="0.25">
      <c r="A25" s="1"/>
      <c r="B25" s="2"/>
      <c r="C25" s="1" t="s">
        <v>12</v>
      </c>
      <c r="D25">
        <v>0</v>
      </c>
      <c r="E25" s="360">
        <v>0</v>
      </c>
      <c r="F25">
        <v>0</v>
      </c>
      <c r="G25">
        <v>0</v>
      </c>
      <c r="H25">
        <v>0</v>
      </c>
      <c r="J25">
        <v>0</v>
      </c>
      <c r="K25" s="14">
        <v>0</v>
      </c>
      <c r="L25">
        <v>0</v>
      </c>
      <c r="M25">
        <v>0</v>
      </c>
      <c r="N25">
        <v>0</v>
      </c>
      <c r="O25" s="20"/>
      <c r="P25" s="20"/>
      <c r="Q25" s="438"/>
      <c r="R25" s="197">
        <v>0.3</v>
      </c>
      <c r="S25" s="197">
        <v>2.29</v>
      </c>
      <c r="T25" s="197">
        <v>0.50078889239507718</v>
      </c>
      <c r="U25" s="197">
        <v>0.75268470790377973</v>
      </c>
      <c r="V25" s="20">
        <f t="shared" si="12"/>
        <v>0</v>
      </c>
      <c r="W25" s="20">
        <f t="shared" si="12"/>
        <v>0</v>
      </c>
      <c r="X25" s="20">
        <f t="shared" si="12"/>
        <v>0</v>
      </c>
      <c r="Y25" s="20">
        <f t="shared" si="12"/>
        <v>0</v>
      </c>
      <c r="Z25" s="20">
        <f t="shared" si="13"/>
        <v>0</v>
      </c>
      <c r="AA25" s="20">
        <f t="shared" si="13"/>
        <v>0</v>
      </c>
      <c r="AB25" s="20">
        <f t="shared" si="13"/>
        <v>0</v>
      </c>
      <c r="AC25" s="20">
        <f t="shared" si="13"/>
        <v>0</v>
      </c>
      <c r="AD25" s="20">
        <f t="shared" si="14"/>
        <v>0</v>
      </c>
      <c r="AE25" s="20">
        <f t="shared" si="15"/>
        <v>0</v>
      </c>
      <c r="AF25" s="20">
        <f t="shared" si="15"/>
        <v>0</v>
      </c>
      <c r="AG25" s="20">
        <f t="shared" si="15"/>
        <v>0</v>
      </c>
      <c r="AH25" s="20">
        <f t="shared" si="15"/>
        <v>0</v>
      </c>
      <c r="AI25" s="20">
        <f t="shared" si="16"/>
        <v>0</v>
      </c>
      <c r="AJ25" s="20">
        <f t="shared" si="17"/>
        <v>0</v>
      </c>
      <c r="AK25" s="20">
        <f t="shared" si="17"/>
        <v>0</v>
      </c>
      <c r="AL25" s="20">
        <f t="shared" si="17"/>
        <v>0</v>
      </c>
      <c r="AM25" s="20">
        <f t="shared" si="18"/>
        <v>0</v>
      </c>
      <c r="AO25">
        <f t="shared" si="19"/>
        <v>0</v>
      </c>
      <c r="AP25">
        <f t="shared" si="19"/>
        <v>0</v>
      </c>
      <c r="AQ25">
        <f t="shared" si="19"/>
        <v>0</v>
      </c>
      <c r="AR25">
        <f t="shared" si="19"/>
        <v>0</v>
      </c>
      <c r="AS25">
        <f t="shared" si="20"/>
        <v>0</v>
      </c>
      <c r="AU25">
        <f t="shared" si="21"/>
        <v>0</v>
      </c>
      <c r="AV25">
        <f t="shared" si="21"/>
        <v>0</v>
      </c>
      <c r="AW25">
        <f t="shared" si="21"/>
        <v>0</v>
      </c>
      <c r="AX25">
        <f t="shared" si="21"/>
        <v>0</v>
      </c>
      <c r="AY25">
        <f t="shared" si="22"/>
        <v>0</v>
      </c>
    </row>
    <row r="26" spans="1:53" ht="15" x14ac:dyDescent="0.25">
      <c r="A26" s="1"/>
      <c r="B26" s="2"/>
      <c r="C26" s="1" t="s">
        <v>13</v>
      </c>
      <c r="D26">
        <v>0</v>
      </c>
      <c r="E26" s="360">
        <v>3.5499999999999997E-2</v>
      </c>
      <c r="F26">
        <v>0</v>
      </c>
      <c r="G26">
        <v>0</v>
      </c>
      <c r="H26">
        <v>0</v>
      </c>
      <c r="J26">
        <v>0</v>
      </c>
      <c r="K26" s="14">
        <v>-1.4578033836145998</v>
      </c>
      <c r="L26">
        <v>0</v>
      </c>
      <c r="M26">
        <v>0</v>
      </c>
      <c r="N26">
        <v>0</v>
      </c>
      <c r="O26" s="20"/>
      <c r="P26" s="20"/>
      <c r="Q26" s="438">
        <v>0.24827798487889388</v>
      </c>
      <c r="R26" s="197">
        <v>0.3</v>
      </c>
      <c r="S26" s="197">
        <v>2.29</v>
      </c>
      <c r="T26" s="197">
        <v>0.50078889239507718</v>
      </c>
      <c r="U26" s="197">
        <v>0.75268470790377973</v>
      </c>
      <c r="V26" s="20">
        <f t="shared" si="12"/>
        <v>2.6441605389602194E-2</v>
      </c>
      <c r="W26" s="20">
        <f t="shared" si="12"/>
        <v>0</v>
      </c>
      <c r="X26" s="20">
        <f t="shared" si="12"/>
        <v>0</v>
      </c>
      <c r="Y26" s="20">
        <f t="shared" si="12"/>
        <v>0</v>
      </c>
      <c r="Z26" s="20">
        <f t="shared" si="13"/>
        <v>1.5650688314242274E-2</v>
      </c>
      <c r="AA26" s="20">
        <f t="shared" si="13"/>
        <v>0</v>
      </c>
      <c r="AB26" s="20">
        <f t="shared" si="13"/>
        <v>0</v>
      </c>
      <c r="AC26" s="20">
        <f t="shared" si="13"/>
        <v>0</v>
      </c>
      <c r="AD26" s="20">
        <f t="shared" si="14"/>
        <v>1.5650688314242274E-2</v>
      </c>
      <c r="AE26" s="20">
        <f t="shared" si="15"/>
        <v>0.20183758780729674</v>
      </c>
      <c r="AF26" s="20">
        <f t="shared" si="15"/>
        <v>0</v>
      </c>
      <c r="AG26" s="20">
        <f t="shared" si="15"/>
        <v>0</v>
      </c>
      <c r="AH26" s="20">
        <f t="shared" si="15"/>
        <v>0</v>
      </c>
      <c r="AI26" s="20">
        <f t="shared" si="16"/>
        <v>0.16103015131189383</v>
      </c>
      <c r="AJ26" s="20">
        <f t="shared" si="17"/>
        <v>0</v>
      </c>
      <c r="AK26" s="20">
        <f t="shared" si="17"/>
        <v>0</v>
      </c>
      <c r="AL26" s="20">
        <f t="shared" si="17"/>
        <v>0</v>
      </c>
      <c r="AM26" s="20">
        <f t="shared" si="18"/>
        <v>0.16103015131189383</v>
      </c>
      <c r="AO26">
        <f t="shared" si="19"/>
        <v>1.7400435267774558E-2</v>
      </c>
      <c r="AP26">
        <f t="shared" si="19"/>
        <v>0</v>
      </c>
      <c r="AQ26">
        <f t="shared" si="19"/>
        <v>0</v>
      </c>
      <c r="AR26">
        <f t="shared" si="19"/>
        <v>0</v>
      </c>
      <c r="AS26">
        <f t="shared" si="20"/>
        <v>1.7400435267774558E-2</v>
      </c>
      <c r="AU26">
        <f t="shared" si="21"/>
        <v>0.17903332222856355</v>
      </c>
      <c r="AV26">
        <f t="shared" si="21"/>
        <v>0</v>
      </c>
      <c r="AW26">
        <f t="shared" si="21"/>
        <v>0</v>
      </c>
      <c r="AX26">
        <f t="shared" si="21"/>
        <v>0</v>
      </c>
      <c r="AY26">
        <f t="shared" si="22"/>
        <v>0.17903332222856355</v>
      </c>
    </row>
    <row r="27" spans="1:53" ht="15" x14ac:dyDescent="0.25">
      <c r="A27" s="7"/>
      <c r="B27" s="8" t="s">
        <v>14</v>
      </c>
      <c r="C27" s="7"/>
      <c r="D27" s="357">
        <f t="shared" ref="D27:H27" si="23">SUM(D21:D26)</f>
        <v>0</v>
      </c>
      <c r="E27" s="363">
        <f>SUM(E21:E26)</f>
        <v>19.063399999999998</v>
      </c>
      <c r="F27" s="357">
        <f t="shared" si="23"/>
        <v>0</v>
      </c>
      <c r="G27" s="357">
        <f t="shared" si="23"/>
        <v>0</v>
      </c>
      <c r="H27" s="357">
        <f t="shared" si="23"/>
        <v>0</v>
      </c>
      <c r="J27">
        <v>0</v>
      </c>
      <c r="K27" s="14">
        <v>-51.114502991655911</v>
      </c>
      <c r="L27">
        <v>0</v>
      </c>
      <c r="M27">
        <v>0</v>
      </c>
      <c r="N27">
        <v>0</v>
      </c>
      <c r="O27" s="20"/>
      <c r="P27" s="20"/>
      <c r="Q27" s="438">
        <v>0.16928632734723176</v>
      </c>
      <c r="R27" s="197"/>
      <c r="S27" s="197"/>
      <c r="T27" s="197"/>
      <c r="U27" s="197"/>
      <c r="BA27" s="319">
        <f>(E27*10000*Q27*AU$10)</f>
        <v>35879.709111048032</v>
      </c>
    </row>
    <row r="28" spans="1:53" ht="15" x14ac:dyDescent="0.25">
      <c r="A28" s="5"/>
      <c r="B28" s="9" t="s">
        <v>15</v>
      </c>
      <c r="C28" s="5"/>
      <c r="E28" s="363">
        <f>SUM(E27)</f>
        <v>19.063399999999998</v>
      </c>
      <c r="H28" s="358">
        <f>SUM(D27:H27)</f>
        <v>19.063399999999998</v>
      </c>
      <c r="K28" s="14"/>
      <c r="N28">
        <v>0</v>
      </c>
      <c r="O28" s="20"/>
      <c r="P28" s="20"/>
      <c r="Q28" s="438"/>
      <c r="R28" s="197"/>
      <c r="S28" s="197"/>
      <c r="T28" s="197"/>
      <c r="U28" s="197"/>
    </row>
    <row r="29" spans="1:53" ht="15.75" x14ac:dyDescent="0.25">
      <c r="A29" s="1"/>
      <c r="B29" s="2"/>
      <c r="C29" s="1"/>
      <c r="E29" s="361"/>
      <c r="K29" s="14"/>
      <c r="O29" s="20"/>
      <c r="P29" s="20"/>
      <c r="Q29" s="439"/>
      <c r="R29" s="197"/>
      <c r="S29" s="197"/>
      <c r="T29" s="197"/>
      <c r="U29" s="197"/>
    </row>
    <row r="30" spans="1:53" ht="15" x14ac:dyDescent="0.25">
      <c r="A30" s="1">
        <v>3</v>
      </c>
      <c r="B30" s="2" t="s">
        <v>17</v>
      </c>
      <c r="C30" s="1" t="s">
        <v>8</v>
      </c>
      <c r="D30">
        <v>0</v>
      </c>
      <c r="E30" s="360">
        <v>23.8947</v>
      </c>
      <c r="F30">
        <v>0</v>
      </c>
      <c r="G30">
        <v>0</v>
      </c>
      <c r="H30">
        <v>0</v>
      </c>
      <c r="J30">
        <v>0</v>
      </c>
      <c r="K30" s="14">
        <v>4.2351467865730008</v>
      </c>
      <c r="L30">
        <v>0</v>
      </c>
      <c r="M30">
        <v>0</v>
      </c>
      <c r="N30">
        <v>0</v>
      </c>
      <c r="O30" s="20"/>
      <c r="P30" s="20"/>
      <c r="Q30" s="438">
        <v>0.24998779078210898</v>
      </c>
      <c r="R30" s="197">
        <v>0.49</v>
      </c>
      <c r="S30" s="197">
        <v>2.42</v>
      </c>
      <c r="T30" s="197">
        <v>0.50078889239507718</v>
      </c>
      <c r="U30" s="197">
        <v>0.75268470790377973</v>
      </c>
      <c r="V30" s="20">
        <f t="shared" ref="V30:Y35" si="24">IF(K30&gt;0,((E30-K30)*$Q30*$R30*10)+(K30*$O$12*$Q30*$R30*10),(E30*$Q30*$R30*10))</f>
        <v>25.989601141941343</v>
      </c>
      <c r="W30" s="20">
        <f t="shared" si="24"/>
        <v>0</v>
      </c>
      <c r="X30" s="20">
        <f t="shared" si="24"/>
        <v>0</v>
      </c>
      <c r="Y30" s="20">
        <f t="shared" si="24"/>
        <v>0</v>
      </c>
      <c r="Z30" s="20">
        <f t="shared" ref="Z30:AC35" si="25">V30*(EXP(1.01-0.34*LN(Z$8))*(1-$T30)+(1*$T30))</f>
        <v>15.383148673867963</v>
      </c>
      <c r="AA30" s="20">
        <f t="shared" si="25"/>
        <v>0</v>
      </c>
      <c r="AB30" s="20">
        <f t="shared" si="25"/>
        <v>0</v>
      </c>
      <c r="AC30" s="20">
        <f t="shared" si="25"/>
        <v>0</v>
      </c>
      <c r="AD30" s="20">
        <f t="shared" ref="AD30:AD35" si="26">SUM(Z30:AC30)</f>
        <v>15.383148673867963</v>
      </c>
      <c r="AE30" s="20">
        <f t="shared" ref="AE30:AH35" si="27">IF(K30&gt;0,((E30-K30)*$Q30*$S30*10)+(K30*$P$12*$Q30*$S30)*10,(E30*$Q30*$S30*10))</f>
        <v>133.77260704309484</v>
      </c>
      <c r="AF30" s="20">
        <f t="shared" si="27"/>
        <v>0</v>
      </c>
      <c r="AG30" s="20">
        <f t="shared" si="27"/>
        <v>0</v>
      </c>
      <c r="AH30" s="20">
        <f t="shared" si="27"/>
        <v>0</v>
      </c>
      <c r="AI30" s="20">
        <f t="shared" ref="AI30:AI35" si="28">AE30*(EXP(1.01-0.34*LN(AI$8))*(1-$U30)+(1*$U30))</f>
        <v>106.72651901737264</v>
      </c>
      <c r="AJ30" s="20">
        <f t="shared" ref="AJ30:AL35" si="29">AF30*(EXP(1.01-0.34*LN(AJ$8))*(1-$T30)+(1*$T30))</f>
        <v>0</v>
      </c>
      <c r="AK30" s="20">
        <f t="shared" si="29"/>
        <v>0</v>
      </c>
      <c r="AL30" s="20">
        <f t="shared" si="29"/>
        <v>0</v>
      </c>
      <c r="AM30" s="20">
        <f t="shared" ref="AM30:AM35" si="30">SUM(AI30:AL30)</f>
        <v>106.72651901737264</v>
      </c>
      <c r="AO30">
        <f t="shared" ref="AO30:AR35" si="31">Z30*AO$10</f>
        <v>17.102984695606398</v>
      </c>
      <c r="AP30">
        <f t="shared" si="31"/>
        <v>0</v>
      </c>
      <c r="AQ30">
        <f t="shared" si="31"/>
        <v>0</v>
      </c>
      <c r="AR30">
        <f t="shared" si="31"/>
        <v>0</v>
      </c>
      <c r="AS30">
        <f t="shared" ref="AS30:AS35" si="32">SUM(AO30:AR30)</f>
        <v>17.102984695606398</v>
      </c>
      <c r="AU30">
        <f t="shared" ref="AU30:AX35" si="33">AI30*AU$10</f>
        <v>118.65854384351489</v>
      </c>
      <c r="AV30">
        <f t="shared" si="33"/>
        <v>0</v>
      </c>
      <c r="AW30">
        <f t="shared" si="33"/>
        <v>0</v>
      </c>
      <c r="AX30">
        <f t="shared" si="33"/>
        <v>0</v>
      </c>
      <c r="AY30">
        <f t="shared" ref="AY30:AY35" si="34">SUM(AU30:AX30)</f>
        <v>118.65854384351489</v>
      </c>
    </row>
    <row r="31" spans="1:53" ht="15" x14ac:dyDescent="0.25">
      <c r="A31" s="1"/>
      <c r="B31" s="2"/>
      <c r="C31" s="1" t="s">
        <v>9</v>
      </c>
      <c r="D31">
        <v>0</v>
      </c>
      <c r="E31" s="360">
        <v>3.4548999999999999</v>
      </c>
      <c r="F31">
        <v>0</v>
      </c>
      <c r="G31">
        <v>0</v>
      </c>
      <c r="H31">
        <v>0</v>
      </c>
      <c r="J31">
        <v>0</v>
      </c>
      <c r="K31" s="14">
        <v>3.4548999999999999</v>
      </c>
      <c r="L31">
        <v>0</v>
      </c>
      <c r="M31">
        <v>0</v>
      </c>
      <c r="N31">
        <v>0</v>
      </c>
      <c r="O31" s="20"/>
      <c r="P31" s="20"/>
      <c r="Q31" s="438">
        <v>0.27497558156421786</v>
      </c>
      <c r="R31" s="197">
        <v>0.49</v>
      </c>
      <c r="S31" s="197">
        <v>2.42</v>
      </c>
      <c r="T31" s="197">
        <v>0.50078889239507718</v>
      </c>
      <c r="U31" s="197">
        <v>0.75268470790377973</v>
      </c>
      <c r="V31" s="20">
        <f t="shared" si="24"/>
        <v>1.7119094426277759</v>
      </c>
      <c r="W31" s="20">
        <f t="shared" si="24"/>
        <v>0</v>
      </c>
      <c r="X31" s="20">
        <f t="shared" si="24"/>
        <v>0</v>
      </c>
      <c r="Y31" s="20">
        <f t="shared" si="24"/>
        <v>0</v>
      </c>
      <c r="Z31" s="20">
        <f t="shared" si="25"/>
        <v>1.0132728597224792</v>
      </c>
      <c r="AA31" s="20">
        <f t="shared" si="25"/>
        <v>0</v>
      </c>
      <c r="AB31" s="20">
        <f t="shared" si="25"/>
        <v>0</v>
      </c>
      <c r="AC31" s="20">
        <f t="shared" si="25"/>
        <v>0</v>
      </c>
      <c r="AD31" s="20">
        <f t="shared" si="26"/>
        <v>1.0132728597224792</v>
      </c>
      <c r="AE31" s="20">
        <f t="shared" si="27"/>
        <v>13.314387366732879</v>
      </c>
      <c r="AF31" s="20">
        <f t="shared" si="27"/>
        <v>0</v>
      </c>
      <c r="AG31" s="20">
        <f t="shared" si="27"/>
        <v>0</v>
      </c>
      <c r="AH31" s="20">
        <f t="shared" si="27"/>
        <v>0</v>
      </c>
      <c r="AI31" s="20">
        <f t="shared" si="28"/>
        <v>10.622490268448667</v>
      </c>
      <c r="AJ31" s="20">
        <f t="shared" si="29"/>
        <v>0</v>
      </c>
      <c r="AK31" s="20">
        <f t="shared" si="29"/>
        <v>0</v>
      </c>
      <c r="AL31" s="20">
        <f t="shared" si="29"/>
        <v>0</v>
      </c>
      <c r="AM31" s="20">
        <f t="shared" si="30"/>
        <v>10.622490268448667</v>
      </c>
      <c r="AO31">
        <f t="shared" si="31"/>
        <v>1.1265567654394522</v>
      </c>
      <c r="AP31">
        <f t="shared" si="31"/>
        <v>0</v>
      </c>
      <c r="AQ31">
        <f t="shared" si="31"/>
        <v>0</v>
      </c>
      <c r="AR31">
        <f t="shared" si="31"/>
        <v>0</v>
      </c>
      <c r="AS31">
        <f t="shared" si="32"/>
        <v>1.1265567654394522</v>
      </c>
      <c r="AU31">
        <f t="shared" si="33"/>
        <v>11.810084680461227</v>
      </c>
      <c r="AV31">
        <f t="shared" si="33"/>
        <v>0</v>
      </c>
      <c r="AW31">
        <f t="shared" si="33"/>
        <v>0</v>
      </c>
      <c r="AX31">
        <f t="shared" si="33"/>
        <v>0</v>
      </c>
      <c r="AY31">
        <f t="shared" si="34"/>
        <v>11.810084680461227</v>
      </c>
    </row>
    <row r="32" spans="1:53" ht="15" x14ac:dyDescent="0.25">
      <c r="A32" s="1"/>
      <c r="B32" s="2"/>
      <c r="C32" s="1" t="s">
        <v>10</v>
      </c>
      <c r="D32">
        <v>0</v>
      </c>
      <c r="E32" s="360">
        <v>1.1971000000000001</v>
      </c>
      <c r="F32">
        <v>0</v>
      </c>
      <c r="G32">
        <v>0</v>
      </c>
      <c r="H32">
        <v>0</v>
      </c>
      <c r="J32">
        <v>0</v>
      </c>
      <c r="K32" s="14">
        <v>2.8251047800000872E-3</v>
      </c>
      <c r="L32">
        <v>0</v>
      </c>
      <c r="M32">
        <v>0</v>
      </c>
      <c r="N32">
        <v>0</v>
      </c>
      <c r="O32" s="20"/>
      <c r="P32" s="20"/>
      <c r="Q32" s="438">
        <v>0.29996337234632686</v>
      </c>
      <c r="R32" s="197">
        <v>0.49</v>
      </c>
      <c r="S32" s="197">
        <v>2.42</v>
      </c>
      <c r="T32" s="197">
        <v>0.50078889239507718</v>
      </c>
      <c r="U32" s="197">
        <v>0.75268470790377973</v>
      </c>
      <c r="V32" s="20">
        <f t="shared" si="24"/>
        <v>1.7568968053712342</v>
      </c>
      <c r="W32" s="20">
        <f t="shared" si="24"/>
        <v>0</v>
      </c>
      <c r="X32" s="20">
        <f t="shared" si="24"/>
        <v>0</v>
      </c>
      <c r="Y32" s="20">
        <f t="shared" si="24"/>
        <v>0</v>
      </c>
      <c r="Z32" s="20">
        <f t="shared" si="25"/>
        <v>1.0399007131377069</v>
      </c>
      <c r="AA32" s="20">
        <f t="shared" si="25"/>
        <v>0</v>
      </c>
      <c r="AB32" s="20">
        <f t="shared" si="25"/>
        <v>0</v>
      </c>
      <c r="AC32" s="20">
        <f t="shared" si="25"/>
        <v>0</v>
      </c>
      <c r="AD32" s="20">
        <f t="shared" si="26"/>
        <v>1.0399007131377069</v>
      </c>
      <c r="AE32" s="20">
        <f t="shared" si="27"/>
        <v>8.6812538080264776</v>
      </c>
      <c r="AF32" s="20">
        <f t="shared" si="27"/>
        <v>0</v>
      </c>
      <c r="AG32" s="20">
        <f t="shared" si="27"/>
        <v>0</v>
      </c>
      <c r="AH32" s="20">
        <f t="shared" si="27"/>
        <v>0</v>
      </c>
      <c r="AI32" s="20">
        <f t="shared" si="28"/>
        <v>6.9260816554057145</v>
      </c>
      <c r="AJ32" s="20">
        <f t="shared" si="29"/>
        <v>0</v>
      </c>
      <c r="AK32" s="20">
        <f t="shared" si="29"/>
        <v>0</v>
      </c>
      <c r="AL32" s="20">
        <f t="shared" si="29"/>
        <v>0</v>
      </c>
      <c r="AM32" s="20">
        <f t="shared" si="30"/>
        <v>6.9260816554057145</v>
      </c>
      <c r="AO32">
        <f t="shared" si="31"/>
        <v>1.1561616128665024</v>
      </c>
      <c r="AP32">
        <f t="shared" si="31"/>
        <v>0</v>
      </c>
      <c r="AQ32">
        <f t="shared" si="31"/>
        <v>0</v>
      </c>
      <c r="AR32">
        <f t="shared" si="31"/>
        <v>0</v>
      </c>
      <c r="AS32">
        <f t="shared" si="32"/>
        <v>1.1561616128665024</v>
      </c>
      <c r="AU32">
        <f t="shared" si="33"/>
        <v>7.7004175844800731</v>
      </c>
      <c r="AV32">
        <f t="shared" si="33"/>
        <v>0</v>
      </c>
      <c r="AW32">
        <f t="shared" si="33"/>
        <v>0</v>
      </c>
      <c r="AX32">
        <f t="shared" si="33"/>
        <v>0</v>
      </c>
      <c r="AY32">
        <f t="shared" si="34"/>
        <v>7.7004175844800731</v>
      </c>
    </row>
    <row r="33" spans="1:53" ht="15" x14ac:dyDescent="0.25">
      <c r="A33" s="1"/>
      <c r="B33" s="2"/>
      <c r="C33" s="1" t="s">
        <v>11</v>
      </c>
      <c r="D33">
        <v>0</v>
      </c>
      <c r="E33" s="360">
        <v>9.5062999999999995</v>
      </c>
      <c r="F33">
        <v>0</v>
      </c>
      <c r="G33">
        <v>0</v>
      </c>
      <c r="H33">
        <v>0</v>
      </c>
      <c r="J33">
        <v>0</v>
      </c>
      <c r="K33" s="14">
        <v>9.3638368422762763</v>
      </c>
      <c r="L33">
        <v>0</v>
      </c>
      <c r="M33">
        <v>0</v>
      </c>
      <c r="N33">
        <v>0</v>
      </c>
      <c r="O33" s="20"/>
      <c r="P33" s="20"/>
      <c r="Q33" s="438">
        <v>0.3249511631284358</v>
      </c>
      <c r="R33" s="197">
        <v>0.49</v>
      </c>
      <c r="S33" s="197">
        <v>2.42</v>
      </c>
      <c r="T33" s="197">
        <v>0.50078889239507718</v>
      </c>
      <c r="U33" s="197">
        <v>0.75268470790377973</v>
      </c>
      <c r="V33" s="20">
        <f t="shared" si="24"/>
        <v>5.7098999018489529</v>
      </c>
      <c r="W33" s="20">
        <f t="shared" si="24"/>
        <v>0</v>
      </c>
      <c r="X33" s="20">
        <f t="shared" si="24"/>
        <v>0</v>
      </c>
      <c r="Y33" s="20">
        <f t="shared" si="24"/>
        <v>0</v>
      </c>
      <c r="Z33" s="20">
        <f t="shared" si="25"/>
        <v>3.3796686075839268</v>
      </c>
      <c r="AA33" s="20">
        <f t="shared" si="25"/>
        <v>0</v>
      </c>
      <c r="AB33" s="20">
        <f t="shared" si="25"/>
        <v>0</v>
      </c>
      <c r="AC33" s="20">
        <f t="shared" si="25"/>
        <v>0</v>
      </c>
      <c r="AD33" s="20">
        <f t="shared" si="26"/>
        <v>3.3796686075839268</v>
      </c>
      <c r="AE33" s="20">
        <f t="shared" si="27"/>
        <v>43.764851917137626</v>
      </c>
      <c r="AF33" s="20">
        <f t="shared" si="27"/>
        <v>0</v>
      </c>
      <c r="AG33" s="20">
        <f t="shared" si="27"/>
        <v>0</v>
      </c>
      <c r="AH33" s="20">
        <f t="shared" si="27"/>
        <v>0</v>
      </c>
      <c r="AI33" s="20">
        <f t="shared" si="28"/>
        <v>34.916493022537608</v>
      </c>
      <c r="AJ33" s="20">
        <f t="shared" si="29"/>
        <v>0</v>
      </c>
      <c r="AK33" s="20">
        <f t="shared" si="29"/>
        <v>0</v>
      </c>
      <c r="AL33" s="20">
        <f t="shared" si="29"/>
        <v>0</v>
      </c>
      <c r="AM33" s="20">
        <f t="shared" si="30"/>
        <v>34.916493022537608</v>
      </c>
      <c r="AO33">
        <f t="shared" si="31"/>
        <v>3.7575155579118094</v>
      </c>
      <c r="AP33">
        <f t="shared" si="31"/>
        <v>0</v>
      </c>
      <c r="AQ33">
        <f t="shared" si="31"/>
        <v>0</v>
      </c>
      <c r="AR33">
        <f t="shared" si="31"/>
        <v>0</v>
      </c>
      <c r="AS33">
        <f t="shared" si="32"/>
        <v>3.7575155579118094</v>
      </c>
      <c r="AU33">
        <f t="shared" si="33"/>
        <v>38.820156942457309</v>
      </c>
      <c r="AV33">
        <f t="shared" si="33"/>
        <v>0</v>
      </c>
      <c r="AW33">
        <f t="shared" si="33"/>
        <v>0</v>
      </c>
      <c r="AX33">
        <f t="shared" si="33"/>
        <v>0</v>
      </c>
      <c r="AY33">
        <f t="shared" si="34"/>
        <v>38.820156942457309</v>
      </c>
    </row>
    <row r="34" spans="1:53" ht="15" x14ac:dyDescent="0.25">
      <c r="A34" s="1"/>
      <c r="B34" s="2"/>
      <c r="C34" s="1" t="s">
        <v>12</v>
      </c>
      <c r="D34">
        <v>0</v>
      </c>
      <c r="E34" s="360">
        <v>0</v>
      </c>
      <c r="F34">
        <v>0</v>
      </c>
      <c r="G34">
        <v>0</v>
      </c>
      <c r="H34">
        <v>0</v>
      </c>
      <c r="J34">
        <v>0</v>
      </c>
      <c r="K34" s="14">
        <v>0</v>
      </c>
      <c r="L34">
        <v>0</v>
      </c>
      <c r="M34">
        <v>0</v>
      </c>
      <c r="N34">
        <v>0</v>
      </c>
      <c r="O34" s="20"/>
      <c r="P34" s="20"/>
      <c r="Q34" s="438"/>
      <c r="R34" s="197">
        <v>0.49</v>
      </c>
      <c r="S34" s="197">
        <v>2.42</v>
      </c>
      <c r="T34" s="197">
        <v>0.50078889239507718</v>
      </c>
      <c r="U34" s="197">
        <v>0.75268470790377973</v>
      </c>
      <c r="V34" s="20">
        <f t="shared" si="24"/>
        <v>0</v>
      </c>
      <c r="W34" s="20">
        <f t="shared" si="24"/>
        <v>0</v>
      </c>
      <c r="X34" s="20">
        <f t="shared" si="24"/>
        <v>0</v>
      </c>
      <c r="Y34" s="20">
        <f t="shared" si="24"/>
        <v>0</v>
      </c>
      <c r="Z34" s="20">
        <f t="shared" si="25"/>
        <v>0</v>
      </c>
      <c r="AA34" s="20">
        <f t="shared" si="25"/>
        <v>0</v>
      </c>
      <c r="AB34" s="20">
        <f t="shared" si="25"/>
        <v>0</v>
      </c>
      <c r="AC34" s="20">
        <f t="shared" si="25"/>
        <v>0</v>
      </c>
      <c r="AD34" s="20">
        <f t="shared" si="26"/>
        <v>0</v>
      </c>
      <c r="AE34" s="20">
        <f t="shared" si="27"/>
        <v>0</v>
      </c>
      <c r="AF34" s="20">
        <f t="shared" si="27"/>
        <v>0</v>
      </c>
      <c r="AG34" s="20">
        <f t="shared" si="27"/>
        <v>0</v>
      </c>
      <c r="AH34" s="20">
        <f t="shared" si="27"/>
        <v>0</v>
      </c>
      <c r="AI34" s="20">
        <f t="shared" si="28"/>
        <v>0</v>
      </c>
      <c r="AJ34" s="20">
        <f t="shared" si="29"/>
        <v>0</v>
      </c>
      <c r="AK34" s="20">
        <f t="shared" si="29"/>
        <v>0</v>
      </c>
      <c r="AL34" s="20">
        <f t="shared" si="29"/>
        <v>0</v>
      </c>
      <c r="AM34" s="20">
        <f t="shared" si="30"/>
        <v>0</v>
      </c>
      <c r="AO34">
        <f t="shared" si="31"/>
        <v>0</v>
      </c>
      <c r="AP34">
        <f t="shared" si="31"/>
        <v>0</v>
      </c>
      <c r="AQ34">
        <f t="shared" si="31"/>
        <v>0</v>
      </c>
      <c r="AR34">
        <f t="shared" si="31"/>
        <v>0</v>
      </c>
      <c r="AS34">
        <f t="shared" si="32"/>
        <v>0</v>
      </c>
      <c r="AU34">
        <f t="shared" si="33"/>
        <v>0</v>
      </c>
      <c r="AV34">
        <f t="shared" si="33"/>
        <v>0</v>
      </c>
      <c r="AW34">
        <f t="shared" si="33"/>
        <v>0</v>
      </c>
      <c r="AX34">
        <f t="shared" si="33"/>
        <v>0</v>
      </c>
      <c r="AY34">
        <f t="shared" si="34"/>
        <v>0</v>
      </c>
    </row>
    <row r="35" spans="1:53" ht="15" x14ac:dyDescent="0.25">
      <c r="A35" s="1"/>
      <c r="B35" s="2"/>
      <c r="C35" s="1" t="s">
        <v>13</v>
      </c>
      <c r="D35">
        <v>0</v>
      </c>
      <c r="E35" s="360">
        <v>4.8399999999999999E-2</v>
      </c>
      <c r="F35">
        <v>0</v>
      </c>
      <c r="G35">
        <v>0</v>
      </c>
      <c r="H35">
        <v>0</v>
      </c>
      <c r="J35">
        <v>0</v>
      </c>
      <c r="K35" s="14">
        <v>-0.1467011429</v>
      </c>
      <c r="L35">
        <v>0</v>
      </c>
      <c r="M35">
        <v>0</v>
      </c>
      <c r="N35">
        <v>0</v>
      </c>
      <c r="O35" s="20"/>
      <c r="P35" s="20"/>
      <c r="Q35" s="438">
        <v>0.3249511631284358</v>
      </c>
      <c r="R35" s="197">
        <v>0.49</v>
      </c>
      <c r="S35" s="197">
        <v>2.42</v>
      </c>
      <c r="T35" s="197">
        <v>0.50078889239507718</v>
      </c>
      <c r="U35" s="197">
        <v>0.75268470790377973</v>
      </c>
      <c r="V35" s="20">
        <f t="shared" si="24"/>
        <v>7.7065417847539827E-2</v>
      </c>
      <c r="W35" s="20">
        <f t="shared" si="24"/>
        <v>0</v>
      </c>
      <c r="X35" s="20">
        <f t="shared" si="24"/>
        <v>0</v>
      </c>
      <c r="Y35" s="20">
        <f t="shared" si="24"/>
        <v>0</v>
      </c>
      <c r="Z35" s="20">
        <f t="shared" si="25"/>
        <v>4.5614735443143047E-2</v>
      </c>
      <c r="AA35" s="20">
        <f t="shared" si="25"/>
        <v>0</v>
      </c>
      <c r="AB35" s="20">
        <f t="shared" si="25"/>
        <v>0</v>
      </c>
      <c r="AC35" s="20">
        <f t="shared" si="25"/>
        <v>0</v>
      </c>
      <c r="AD35" s="20">
        <f t="shared" si="26"/>
        <v>4.5614735443143047E-2</v>
      </c>
      <c r="AE35" s="20">
        <f t="shared" si="27"/>
        <v>0.38060879834907424</v>
      </c>
      <c r="AF35" s="20">
        <f t="shared" si="27"/>
        <v>0</v>
      </c>
      <c r="AG35" s="20">
        <f t="shared" si="27"/>
        <v>0</v>
      </c>
      <c r="AH35" s="20">
        <f t="shared" si="27"/>
        <v>0</v>
      </c>
      <c r="AI35" s="20">
        <f t="shared" si="28"/>
        <v>0.30365747557043382</v>
      </c>
      <c r="AJ35" s="20">
        <f t="shared" si="29"/>
        <v>0</v>
      </c>
      <c r="AK35" s="20">
        <f t="shared" si="29"/>
        <v>0</v>
      </c>
      <c r="AL35" s="20">
        <f t="shared" si="29"/>
        <v>0</v>
      </c>
      <c r="AM35" s="20">
        <f t="shared" si="30"/>
        <v>0.30365747557043382</v>
      </c>
      <c r="AO35">
        <f t="shared" si="31"/>
        <v>5.0714462865686434E-2</v>
      </c>
      <c r="AP35">
        <f t="shared" si="31"/>
        <v>0</v>
      </c>
      <c r="AQ35">
        <f t="shared" si="31"/>
        <v>0</v>
      </c>
      <c r="AR35">
        <f t="shared" si="31"/>
        <v>0</v>
      </c>
      <c r="AS35">
        <f t="shared" si="32"/>
        <v>5.0714462865686434E-2</v>
      </c>
      <c r="AU35">
        <f t="shared" si="33"/>
        <v>0.33760638133920828</v>
      </c>
      <c r="AV35">
        <f t="shared" si="33"/>
        <v>0</v>
      </c>
      <c r="AW35">
        <f t="shared" si="33"/>
        <v>0</v>
      </c>
      <c r="AX35">
        <f t="shared" si="33"/>
        <v>0</v>
      </c>
      <c r="AY35">
        <f t="shared" si="34"/>
        <v>0.33760638133920828</v>
      </c>
    </row>
    <row r="36" spans="1:53" ht="15" x14ac:dyDescent="0.25">
      <c r="A36" s="7"/>
      <c r="B36" s="8" t="s">
        <v>14</v>
      </c>
      <c r="C36" s="7"/>
      <c r="D36" s="357">
        <f t="shared" ref="D36:H36" si="35">SUM(D30:D35)</f>
        <v>0</v>
      </c>
      <c r="E36" s="363">
        <f>SUM(E30:E35)</f>
        <v>38.101399999999998</v>
      </c>
      <c r="F36" s="357">
        <f t="shared" si="35"/>
        <v>0</v>
      </c>
      <c r="G36" s="357">
        <f t="shared" si="35"/>
        <v>0</v>
      </c>
      <c r="H36" s="357">
        <f t="shared" si="35"/>
        <v>0</v>
      </c>
      <c r="J36">
        <v>0</v>
      </c>
      <c r="K36" s="14">
        <v>16.910007590729276</v>
      </c>
      <c r="L36">
        <v>0</v>
      </c>
      <c r="M36">
        <v>0</v>
      </c>
      <c r="N36">
        <v>0</v>
      </c>
      <c r="O36" s="20"/>
      <c r="P36" s="20"/>
      <c r="Q36" s="438">
        <v>0.27262235593774847</v>
      </c>
      <c r="R36" s="197"/>
      <c r="S36" s="197"/>
      <c r="T36" s="197"/>
      <c r="U36" s="197"/>
      <c r="BA36" s="319">
        <f>(E36*10000*Q36*AU$10)</f>
        <v>115485.92838282994</v>
      </c>
    </row>
    <row r="37" spans="1:53" ht="15" x14ac:dyDescent="0.25">
      <c r="A37" s="5"/>
      <c r="B37" s="9" t="s">
        <v>15</v>
      </c>
      <c r="C37" s="5"/>
      <c r="E37" s="363">
        <f>SUM(E36)</f>
        <v>38.101399999999998</v>
      </c>
      <c r="H37" s="358">
        <f>SUM(D36:H36)</f>
        <v>38.101399999999998</v>
      </c>
      <c r="K37" s="14"/>
      <c r="N37">
        <v>0</v>
      </c>
      <c r="O37" s="20"/>
      <c r="P37" s="20"/>
      <c r="Q37" s="438"/>
      <c r="R37" s="197"/>
      <c r="S37" s="197"/>
      <c r="T37" s="197"/>
      <c r="U37" s="197"/>
    </row>
    <row r="38" spans="1:53" ht="15.75" x14ac:dyDescent="0.25">
      <c r="A38" s="1"/>
      <c r="B38" s="2"/>
      <c r="C38" s="1"/>
      <c r="E38" s="362"/>
      <c r="K38" s="14"/>
      <c r="O38" s="20"/>
      <c r="P38" s="20"/>
      <c r="Q38" s="439"/>
      <c r="R38" s="197"/>
      <c r="S38" s="197"/>
      <c r="T38" s="197"/>
      <c r="U38" s="197"/>
    </row>
    <row r="39" spans="1:53" ht="15" x14ac:dyDescent="0.25">
      <c r="A39" s="1">
        <v>4</v>
      </c>
      <c r="B39" s="2" t="s">
        <v>18</v>
      </c>
      <c r="C39" s="1" t="s">
        <v>8</v>
      </c>
      <c r="D39">
        <v>0</v>
      </c>
      <c r="E39" s="360">
        <v>96.525899999999993</v>
      </c>
      <c r="F39">
        <v>0</v>
      </c>
      <c r="G39">
        <v>0</v>
      </c>
      <c r="H39">
        <v>0</v>
      </c>
      <c r="J39">
        <v>0</v>
      </c>
      <c r="K39" s="14">
        <v>93.906445392392087</v>
      </c>
      <c r="L39">
        <v>0</v>
      </c>
      <c r="M39">
        <v>0</v>
      </c>
      <c r="N39">
        <v>0</v>
      </c>
      <c r="O39" s="20"/>
      <c r="P39" s="20"/>
      <c r="Q39" s="438">
        <v>0.37999023262568715</v>
      </c>
      <c r="R39" s="197">
        <v>0.19500000000000001</v>
      </c>
      <c r="S39" s="197">
        <v>1.22</v>
      </c>
      <c r="T39" s="197">
        <v>0.4144562334217507</v>
      </c>
      <c r="U39" s="197">
        <v>0.6566321730950142</v>
      </c>
      <c r="V39" s="20">
        <f t="shared" ref="V39:Y44" si="36">IF(K39&gt;0,((E39-K39)*$Q39*$R39*10)+(K39*$O$12*$Q39*$R39*10),(E39*$Q39*$R39*10))</f>
        <v>27.530215146711996</v>
      </c>
      <c r="W39" s="20">
        <f t="shared" si="36"/>
        <v>0</v>
      </c>
      <c r="X39" s="20">
        <f t="shared" si="36"/>
        <v>0</v>
      </c>
      <c r="Y39" s="20">
        <f t="shared" si="36"/>
        <v>0</v>
      </c>
      <c r="Z39" s="20">
        <f t="shared" ref="Z39:AC44" si="37">V39*(EXP(1.01-0.34*LN(Z$8))*(1-$T39)+(1*$T39))</f>
        <v>14.352040373530141</v>
      </c>
      <c r="AA39" s="20">
        <f t="shared" si="37"/>
        <v>0</v>
      </c>
      <c r="AB39" s="20">
        <f t="shared" si="37"/>
        <v>0</v>
      </c>
      <c r="AC39" s="20">
        <f t="shared" si="37"/>
        <v>0</v>
      </c>
      <c r="AD39" s="20">
        <f t="shared" ref="AD39:AD44" si="38">SUM(Z39:AC39)</f>
        <v>14.352040373530141</v>
      </c>
      <c r="AE39" s="20">
        <f t="shared" ref="AE39:AH44" si="39">IF(K39&gt;0,((E39-K39)*$Q39*$S39*10)+(K39*$P$12*$Q39*$S39)*10,(E39*$Q39*$S39*10))</f>
        <v>264.26149332500006</v>
      </c>
      <c r="AF39" s="20">
        <f t="shared" si="39"/>
        <v>0</v>
      </c>
      <c r="AG39" s="20">
        <f t="shared" si="39"/>
        <v>0</v>
      </c>
      <c r="AH39" s="20">
        <f t="shared" si="39"/>
        <v>0</v>
      </c>
      <c r="AI39" s="20">
        <f t="shared" ref="AI39:AI44" si="40">AE39*(EXP(1.01-0.34*LN(AI$8))*(1-$U39)+(1*$U39))</f>
        <v>190.08269726649877</v>
      </c>
      <c r="AJ39" s="20">
        <f t="shared" ref="AJ39:AL44" si="41">AF39*(EXP(1.01-0.34*LN(AJ$8))*(1-$T39)+(1*$T39))</f>
        <v>0</v>
      </c>
      <c r="AK39" s="20">
        <f t="shared" si="41"/>
        <v>0</v>
      </c>
      <c r="AL39" s="20">
        <f t="shared" si="41"/>
        <v>0</v>
      </c>
      <c r="AM39" s="20">
        <f t="shared" ref="AM39:AM44" si="42">SUM(AI39:AL39)</f>
        <v>190.08269726649877</v>
      </c>
      <c r="AO39">
        <f t="shared" ref="AO39:AR44" si="43">Z39*AO$10</f>
        <v>15.956598487290808</v>
      </c>
      <c r="AP39">
        <f t="shared" si="43"/>
        <v>0</v>
      </c>
      <c r="AQ39">
        <f t="shared" si="43"/>
        <v>0</v>
      </c>
      <c r="AR39">
        <f t="shared" si="43"/>
        <v>0</v>
      </c>
      <c r="AS39">
        <f t="shared" ref="AS39:AS44" si="44">SUM(AO39:AR39)</f>
        <v>15.956598487290808</v>
      </c>
      <c r="AU39">
        <f t="shared" ref="AU39:AX44" si="45">AI39*AU$10</f>
        <v>211.3339428208933</v>
      </c>
      <c r="AV39">
        <f t="shared" si="45"/>
        <v>0</v>
      </c>
      <c r="AW39">
        <f t="shared" si="45"/>
        <v>0</v>
      </c>
      <c r="AX39">
        <f t="shared" si="45"/>
        <v>0</v>
      </c>
      <c r="AY39">
        <f t="shared" ref="AY39:AY44" si="46">SUM(AU39:AX39)</f>
        <v>211.3339428208933</v>
      </c>
    </row>
    <row r="40" spans="1:53" ht="15" x14ac:dyDescent="0.25">
      <c r="A40" s="1"/>
      <c r="B40" s="2"/>
      <c r="C40" s="1" t="s">
        <v>9</v>
      </c>
      <c r="D40">
        <v>0</v>
      </c>
      <c r="E40" s="360">
        <v>29.336099999999998</v>
      </c>
      <c r="F40">
        <v>0</v>
      </c>
      <c r="G40">
        <v>0</v>
      </c>
      <c r="H40">
        <v>0</v>
      </c>
      <c r="J40">
        <v>0</v>
      </c>
      <c r="K40" s="14">
        <v>29.336099999999998</v>
      </c>
      <c r="L40">
        <v>0</v>
      </c>
      <c r="M40">
        <v>0</v>
      </c>
      <c r="N40">
        <v>0</v>
      </c>
      <c r="O40" s="20"/>
      <c r="P40" s="20"/>
      <c r="Q40" s="438">
        <v>0.39998046525137432</v>
      </c>
      <c r="R40" s="197">
        <v>0.19500000000000001</v>
      </c>
      <c r="S40" s="197">
        <v>1.22</v>
      </c>
      <c r="T40" s="197">
        <v>0.4144562334217507</v>
      </c>
      <c r="U40" s="197">
        <v>0.6566321730950142</v>
      </c>
      <c r="V40" s="20">
        <f t="shared" si="36"/>
        <v>8.4145494427582754</v>
      </c>
      <c r="W40" s="20">
        <f t="shared" si="36"/>
        <v>0</v>
      </c>
      <c r="X40" s="20">
        <f t="shared" si="36"/>
        <v>0</v>
      </c>
      <c r="Y40" s="20">
        <f t="shared" si="36"/>
        <v>0</v>
      </c>
      <c r="Z40" s="20">
        <f t="shared" si="37"/>
        <v>4.386669435162613</v>
      </c>
      <c r="AA40" s="20">
        <f t="shared" si="37"/>
        <v>0</v>
      </c>
      <c r="AB40" s="20">
        <f t="shared" si="37"/>
        <v>0</v>
      </c>
      <c r="AC40" s="20">
        <f t="shared" si="37"/>
        <v>0</v>
      </c>
      <c r="AD40" s="20">
        <f t="shared" si="38"/>
        <v>4.386669435162613</v>
      </c>
      <c r="AE40" s="20">
        <f t="shared" si="39"/>
        <v>82.904327477863262</v>
      </c>
      <c r="AF40" s="20">
        <f t="shared" si="39"/>
        <v>0</v>
      </c>
      <c r="AG40" s="20">
        <f t="shared" si="39"/>
        <v>0</v>
      </c>
      <c r="AH40" s="20">
        <f t="shared" si="39"/>
        <v>0</v>
      </c>
      <c r="AI40" s="20">
        <f t="shared" si="40"/>
        <v>59.632896127914719</v>
      </c>
      <c r="AJ40" s="20">
        <f t="shared" si="41"/>
        <v>0</v>
      </c>
      <c r="AK40" s="20">
        <f t="shared" si="41"/>
        <v>0</v>
      </c>
      <c r="AL40" s="20">
        <f t="shared" si="41"/>
        <v>0</v>
      </c>
      <c r="AM40" s="20">
        <f t="shared" si="42"/>
        <v>59.632896127914719</v>
      </c>
      <c r="AO40">
        <f t="shared" si="43"/>
        <v>4.8770990780137931</v>
      </c>
      <c r="AP40">
        <f t="shared" si="43"/>
        <v>0</v>
      </c>
      <c r="AQ40">
        <f t="shared" si="43"/>
        <v>0</v>
      </c>
      <c r="AR40">
        <f t="shared" si="43"/>
        <v>0</v>
      </c>
      <c r="AS40">
        <f t="shared" si="44"/>
        <v>4.8770990780137931</v>
      </c>
      <c r="AU40">
        <f t="shared" si="45"/>
        <v>66.299853915015575</v>
      </c>
      <c r="AV40">
        <f t="shared" si="45"/>
        <v>0</v>
      </c>
      <c r="AW40">
        <f t="shared" si="45"/>
        <v>0</v>
      </c>
      <c r="AX40">
        <f t="shared" si="45"/>
        <v>0</v>
      </c>
      <c r="AY40">
        <f t="shared" si="46"/>
        <v>66.299853915015575</v>
      </c>
    </row>
    <row r="41" spans="1:53" ht="15" x14ac:dyDescent="0.25">
      <c r="A41" s="1"/>
      <c r="B41" s="2"/>
      <c r="C41" s="1" t="s">
        <v>10</v>
      </c>
      <c r="D41">
        <v>0</v>
      </c>
      <c r="E41" s="360">
        <v>0</v>
      </c>
      <c r="F41">
        <v>0</v>
      </c>
      <c r="G41">
        <v>0</v>
      </c>
      <c r="H41">
        <v>0</v>
      </c>
      <c r="J41">
        <v>0</v>
      </c>
      <c r="K41" s="14">
        <v>0</v>
      </c>
      <c r="L41">
        <v>0</v>
      </c>
      <c r="M41">
        <v>0</v>
      </c>
      <c r="N41">
        <v>0</v>
      </c>
      <c r="O41" s="20"/>
      <c r="P41" s="20"/>
      <c r="Q41" s="438"/>
      <c r="R41" s="197">
        <v>0.19500000000000001</v>
      </c>
      <c r="S41" s="197">
        <v>1.22</v>
      </c>
      <c r="T41" s="197">
        <v>0.4144562334217507</v>
      </c>
      <c r="U41" s="197">
        <v>0.6566321730950142</v>
      </c>
      <c r="V41" s="20">
        <f t="shared" si="36"/>
        <v>0</v>
      </c>
      <c r="W41" s="20">
        <f t="shared" si="36"/>
        <v>0</v>
      </c>
      <c r="X41" s="20">
        <f t="shared" si="36"/>
        <v>0</v>
      </c>
      <c r="Y41" s="20">
        <f t="shared" si="36"/>
        <v>0</v>
      </c>
      <c r="Z41" s="20">
        <f t="shared" si="37"/>
        <v>0</v>
      </c>
      <c r="AA41" s="20">
        <f t="shared" si="37"/>
        <v>0</v>
      </c>
      <c r="AB41" s="20">
        <f t="shared" si="37"/>
        <v>0</v>
      </c>
      <c r="AC41" s="20">
        <f t="shared" si="37"/>
        <v>0</v>
      </c>
      <c r="AD41" s="20">
        <f t="shared" si="38"/>
        <v>0</v>
      </c>
      <c r="AE41" s="20">
        <f t="shared" si="39"/>
        <v>0</v>
      </c>
      <c r="AF41" s="20">
        <f t="shared" si="39"/>
        <v>0</v>
      </c>
      <c r="AG41" s="20">
        <f t="shared" si="39"/>
        <v>0</v>
      </c>
      <c r="AH41" s="20">
        <f t="shared" si="39"/>
        <v>0</v>
      </c>
      <c r="AI41" s="20">
        <f t="shared" si="40"/>
        <v>0</v>
      </c>
      <c r="AJ41" s="20">
        <f t="shared" si="41"/>
        <v>0</v>
      </c>
      <c r="AK41" s="20">
        <f t="shared" si="41"/>
        <v>0</v>
      </c>
      <c r="AL41" s="20">
        <f t="shared" si="41"/>
        <v>0</v>
      </c>
      <c r="AM41" s="20">
        <f t="shared" si="42"/>
        <v>0</v>
      </c>
      <c r="AO41">
        <f t="shared" si="43"/>
        <v>0</v>
      </c>
      <c r="AP41">
        <f t="shared" si="43"/>
        <v>0</v>
      </c>
      <c r="AQ41">
        <f t="shared" si="43"/>
        <v>0</v>
      </c>
      <c r="AR41">
        <f t="shared" si="43"/>
        <v>0</v>
      </c>
      <c r="AS41">
        <f t="shared" si="44"/>
        <v>0</v>
      </c>
      <c r="AU41">
        <f t="shared" si="45"/>
        <v>0</v>
      </c>
      <c r="AV41">
        <f t="shared" si="45"/>
        <v>0</v>
      </c>
      <c r="AW41">
        <f t="shared" si="45"/>
        <v>0</v>
      </c>
      <c r="AX41">
        <f t="shared" si="45"/>
        <v>0</v>
      </c>
      <c r="AY41">
        <f t="shared" si="46"/>
        <v>0</v>
      </c>
    </row>
    <row r="42" spans="1:53" ht="15" x14ac:dyDescent="0.25">
      <c r="A42" s="1"/>
      <c r="B42" s="2"/>
      <c r="C42" s="1" t="s">
        <v>11</v>
      </c>
      <c r="D42">
        <v>0</v>
      </c>
      <c r="E42" s="360">
        <v>10.3987</v>
      </c>
      <c r="F42">
        <v>0</v>
      </c>
      <c r="G42">
        <v>0</v>
      </c>
      <c r="H42">
        <v>0</v>
      </c>
      <c r="J42">
        <v>0</v>
      </c>
      <c r="K42" s="14">
        <v>10.3946102895907</v>
      </c>
      <c r="L42">
        <v>0</v>
      </c>
      <c r="M42">
        <v>0</v>
      </c>
      <c r="N42">
        <v>0</v>
      </c>
      <c r="O42" s="20"/>
      <c r="P42" s="20"/>
      <c r="Q42" s="438">
        <v>0.4399609305027487</v>
      </c>
      <c r="R42" s="197">
        <v>0.19500000000000001</v>
      </c>
      <c r="S42" s="197">
        <v>1.22</v>
      </c>
      <c r="T42" s="197">
        <v>0.4144562334217507</v>
      </c>
      <c r="U42" s="197">
        <v>0.6566321730950142</v>
      </c>
      <c r="V42" s="20">
        <f t="shared" si="36"/>
        <v>3.2830418578450007</v>
      </c>
      <c r="W42" s="20">
        <f t="shared" si="36"/>
        <v>0</v>
      </c>
      <c r="X42" s="20">
        <f t="shared" si="36"/>
        <v>0</v>
      </c>
      <c r="Y42" s="20">
        <f t="shared" si="36"/>
        <v>0</v>
      </c>
      <c r="Z42" s="20">
        <f t="shared" si="37"/>
        <v>1.7115140234350228</v>
      </c>
      <c r="AA42" s="20">
        <f t="shared" si="37"/>
        <v>0</v>
      </c>
      <c r="AB42" s="20">
        <f t="shared" si="37"/>
        <v>0</v>
      </c>
      <c r="AC42" s="20">
        <f t="shared" si="37"/>
        <v>0</v>
      </c>
      <c r="AD42" s="20">
        <f t="shared" si="38"/>
        <v>1.7115140234350228</v>
      </c>
      <c r="AE42" s="20">
        <f t="shared" si="39"/>
        <v>32.333544299965702</v>
      </c>
      <c r="AF42" s="20">
        <f t="shared" si="39"/>
        <v>0</v>
      </c>
      <c r="AG42" s="20">
        <f t="shared" si="39"/>
        <v>0</v>
      </c>
      <c r="AH42" s="20">
        <f t="shared" si="39"/>
        <v>0</v>
      </c>
      <c r="AI42" s="20">
        <f t="shared" si="40"/>
        <v>23.257445628541255</v>
      </c>
      <c r="AJ42" s="20">
        <f t="shared" si="41"/>
        <v>0</v>
      </c>
      <c r="AK42" s="20">
        <f t="shared" si="41"/>
        <v>0</v>
      </c>
      <c r="AL42" s="20">
        <f t="shared" si="41"/>
        <v>0</v>
      </c>
      <c r="AM42" s="20">
        <f t="shared" si="42"/>
        <v>23.257445628541255</v>
      </c>
      <c r="AO42">
        <f t="shared" si="43"/>
        <v>1.9028612912550582</v>
      </c>
      <c r="AP42">
        <f t="shared" si="43"/>
        <v>0</v>
      </c>
      <c r="AQ42">
        <f t="shared" si="43"/>
        <v>0</v>
      </c>
      <c r="AR42">
        <f t="shared" si="43"/>
        <v>0</v>
      </c>
      <c r="AS42">
        <f t="shared" si="44"/>
        <v>1.9028612912550582</v>
      </c>
      <c r="AU42">
        <f t="shared" si="45"/>
        <v>25.857628049812167</v>
      </c>
      <c r="AV42">
        <f t="shared" si="45"/>
        <v>0</v>
      </c>
      <c r="AW42">
        <f t="shared" si="45"/>
        <v>0</v>
      </c>
      <c r="AX42">
        <f t="shared" si="45"/>
        <v>0</v>
      </c>
      <c r="AY42">
        <f t="shared" si="46"/>
        <v>25.857628049812167</v>
      </c>
    </row>
    <row r="43" spans="1:53" ht="15" x14ac:dyDescent="0.25">
      <c r="A43" s="1"/>
      <c r="B43" s="2"/>
      <c r="C43" s="1" t="s">
        <v>12</v>
      </c>
      <c r="D43">
        <v>0</v>
      </c>
      <c r="E43" s="360">
        <v>0</v>
      </c>
      <c r="F43">
        <v>0</v>
      </c>
      <c r="G43">
        <v>0</v>
      </c>
      <c r="H43">
        <v>0</v>
      </c>
      <c r="J43">
        <v>0</v>
      </c>
      <c r="K43" s="14">
        <v>0</v>
      </c>
      <c r="L43">
        <v>0</v>
      </c>
      <c r="M43">
        <v>0</v>
      </c>
      <c r="N43">
        <v>0</v>
      </c>
      <c r="O43" s="20"/>
      <c r="P43" s="20"/>
      <c r="Q43" s="438"/>
      <c r="R43" s="197">
        <v>0.19500000000000001</v>
      </c>
      <c r="S43" s="197">
        <v>1.22</v>
      </c>
      <c r="T43" s="197">
        <v>0.4144562334217507</v>
      </c>
      <c r="U43" s="197">
        <v>0.6566321730950142</v>
      </c>
      <c r="V43" s="20">
        <f t="shared" si="36"/>
        <v>0</v>
      </c>
      <c r="W43" s="20">
        <f t="shared" si="36"/>
        <v>0</v>
      </c>
      <c r="X43" s="20">
        <f t="shared" si="36"/>
        <v>0</v>
      </c>
      <c r="Y43" s="20">
        <f t="shared" si="36"/>
        <v>0</v>
      </c>
      <c r="Z43" s="20">
        <f t="shared" si="37"/>
        <v>0</v>
      </c>
      <c r="AA43" s="20">
        <f t="shared" si="37"/>
        <v>0</v>
      </c>
      <c r="AB43" s="20">
        <f t="shared" si="37"/>
        <v>0</v>
      </c>
      <c r="AC43" s="20">
        <f t="shared" si="37"/>
        <v>0</v>
      </c>
      <c r="AD43" s="20">
        <f t="shared" si="38"/>
        <v>0</v>
      </c>
      <c r="AE43" s="20">
        <f t="shared" si="39"/>
        <v>0</v>
      </c>
      <c r="AF43" s="20">
        <f t="shared" si="39"/>
        <v>0</v>
      </c>
      <c r="AG43" s="20">
        <f t="shared" si="39"/>
        <v>0</v>
      </c>
      <c r="AH43" s="20">
        <f t="shared" si="39"/>
        <v>0</v>
      </c>
      <c r="AI43" s="20">
        <f t="shared" si="40"/>
        <v>0</v>
      </c>
      <c r="AJ43" s="20">
        <f t="shared" si="41"/>
        <v>0</v>
      </c>
      <c r="AK43" s="20">
        <f t="shared" si="41"/>
        <v>0</v>
      </c>
      <c r="AL43" s="20">
        <f t="shared" si="41"/>
        <v>0</v>
      </c>
      <c r="AM43" s="20">
        <f t="shared" si="42"/>
        <v>0</v>
      </c>
      <c r="AO43">
        <f t="shared" si="43"/>
        <v>0</v>
      </c>
      <c r="AP43">
        <f t="shared" si="43"/>
        <v>0</v>
      </c>
      <c r="AQ43">
        <f t="shared" si="43"/>
        <v>0</v>
      </c>
      <c r="AR43">
        <f t="shared" si="43"/>
        <v>0</v>
      </c>
      <c r="AS43">
        <f t="shared" si="44"/>
        <v>0</v>
      </c>
      <c r="AU43">
        <f t="shared" si="45"/>
        <v>0</v>
      </c>
      <c r="AV43">
        <f t="shared" si="45"/>
        <v>0</v>
      </c>
      <c r="AW43">
        <f t="shared" si="45"/>
        <v>0</v>
      </c>
      <c r="AX43">
        <f t="shared" si="45"/>
        <v>0</v>
      </c>
      <c r="AY43">
        <f t="shared" si="46"/>
        <v>0</v>
      </c>
    </row>
    <row r="44" spans="1:53" ht="15" x14ac:dyDescent="0.25">
      <c r="A44" s="1"/>
      <c r="B44" s="2"/>
      <c r="C44" s="1" t="s">
        <v>13</v>
      </c>
      <c r="D44">
        <v>0</v>
      </c>
      <c r="E44" s="360">
        <v>2.7449999999999999E-2</v>
      </c>
      <c r="F44">
        <v>0</v>
      </c>
      <c r="G44">
        <v>0</v>
      </c>
      <c r="H44">
        <v>0</v>
      </c>
      <c r="J44">
        <v>0</v>
      </c>
      <c r="K44" s="14">
        <v>2.7449999999999999E-2</v>
      </c>
      <c r="L44">
        <v>0</v>
      </c>
      <c r="M44">
        <v>0</v>
      </c>
      <c r="N44">
        <v>0</v>
      </c>
      <c r="O44" s="20"/>
      <c r="P44" s="20"/>
      <c r="Q44" s="438">
        <v>0.43996093050274865</v>
      </c>
      <c r="R44" s="197">
        <v>0.19500000000000001</v>
      </c>
      <c r="S44" s="197">
        <v>1.22</v>
      </c>
      <c r="T44" s="197">
        <v>0.4144562334217507</v>
      </c>
      <c r="U44" s="197">
        <v>0.6566321730950142</v>
      </c>
      <c r="V44" s="20">
        <f t="shared" si="36"/>
        <v>8.6605638666651663E-3</v>
      </c>
      <c r="W44" s="20">
        <f t="shared" si="36"/>
        <v>0</v>
      </c>
      <c r="X44" s="20">
        <f t="shared" si="36"/>
        <v>0</v>
      </c>
      <c r="Y44" s="20">
        <f t="shared" si="36"/>
        <v>0</v>
      </c>
      <c r="Z44" s="20">
        <f t="shared" si="37"/>
        <v>4.5149215728798927E-3</v>
      </c>
      <c r="AA44" s="20">
        <f t="shared" si="37"/>
        <v>0</v>
      </c>
      <c r="AB44" s="20">
        <f t="shared" si="37"/>
        <v>0</v>
      </c>
      <c r="AC44" s="20">
        <f t="shared" si="37"/>
        <v>0</v>
      </c>
      <c r="AD44" s="20">
        <f t="shared" si="38"/>
        <v>4.5149215728798927E-3</v>
      </c>
      <c r="AE44" s="20">
        <f t="shared" si="39"/>
        <v>8.5328183978154851E-2</v>
      </c>
      <c r="AF44" s="20">
        <f t="shared" si="39"/>
        <v>0</v>
      </c>
      <c r="AG44" s="20">
        <f t="shared" si="39"/>
        <v>0</v>
      </c>
      <c r="AH44" s="20">
        <f t="shared" si="39"/>
        <v>0</v>
      </c>
      <c r="AI44" s="20">
        <f t="shared" si="40"/>
        <v>6.1376370652202417E-2</v>
      </c>
      <c r="AJ44" s="20">
        <f t="shared" si="41"/>
        <v>0</v>
      </c>
      <c r="AK44" s="20">
        <f t="shared" si="41"/>
        <v>0</v>
      </c>
      <c r="AL44" s="20">
        <f t="shared" si="41"/>
        <v>0</v>
      </c>
      <c r="AM44" s="20">
        <f t="shared" si="42"/>
        <v>6.1376370652202417E-2</v>
      </c>
      <c r="AO44">
        <f t="shared" si="43"/>
        <v>5.0196898047278641E-3</v>
      </c>
      <c r="AP44">
        <f t="shared" si="43"/>
        <v>0</v>
      </c>
      <c r="AQ44">
        <f t="shared" si="43"/>
        <v>0</v>
      </c>
      <c r="AR44">
        <f t="shared" si="43"/>
        <v>0</v>
      </c>
      <c r="AS44">
        <f t="shared" si="44"/>
        <v>5.0196898047278641E-3</v>
      </c>
      <c r="AU44">
        <f t="shared" si="45"/>
        <v>6.8238248891118639E-2</v>
      </c>
      <c r="AV44">
        <f t="shared" si="45"/>
        <v>0</v>
      </c>
      <c r="AW44">
        <f t="shared" si="45"/>
        <v>0</v>
      </c>
      <c r="AX44">
        <f t="shared" si="45"/>
        <v>0</v>
      </c>
      <c r="AY44">
        <f t="shared" si="46"/>
        <v>6.8238248891118639E-2</v>
      </c>
    </row>
    <row r="45" spans="1:53" ht="15" x14ac:dyDescent="0.25">
      <c r="A45" s="7"/>
      <c r="B45" s="8" t="s">
        <v>14</v>
      </c>
      <c r="C45" s="7"/>
      <c r="D45" s="357">
        <f t="shared" ref="D45:H45" si="47">SUM(D39:D44)</f>
        <v>0</v>
      </c>
      <c r="E45" s="363">
        <f>SUM(E39:E44)</f>
        <v>136.28814999999997</v>
      </c>
      <c r="F45" s="357">
        <f t="shared" si="47"/>
        <v>0</v>
      </c>
      <c r="G45" s="357">
        <f t="shared" si="47"/>
        <v>0</v>
      </c>
      <c r="H45" s="357">
        <f t="shared" si="47"/>
        <v>0</v>
      </c>
      <c r="J45">
        <v>0</v>
      </c>
      <c r="K45" s="14">
        <v>133.66460568198278</v>
      </c>
      <c r="L45">
        <v>0</v>
      </c>
      <c r="M45">
        <v>0</v>
      </c>
      <c r="N45">
        <v>0</v>
      </c>
      <c r="O45" s="20"/>
      <c r="P45" s="20"/>
      <c r="Q45" s="438">
        <v>0.38888094656524358</v>
      </c>
      <c r="R45" s="197"/>
      <c r="S45" s="197"/>
      <c r="T45" s="197"/>
      <c r="U45" s="197"/>
      <c r="BA45" s="319">
        <f>(E45*10000*Q45*AU$10)</f>
        <v>589252.49659764452</v>
      </c>
    </row>
    <row r="46" spans="1:53" ht="15" x14ac:dyDescent="0.25">
      <c r="A46" s="10"/>
      <c r="B46" s="9" t="s">
        <v>15</v>
      </c>
      <c r="C46" s="5"/>
      <c r="E46" s="363">
        <f>SUM(E45)</f>
        <v>136.28814999999997</v>
      </c>
      <c r="H46" s="358">
        <f>SUM(D45:H45)</f>
        <v>136.28814999999997</v>
      </c>
      <c r="K46" s="14"/>
      <c r="N46">
        <v>0</v>
      </c>
      <c r="O46" s="20"/>
      <c r="P46" s="20"/>
      <c r="Q46" s="438"/>
      <c r="R46" s="197"/>
      <c r="S46" s="197"/>
      <c r="T46" s="197"/>
      <c r="U46" s="197"/>
    </row>
    <row r="47" spans="1:53" ht="15.75" x14ac:dyDescent="0.25">
      <c r="A47" s="1"/>
      <c r="B47" s="2"/>
      <c r="C47" s="1"/>
      <c r="E47" s="361"/>
      <c r="K47" s="14"/>
      <c r="O47" s="20"/>
      <c r="P47" s="20"/>
      <c r="Q47" s="439"/>
      <c r="R47" s="197"/>
      <c r="S47" s="197"/>
      <c r="T47" s="197"/>
      <c r="U47" s="197"/>
    </row>
    <row r="48" spans="1:53" ht="15" x14ac:dyDescent="0.25">
      <c r="A48" s="1">
        <v>5</v>
      </c>
      <c r="B48" s="2" t="s">
        <v>19</v>
      </c>
      <c r="C48" s="1" t="s">
        <v>8</v>
      </c>
      <c r="D48">
        <v>0</v>
      </c>
      <c r="E48" s="360">
        <v>29.9802</v>
      </c>
      <c r="F48">
        <v>0</v>
      </c>
      <c r="G48">
        <v>0</v>
      </c>
      <c r="H48">
        <v>0</v>
      </c>
      <c r="J48">
        <v>0</v>
      </c>
      <c r="K48" s="14">
        <v>18.336432758681401</v>
      </c>
      <c r="L48">
        <v>0</v>
      </c>
      <c r="M48">
        <v>0</v>
      </c>
      <c r="N48">
        <v>0</v>
      </c>
      <c r="O48" s="20"/>
      <c r="P48" s="20"/>
      <c r="Q48" s="438">
        <v>0.42332437990687988</v>
      </c>
      <c r="R48" s="197">
        <v>0.43</v>
      </c>
      <c r="S48" s="197">
        <v>2.83</v>
      </c>
      <c r="T48" s="197">
        <v>0.76744186046511631</v>
      </c>
      <c r="U48" s="197">
        <v>0.76744186046511631</v>
      </c>
      <c r="V48" s="20">
        <f t="shared" ref="V48:Y53" si="48">IF(K48&gt;0,((E48-K48)*$Q48*$R48*10)+(K48*$O$12*$Q48*$R48*10),(E48*$Q48*$R48*10))</f>
        <v>33.469811873424462</v>
      </c>
      <c r="W48" s="20">
        <f t="shared" si="48"/>
        <v>0</v>
      </c>
      <c r="X48" s="20">
        <f t="shared" si="48"/>
        <v>0</v>
      </c>
      <c r="Y48" s="20">
        <f t="shared" si="48"/>
        <v>0</v>
      </c>
      <c r="Z48" s="20">
        <f t="shared" ref="Z48:AC53" si="49">V48*(EXP(1.01-0.34*LN(Z$8))*(1-$T48)+(1*$T48))</f>
        <v>27.106677254755613</v>
      </c>
      <c r="AA48" s="20">
        <f t="shared" si="49"/>
        <v>0</v>
      </c>
      <c r="AB48" s="20">
        <f t="shared" si="49"/>
        <v>0</v>
      </c>
      <c r="AC48" s="20">
        <f t="shared" si="49"/>
        <v>0</v>
      </c>
      <c r="AD48" s="20">
        <f t="shared" ref="AD48:AD53" si="50">SUM(Z48:AC48)</f>
        <v>27.106677254755613</v>
      </c>
      <c r="AE48" s="20">
        <f t="shared" ref="AE48:AH53" si="51">IF(K48&gt;0,((E48-K48)*$Q48*$S48*10)+(K48*$P$12*$Q48*$S48)*10,(E48*$Q48*$S48*10))</f>
        <v>266.71191111216149</v>
      </c>
      <c r="AF48" s="20">
        <f t="shared" si="51"/>
        <v>0</v>
      </c>
      <c r="AG48" s="20">
        <f t="shared" si="51"/>
        <v>0</v>
      </c>
      <c r="AH48" s="20">
        <f t="shared" si="51"/>
        <v>0</v>
      </c>
      <c r="AI48" s="20">
        <f t="shared" ref="AI48:AI53" si="52">AE48*(EXP(1.01-0.34*LN(AI$8))*(1-$U48)+(1*$U48))</f>
        <v>216.00580612336512</v>
      </c>
      <c r="AJ48" s="20">
        <f t="shared" ref="AJ48:AL53" si="53">AF48*(EXP(1.01-0.34*LN(AJ$8))*(1-$T48)+(1*$T48))</f>
        <v>0</v>
      </c>
      <c r="AK48" s="20">
        <f t="shared" si="53"/>
        <v>0</v>
      </c>
      <c r="AL48" s="20">
        <f t="shared" si="53"/>
        <v>0</v>
      </c>
      <c r="AM48" s="20">
        <f t="shared" ref="AM48:AM53" si="54">SUM(AI48:AL48)</f>
        <v>216.00580612336512</v>
      </c>
      <c r="AO48">
        <f t="shared" ref="AO48:AR53" si="55">Z48*AO$10</f>
        <v>30.137203771837289</v>
      </c>
      <c r="AP48">
        <f t="shared" si="55"/>
        <v>0</v>
      </c>
      <c r="AQ48">
        <f t="shared" si="55"/>
        <v>0</v>
      </c>
      <c r="AR48">
        <f t="shared" si="55"/>
        <v>0</v>
      </c>
      <c r="AS48">
        <f t="shared" ref="AS48:AS53" si="56">SUM(AO48:AR48)</f>
        <v>30.137203771837289</v>
      </c>
      <c r="AU48">
        <f t="shared" ref="AU48:AX53" si="57">AI48*AU$10</f>
        <v>240.15525524795731</v>
      </c>
      <c r="AV48">
        <f t="shared" si="57"/>
        <v>0</v>
      </c>
      <c r="AW48">
        <f t="shared" si="57"/>
        <v>0</v>
      </c>
      <c r="AX48">
        <f t="shared" si="57"/>
        <v>0</v>
      </c>
      <c r="AY48">
        <f t="shared" ref="AY48:AY53" si="58">SUM(AU48:AX48)</f>
        <v>240.15525524795731</v>
      </c>
    </row>
    <row r="49" spans="1:53" ht="15" x14ac:dyDescent="0.25">
      <c r="A49" s="1"/>
      <c r="B49" s="2"/>
      <c r="C49" s="1" t="s">
        <v>9</v>
      </c>
      <c r="D49">
        <v>0</v>
      </c>
      <c r="E49" s="360">
        <v>15.0631</v>
      </c>
      <c r="F49">
        <v>0</v>
      </c>
      <c r="G49">
        <v>0</v>
      </c>
      <c r="H49">
        <v>0</v>
      </c>
      <c r="J49">
        <v>0</v>
      </c>
      <c r="K49" s="14">
        <v>3.3047109557028964</v>
      </c>
      <c r="L49">
        <v>0</v>
      </c>
      <c r="M49">
        <v>0</v>
      </c>
      <c r="N49">
        <v>0</v>
      </c>
      <c r="O49" s="20"/>
      <c r="P49" s="20"/>
      <c r="Q49" s="438">
        <v>0.44164875981375978</v>
      </c>
      <c r="R49" s="197">
        <v>0.43</v>
      </c>
      <c r="S49" s="197">
        <v>2.83</v>
      </c>
      <c r="T49" s="197">
        <v>0.76744186046511631</v>
      </c>
      <c r="U49" s="197">
        <v>0.76744186046511631</v>
      </c>
      <c r="V49" s="20">
        <f t="shared" si="48"/>
        <v>24.638225800777558</v>
      </c>
      <c r="W49" s="20">
        <f t="shared" si="48"/>
        <v>0</v>
      </c>
      <c r="X49" s="20">
        <f t="shared" si="48"/>
        <v>0</v>
      </c>
      <c r="Y49" s="20">
        <f t="shared" si="48"/>
        <v>0</v>
      </c>
      <c r="Z49" s="20">
        <f t="shared" si="49"/>
        <v>19.954113797746238</v>
      </c>
      <c r="AA49" s="20">
        <f t="shared" si="49"/>
        <v>0</v>
      </c>
      <c r="AB49" s="20">
        <f t="shared" si="49"/>
        <v>0</v>
      </c>
      <c r="AC49" s="20">
        <f t="shared" si="49"/>
        <v>0</v>
      </c>
      <c r="AD49" s="20">
        <f t="shared" si="50"/>
        <v>19.954113797746238</v>
      </c>
      <c r="AE49" s="20">
        <f t="shared" si="51"/>
        <v>170.88476479618646</v>
      </c>
      <c r="AF49" s="20">
        <f t="shared" si="51"/>
        <v>0</v>
      </c>
      <c r="AG49" s="20">
        <f t="shared" si="51"/>
        <v>0</v>
      </c>
      <c r="AH49" s="20">
        <f t="shared" si="51"/>
        <v>0</v>
      </c>
      <c r="AI49" s="20">
        <f t="shared" si="52"/>
        <v>138.39689881146367</v>
      </c>
      <c r="AJ49" s="20">
        <f t="shared" si="53"/>
        <v>0</v>
      </c>
      <c r="AK49" s="20">
        <f t="shared" si="53"/>
        <v>0</v>
      </c>
      <c r="AL49" s="20">
        <f t="shared" si="53"/>
        <v>0</v>
      </c>
      <c r="AM49" s="20">
        <f t="shared" si="54"/>
        <v>138.39689881146367</v>
      </c>
      <c r="AO49">
        <f t="shared" si="55"/>
        <v>22.184983720334266</v>
      </c>
      <c r="AP49">
        <f t="shared" si="55"/>
        <v>0</v>
      </c>
      <c r="AQ49">
        <f t="shared" si="55"/>
        <v>0</v>
      </c>
      <c r="AR49">
        <f t="shared" si="55"/>
        <v>0</v>
      </c>
      <c r="AS49">
        <f t="shared" si="56"/>
        <v>22.184983720334266</v>
      </c>
      <c r="AU49">
        <f t="shared" si="57"/>
        <v>153.86967209858528</v>
      </c>
      <c r="AV49">
        <f t="shared" si="57"/>
        <v>0</v>
      </c>
      <c r="AW49">
        <f t="shared" si="57"/>
        <v>0</v>
      </c>
      <c r="AX49">
        <f t="shared" si="57"/>
        <v>0</v>
      </c>
      <c r="AY49">
        <f t="shared" si="58"/>
        <v>153.86967209858528</v>
      </c>
    </row>
    <row r="50" spans="1:53" ht="15" x14ac:dyDescent="0.25">
      <c r="A50" s="1"/>
      <c r="B50" s="2"/>
      <c r="C50" s="1" t="s">
        <v>10</v>
      </c>
      <c r="D50">
        <v>0</v>
      </c>
      <c r="E50" s="360">
        <v>2.8757000000000001</v>
      </c>
      <c r="F50">
        <v>0</v>
      </c>
      <c r="G50">
        <v>0</v>
      </c>
      <c r="H50">
        <v>0</v>
      </c>
      <c r="J50">
        <v>0</v>
      </c>
      <c r="K50" s="14">
        <v>1.7039795236300002</v>
      </c>
      <c r="L50">
        <v>0</v>
      </c>
      <c r="M50">
        <v>0</v>
      </c>
      <c r="N50">
        <v>0</v>
      </c>
      <c r="O50" s="20"/>
      <c r="P50" s="20"/>
      <c r="Q50" s="438">
        <v>0.45997313972063969</v>
      </c>
      <c r="R50" s="197">
        <v>0.43</v>
      </c>
      <c r="S50" s="197">
        <v>2.83</v>
      </c>
      <c r="T50" s="197">
        <v>0.76744186046511631</v>
      </c>
      <c r="U50" s="197">
        <v>0.76744186046511631</v>
      </c>
      <c r="V50" s="20">
        <f t="shared" si="48"/>
        <v>3.5569531794190965</v>
      </c>
      <c r="W50" s="20">
        <f t="shared" si="48"/>
        <v>0</v>
      </c>
      <c r="X50" s="20">
        <f t="shared" si="48"/>
        <v>0</v>
      </c>
      <c r="Y50" s="20">
        <f t="shared" si="48"/>
        <v>0</v>
      </c>
      <c r="Z50" s="20">
        <f t="shared" si="49"/>
        <v>2.8807207584380534</v>
      </c>
      <c r="AA50" s="20">
        <f t="shared" si="49"/>
        <v>0</v>
      </c>
      <c r="AB50" s="20">
        <f t="shared" si="49"/>
        <v>0</v>
      </c>
      <c r="AC50" s="20">
        <f t="shared" si="49"/>
        <v>0</v>
      </c>
      <c r="AD50" s="20">
        <f t="shared" si="50"/>
        <v>2.8807207584380534</v>
      </c>
      <c r="AE50" s="20">
        <f t="shared" si="51"/>
        <v>28.098317208625566</v>
      </c>
      <c r="AF50" s="20">
        <f t="shared" si="51"/>
        <v>0</v>
      </c>
      <c r="AG50" s="20">
        <f t="shared" si="51"/>
        <v>0</v>
      </c>
      <c r="AH50" s="20">
        <f t="shared" si="51"/>
        <v>0</v>
      </c>
      <c r="AI50" s="20">
        <f t="shared" si="52"/>
        <v>22.756387722057145</v>
      </c>
      <c r="AJ50" s="20">
        <f t="shared" si="53"/>
        <v>0</v>
      </c>
      <c r="AK50" s="20">
        <f t="shared" si="53"/>
        <v>0</v>
      </c>
      <c r="AL50" s="20">
        <f t="shared" si="53"/>
        <v>0</v>
      </c>
      <c r="AM50" s="20">
        <f t="shared" si="54"/>
        <v>22.756387722057145</v>
      </c>
      <c r="AO50">
        <f t="shared" si="55"/>
        <v>3.2027853392314274</v>
      </c>
      <c r="AP50">
        <f t="shared" si="55"/>
        <v>0</v>
      </c>
      <c r="AQ50">
        <f t="shared" si="55"/>
        <v>0</v>
      </c>
      <c r="AR50">
        <f t="shared" si="55"/>
        <v>0</v>
      </c>
      <c r="AS50">
        <f t="shared" si="56"/>
        <v>3.2027853392314274</v>
      </c>
      <c r="AU50">
        <f t="shared" si="57"/>
        <v>25.300551869383131</v>
      </c>
      <c r="AV50">
        <f t="shared" si="57"/>
        <v>0</v>
      </c>
      <c r="AW50">
        <f t="shared" si="57"/>
        <v>0</v>
      </c>
      <c r="AX50">
        <f t="shared" si="57"/>
        <v>0</v>
      </c>
      <c r="AY50">
        <f t="shared" si="58"/>
        <v>25.300551869383131</v>
      </c>
    </row>
    <row r="51" spans="1:53" ht="15" x14ac:dyDescent="0.25">
      <c r="A51" s="1"/>
      <c r="B51" s="2"/>
      <c r="C51" s="1" t="s">
        <v>11</v>
      </c>
      <c r="D51">
        <v>0</v>
      </c>
      <c r="E51" s="360">
        <v>27.904800000000002</v>
      </c>
      <c r="F51">
        <v>0</v>
      </c>
      <c r="G51">
        <v>0</v>
      </c>
      <c r="H51">
        <v>0</v>
      </c>
      <c r="J51">
        <v>0</v>
      </c>
      <c r="K51" s="14">
        <v>20.401728580574702</v>
      </c>
      <c r="L51">
        <v>0</v>
      </c>
      <c r="M51">
        <v>0</v>
      </c>
      <c r="N51">
        <v>0</v>
      </c>
      <c r="O51" s="20"/>
      <c r="P51" s="20"/>
      <c r="Q51" s="438">
        <v>0.47829751962751965</v>
      </c>
      <c r="R51" s="197">
        <v>0.43</v>
      </c>
      <c r="S51" s="197">
        <v>2.83</v>
      </c>
      <c r="T51" s="197">
        <v>0.76744186046511631</v>
      </c>
      <c r="U51" s="197">
        <v>0.76744186046511631</v>
      </c>
      <c r="V51" s="20">
        <f t="shared" si="48"/>
        <v>30.862219184908099</v>
      </c>
      <c r="W51" s="20">
        <f t="shared" si="48"/>
        <v>0</v>
      </c>
      <c r="X51" s="20">
        <f t="shared" si="48"/>
        <v>0</v>
      </c>
      <c r="Y51" s="20">
        <f t="shared" si="48"/>
        <v>0</v>
      </c>
      <c r="Z51" s="20">
        <f t="shared" si="49"/>
        <v>24.994828712350238</v>
      </c>
      <c r="AA51" s="20">
        <f t="shared" si="49"/>
        <v>0</v>
      </c>
      <c r="AB51" s="20">
        <f t="shared" si="49"/>
        <v>0</v>
      </c>
      <c r="AC51" s="20">
        <f t="shared" si="49"/>
        <v>0</v>
      </c>
      <c r="AD51" s="20">
        <f t="shared" si="50"/>
        <v>24.994828712350238</v>
      </c>
      <c r="AE51" s="20">
        <f t="shared" si="51"/>
        <v>261.48941399596134</v>
      </c>
      <c r="AF51" s="20">
        <f t="shared" si="51"/>
        <v>0</v>
      </c>
      <c r="AG51" s="20">
        <f t="shared" si="51"/>
        <v>0</v>
      </c>
      <c r="AH51" s="20">
        <f t="shared" si="51"/>
        <v>0</v>
      </c>
      <c r="AI51" s="20">
        <f t="shared" si="52"/>
        <v>211.77618737533942</v>
      </c>
      <c r="AJ51" s="20">
        <f t="shared" si="53"/>
        <v>0</v>
      </c>
      <c r="AK51" s="20">
        <f t="shared" si="53"/>
        <v>0</v>
      </c>
      <c r="AL51" s="20">
        <f t="shared" si="53"/>
        <v>0</v>
      </c>
      <c r="AM51" s="20">
        <f t="shared" si="54"/>
        <v>211.77618737533942</v>
      </c>
      <c r="AO51">
        <f t="shared" si="55"/>
        <v>27.78925056239099</v>
      </c>
      <c r="AP51">
        <f t="shared" si="55"/>
        <v>0</v>
      </c>
      <c r="AQ51">
        <f t="shared" si="55"/>
        <v>0</v>
      </c>
      <c r="AR51">
        <f t="shared" si="55"/>
        <v>0</v>
      </c>
      <c r="AS51">
        <f t="shared" si="56"/>
        <v>27.78925056239099</v>
      </c>
      <c r="AU51">
        <f t="shared" si="57"/>
        <v>235.45276512390234</v>
      </c>
      <c r="AV51">
        <f t="shared" si="57"/>
        <v>0</v>
      </c>
      <c r="AW51">
        <f t="shared" si="57"/>
        <v>0</v>
      </c>
      <c r="AX51">
        <f t="shared" si="57"/>
        <v>0</v>
      </c>
      <c r="AY51">
        <f t="shared" si="58"/>
        <v>235.45276512390234</v>
      </c>
    </row>
    <row r="52" spans="1:53" ht="15" x14ac:dyDescent="0.25">
      <c r="A52" s="1"/>
      <c r="B52" s="2"/>
      <c r="C52" s="1" t="s">
        <v>12</v>
      </c>
      <c r="D52">
        <v>0</v>
      </c>
      <c r="E52" s="360">
        <v>0</v>
      </c>
      <c r="F52">
        <v>0</v>
      </c>
      <c r="G52">
        <v>0</v>
      </c>
      <c r="H52">
        <v>0</v>
      </c>
      <c r="J52">
        <v>0</v>
      </c>
      <c r="K52" s="14">
        <v>0</v>
      </c>
      <c r="L52">
        <v>0</v>
      </c>
      <c r="M52">
        <v>0</v>
      </c>
      <c r="N52">
        <v>0</v>
      </c>
      <c r="O52" s="20"/>
      <c r="P52" s="20"/>
      <c r="Q52" s="438"/>
      <c r="R52" s="197">
        <v>0.43</v>
      </c>
      <c r="S52" s="197">
        <v>2.83</v>
      </c>
      <c r="T52" s="197">
        <v>0.76744186046511631</v>
      </c>
      <c r="U52" s="197">
        <v>0.76744186046511631</v>
      </c>
      <c r="V52" s="20">
        <f t="shared" si="48"/>
        <v>0</v>
      </c>
      <c r="W52" s="20">
        <f t="shared" si="48"/>
        <v>0</v>
      </c>
      <c r="X52" s="20">
        <f t="shared" si="48"/>
        <v>0</v>
      </c>
      <c r="Y52" s="20">
        <f t="shared" si="48"/>
        <v>0</v>
      </c>
      <c r="Z52" s="20">
        <f t="shared" si="49"/>
        <v>0</v>
      </c>
      <c r="AA52" s="20">
        <f t="shared" si="49"/>
        <v>0</v>
      </c>
      <c r="AB52" s="20">
        <f t="shared" si="49"/>
        <v>0</v>
      </c>
      <c r="AC52" s="20">
        <f t="shared" si="49"/>
        <v>0</v>
      </c>
      <c r="AD52" s="20">
        <f t="shared" si="50"/>
        <v>0</v>
      </c>
      <c r="AE52" s="20">
        <f t="shared" si="51"/>
        <v>0</v>
      </c>
      <c r="AF52" s="20">
        <f t="shared" si="51"/>
        <v>0</v>
      </c>
      <c r="AG52" s="20">
        <f t="shared" si="51"/>
        <v>0</v>
      </c>
      <c r="AH52" s="20">
        <f t="shared" si="51"/>
        <v>0</v>
      </c>
      <c r="AI52" s="20">
        <f t="shared" si="52"/>
        <v>0</v>
      </c>
      <c r="AJ52" s="20">
        <f t="shared" si="53"/>
        <v>0</v>
      </c>
      <c r="AK52" s="20">
        <f t="shared" si="53"/>
        <v>0</v>
      </c>
      <c r="AL52" s="20">
        <f t="shared" si="53"/>
        <v>0</v>
      </c>
      <c r="AM52" s="20">
        <f t="shared" si="54"/>
        <v>0</v>
      </c>
      <c r="AO52">
        <f t="shared" si="55"/>
        <v>0</v>
      </c>
      <c r="AP52">
        <f t="shared" si="55"/>
        <v>0</v>
      </c>
      <c r="AQ52">
        <f t="shared" si="55"/>
        <v>0</v>
      </c>
      <c r="AR52">
        <f t="shared" si="55"/>
        <v>0</v>
      </c>
      <c r="AS52">
        <f t="shared" si="56"/>
        <v>0</v>
      </c>
      <c r="AU52">
        <f t="shared" si="57"/>
        <v>0</v>
      </c>
      <c r="AV52">
        <f t="shared" si="57"/>
        <v>0</v>
      </c>
      <c r="AW52">
        <f t="shared" si="57"/>
        <v>0</v>
      </c>
      <c r="AX52">
        <f t="shared" si="57"/>
        <v>0</v>
      </c>
      <c r="AY52">
        <f t="shared" si="58"/>
        <v>0</v>
      </c>
    </row>
    <row r="53" spans="1:53" ht="15" x14ac:dyDescent="0.25">
      <c r="A53" s="1"/>
      <c r="B53" s="2"/>
      <c r="C53" s="1" t="s">
        <v>13</v>
      </c>
      <c r="D53">
        <v>0</v>
      </c>
      <c r="E53" s="360">
        <v>7.3499999999999996E-2</v>
      </c>
      <c r="F53">
        <v>0</v>
      </c>
      <c r="G53">
        <v>0</v>
      </c>
      <c r="H53">
        <v>0</v>
      </c>
      <c r="J53">
        <v>0</v>
      </c>
      <c r="K53" s="14">
        <v>5.4110147222699995E-2</v>
      </c>
      <c r="L53">
        <v>0</v>
      </c>
      <c r="M53">
        <v>0</v>
      </c>
      <c r="N53">
        <v>0</v>
      </c>
      <c r="O53" s="20"/>
      <c r="P53" s="20"/>
      <c r="Q53" s="438">
        <v>0.47829751962751971</v>
      </c>
      <c r="R53" s="197">
        <v>0.43</v>
      </c>
      <c r="S53" s="197">
        <v>2.83</v>
      </c>
      <c r="T53" s="197">
        <v>0.76744186046511631</v>
      </c>
      <c r="U53" s="197">
        <v>0.76744186046511631</v>
      </c>
      <c r="V53" s="20">
        <f t="shared" si="48"/>
        <v>8.0804812842673324E-2</v>
      </c>
      <c r="W53" s="20">
        <f t="shared" si="48"/>
        <v>0</v>
      </c>
      <c r="X53" s="20">
        <f t="shared" si="48"/>
        <v>0</v>
      </c>
      <c r="Y53" s="20">
        <f t="shared" si="48"/>
        <v>0</v>
      </c>
      <c r="Z53" s="20">
        <f t="shared" si="49"/>
        <v>6.5442554342423673E-2</v>
      </c>
      <c r="AA53" s="20">
        <f t="shared" si="49"/>
        <v>0</v>
      </c>
      <c r="AB53" s="20">
        <f t="shared" si="49"/>
        <v>0</v>
      </c>
      <c r="AC53" s="20">
        <f t="shared" si="49"/>
        <v>0</v>
      </c>
      <c r="AD53" s="20">
        <f t="shared" si="50"/>
        <v>6.5442554342423673E-2</v>
      </c>
      <c r="AE53" s="20">
        <f t="shared" si="51"/>
        <v>0.68662710588789277</v>
      </c>
      <c r="AF53" s="20">
        <f t="shared" si="51"/>
        <v>0</v>
      </c>
      <c r="AG53" s="20">
        <f t="shared" si="51"/>
        <v>0</v>
      </c>
      <c r="AH53" s="20">
        <f t="shared" si="51"/>
        <v>0</v>
      </c>
      <c r="AI53" s="20">
        <f t="shared" si="52"/>
        <v>0.55608855598164775</v>
      </c>
      <c r="AJ53" s="20">
        <f t="shared" si="53"/>
        <v>0</v>
      </c>
      <c r="AK53" s="20">
        <f t="shared" si="53"/>
        <v>0</v>
      </c>
      <c r="AL53" s="20">
        <f t="shared" si="53"/>
        <v>0</v>
      </c>
      <c r="AM53" s="20">
        <f t="shared" si="54"/>
        <v>0.55608855598164775</v>
      </c>
      <c r="AO53">
        <f t="shared" si="55"/>
        <v>7.2759031917906627E-2</v>
      </c>
      <c r="AP53">
        <f t="shared" si="55"/>
        <v>0</v>
      </c>
      <c r="AQ53">
        <f t="shared" si="55"/>
        <v>0</v>
      </c>
      <c r="AR53">
        <f t="shared" si="55"/>
        <v>0</v>
      </c>
      <c r="AS53">
        <f t="shared" si="56"/>
        <v>7.2759031917906627E-2</v>
      </c>
      <c r="AU53">
        <f t="shared" si="57"/>
        <v>0.61825925654039593</v>
      </c>
      <c r="AV53">
        <f t="shared" si="57"/>
        <v>0</v>
      </c>
      <c r="AW53">
        <f t="shared" si="57"/>
        <v>0</v>
      </c>
      <c r="AX53">
        <f t="shared" si="57"/>
        <v>0</v>
      </c>
      <c r="AY53">
        <f t="shared" si="58"/>
        <v>0.61825925654039593</v>
      </c>
    </row>
    <row r="54" spans="1:53" ht="15" x14ac:dyDescent="0.25">
      <c r="A54" s="7"/>
      <c r="B54" s="8" t="s">
        <v>14</v>
      </c>
      <c r="C54" s="7"/>
      <c r="D54" s="357">
        <f t="shared" ref="D54:H54" si="59">SUM(D48:D53)</f>
        <v>0</v>
      </c>
      <c r="E54" s="363">
        <f>SUM(E48:E53)</f>
        <v>75.897300000000001</v>
      </c>
      <c r="F54" s="357">
        <f t="shared" si="59"/>
        <v>0</v>
      </c>
      <c r="G54" s="357">
        <f t="shared" si="59"/>
        <v>0</v>
      </c>
      <c r="H54" s="357">
        <f t="shared" si="59"/>
        <v>0</v>
      </c>
      <c r="J54">
        <v>0</v>
      </c>
      <c r="K54" s="14">
        <v>43.800961965811702</v>
      </c>
      <c r="L54">
        <v>0</v>
      </c>
      <c r="M54">
        <v>0</v>
      </c>
      <c r="N54">
        <v>0</v>
      </c>
      <c r="O54" s="20"/>
      <c r="P54" s="20"/>
      <c r="Q54" s="438">
        <v>0.44861471040108369</v>
      </c>
      <c r="R54" s="197"/>
      <c r="S54" s="197"/>
      <c r="T54" s="197"/>
      <c r="U54" s="197"/>
      <c r="BA54" s="319">
        <f>(E54*10000*Q54*AU$10)</f>
        <v>378552.83799761324</v>
      </c>
    </row>
    <row r="55" spans="1:53" ht="15" x14ac:dyDescent="0.25">
      <c r="A55" s="10"/>
      <c r="B55" s="9" t="s">
        <v>15</v>
      </c>
      <c r="C55" s="5"/>
      <c r="E55" s="363">
        <f>SUM(E54)</f>
        <v>75.897300000000001</v>
      </c>
      <c r="H55" s="358">
        <f>SUM(D54:H54)</f>
        <v>75.897300000000001</v>
      </c>
      <c r="K55" s="14"/>
      <c r="N55">
        <v>0</v>
      </c>
      <c r="O55" s="20"/>
      <c r="P55" s="20"/>
      <c r="Q55" s="438"/>
      <c r="R55" s="197"/>
      <c r="S55" s="197"/>
      <c r="T55" s="197"/>
      <c r="U55" s="197"/>
    </row>
    <row r="56" spans="1:53" ht="15.75" x14ac:dyDescent="0.25">
      <c r="A56" s="1"/>
      <c r="B56" s="2"/>
      <c r="C56" s="1"/>
      <c r="E56" s="361"/>
      <c r="K56" s="14"/>
      <c r="O56" s="20"/>
      <c r="P56" s="20"/>
      <c r="Q56" s="439"/>
      <c r="R56" s="197"/>
      <c r="S56" s="197"/>
      <c r="T56" s="197"/>
      <c r="U56" s="197"/>
    </row>
    <row r="57" spans="1:53" ht="15" x14ac:dyDescent="0.25">
      <c r="A57" s="1">
        <v>6</v>
      </c>
      <c r="B57" s="2" t="s">
        <v>20</v>
      </c>
      <c r="C57" s="1" t="s">
        <v>8</v>
      </c>
      <c r="D57">
        <v>0</v>
      </c>
      <c r="E57" s="360">
        <v>11.9978</v>
      </c>
      <c r="F57">
        <v>0</v>
      </c>
      <c r="G57">
        <v>0</v>
      </c>
      <c r="H57">
        <v>0</v>
      </c>
      <c r="J57">
        <v>0</v>
      </c>
      <c r="K57" s="14">
        <v>11.908647118760999</v>
      </c>
      <c r="L57">
        <v>0</v>
      </c>
      <c r="M57">
        <v>0</v>
      </c>
      <c r="N57">
        <v>0</v>
      </c>
      <c r="O57" s="20"/>
      <c r="P57" s="20"/>
      <c r="Q57" s="438">
        <v>0.4666585271880726</v>
      </c>
      <c r="R57" s="197">
        <v>0.33900000000000002</v>
      </c>
      <c r="S57" s="197">
        <v>1.9830000000000001</v>
      </c>
      <c r="T57" s="197">
        <v>0.76146788990825687</v>
      </c>
      <c r="U57" s="197">
        <v>0.76146788990825687</v>
      </c>
      <c r="V57" s="20">
        <f t="shared" ref="V57:Y62" si="60">IF(K57&gt;0,((E57-K57)*$Q57*$R57*10)+(K57*$O$12*$Q57*$R57*10),(E57*$Q57*$R57*10))</f>
        <v>7.0691737628676723</v>
      </c>
      <c r="W57" s="20">
        <f t="shared" si="60"/>
        <v>0</v>
      </c>
      <c r="X57" s="20">
        <f t="shared" si="60"/>
        <v>0</v>
      </c>
      <c r="Y57" s="20">
        <f t="shared" si="60"/>
        <v>0</v>
      </c>
      <c r="Z57" s="20">
        <f t="shared" ref="Z57:AC62" si="61">V57*(EXP(1.01-0.34*LN(Z$8))*(1-$T57)+(1*$T57))</f>
        <v>5.6906895315561004</v>
      </c>
      <c r="AA57" s="20">
        <f t="shared" si="61"/>
        <v>0</v>
      </c>
      <c r="AB57" s="20">
        <f t="shared" si="61"/>
        <v>0</v>
      </c>
      <c r="AC57" s="20">
        <f t="shared" si="61"/>
        <v>0</v>
      </c>
      <c r="AD57" s="20">
        <f t="shared" ref="AD57:AD62" si="62">SUM(Z57:AC57)</f>
        <v>5.6906895315561004</v>
      </c>
      <c r="AE57" s="20">
        <f t="shared" ref="AE57:AH62" si="63">IF(K57&gt;0,((E57-K57)*$Q57*$S57*10)+(K57*$P$12*$Q57*$S57)*10,(E57*$Q57*$S57*10))</f>
        <v>64.645558624618488</v>
      </c>
      <c r="AF57" s="20">
        <f t="shared" si="63"/>
        <v>0</v>
      </c>
      <c r="AG57" s="20">
        <f t="shared" si="63"/>
        <v>0</v>
      </c>
      <c r="AH57" s="20">
        <f t="shared" si="63"/>
        <v>0</v>
      </c>
      <c r="AI57" s="20">
        <f t="shared" ref="AI57:AI62" si="64">AE57*(EXP(1.01-0.34*LN(AI$8))*(1-$U57)+(1*$U57))</f>
        <v>52.03971723811182</v>
      </c>
      <c r="AJ57" s="20">
        <f t="shared" ref="AJ57:AL62" si="65">AF57*(EXP(1.01-0.34*LN(AJ$8))*(1-$T57)+(1*$T57))</f>
        <v>0</v>
      </c>
      <c r="AK57" s="20">
        <f t="shared" si="65"/>
        <v>0</v>
      </c>
      <c r="AL57" s="20">
        <f t="shared" si="65"/>
        <v>0</v>
      </c>
      <c r="AM57" s="20">
        <f t="shared" ref="AM57:AM62" si="66">SUM(AI57:AL57)</f>
        <v>52.03971723811182</v>
      </c>
      <c r="AO57">
        <f t="shared" ref="AO57:AR62" si="67">Z57*AO$10</f>
        <v>6.3269086211840717</v>
      </c>
      <c r="AP57">
        <f t="shared" si="67"/>
        <v>0</v>
      </c>
      <c r="AQ57">
        <f t="shared" si="67"/>
        <v>0</v>
      </c>
      <c r="AR57">
        <f t="shared" si="67"/>
        <v>0</v>
      </c>
      <c r="AS57">
        <f t="shared" ref="AS57:AS62" si="68">SUM(AO57:AR57)</f>
        <v>6.3269086211840717</v>
      </c>
      <c r="AU57">
        <f t="shared" ref="AU57:AX62" si="69">AI57*AU$10</f>
        <v>57.857757625332717</v>
      </c>
      <c r="AV57">
        <f t="shared" si="69"/>
        <v>0</v>
      </c>
      <c r="AW57">
        <f t="shared" si="69"/>
        <v>0</v>
      </c>
      <c r="AX57">
        <f t="shared" si="69"/>
        <v>0</v>
      </c>
      <c r="AY57">
        <f t="shared" ref="AY57:AY62" si="70">SUM(AU57:AX57)</f>
        <v>57.857757625332717</v>
      </c>
    </row>
    <row r="58" spans="1:53" ht="15" x14ac:dyDescent="0.25">
      <c r="A58" s="1"/>
      <c r="B58" s="2"/>
      <c r="C58" s="1" t="s">
        <v>9</v>
      </c>
      <c r="D58">
        <v>0</v>
      </c>
      <c r="E58" s="360">
        <v>3.8092000000000001</v>
      </c>
      <c r="F58">
        <v>0</v>
      </c>
      <c r="G58">
        <v>0</v>
      </c>
      <c r="H58">
        <v>0</v>
      </c>
      <c r="J58">
        <v>0</v>
      </c>
      <c r="K58" s="14">
        <v>2.2897921524700005</v>
      </c>
      <c r="L58">
        <v>0</v>
      </c>
      <c r="M58">
        <v>0</v>
      </c>
      <c r="N58">
        <v>0</v>
      </c>
      <c r="O58" s="20"/>
      <c r="P58" s="20"/>
      <c r="Q58" s="438">
        <v>0.48331705437614525</v>
      </c>
      <c r="R58" s="197">
        <v>0.33900000000000002</v>
      </c>
      <c r="S58" s="197">
        <v>1.9830000000000001</v>
      </c>
      <c r="T58" s="197">
        <v>0.76146788990825687</v>
      </c>
      <c r="U58" s="197">
        <v>0.76146788990825687</v>
      </c>
      <c r="V58" s="20">
        <f t="shared" si="60"/>
        <v>3.8691605498485839</v>
      </c>
      <c r="W58" s="20">
        <f t="shared" si="60"/>
        <v>0</v>
      </c>
      <c r="X58" s="20">
        <f t="shared" si="60"/>
        <v>0</v>
      </c>
      <c r="Y58" s="20">
        <f t="shared" si="60"/>
        <v>0</v>
      </c>
      <c r="Z58" s="20">
        <f t="shared" si="61"/>
        <v>3.1146767890454723</v>
      </c>
      <c r="AA58" s="20">
        <f t="shared" si="61"/>
        <v>0</v>
      </c>
      <c r="AB58" s="20">
        <f t="shared" si="61"/>
        <v>0</v>
      </c>
      <c r="AC58" s="20">
        <f t="shared" si="61"/>
        <v>0</v>
      </c>
      <c r="AD58" s="20">
        <f t="shared" si="62"/>
        <v>3.1146767890454723</v>
      </c>
      <c r="AE58" s="20">
        <f t="shared" si="63"/>
        <v>27.271734311696918</v>
      </c>
      <c r="AF58" s="20">
        <f t="shared" si="63"/>
        <v>0</v>
      </c>
      <c r="AG58" s="20">
        <f t="shared" si="63"/>
        <v>0</v>
      </c>
      <c r="AH58" s="20">
        <f t="shared" si="63"/>
        <v>0</v>
      </c>
      <c r="AI58" s="20">
        <f t="shared" si="64"/>
        <v>21.953764069309955</v>
      </c>
      <c r="AJ58" s="20">
        <f t="shared" si="65"/>
        <v>0</v>
      </c>
      <c r="AK58" s="20">
        <f t="shared" si="65"/>
        <v>0</v>
      </c>
      <c r="AL58" s="20">
        <f t="shared" si="65"/>
        <v>0</v>
      </c>
      <c r="AM58" s="20">
        <f t="shared" si="66"/>
        <v>21.953764069309955</v>
      </c>
      <c r="AO58">
        <f t="shared" si="67"/>
        <v>3.4628976540607557</v>
      </c>
      <c r="AP58">
        <f t="shared" si="67"/>
        <v>0</v>
      </c>
      <c r="AQ58">
        <f t="shared" si="67"/>
        <v>0</v>
      </c>
      <c r="AR58">
        <f t="shared" si="67"/>
        <v>0</v>
      </c>
      <c r="AS58">
        <f t="shared" si="68"/>
        <v>3.4628976540607557</v>
      </c>
      <c r="AU58">
        <f t="shared" si="69"/>
        <v>24.408194892258805</v>
      </c>
      <c r="AV58">
        <f t="shared" si="69"/>
        <v>0</v>
      </c>
      <c r="AW58">
        <f t="shared" si="69"/>
        <v>0</v>
      </c>
      <c r="AX58">
        <f t="shared" si="69"/>
        <v>0</v>
      </c>
      <c r="AY58">
        <f t="shared" si="70"/>
        <v>24.408194892258805</v>
      </c>
    </row>
    <row r="59" spans="1:53" ht="15" x14ac:dyDescent="0.25">
      <c r="A59" s="1"/>
      <c r="B59" s="2"/>
      <c r="C59" s="1" t="s">
        <v>10</v>
      </c>
      <c r="D59">
        <v>0</v>
      </c>
      <c r="E59" s="360">
        <v>0.1384</v>
      </c>
      <c r="F59">
        <v>0</v>
      </c>
      <c r="G59">
        <v>0</v>
      </c>
      <c r="H59">
        <v>0</v>
      </c>
      <c r="J59">
        <v>0</v>
      </c>
      <c r="K59" s="14">
        <v>-8.809080921500001E-2</v>
      </c>
      <c r="L59">
        <v>0</v>
      </c>
      <c r="M59">
        <v>0</v>
      </c>
      <c r="N59">
        <v>0</v>
      </c>
      <c r="O59" s="20"/>
      <c r="P59" s="20"/>
      <c r="Q59" s="438">
        <v>0.49997558156421795</v>
      </c>
      <c r="R59" s="197">
        <v>0.33900000000000002</v>
      </c>
      <c r="S59" s="197">
        <v>1.9830000000000001</v>
      </c>
      <c r="T59" s="197">
        <v>0.76146788990825687</v>
      </c>
      <c r="U59" s="197">
        <v>0.76146788990825687</v>
      </c>
      <c r="V59" s="20">
        <f t="shared" si="60"/>
        <v>0.23457654345597354</v>
      </c>
      <c r="W59" s="20">
        <f t="shared" si="60"/>
        <v>0</v>
      </c>
      <c r="X59" s="20">
        <f t="shared" si="60"/>
        <v>0</v>
      </c>
      <c r="Y59" s="20">
        <f t="shared" si="60"/>
        <v>0</v>
      </c>
      <c r="Z59" s="20">
        <f t="shared" si="61"/>
        <v>0.18883427186432722</v>
      </c>
      <c r="AA59" s="20">
        <f t="shared" si="61"/>
        <v>0</v>
      </c>
      <c r="AB59" s="20">
        <f t="shared" si="61"/>
        <v>0</v>
      </c>
      <c r="AC59" s="20">
        <f t="shared" si="61"/>
        <v>0</v>
      </c>
      <c r="AD59" s="20">
        <f t="shared" si="62"/>
        <v>0.18883427186432722</v>
      </c>
      <c r="AE59" s="20">
        <f t="shared" si="63"/>
        <v>1.3721689842867124</v>
      </c>
      <c r="AF59" s="20">
        <f t="shared" si="63"/>
        <v>0</v>
      </c>
      <c r="AG59" s="20">
        <f t="shared" si="63"/>
        <v>0</v>
      </c>
      <c r="AH59" s="20">
        <f t="shared" si="63"/>
        <v>0</v>
      </c>
      <c r="AI59" s="20">
        <f t="shared" si="64"/>
        <v>1.1045969354187637</v>
      </c>
      <c r="AJ59" s="20">
        <f t="shared" si="65"/>
        <v>0</v>
      </c>
      <c r="AK59" s="20">
        <f t="shared" si="65"/>
        <v>0</v>
      </c>
      <c r="AL59" s="20">
        <f t="shared" si="65"/>
        <v>0</v>
      </c>
      <c r="AM59" s="20">
        <f t="shared" si="66"/>
        <v>1.1045969354187637</v>
      </c>
      <c r="AO59">
        <f t="shared" si="67"/>
        <v>0.20994594345875897</v>
      </c>
      <c r="AP59">
        <f t="shared" si="67"/>
        <v>0</v>
      </c>
      <c r="AQ59">
        <f t="shared" si="67"/>
        <v>0</v>
      </c>
      <c r="AR59">
        <f t="shared" si="67"/>
        <v>0</v>
      </c>
      <c r="AS59">
        <f t="shared" si="68"/>
        <v>0.20994594345875897</v>
      </c>
      <c r="AU59">
        <f t="shared" si="69"/>
        <v>1.2280908727985813</v>
      </c>
      <c r="AV59">
        <f t="shared" si="69"/>
        <v>0</v>
      </c>
      <c r="AW59">
        <f t="shared" si="69"/>
        <v>0</v>
      </c>
      <c r="AX59">
        <f t="shared" si="69"/>
        <v>0</v>
      </c>
      <c r="AY59">
        <f t="shared" si="70"/>
        <v>1.2280908727985813</v>
      </c>
    </row>
    <row r="60" spans="1:53" ht="15" x14ac:dyDescent="0.25">
      <c r="A60" s="1"/>
      <c r="B60" s="2"/>
      <c r="C60" s="1" t="s">
        <v>11</v>
      </c>
      <c r="D60">
        <v>0</v>
      </c>
      <c r="E60" s="360">
        <v>2.6183000000000001</v>
      </c>
      <c r="F60">
        <v>0</v>
      </c>
      <c r="G60">
        <v>0</v>
      </c>
      <c r="H60">
        <v>0</v>
      </c>
      <c r="J60">
        <v>0</v>
      </c>
      <c r="K60" s="14">
        <v>2.1201244640930001</v>
      </c>
      <c r="L60">
        <v>0</v>
      </c>
      <c r="M60">
        <v>0</v>
      </c>
      <c r="N60">
        <v>0</v>
      </c>
      <c r="O60" s="20"/>
      <c r="P60" s="20"/>
      <c r="Q60" s="438">
        <v>0.51663410875229054</v>
      </c>
      <c r="R60" s="197">
        <v>0.33900000000000002</v>
      </c>
      <c r="S60" s="197">
        <v>1.9830000000000001</v>
      </c>
      <c r="T60" s="197">
        <v>0.76146788990825687</v>
      </c>
      <c r="U60" s="197">
        <v>0.76146788990825687</v>
      </c>
      <c r="V60" s="20">
        <f t="shared" si="60"/>
        <v>2.2380231212379407</v>
      </c>
      <c r="W60" s="20">
        <f t="shared" si="60"/>
        <v>0</v>
      </c>
      <c r="X60" s="20">
        <f t="shared" si="60"/>
        <v>0</v>
      </c>
      <c r="Y60" s="20">
        <f t="shared" si="60"/>
        <v>0</v>
      </c>
      <c r="Z60" s="20">
        <f t="shared" si="61"/>
        <v>1.8016100855105914</v>
      </c>
      <c r="AA60" s="20">
        <f t="shared" si="61"/>
        <v>0</v>
      </c>
      <c r="AB60" s="20">
        <f t="shared" si="61"/>
        <v>0</v>
      </c>
      <c r="AC60" s="20">
        <f t="shared" si="61"/>
        <v>0</v>
      </c>
      <c r="AD60" s="20">
        <f t="shared" si="62"/>
        <v>1.8016100855105914</v>
      </c>
      <c r="AE60" s="20">
        <f t="shared" si="63"/>
        <v>17.682655913837994</v>
      </c>
      <c r="AF60" s="20">
        <f t="shared" si="63"/>
        <v>0</v>
      </c>
      <c r="AG60" s="20">
        <f t="shared" si="63"/>
        <v>0</v>
      </c>
      <c r="AH60" s="20">
        <f t="shared" si="63"/>
        <v>0</v>
      </c>
      <c r="AI60" s="20">
        <f t="shared" si="64"/>
        <v>14.234549648156676</v>
      </c>
      <c r="AJ60" s="20">
        <f t="shared" si="65"/>
        <v>0</v>
      </c>
      <c r="AK60" s="20">
        <f t="shared" si="65"/>
        <v>0</v>
      </c>
      <c r="AL60" s="20">
        <f t="shared" si="65"/>
        <v>0</v>
      </c>
      <c r="AM60" s="20">
        <f t="shared" si="66"/>
        <v>14.234549648156676</v>
      </c>
      <c r="AO60">
        <f t="shared" si="67"/>
        <v>2.0030300930706755</v>
      </c>
      <c r="AP60">
        <f t="shared" si="67"/>
        <v>0</v>
      </c>
      <c r="AQ60">
        <f t="shared" si="67"/>
        <v>0</v>
      </c>
      <c r="AR60">
        <f t="shared" si="67"/>
        <v>0</v>
      </c>
      <c r="AS60">
        <f t="shared" si="68"/>
        <v>2.0030300930706755</v>
      </c>
      <c r="AU60">
        <f t="shared" si="69"/>
        <v>15.825972298820592</v>
      </c>
      <c r="AV60">
        <f t="shared" si="69"/>
        <v>0</v>
      </c>
      <c r="AW60">
        <f t="shared" si="69"/>
        <v>0</v>
      </c>
      <c r="AX60">
        <f t="shared" si="69"/>
        <v>0</v>
      </c>
      <c r="AY60">
        <f t="shared" si="70"/>
        <v>15.825972298820592</v>
      </c>
    </row>
    <row r="61" spans="1:53" ht="15" x14ac:dyDescent="0.25">
      <c r="A61" s="1"/>
      <c r="B61" s="2"/>
      <c r="C61" s="1" t="s">
        <v>12</v>
      </c>
      <c r="D61">
        <v>0</v>
      </c>
      <c r="E61" s="360">
        <v>0</v>
      </c>
      <c r="F61">
        <v>0</v>
      </c>
      <c r="G61">
        <v>0</v>
      </c>
      <c r="H61">
        <v>0</v>
      </c>
      <c r="J61">
        <v>0</v>
      </c>
      <c r="K61" s="14">
        <v>0</v>
      </c>
      <c r="L61">
        <v>0</v>
      </c>
      <c r="M61">
        <v>0</v>
      </c>
      <c r="N61">
        <v>0</v>
      </c>
      <c r="O61" s="20"/>
      <c r="P61" s="20"/>
      <c r="Q61" s="438"/>
      <c r="R61" s="197">
        <v>0.33900000000000002</v>
      </c>
      <c r="S61" s="197">
        <v>1.9830000000000001</v>
      </c>
      <c r="T61" s="197">
        <v>0.76146788990825687</v>
      </c>
      <c r="U61" s="197">
        <v>0.76146788990825687</v>
      </c>
      <c r="V61" s="20">
        <f t="shared" si="60"/>
        <v>0</v>
      </c>
      <c r="W61" s="20">
        <f t="shared" si="60"/>
        <v>0</v>
      </c>
      <c r="X61" s="20">
        <f t="shared" si="60"/>
        <v>0</v>
      </c>
      <c r="Y61" s="20">
        <f t="shared" si="60"/>
        <v>0</v>
      </c>
      <c r="Z61" s="20">
        <f t="shared" si="61"/>
        <v>0</v>
      </c>
      <c r="AA61" s="20">
        <f t="shared" si="61"/>
        <v>0</v>
      </c>
      <c r="AB61" s="20">
        <f t="shared" si="61"/>
        <v>0</v>
      </c>
      <c r="AC61" s="20">
        <f t="shared" si="61"/>
        <v>0</v>
      </c>
      <c r="AD61" s="20">
        <f t="shared" si="62"/>
        <v>0</v>
      </c>
      <c r="AE61" s="20">
        <f t="shared" si="63"/>
        <v>0</v>
      </c>
      <c r="AF61" s="20">
        <f t="shared" si="63"/>
        <v>0</v>
      </c>
      <c r="AG61" s="20">
        <f t="shared" si="63"/>
        <v>0</v>
      </c>
      <c r="AH61" s="20">
        <f t="shared" si="63"/>
        <v>0</v>
      </c>
      <c r="AI61" s="20">
        <f t="shared" si="64"/>
        <v>0</v>
      </c>
      <c r="AJ61" s="20">
        <f t="shared" si="65"/>
        <v>0</v>
      </c>
      <c r="AK61" s="20">
        <f t="shared" si="65"/>
        <v>0</v>
      </c>
      <c r="AL61" s="20">
        <f t="shared" si="65"/>
        <v>0</v>
      </c>
      <c r="AM61" s="20">
        <f t="shared" si="66"/>
        <v>0</v>
      </c>
      <c r="AO61">
        <f t="shared" si="67"/>
        <v>0</v>
      </c>
      <c r="AP61">
        <f t="shared" si="67"/>
        <v>0</v>
      </c>
      <c r="AQ61">
        <f t="shared" si="67"/>
        <v>0</v>
      </c>
      <c r="AR61">
        <f t="shared" si="67"/>
        <v>0</v>
      </c>
      <c r="AS61">
        <f t="shared" si="68"/>
        <v>0</v>
      </c>
      <c r="AU61">
        <f t="shared" si="69"/>
        <v>0</v>
      </c>
      <c r="AV61">
        <f t="shared" si="69"/>
        <v>0</v>
      </c>
      <c r="AW61">
        <f t="shared" si="69"/>
        <v>0</v>
      </c>
      <c r="AX61">
        <f t="shared" si="69"/>
        <v>0</v>
      </c>
      <c r="AY61">
        <f t="shared" si="70"/>
        <v>0</v>
      </c>
    </row>
    <row r="62" spans="1:53" ht="15" x14ac:dyDescent="0.25">
      <c r="A62" s="1"/>
      <c r="B62" s="2"/>
      <c r="C62" s="1" t="s">
        <v>13</v>
      </c>
      <c r="D62">
        <v>0</v>
      </c>
      <c r="E62" s="360">
        <v>1.4E-3</v>
      </c>
      <c r="F62">
        <v>0</v>
      </c>
      <c r="G62">
        <v>0</v>
      </c>
      <c r="H62">
        <v>0</v>
      </c>
      <c r="J62">
        <v>0</v>
      </c>
      <c r="K62" s="14">
        <v>1.4E-3</v>
      </c>
      <c r="L62">
        <v>0</v>
      </c>
      <c r="M62">
        <v>0</v>
      </c>
      <c r="N62">
        <v>0</v>
      </c>
      <c r="O62" s="20"/>
      <c r="P62" s="20"/>
      <c r="Q62" s="438">
        <v>0.51663410875229054</v>
      </c>
      <c r="R62" s="197">
        <v>0.33900000000000002</v>
      </c>
      <c r="S62" s="197">
        <v>1.9830000000000001</v>
      </c>
      <c r="T62" s="197">
        <v>0.76146788990825687</v>
      </c>
      <c r="U62" s="197">
        <v>0.76146788990825687</v>
      </c>
      <c r="V62" s="20">
        <f t="shared" si="60"/>
        <v>9.017079650407633E-4</v>
      </c>
      <c r="W62" s="20">
        <f t="shared" si="60"/>
        <v>0</v>
      </c>
      <c r="X62" s="20">
        <f t="shared" si="60"/>
        <v>0</v>
      </c>
      <c r="Y62" s="20">
        <f t="shared" si="60"/>
        <v>0</v>
      </c>
      <c r="Z62" s="20">
        <f t="shared" si="61"/>
        <v>7.2587550530044576E-4</v>
      </c>
      <c r="AA62" s="20">
        <f t="shared" si="61"/>
        <v>0</v>
      </c>
      <c r="AB62" s="20">
        <f t="shared" si="61"/>
        <v>0</v>
      </c>
      <c r="AC62" s="20">
        <f t="shared" si="61"/>
        <v>0</v>
      </c>
      <c r="AD62" s="20">
        <f t="shared" si="62"/>
        <v>7.2587550530044576E-4</v>
      </c>
      <c r="AE62" s="20">
        <f t="shared" si="63"/>
        <v>8.3063463634168114E-3</v>
      </c>
      <c r="AF62" s="20">
        <f t="shared" si="63"/>
        <v>0</v>
      </c>
      <c r="AG62" s="20">
        <f t="shared" si="63"/>
        <v>0</v>
      </c>
      <c r="AH62" s="20">
        <f t="shared" si="63"/>
        <v>0</v>
      </c>
      <c r="AI62" s="20">
        <f t="shared" si="64"/>
        <v>6.6866142892207121E-3</v>
      </c>
      <c r="AJ62" s="20">
        <f t="shared" si="65"/>
        <v>0</v>
      </c>
      <c r="AK62" s="20">
        <f t="shared" si="65"/>
        <v>0</v>
      </c>
      <c r="AL62" s="20">
        <f t="shared" si="65"/>
        <v>0</v>
      </c>
      <c r="AM62" s="20">
        <f t="shared" si="66"/>
        <v>6.6866142892207121E-3</v>
      </c>
      <c r="AO62">
        <f t="shared" si="67"/>
        <v>8.0702838679303553E-4</v>
      </c>
      <c r="AP62">
        <f t="shared" si="67"/>
        <v>0</v>
      </c>
      <c r="AQ62">
        <f t="shared" si="67"/>
        <v>0</v>
      </c>
      <c r="AR62">
        <f t="shared" si="67"/>
        <v>0</v>
      </c>
      <c r="AS62">
        <f t="shared" si="68"/>
        <v>8.0702838679303553E-4</v>
      </c>
      <c r="AU62">
        <f t="shared" si="69"/>
        <v>7.4341777667555871E-3</v>
      </c>
      <c r="AV62">
        <f t="shared" si="69"/>
        <v>0</v>
      </c>
      <c r="AW62">
        <f t="shared" si="69"/>
        <v>0</v>
      </c>
      <c r="AX62">
        <f t="shared" si="69"/>
        <v>0</v>
      </c>
      <c r="AY62">
        <f t="shared" si="70"/>
        <v>7.4341777667555871E-3</v>
      </c>
    </row>
    <row r="63" spans="1:53" ht="15" x14ac:dyDescent="0.25">
      <c r="A63" s="7"/>
      <c r="B63" s="8" t="s">
        <v>14</v>
      </c>
      <c r="C63" s="7"/>
      <c r="D63" s="357">
        <f t="shared" ref="D63:H63" si="71">SUM(D57:D62)</f>
        <v>0</v>
      </c>
      <c r="E63" s="363">
        <f>SUM(E57:E62)</f>
        <v>18.565100000000001</v>
      </c>
      <c r="F63" s="357">
        <f t="shared" si="71"/>
        <v>0</v>
      </c>
      <c r="G63" s="357">
        <f t="shared" si="71"/>
        <v>0</v>
      </c>
      <c r="H63" s="357">
        <f t="shared" si="71"/>
        <v>0</v>
      </c>
      <c r="J63">
        <v>0</v>
      </c>
      <c r="K63" s="14">
        <v>16.231872926109002</v>
      </c>
      <c r="L63">
        <v>0</v>
      </c>
      <c r="M63">
        <v>0</v>
      </c>
      <c r="N63">
        <v>0</v>
      </c>
      <c r="O63" s="20"/>
      <c r="P63" s="20"/>
      <c r="Q63" s="438">
        <v>0.47737690592636356</v>
      </c>
      <c r="R63" s="197"/>
      <c r="S63" s="197"/>
      <c r="T63" s="197"/>
      <c r="U63" s="197"/>
      <c r="BA63" s="319">
        <f>(E63*10000*Q63*AU$10)</f>
        <v>98533.830857902038</v>
      </c>
    </row>
    <row r="64" spans="1:53" ht="15" x14ac:dyDescent="0.25">
      <c r="A64" s="10"/>
      <c r="B64" s="9" t="s">
        <v>15</v>
      </c>
      <c r="C64" s="5"/>
      <c r="E64" s="363">
        <f>SUM(E63)</f>
        <v>18.565100000000001</v>
      </c>
      <c r="H64" s="358">
        <f>SUM(D63:H63)</f>
        <v>18.565100000000001</v>
      </c>
      <c r="K64" s="14"/>
      <c r="N64">
        <v>0</v>
      </c>
      <c r="O64" s="20"/>
      <c r="P64" s="20"/>
      <c r="Q64" s="438"/>
      <c r="R64" s="197"/>
      <c r="S64" s="197"/>
      <c r="T64" s="197"/>
      <c r="U64" s="197"/>
    </row>
    <row r="65" spans="1:53" ht="15.75" x14ac:dyDescent="0.25">
      <c r="A65" s="3"/>
      <c r="B65" s="11"/>
      <c r="C65" s="3"/>
      <c r="E65" s="361"/>
      <c r="K65" s="14"/>
      <c r="O65" s="20"/>
      <c r="P65" s="20"/>
      <c r="Q65" s="439"/>
      <c r="R65" s="197"/>
      <c r="S65" s="197"/>
      <c r="T65" s="197"/>
      <c r="U65" s="197"/>
    </row>
    <row r="66" spans="1:53" ht="15" x14ac:dyDescent="0.25">
      <c r="A66" s="3">
        <v>7</v>
      </c>
      <c r="B66" s="11" t="s">
        <v>21</v>
      </c>
      <c r="C66" s="3" t="s">
        <v>8</v>
      </c>
      <c r="D66">
        <v>0</v>
      </c>
      <c r="E66" s="360">
        <v>6.2215999999999996</v>
      </c>
      <c r="F66">
        <v>0</v>
      </c>
      <c r="G66">
        <v>0</v>
      </c>
      <c r="H66">
        <v>0</v>
      </c>
      <c r="J66">
        <v>0</v>
      </c>
      <c r="K66" s="14">
        <v>3.0276691686005992</v>
      </c>
      <c r="L66">
        <v>0</v>
      </c>
      <c r="M66">
        <v>0</v>
      </c>
      <c r="N66">
        <v>0</v>
      </c>
      <c r="O66" s="20"/>
      <c r="P66" s="20"/>
      <c r="Q66" s="438">
        <v>4.1983883832383814E-2</v>
      </c>
      <c r="R66" s="197">
        <v>0.15</v>
      </c>
      <c r="S66" s="197">
        <v>1.18</v>
      </c>
      <c r="T66" s="197">
        <v>0.46666666666666673</v>
      </c>
      <c r="U66" s="197">
        <v>0.6566321730950142</v>
      </c>
      <c r="V66" s="20">
        <f t="shared" ref="V66:Y71" si="72">IF(K66&gt;0,((E66-K66)*$Q66*$R66*10)+(K66*$O$12*$Q66*$R66*10),(E66*$Q66*$R66*10))</f>
        <v>0.271259701440901</v>
      </c>
      <c r="W66" s="20">
        <f t="shared" si="72"/>
        <v>0</v>
      </c>
      <c r="X66" s="20">
        <f t="shared" si="72"/>
        <v>0</v>
      </c>
      <c r="Y66" s="20">
        <f t="shared" si="72"/>
        <v>0</v>
      </c>
      <c r="Z66" s="20">
        <f t="shared" ref="Z66:AC71" si="73">V66*(EXP(1.01-0.34*LN(Z$8))*(1-$T66)+(1*$T66))</f>
        <v>0.1529908707754063</v>
      </c>
      <c r="AA66" s="20">
        <f t="shared" si="73"/>
        <v>0</v>
      </c>
      <c r="AB66" s="20">
        <f t="shared" si="73"/>
        <v>0</v>
      </c>
      <c r="AC66" s="20">
        <f t="shared" si="73"/>
        <v>0</v>
      </c>
      <c r="AD66" s="20">
        <f t="shared" ref="AD66:AD71" si="74">SUM(Z66:AC66)</f>
        <v>0.1529908707754063</v>
      </c>
      <c r="AE66" s="20">
        <f t="shared" ref="AE66:AH71" si="75">IF(K66&gt;0,((E66-K66)*$Q66*$S66*10)+(K66*$P$12*$Q66*$S66)*10,(E66*$Q66*$S66*10))</f>
        <v>2.4509635778624719</v>
      </c>
      <c r="AF66" s="20">
        <f t="shared" si="75"/>
        <v>0</v>
      </c>
      <c r="AG66" s="20">
        <f t="shared" si="75"/>
        <v>0</v>
      </c>
      <c r="AH66" s="20">
        <f t="shared" si="75"/>
        <v>0</v>
      </c>
      <c r="AI66" s="20">
        <f t="shared" ref="AI66:AI71" si="76">AE66*(EXP(1.01-0.34*LN(AI$8))*(1-$U66)+(1*$U66))</f>
        <v>1.7629725841633714</v>
      </c>
      <c r="AJ66" s="20">
        <f t="shared" ref="AJ66:AL71" si="77">AF66*(EXP(1.01-0.34*LN(AJ$8))*(1-$T66)+(1*$T66))</f>
        <v>0</v>
      </c>
      <c r="AK66" s="20">
        <f t="shared" si="77"/>
        <v>0</v>
      </c>
      <c r="AL66" s="20">
        <f t="shared" si="77"/>
        <v>0</v>
      </c>
      <c r="AM66" s="20">
        <f t="shared" ref="AM66:AM71" si="78">SUM(AI66:AL66)</f>
        <v>1.7629725841633714</v>
      </c>
      <c r="AO66">
        <f t="shared" ref="AO66:AR71" si="79">Z66*AO$10</f>
        <v>0.1700952501280967</v>
      </c>
      <c r="AP66">
        <f t="shared" si="79"/>
        <v>0</v>
      </c>
      <c r="AQ66">
        <f t="shared" si="79"/>
        <v>0</v>
      </c>
      <c r="AR66">
        <f t="shared" si="79"/>
        <v>0</v>
      </c>
      <c r="AS66">
        <f t="shared" ref="AS66:AS71" si="80">SUM(AO66:AR66)</f>
        <v>0.1700952501280967</v>
      </c>
      <c r="AU66">
        <f t="shared" ref="AU66:AX71" si="81">AI66*AU$10</f>
        <v>1.9600729190728361</v>
      </c>
      <c r="AV66">
        <f t="shared" si="81"/>
        <v>0</v>
      </c>
      <c r="AW66">
        <f t="shared" si="81"/>
        <v>0</v>
      </c>
      <c r="AX66">
        <f t="shared" si="81"/>
        <v>0</v>
      </c>
      <c r="AY66">
        <f t="shared" ref="AY66:AY71" si="82">SUM(AU66:AX66)</f>
        <v>1.9600729190728361</v>
      </c>
    </row>
    <row r="67" spans="1:53" ht="15" x14ac:dyDescent="0.25">
      <c r="A67" s="3"/>
      <c r="B67" s="11"/>
      <c r="C67" s="3" t="s">
        <v>9</v>
      </c>
      <c r="D67">
        <v>0</v>
      </c>
      <c r="E67" s="360">
        <v>3.8833000000000002</v>
      </c>
      <c r="F67">
        <v>0</v>
      </c>
      <c r="G67">
        <v>0</v>
      </c>
      <c r="H67">
        <v>0</v>
      </c>
      <c r="J67">
        <v>0</v>
      </c>
      <c r="K67" s="14">
        <v>-24.426011909499998</v>
      </c>
      <c r="L67">
        <v>0</v>
      </c>
      <c r="M67">
        <v>0</v>
      </c>
      <c r="N67">
        <v>0</v>
      </c>
      <c r="O67" s="20"/>
      <c r="P67" s="20"/>
      <c r="Q67" s="438">
        <v>7.4967767664767648E-2</v>
      </c>
      <c r="R67" s="197">
        <v>0.15</v>
      </c>
      <c r="S67" s="197">
        <v>1.18</v>
      </c>
      <c r="T67" s="197">
        <v>0.46666666666666673</v>
      </c>
      <c r="U67" s="197">
        <v>0.6566321730950142</v>
      </c>
      <c r="V67" s="20">
        <f t="shared" si="72"/>
        <v>0.4366834982588883</v>
      </c>
      <c r="W67" s="20">
        <f t="shared" si="72"/>
        <v>0</v>
      </c>
      <c r="X67" s="20">
        <f t="shared" si="72"/>
        <v>0</v>
      </c>
      <c r="Y67" s="20">
        <f t="shared" si="72"/>
        <v>0</v>
      </c>
      <c r="Z67" s="20">
        <f t="shared" si="73"/>
        <v>0.2462901356043608</v>
      </c>
      <c r="AA67" s="20">
        <f t="shared" si="73"/>
        <v>0</v>
      </c>
      <c r="AB67" s="20">
        <f t="shared" si="73"/>
        <v>0</v>
      </c>
      <c r="AC67" s="20">
        <f t="shared" si="73"/>
        <v>0</v>
      </c>
      <c r="AD67" s="20">
        <f t="shared" si="74"/>
        <v>0.2462901356043608</v>
      </c>
      <c r="AE67" s="20">
        <f t="shared" si="75"/>
        <v>3.4352435196365878</v>
      </c>
      <c r="AF67" s="20">
        <f t="shared" si="75"/>
        <v>0</v>
      </c>
      <c r="AG67" s="20">
        <f t="shared" si="75"/>
        <v>0</v>
      </c>
      <c r="AH67" s="20">
        <f t="shared" si="75"/>
        <v>0</v>
      </c>
      <c r="AI67" s="20">
        <f t="shared" si="76"/>
        <v>2.4709629305572722</v>
      </c>
      <c r="AJ67" s="20">
        <f t="shared" si="77"/>
        <v>0</v>
      </c>
      <c r="AK67" s="20">
        <f t="shared" si="77"/>
        <v>0</v>
      </c>
      <c r="AL67" s="20">
        <f t="shared" si="77"/>
        <v>0</v>
      </c>
      <c r="AM67" s="20">
        <f t="shared" si="78"/>
        <v>2.4709629305572722</v>
      </c>
      <c r="AO67">
        <f t="shared" si="79"/>
        <v>0.2738253727649283</v>
      </c>
      <c r="AP67">
        <f t="shared" si="79"/>
        <v>0</v>
      </c>
      <c r="AQ67">
        <f t="shared" si="79"/>
        <v>0</v>
      </c>
      <c r="AR67">
        <f t="shared" si="79"/>
        <v>0</v>
      </c>
      <c r="AS67">
        <f t="shared" si="80"/>
        <v>0.2738253727649283</v>
      </c>
      <c r="AU67">
        <f t="shared" si="81"/>
        <v>2.7472165861935749</v>
      </c>
      <c r="AV67">
        <f t="shared" si="81"/>
        <v>0</v>
      </c>
      <c r="AW67">
        <f t="shared" si="81"/>
        <v>0</v>
      </c>
      <c r="AX67">
        <f t="shared" si="81"/>
        <v>0</v>
      </c>
      <c r="AY67">
        <f t="shared" si="82"/>
        <v>2.7472165861935749</v>
      </c>
    </row>
    <row r="68" spans="1:53" ht="15" x14ac:dyDescent="0.25">
      <c r="A68" s="3"/>
      <c r="B68" s="11"/>
      <c r="C68" s="3" t="s">
        <v>10</v>
      </c>
      <c r="D68">
        <v>0</v>
      </c>
      <c r="E68" s="360">
        <v>0</v>
      </c>
      <c r="F68">
        <v>0</v>
      </c>
      <c r="G68">
        <v>0</v>
      </c>
      <c r="H68">
        <v>0</v>
      </c>
      <c r="J68">
        <v>0</v>
      </c>
      <c r="K68" s="14">
        <v>0</v>
      </c>
      <c r="L68">
        <v>0</v>
      </c>
      <c r="M68">
        <v>0</v>
      </c>
      <c r="N68">
        <v>0</v>
      </c>
      <c r="O68" s="20"/>
      <c r="P68" s="20"/>
      <c r="Q68" s="438"/>
      <c r="R68" s="197">
        <v>0.15</v>
      </c>
      <c r="S68" s="197">
        <v>1.18</v>
      </c>
      <c r="T68" s="197">
        <v>0.46666666666666673</v>
      </c>
      <c r="U68" s="197">
        <v>0.6566321730950142</v>
      </c>
      <c r="V68" s="20">
        <f t="shared" si="72"/>
        <v>0</v>
      </c>
      <c r="W68" s="20">
        <f t="shared" si="72"/>
        <v>0</v>
      </c>
      <c r="X68" s="20">
        <f t="shared" si="72"/>
        <v>0</v>
      </c>
      <c r="Y68" s="20">
        <f t="shared" si="72"/>
        <v>0</v>
      </c>
      <c r="Z68" s="20">
        <f t="shared" si="73"/>
        <v>0</v>
      </c>
      <c r="AA68" s="20">
        <f t="shared" si="73"/>
        <v>0</v>
      </c>
      <c r="AB68" s="20">
        <f t="shared" si="73"/>
        <v>0</v>
      </c>
      <c r="AC68" s="20">
        <f t="shared" si="73"/>
        <v>0</v>
      </c>
      <c r="AD68" s="20">
        <f t="shared" si="74"/>
        <v>0</v>
      </c>
      <c r="AE68" s="20">
        <f t="shared" si="75"/>
        <v>0</v>
      </c>
      <c r="AF68" s="20">
        <f t="shared" si="75"/>
        <v>0</v>
      </c>
      <c r="AG68" s="20">
        <f t="shared" si="75"/>
        <v>0</v>
      </c>
      <c r="AH68" s="20">
        <f t="shared" si="75"/>
        <v>0</v>
      </c>
      <c r="AI68" s="20">
        <f t="shared" si="76"/>
        <v>0</v>
      </c>
      <c r="AJ68" s="20">
        <f t="shared" si="77"/>
        <v>0</v>
      </c>
      <c r="AK68" s="20">
        <f t="shared" si="77"/>
        <v>0</v>
      </c>
      <c r="AL68" s="20">
        <f t="shared" si="77"/>
        <v>0</v>
      </c>
      <c r="AM68" s="20">
        <f t="shared" si="78"/>
        <v>0</v>
      </c>
      <c r="AO68">
        <f t="shared" si="79"/>
        <v>0</v>
      </c>
      <c r="AP68">
        <f t="shared" si="79"/>
        <v>0</v>
      </c>
      <c r="AQ68">
        <f t="shared" si="79"/>
        <v>0</v>
      </c>
      <c r="AR68">
        <f t="shared" si="79"/>
        <v>0</v>
      </c>
      <c r="AS68">
        <f t="shared" si="80"/>
        <v>0</v>
      </c>
      <c r="AU68">
        <f t="shared" si="81"/>
        <v>0</v>
      </c>
      <c r="AV68">
        <f t="shared" si="81"/>
        <v>0</v>
      </c>
      <c r="AW68">
        <f t="shared" si="81"/>
        <v>0</v>
      </c>
      <c r="AX68">
        <f t="shared" si="81"/>
        <v>0</v>
      </c>
      <c r="AY68">
        <f t="shared" si="82"/>
        <v>0</v>
      </c>
    </row>
    <row r="69" spans="1:53" ht="15" x14ac:dyDescent="0.25">
      <c r="A69" s="3"/>
      <c r="B69" s="11"/>
      <c r="C69" s="3" t="s">
        <v>11</v>
      </c>
      <c r="D69">
        <v>0</v>
      </c>
      <c r="E69" s="360">
        <v>0.13730000000000001</v>
      </c>
      <c r="F69">
        <v>0</v>
      </c>
      <c r="G69">
        <v>0</v>
      </c>
      <c r="H69">
        <v>0</v>
      </c>
      <c r="J69">
        <v>0</v>
      </c>
      <c r="K69" s="14">
        <v>-0.29315512371429997</v>
      </c>
      <c r="L69">
        <v>0</v>
      </c>
      <c r="M69">
        <v>0</v>
      </c>
      <c r="N69">
        <v>0</v>
      </c>
      <c r="O69" s="20"/>
      <c r="P69" s="20"/>
      <c r="Q69" s="438">
        <v>0.14093553532953523</v>
      </c>
      <c r="R69" s="197">
        <v>0.15</v>
      </c>
      <c r="S69" s="197">
        <v>1.18</v>
      </c>
      <c r="T69" s="197">
        <v>0.46666666666666673</v>
      </c>
      <c r="U69" s="197">
        <v>0.6566321730950142</v>
      </c>
      <c r="V69" s="20">
        <f t="shared" si="72"/>
        <v>2.9025673501117781E-2</v>
      </c>
      <c r="W69" s="20">
        <f t="shared" si="72"/>
        <v>0</v>
      </c>
      <c r="X69" s="20">
        <f t="shared" si="72"/>
        <v>0</v>
      </c>
      <c r="Y69" s="20">
        <f t="shared" si="72"/>
        <v>0</v>
      </c>
      <c r="Z69" s="20">
        <f t="shared" si="73"/>
        <v>1.6370522566346357E-2</v>
      </c>
      <c r="AA69" s="20">
        <f t="shared" si="73"/>
        <v>0</v>
      </c>
      <c r="AB69" s="20">
        <f t="shared" si="73"/>
        <v>0</v>
      </c>
      <c r="AC69" s="20">
        <f t="shared" si="73"/>
        <v>0</v>
      </c>
      <c r="AD69" s="20">
        <f t="shared" si="74"/>
        <v>1.6370522566346357E-2</v>
      </c>
      <c r="AE69" s="20">
        <f t="shared" si="75"/>
        <v>0.22833529820879322</v>
      </c>
      <c r="AF69" s="20">
        <f t="shared" si="75"/>
        <v>0</v>
      </c>
      <c r="AG69" s="20">
        <f t="shared" si="75"/>
        <v>0</v>
      </c>
      <c r="AH69" s="20">
        <f t="shared" si="75"/>
        <v>0</v>
      </c>
      <c r="AI69" s="20">
        <f t="shared" si="76"/>
        <v>0.16424106599329402</v>
      </c>
      <c r="AJ69" s="20">
        <f t="shared" si="77"/>
        <v>0</v>
      </c>
      <c r="AK69" s="20">
        <f t="shared" si="77"/>
        <v>0</v>
      </c>
      <c r="AL69" s="20">
        <f t="shared" si="77"/>
        <v>0</v>
      </c>
      <c r="AM69" s="20">
        <f t="shared" si="78"/>
        <v>0.16424106599329402</v>
      </c>
      <c r="AO69">
        <f t="shared" si="79"/>
        <v>1.8200746989263879E-2</v>
      </c>
      <c r="AP69">
        <f t="shared" si="79"/>
        <v>0</v>
      </c>
      <c r="AQ69">
        <f t="shared" si="79"/>
        <v>0</v>
      </c>
      <c r="AR69">
        <f t="shared" si="79"/>
        <v>0</v>
      </c>
      <c r="AS69">
        <f t="shared" si="80"/>
        <v>1.8200746989263879E-2</v>
      </c>
      <c r="AU69">
        <f t="shared" si="81"/>
        <v>0.18260321717134428</v>
      </c>
      <c r="AV69">
        <f t="shared" si="81"/>
        <v>0</v>
      </c>
      <c r="AW69">
        <f t="shared" si="81"/>
        <v>0</v>
      </c>
      <c r="AX69">
        <f t="shared" si="81"/>
        <v>0</v>
      </c>
      <c r="AY69">
        <f t="shared" si="82"/>
        <v>0.18260321717134428</v>
      </c>
    </row>
    <row r="70" spans="1:53" ht="15" x14ac:dyDescent="0.25">
      <c r="A70" s="3"/>
      <c r="B70" s="12"/>
      <c r="C70" s="3" t="s">
        <v>12</v>
      </c>
      <c r="D70">
        <v>0</v>
      </c>
      <c r="E70" s="360">
        <v>0</v>
      </c>
      <c r="F70">
        <v>0</v>
      </c>
      <c r="G70">
        <v>0</v>
      </c>
      <c r="H70">
        <v>0</v>
      </c>
      <c r="J70">
        <v>0</v>
      </c>
      <c r="K70" s="14">
        <v>0</v>
      </c>
      <c r="L70">
        <v>0</v>
      </c>
      <c r="M70">
        <v>0</v>
      </c>
      <c r="N70">
        <v>0</v>
      </c>
      <c r="O70" s="20"/>
      <c r="P70" s="20"/>
      <c r="Q70" s="438"/>
      <c r="R70" s="197">
        <v>0.15</v>
      </c>
      <c r="S70" s="197">
        <v>1.18</v>
      </c>
      <c r="T70" s="197">
        <v>0.46666666666666673</v>
      </c>
      <c r="U70" s="197">
        <v>0.6566321730950142</v>
      </c>
      <c r="V70" s="20">
        <f t="shared" si="72"/>
        <v>0</v>
      </c>
      <c r="W70" s="20">
        <f t="shared" si="72"/>
        <v>0</v>
      </c>
      <c r="X70" s="20">
        <f t="shared" si="72"/>
        <v>0</v>
      </c>
      <c r="Y70" s="20">
        <f t="shared" si="72"/>
        <v>0</v>
      </c>
      <c r="Z70" s="20">
        <f t="shared" si="73"/>
        <v>0</v>
      </c>
      <c r="AA70" s="20">
        <f t="shared" si="73"/>
        <v>0</v>
      </c>
      <c r="AB70" s="20">
        <f t="shared" si="73"/>
        <v>0</v>
      </c>
      <c r="AC70" s="20">
        <f t="shared" si="73"/>
        <v>0</v>
      </c>
      <c r="AD70" s="20">
        <f t="shared" si="74"/>
        <v>0</v>
      </c>
      <c r="AE70" s="20">
        <f t="shared" si="75"/>
        <v>0</v>
      </c>
      <c r="AF70" s="20">
        <f t="shared" si="75"/>
        <v>0</v>
      </c>
      <c r="AG70" s="20">
        <f t="shared" si="75"/>
        <v>0</v>
      </c>
      <c r="AH70" s="20">
        <f t="shared" si="75"/>
        <v>0</v>
      </c>
      <c r="AI70" s="20">
        <f t="shared" si="76"/>
        <v>0</v>
      </c>
      <c r="AJ70" s="20">
        <f t="shared" si="77"/>
        <v>0</v>
      </c>
      <c r="AK70" s="20">
        <f t="shared" si="77"/>
        <v>0</v>
      </c>
      <c r="AL70" s="20">
        <f t="shared" si="77"/>
        <v>0</v>
      </c>
      <c r="AM70" s="20">
        <f t="shared" si="78"/>
        <v>0</v>
      </c>
      <c r="AO70">
        <f t="shared" si="79"/>
        <v>0</v>
      </c>
      <c r="AP70">
        <f t="shared" si="79"/>
        <v>0</v>
      </c>
      <c r="AQ70">
        <f t="shared" si="79"/>
        <v>0</v>
      </c>
      <c r="AR70">
        <f t="shared" si="79"/>
        <v>0</v>
      </c>
      <c r="AS70">
        <f t="shared" si="80"/>
        <v>0</v>
      </c>
      <c r="AU70">
        <f t="shared" si="81"/>
        <v>0</v>
      </c>
      <c r="AV70">
        <f t="shared" si="81"/>
        <v>0</v>
      </c>
      <c r="AW70">
        <f t="shared" si="81"/>
        <v>0</v>
      </c>
      <c r="AX70">
        <f t="shared" si="81"/>
        <v>0</v>
      </c>
      <c r="AY70">
        <f t="shared" si="82"/>
        <v>0</v>
      </c>
    </row>
    <row r="71" spans="1:53" ht="15" x14ac:dyDescent="0.25">
      <c r="A71" s="3"/>
      <c r="B71" s="12"/>
      <c r="C71" s="3" t="s">
        <v>13</v>
      </c>
      <c r="D71">
        <v>0</v>
      </c>
      <c r="E71" s="360">
        <v>0</v>
      </c>
      <c r="F71">
        <v>0</v>
      </c>
      <c r="G71">
        <v>0</v>
      </c>
      <c r="H71">
        <v>0</v>
      </c>
      <c r="J71">
        <v>0</v>
      </c>
      <c r="K71" s="14">
        <v>-3.8476341248699999</v>
      </c>
      <c r="L71">
        <v>0</v>
      </c>
      <c r="M71">
        <v>0</v>
      </c>
      <c r="N71">
        <v>0</v>
      </c>
      <c r="O71" s="20"/>
      <c r="P71" s="20"/>
      <c r="Q71" s="438"/>
      <c r="R71" s="197">
        <v>0.15</v>
      </c>
      <c r="S71" s="197">
        <v>1.18</v>
      </c>
      <c r="T71" s="197">
        <v>0.46666666666666673</v>
      </c>
      <c r="U71" s="197">
        <v>0.6566321730950142</v>
      </c>
      <c r="V71" s="20">
        <f t="shared" si="72"/>
        <v>0</v>
      </c>
      <c r="W71" s="20">
        <f t="shared" si="72"/>
        <v>0</v>
      </c>
      <c r="X71" s="20">
        <f t="shared" si="72"/>
        <v>0</v>
      </c>
      <c r="Y71" s="20">
        <f t="shared" si="72"/>
        <v>0</v>
      </c>
      <c r="Z71" s="20">
        <f t="shared" si="73"/>
        <v>0</v>
      </c>
      <c r="AA71" s="20">
        <f t="shared" si="73"/>
        <v>0</v>
      </c>
      <c r="AB71" s="20">
        <f t="shared" si="73"/>
        <v>0</v>
      </c>
      <c r="AC71" s="20">
        <f t="shared" si="73"/>
        <v>0</v>
      </c>
      <c r="AD71" s="20">
        <f t="shared" si="74"/>
        <v>0</v>
      </c>
      <c r="AE71" s="20">
        <f t="shared" si="75"/>
        <v>0</v>
      </c>
      <c r="AF71" s="20">
        <f t="shared" si="75"/>
        <v>0</v>
      </c>
      <c r="AG71" s="20">
        <f t="shared" si="75"/>
        <v>0</v>
      </c>
      <c r="AH71" s="20">
        <f t="shared" si="75"/>
        <v>0</v>
      </c>
      <c r="AI71" s="20">
        <f t="shared" si="76"/>
        <v>0</v>
      </c>
      <c r="AJ71" s="20">
        <f t="shared" si="77"/>
        <v>0</v>
      </c>
      <c r="AK71" s="20">
        <f t="shared" si="77"/>
        <v>0</v>
      </c>
      <c r="AL71" s="20">
        <f t="shared" si="77"/>
        <v>0</v>
      </c>
      <c r="AM71" s="20">
        <f t="shared" si="78"/>
        <v>0</v>
      </c>
      <c r="AO71">
        <f t="shared" si="79"/>
        <v>0</v>
      </c>
      <c r="AP71">
        <f t="shared" si="79"/>
        <v>0</v>
      </c>
      <c r="AQ71">
        <f t="shared" si="79"/>
        <v>0</v>
      </c>
      <c r="AR71">
        <f t="shared" si="79"/>
        <v>0</v>
      </c>
      <c r="AS71">
        <f t="shared" si="80"/>
        <v>0</v>
      </c>
      <c r="AU71">
        <f t="shared" si="81"/>
        <v>0</v>
      </c>
      <c r="AV71">
        <f t="shared" si="81"/>
        <v>0</v>
      </c>
      <c r="AW71">
        <f t="shared" si="81"/>
        <v>0</v>
      </c>
      <c r="AX71">
        <f t="shared" si="81"/>
        <v>0</v>
      </c>
      <c r="AY71">
        <f t="shared" si="82"/>
        <v>0</v>
      </c>
    </row>
    <row r="72" spans="1:53" ht="15" x14ac:dyDescent="0.25">
      <c r="A72" s="7"/>
      <c r="B72" s="8" t="s">
        <v>14</v>
      </c>
      <c r="C72" s="7"/>
      <c r="D72" s="357">
        <f t="shared" ref="D72:H72" si="83">SUM(D66:D71)</f>
        <v>0</v>
      </c>
      <c r="E72" s="363">
        <f>SUM(E66:E71)</f>
        <v>10.2422</v>
      </c>
      <c r="F72" s="357">
        <f t="shared" si="83"/>
        <v>0</v>
      </c>
      <c r="G72" s="357">
        <f t="shared" si="83"/>
        <v>0</v>
      </c>
      <c r="H72" s="357">
        <f t="shared" si="83"/>
        <v>0</v>
      </c>
      <c r="J72">
        <v>0</v>
      </c>
      <c r="K72" s="14">
        <v>-25.539131989483696</v>
      </c>
      <c r="L72">
        <v>0</v>
      </c>
      <c r="M72">
        <v>0</v>
      </c>
      <c r="N72">
        <v>0</v>
      </c>
      <c r="O72" s="20"/>
      <c r="P72" s="20"/>
      <c r="Q72" s="438">
        <v>5.5816105214201682E-2</v>
      </c>
      <c r="R72" s="197"/>
      <c r="S72" s="197"/>
      <c r="T72" s="197"/>
      <c r="U72" s="197"/>
      <c r="BA72" s="319">
        <f>(E72*10000*Q72*AU$10)</f>
        <v>6355.9350471871976</v>
      </c>
    </row>
    <row r="73" spans="1:53" ht="15" x14ac:dyDescent="0.25">
      <c r="A73" s="10"/>
      <c r="B73" s="9" t="s">
        <v>15</v>
      </c>
      <c r="C73" s="5"/>
      <c r="E73" s="363">
        <f>SUM(E72)</f>
        <v>10.2422</v>
      </c>
      <c r="H73" s="358">
        <f>SUM(D72:H72)</f>
        <v>10.2422</v>
      </c>
      <c r="K73" s="14"/>
      <c r="N73">
        <v>0</v>
      </c>
      <c r="O73" s="20"/>
      <c r="P73" s="20"/>
      <c r="Q73" s="438"/>
      <c r="R73" s="197"/>
      <c r="S73" s="197"/>
      <c r="T73" s="197"/>
      <c r="U73" s="197"/>
    </row>
    <row r="74" spans="1:53" ht="15.75" x14ac:dyDescent="0.25">
      <c r="A74" s="1"/>
      <c r="B74" s="2"/>
      <c r="C74" s="1"/>
      <c r="E74" s="361"/>
      <c r="K74" s="14"/>
      <c r="O74" s="20"/>
      <c r="P74" s="20"/>
      <c r="Q74" s="439"/>
      <c r="R74" s="197"/>
      <c r="S74" s="197"/>
      <c r="T74" s="197"/>
      <c r="U74" s="197"/>
    </row>
    <row r="75" spans="1:53" ht="15" x14ac:dyDescent="0.25">
      <c r="A75" s="1">
        <v>8</v>
      </c>
      <c r="B75" s="2" t="s">
        <v>22</v>
      </c>
      <c r="C75" s="1" t="s">
        <v>8</v>
      </c>
      <c r="D75">
        <v>0</v>
      </c>
      <c r="E75" s="360">
        <v>7.4356</v>
      </c>
      <c r="F75">
        <v>0</v>
      </c>
      <c r="G75">
        <v>0</v>
      </c>
      <c r="H75">
        <v>0</v>
      </c>
      <c r="J75">
        <v>0</v>
      </c>
      <c r="K75">
        <v>0</v>
      </c>
      <c r="L75">
        <v>0</v>
      </c>
      <c r="M75">
        <v>0</v>
      </c>
      <c r="N75">
        <v>0</v>
      </c>
      <c r="O75" s="20"/>
      <c r="P75" s="20"/>
      <c r="Q75" s="438">
        <v>4.1983883832383814E-2</v>
      </c>
      <c r="R75" s="197">
        <v>5.6499999999999995E-2</v>
      </c>
      <c r="S75" s="197">
        <v>1.25</v>
      </c>
      <c r="T75" s="197">
        <v>0.50078889239507718</v>
      </c>
      <c r="U75" s="197">
        <v>0.75268470790377973</v>
      </c>
      <c r="V75" s="20">
        <f t="shared" ref="V75:Y80" si="84">IF(K75&gt;0,((E75-K75)*$Q75*$R75*10)+(K75*$O$12*$Q75*$R75*10),(E75*$Q75*$R75*10))</f>
        <v>0.17637908214260128</v>
      </c>
      <c r="W75" s="20">
        <f t="shared" si="84"/>
        <v>0</v>
      </c>
      <c r="X75" s="20">
        <f t="shared" si="84"/>
        <v>0</v>
      </c>
      <c r="Y75" s="20">
        <f t="shared" si="84"/>
        <v>0</v>
      </c>
      <c r="Z75" s="20">
        <f t="shared" ref="Z75:AC80" si="85">V75*(EXP(1.01-0.34*LN(Z$8))*(1-$T75)+(1*$T75))</f>
        <v>0.10439812557113114</v>
      </c>
      <c r="AA75" s="20">
        <f t="shared" si="85"/>
        <v>0</v>
      </c>
      <c r="AB75" s="20">
        <f t="shared" si="85"/>
        <v>0</v>
      </c>
      <c r="AC75" s="20">
        <f t="shared" si="85"/>
        <v>0</v>
      </c>
      <c r="AD75" s="20">
        <f t="shared" ref="AD75:AD80" si="86">SUM(Z75:AC75)</f>
        <v>0.10439812557113114</v>
      </c>
      <c r="AE75" s="20">
        <f t="shared" ref="AE75:AH80" si="87">IF(K75&gt;0,((E75-K75)*$Q75*$S75*10)+(K75*$P$12*$Q75*$S75)*10,(E75*$Q75*$S75*10))</f>
        <v>3.902192082800914</v>
      </c>
      <c r="AF75" s="20">
        <f t="shared" si="87"/>
        <v>0</v>
      </c>
      <c r="AG75" s="20">
        <f t="shared" si="87"/>
        <v>0</v>
      </c>
      <c r="AH75" s="20">
        <f t="shared" si="87"/>
        <v>0</v>
      </c>
      <c r="AI75" s="20">
        <f t="shared" ref="AI75:AI80" si="88">AE75*(EXP(1.01-0.34*LN(AI$8))*(1-$U75)+(1*$U75))</f>
        <v>3.1132485696442154</v>
      </c>
      <c r="AJ75" s="20">
        <f t="shared" ref="AJ75:AL80" si="89">AF75*(EXP(1.01-0.34*LN(AJ$8))*(1-$T75)+(1*$T75))</f>
        <v>0</v>
      </c>
      <c r="AK75" s="20">
        <f t="shared" si="89"/>
        <v>0</v>
      </c>
      <c r="AL75" s="20">
        <f t="shared" si="89"/>
        <v>0</v>
      </c>
      <c r="AM75" s="20">
        <f t="shared" ref="AM75:AM80" si="90">SUM(AI75:AL75)</f>
        <v>3.1132485696442154</v>
      </c>
      <c r="AO75">
        <f t="shared" ref="AO75:AR80" si="91">Z75*AO$10</f>
        <v>0.11606983600998359</v>
      </c>
      <c r="AP75">
        <f t="shared" si="91"/>
        <v>0</v>
      </c>
      <c r="AQ75">
        <f t="shared" si="91"/>
        <v>0</v>
      </c>
      <c r="AR75">
        <f t="shared" si="91"/>
        <v>0</v>
      </c>
      <c r="AS75">
        <f t="shared" ref="AS75:AS80" si="92">SUM(AO75:AR75)</f>
        <v>0.11606983600998359</v>
      </c>
      <c r="AU75">
        <f t="shared" ref="AU75:AX80" si="93">AI75*AU$10</f>
        <v>3.4613097597304385</v>
      </c>
      <c r="AV75">
        <f t="shared" si="93"/>
        <v>0</v>
      </c>
      <c r="AW75">
        <f t="shared" si="93"/>
        <v>0</v>
      </c>
      <c r="AX75">
        <f t="shared" si="93"/>
        <v>0</v>
      </c>
      <c r="AY75">
        <f t="shared" ref="AY75:AY80" si="94">SUM(AU75:AX75)</f>
        <v>3.4613097597304385</v>
      </c>
    </row>
    <row r="76" spans="1:53" ht="15" x14ac:dyDescent="0.25">
      <c r="A76" s="1"/>
      <c r="B76" s="2"/>
      <c r="C76" s="1" t="s">
        <v>9</v>
      </c>
      <c r="D76">
        <v>0</v>
      </c>
      <c r="E76" s="360">
        <v>0</v>
      </c>
      <c r="F76">
        <v>0</v>
      </c>
      <c r="G76">
        <v>0</v>
      </c>
      <c r="H76">
        <v>0</v>
      </c>
      <c r="J76">
        <v>0</v>
      </c>
      <c r="K76">
        <v>0</v>
      </c>
      <c r="L76">
        <v>0</v>
      </c>
      <c r="M76">
        <v>0</v>
      </c>
      <c r="N76">
        <v>0</v>
      </c>
      <c r="O76" s="20"/>
      <c r="P76" s="20"/>
      <c r="Q76" s="438"/>
      <c r="R76" s="197">
        <v>5.6499999999999995E-2</v>
      </c>
      <c r="S76" s="197">
        <v>1.25</v>
      </c>
      <c r="T76" s="197">
        <v>0.50078889239507718</v>
      </c>
      <c r="U76" s="197">
        <v>0.75268470790377973</v>
      </c>
      <c r="V76" s="20">
        <f t="shared" si="84"/>
        <v>0</v>
      </c>
      <c r="W76" s="20">
        <f t="shared" si="84"/>
        <v>0</v>
      </c>
      <c r="X76" s="20">
        <f t="shared" si="84"/>
        <v>0</v>
      </c>
      <c r="Y76" s="20">
        <f t="shared" si="84"/>
        <v>0</v>
      </c>
      <c r="Z76" s="20">
        <f t="shared" si="85"/>
        <v>0</v>
      </c>
      <c r="AA76" s="20">
        <f t="shared" si="85"/>
        <v>0</v>
      </c>
      <c r="AB76" s="20">
        <f t="shared" si="85"/>
        <v>0</v>
      </c>
      <c r="AC76" s="20">
        <f t="shared" si="85"/>
        <v>0</v>
      </c>
      <c r="AD76" s="20">
        <f t="shared" si="86"/>
        <v>0</v>
      </c>
      <c r="AE76" s="20">
        <f t="shared" si="87"/>
        <v>0</v>
      </c>
      <c r="AF76" s="20">
        <f t="shared" si="87"/>
        <v>0</v>
      </c>
      <c r="AG76" s="20">
        <f t="shared" si="87"/>
        <v>0</v>
      </c>
      <c r="AH76" s="20">
        <f t="shared" si="87"/>
        <v>0</v>
      </c>
      <c r="AI76" s="20">
        <f t="shared" si="88"/>
        <v>0</v>
      </c>
      <c r="AJ76" s="20">
        <f t="shared" si="89"/>
        <v>0</v>
      </c>
      <c r="AK76" s="20">
        <f t="shared" si="89"/>
        <v>0</v>
      </c>
      <c r="AL76" s="20">
        <f t="shared" si="89"/>
        <v>0</v>
      </c>
      <c r="AM76" s="20">
        <f t="shared" si="90"/>
        <v>0</v>
      </c>
      <c r="AO76">
        <f t="shared" si="91"/>
        <v>0</v>
      </c>
      <c r="AP76">
        <f t="shared" si="91"/>
        <v>0</v>
      </c>
      <c r="AQ76">
        <f t="shared" si="91"/>
        <v>0</v>
      </c>
      <c r="AR76">
        <f t="shared" si="91"/>
        <v>0</v>
      </c>
      <c r="AS76">
        <f t="shared" si="92"/>
        <v>0</v>
      </c>
      <c r="AU76">
        <f t="shared" si="93"/>
        <v>0</v>
      </c>
      <c r="AV76">
        <f t="shared" si="93"/>
        <v>0</v>
      </c>
      <c r="AW76">
        <f t="shared" si="93"/>
        <v>0</v>
      </c>
      <c r="AX76">
        <f t="shared" si="93"/>
        <v>0</v>
      </c>
      <c r="AY76">
        <f t="shared" si="94"/>
        <v>0</v>
      </c>
    </row>
    <row r="77" spans="1:53" ht="15" x14ac:dyDescent="0.25">
      <c r="A77" s="1"/>
      <c r="B77" s="2"/>
      <c r="C77" s="1" t="s">
        <v>10</v>
      </c>
      <c r="D77">
        <v>0</v>
      </c>
      <c r="E77" s="360">
        <v>0</v>
      </c>
      <c r="F77">
        <v>0</v>
      </c>
      <c r="G77">
        <v>0</v>
      </c>
      <c r="H77">
        <v>0</v>
      </c>
      <c r="J77">
        <v>0</v>
      </c>
      <c r="K77">
        <v>0</v>
      </c>
      <c r="L77">
        <v>0</v>
      </c>
      <c r="M77">
        <v>0</v>
      </c>
      <c r="N77">
        <v>0</v>
      </c>
      <c r="O77" s="20"/>
      <c r="P77" s="20"/>
      <c r="Q77" s="438"/>
      <c r="R77" s="197">
        <v>5.6499999999999995E-2</v>
      </c>
      <c r="S77" s="197">
        <v>1.25</v>
      </c>
      <c r="T77" s="197">
        <v>0.50078889239507718</v>
      </c>
      <c r="U77" s="197">
        <v>0.75268470790377973</v>
      </c>
      <c r="V77" s="20">
        <f t="shared" si="84"/>
        <v>0</v>
      </c>
      <c r="W77" s="20">
        <f t="shared" si="84"/>
        <v>0</v>
      </c>
      <c r="X77" s="20">
        <f t="shared" si="84"/>
        <v>0</v>
      </c>
      <c r="Y77" s="20">
        <f t="shared" si="84"/>
        <v>0</v>
      </c>
      <c r="Z77" s="20">
        <f t="shared" si="85"/>
        <v>0</v>
      </c>
      <c r="AA77" s="20">
        <f t="shared" si="85"/>
        <v>0</v>
      </c>
      <c r="AB77" s="20">
        <f t="shared" si="85"/>
        <v>0</v>
      </c>
      <c r="AC77" s="20">
        <f t="shared" si="85"/>
        <v>0</v>
      </c>
      <c r="AD77" s="20">
        <f t="shared" si="86"/>
        <v>0</v>
      </c>
      <c r="AE77" s="20">
        <f t="shared" si="87"/>
        <v>0</v>
      </c>
      <c r="AF77" s="20">
        <f t="shared" si="87"/>
        <v>0</v>
      </c>
      <c r="AG77" s="20">
        <f t="shared" si="87"/>
        <v>0</v>
      </c>
      <c r="AH77" s="20">
        <f t="shared" si="87"/>
        <v>0</v>
      </c>
      <c r="AI77" s="20">
        <f t="shared" si="88"/>
        <v>0</v>
      </c>
      <c r="AJ77" s="20">
        <f t="shared" si="89"/>
        <v>0</v>
      </c>
      <c r="AK77" s="20">
        <f t="shared" si="89"/>
        <v>0</v>
      </c>
      <c r="AL77" s="20">
        <f t="shared" si="89"/>
        <v>0</v>
      </c>
      <c r="AM77" s="20">
        <f t="shared" si="90"/>
        <v>0</v>
      </c>
      <c r="AO77">
        <f t="shared" si="91"/>
        <v>0</v>
      </c>
      <c r="AP77">
        <f t="shared" si="91"/>
        <v>0</v>
      </c>
      <c r="AQ77">
        <f t="shared" si="91"/>
        <v>0</v>
      </c>
      <c r="AR77">
        <f t="shared" si="91"/>
        <v>0</v>
      </c>
      <c r="AS77">
        <f t="shared" si="92"/>
        <v>0</v>
      </c>
      <c r="AU77">
        <f t="shared" si="93"/>
        <v>0</v>
      </c>
      <c r="AV77">
        <f t="shared" si="93"/>
        <v>0</v>
      </c>
      <c r="AW77">
        <f t="shared" si="93"/>
        <v>0</v>
      </c>
      <c r="AX77">
        <f t="shared" si="93"/>
        <v>0</v>
      </c>
      <c r="AY77">
        <f t="shared" si="94"/>
        <v>0</v>
      </c>
    </row>
    <row r="78" spans="1:53" ht="15" x14ac:dyDescent="0.25">
      <c r="A78" s="1"/>
      <c r="B78" s="2"/>
      <c r="C78" s="1" t="s">
        <v>11</v>
      </c>
      <c r="D78">
        <v>0</v>
      </c>
      <c r="E78" s="360">
        <v>0.4214</v>
      </c>
      <c r="F78">
        <v>0</v>
      </c>
      <c r="G78">
        <v>0</v>
      </c>
      <c r="H78">
        <v>0</v>
      </c>
      <c r="J78">
        <v>0</v>
      </c>
      <c r="K78">
        <v>0</v>
      </c>
      <c r="L78">
        <v>0</v>
      </c>
      <c r="M78">
        <v>0</v>
      </c>
      <c r="N78">
        <v>0</v>
      </c>
      <c r="O78" s="20"/>
      <c r="P78" s="20"/>
      <c r="Q78" s="438">
        <v>0.14093553532953526</v>
      </c>
      <c r="R78" s="197">
        <v>5.6499999999999995E-2</v>
      </c>
      <c r="S78" s="197">
        <v>1.25</v>
      </c>
      <c r="T78" s="197">
        <v>0.50078889239507718</v>
      </c>
      <c r="U78" s="197">
        <v>0.75268470790377973</v>
      </c>
      <c r="V78" s="20">
        <f t="shared" si="84"/>
        <v>3.3555482542144376E-2</v>
      </c>
      <c r="W78" s="20">
        <f t="shared" si="84"/>
        <v>0</v>
      </c>
      <c r="X78" s="20">
        <f t="shared" si="84"/>
        <v>0</v>
      </c>
      <c r="Y78" s="20">
        <f t="shared" si="84"/>
        <v>0</v>
      </c>
      <c r="Z78" s="20">
        <f t="shared" si="85"/>
        <v>1.9861365857445787E-2</v>
      </c>
      <c r="AA78" s="20">
        <f t="shared" si="85"/>
        <v>0</v>
      </c>
      <c r="AB78" s="20">
        <f t="shared" si="85"/>
        <v>0</v>
      </c>
      <c r="AC78" s="20">
        <f t="shared" si="85"/>
        <v>0</v>
      </c>
      <c r="AD78" s="20">
        <f t="shared" si="86"/>
        <v>1.9861365857445787E-2</v>
      </c>
      <c r="AE78" s="20">
        <f t="shared" si="87"/>
        <v>0.74237793234832705</v>
      </c>
      <c r="AF78" s="20">
        <f t="shared" si="87"/>
        <v>0</v>
      </c>
      <c r="AG78" s="20">
        <f t="shared" si="87"/>
        <v>0</v>
      </c>
      <c r="AH78" s="20">
        <f t="shared" si="87"/>
        <v>0</v>
      </c>
      <c r="AI78" s="20">
        <f t="shared" si="88"/>
        <v>0.59228428200795324</v>
      </c>
      <c r="AJ78" s="20">
        <f t="shared" si="89"/>
        <v>0</v>
      </c>
      <c r="AK78" s="20">
        <f t="shared" si="89"/>
        <v>0</v>
      </c>
      <c r="AL78" s="20">
        <f t="shared" si="89"/>
        <v>0</v>
      </c>
      <c r="AM78" s="20">
        <f t="shared" si="90"/>
        <v>0.59228428200795324</v>
      </c>
      <c r="AO78">
        <f t="shared" si="91"/>
        <v>2.2081866560308226E-2</v>
      </c>
      <c r="AP78">
        <f t="shared" si="91"/>
        <v>0</v>
      </c>
      <c r="AQ78">
        <f t="shared" si="91"/>
        <v>0</v>
      </c>
      <c r="AR78">
        <f t="shared" si="91"/>
        <v>0</v>
      </c>
      <c r="AS78">
        <f t="shared" si="92"/>
        <v>2.2081866560308226E-2</v>
      </c>
      <c r="AU78">
        <f t="shared" si="93"/>
        <v>0.65850166473644234</v>
      </c>
      <c r="AV78">
        <f t="shared" si="93"/>
        <v>0</v>
      </c>
      <c r="AW78">
        <f t="shared" si="93"/>
        <v>0</v>
      </c>
      <c r="AX78">
        <f t="shared" si="93"/>
        <v>0</v>
      </c>
      <c r="AY78">
        <f t="shared" si="94"/>
        <v>0.65850166473644234</v>
      </c>
    </row>
    <row r="79" spans="1:53" ht="15" x14ac:dyDescent="0.25">
      <c r="A79" s="1"/>
      <c r="B79" s="13"/>
      <c r="C79" s="1" t="s">
        <v>12</v>
      </c>
      <c r="D79">
        <v>0</v>
      </c>
      <c r="E79" s="360">
        <v>0</v>
      </c>
      <c r="F79">
        <v>0</v>
      </c>
      <c r="G79">
        <v>0</v>
      </c>
      <c r="H79">
        <v>0</v>
      </c>
      <c r="J79">
        <v>0</v>
      </c>
      <c r="K79">
        <v>0</v>
      </c>
      <c r="L79">
        <v>0</v>
      </c>
      <c r="M79">
        <v>0</v>
      </c>
      <c r="N79">
        <v>0</v>
      </c>
      <c r="O79" s="20"/>
      <c r="P79" s="20"/>
      <c r="Q79" s="438"/>
      <c r="R79" s="197">
        <v>5.6499999999999995E-2</v>
      </c>
      <c r="S79" s="197">
        <v>1.25</v>
      </c>
      <c r="T79" s="197">
        <v>0.50078889239507718</v>
      </c>
      <c r="U79" s="197">
        <v>0.75268470790377973</v>
      </c>
      <c r="V79" s="20">
        <f t="shared" si="84"/>
        <v>0</v>
      </c>
      <c r="W79" s="20">
        <f t="shared" si="84"/>
        <v>0</v>
      </c>
      <c r="X79" s="20">
        <f t="shared" si="84"/>
        <v>0</v>
      </c>
      <c r="Y79" s="20">
        <f t="shared" si="84"/>
        <v>0</v>
      </c>
      <c r="Z79" s="20">
        <f t="shared" si="85"/>
        <v>0</v>
      </c>
      <c r="AA79" s="20">
        <f t="shared" si="85"/>
        <v>0</v>
      </c>
      <c r="AB79" s="20">
        <f t="shared" si="85"/>
        <v>0</v>
      </c>
      <c r="AC79" s="20">
        <f t="shared" si="85"/>
        <v>0</v>
      </c>
      <c r="AD79" s="20">
        <f t="shared" si="86"/>
        <v>0</v>
      </c>
      <c r="AE79" s="20">
        <f t="shared" si="87"/>
        <v>0</v>
      </c>
      <c r="AF79" s="20">
        <f t="shared" si="87"/>
        <v>0</v>
      </c>
      <c r="AG79" s="20">
        <f t="shared" si="87"/>
        <v>0</v>
      </c>
      <c r="AH79" s="20">
        <f t="shared" si="87"/>
        <v>0</v>
      </c>
      <c r="AI79" s="20">
        <f t="shared" si="88"/>
        <v>0</v>
      </c>
      <c r="AJ79" s="20">
        <f t="shared" si="89"/>
        <v>0</v>
      </c>
      <c r="AK79" s="20">
        <f t="shared" si="89"/>
        <v>0</v>
      </c>
      <c r="AL79" s="20">
        <f t="shared" si="89"/>
        <v>0</v>
      </c>
      <c r="AM79" s="20">
        <f t="shared" si="90"/>
        <v>0</v>
      </c>
      <c r="AO79">
        <f t="shared" si="91"/>
        <v>0</v>
      </c>
      <c r="AP79">
        <f t="shared" si="91"/>
        <v>0</v>
      </c>
      <c r="AQ79">
        <f t="shared" si="91"/>
        <v>0</v>
      </c>
      <c r="AR79">
        <f t="shared" si="91"/>
        <v>0</v>
      </c>
      <c r="AS79">
        <f t="shared" si="92"/>
        <v>0</v>
      </c>
      <c r="AU79">
        <f t="shared" si="93"/>
        <v>0</v>
      </c>
      <c r="AV79">
        <f t="shared" si="93"/>
        <v>0</v>
      </c>
      <c r="AW79">
        <f t="shared" si="93"/>
        <v>0</v>
      </c>
      <c r="AX79">
        <f t="shared" si="93"/>
        <v>0</v>
      </c>
      <c r="AY79">
        <f t="shared" si="94"/>
        <v>0</v>
      </c>
    </row>
    <row r="80" spans="1:53" ht="15" x14ac:dyDescent="0.25">
      <c r="A80" s="1"/>
      <c r="B80" s="13"/>
      <c r="C80" s="1" t="s">
        <v>13</v>
      </c>
      <c r="D80">
        <v>0</v>
      </c>
      <c r="E80" s="360">
        <v>0</v>
      </c>
      <c r="F80">
        <v>0</v>
      </c>
      <c r="G80">
        <v>0</v>
      </c>
      <c r="H80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20"/>
      <c r="P80" s="20"/>
      <c r="Q80" s="438"/>
      <c r="R80" s="197">
        <v>5.6499999999999995E-2</v>
      </c>
      <c r="S80" s="197">
        <v>1.25</v>
      </c>
      <c r="T80" s="197">
        <v>0.50078889239507718</v>
      </c>
      <c r="U80" s="197">
        <v>0.75268470790377973</v>
      </c>
      <c r="V80" s="20">
        <f t="shared" si="84"/>
        <v>0</v>
      </c>
      <c r="W80" s="20">
        <f t="shared" si="84"/>
        <v>0</v>
      </c>
      <c r="X80" s="20">
        <f t="shared" si="84"/>
        <v>0</v>
      </c>
      <c r="Y80" s="20">
        <f t="shared" si="84"/>
        <v>0</v>
      </c>
      <c r="Z80" s="20">
        <f t="shared" si="85"/>
        <v>0</v>
      </c>
      <c r="AA80" s="20">
        <f t="shared" si="85"/>
        <v>0</v>
      </c>
      <c r="AB80" s="20">
        <f t="shared" si="85"/>
        <v>0</v>
      </c>
      <c r="AC80" s="20">
        <f t="shared" si="85"/>
        <v>0</v>
      </c>
      <c r="AD80" s="20">
        <f t="shared" si="86"/>
        <v>0</v>
      </c>
      <c r="AE80" s="20">
        <f t="shared" si="87"/>
        <v>0</v>
      </c>
      <c r="AF80" s="20">
        <f t="shared" si="87"/>
        <v>0</v>
      </c>
      <c r="AG80" s="20">
        <f t="shared" si="87"/>
        <v>0</v>
      </c>
      <c r="AH80" s="20">
        <f t="shared" si="87"/>
        <v>0</v>
      </c>
      <c r="AI80" s="20">
        <f t="shared" si="88"/>
        <v>0</v>
      </c>
      <c r="AJ80" s="20">
        <f t="shared" si="89"/>
        <v>0</v>
      </c>
      <c r="AK80" s="20">
        <f t="shared" si="89"/>
        <v>0</v>
      </c>
      <c r="AL80" s="20">
        <f t="shared" si="89"/>
        <v>0</v>
      </c>
      <c r="AM80" s="20">
        <f t="shared" si="90"/>
        <v>0</v>
      </c>
      <c r="AO80">
        <f t="shared" si="91"/>
        <v>0</v>
      </c>
      <c r="AP80">
        <f t="shared" si="91"/>
        <v>0</v>
      </c>
      <c r="AQ80">
        <f t="shared" si="91"/>
        <v>0</v>
      </c>
      <c r="AR80">
        <f t="shared" si="91"/>
        <v>0</v>
      </c>
      <c r="AS80">
        <f t="shared" si="92"/>
        <v>0</v>
      </c>
      <c r="AU80">
        <f t="shared" si="93"/>
        <v>0</v>
      </c>
      <c r="AV80">
        <f t="shared" si="93"/>
        <v>0</v>
      </c>
      <c r="AW80">
        <f t="shared" si="93"/>
        <v>0</v>
      </c>
      <c r="AX80">
        <f t="shared" si="93"/>
        <v>0</v>
      </c>
      <c r="AY80">
        <f t="shared" si="94"/>
        <v>0</v>
      </c>
    </row>
    <row r="81" spans="1:53" ht="15" x14ac:dyDescent="0.25">
      <c r="A81" s="7"/>
      <c r="B81" s="8" t="s">
        <v>14</v>
      </c>
      <c r="C81" s="7"/>
      <c r="D81" s="357">
        <f t="shared" ref="D81:H81" si="95">SUM(D75:D80)</f>
        <v>0</v>
      </c>
      <c r="E81" s="363">
        <f>SUM(E75:E80)</f>
        <v>7.8570000000000002</v>
      </c>
      <c r="F81" s="357">
        <f t="shared" si="95"/>
        <v>0</v>
      </c>
      <c r="G81" s="357">
        <f t="shared" si="95"/>
        <v>0</v>
      </c>
      <c r="H81" s="357">
        <f t="shared" si="95"/>
        <v>0</v>
      </c>
      <c r="J81">
        <v>0</v>
      </c>
      <c r="K81">
        <v>0</v>
      </c>
      <c r="L81">
        <v>0</v>
      </c>
      <c r="M81">
        <v>0</v>
      </c>
      <c r="N81">
        <v>0</v>
      </c>
      <c r="O81" s="20"/>
      <c r="P81" s="20"/>
      <c r="Q81" s="438">
        <v>4.7291027263833427E-2</v>
      </c>
      <c r="R81" s="197"/>
      <c r="S81" s="197"/>
      <c r="T81" s="197"/>
      <c r="U81" s="197"/>
      <c r="BA81" s="319">
        <f>(E81*10000*Q81*AU$10)</f>
        <v>4131.0663542743405</v>
      </c>
    </row>
    <row r="82" spans="1:53" ht="15" x14ac:dyDescent="0.25">
      <c r="A82" s="10"/>
      <c r="B82" s="9" t="s">
        <v>15</v>
      </c>
      <c r="C82" s="5"/>
      <c r="E82" s="363">
        <f>SUM(E81)</f>
        <v>7.8570000000000002</v>
      </c>
      <c r="H82" s="358">
        <f>SUM(D81:H81)</f>
        <v>7.8570000000000002</v>
      </c>
      <c r="K82" s="14"/>
      <c r="N82">
        <v>0</v>
      </c>
      <c r="O82" s="20"/>
      <c r="P82" s="20"/>
      <c r="Q82" s="438"/>
      <c r="R82" s="197"/>
      <c r="S82" s="197"/>
      <c r="T82" s="197"/>
      <c r="U82" s="197"/>
    </row>
    <row r="83" spans="1:53" ht="15.75" x14ac:dyDescent="0.25">
      <c r="A83" s="1"/>
      <c r="B83" s="2"/>
      <c r="C83" s="1"/>
      <c r="E83" s="361"/>
      <c r="K83" s="14"/>
      <c r="O83" s="20"/>
      <c r="P83" s="20"/>
      <c r="Q83" s="439"/>
      <c r="R83" s="197"/>
      <c r="S83" s="197"/>
      <c r="T83" s="197"/>
      <c r="U83" s="197"/>
    </row>
    <row r="84" spans="1:53" ht="15" x14ac:dyDescent="0.25">
      <c r="A84" s="1">
        <v>9</v>
      </c>
      <c r="B84" s="2" t="s">
        <v>23</v>
      </c>
      <c r="C84" s="1" t="s">
        <v>8</v>
      </c>
      <c r="D84">
        <v>0</v>
      </c>
      <c r="E84" s="360">
        <v>112.6026</v>
      </c>
      <c r="F84">
        <v>0</v>
      </c>
      <c r="G84">
        <v>0</v>
      </c>
      <c r="H84">
        <v>0</v>
      </c>
      <c r="J84">
        <v>0</v>
      </c>
      <c r="K84">
        <v>0</v>
      </c>
      <c r="L84">
        <v>0</v>
      </c>
      <c r="M84">
        <v>0</v>
      </c>
      <c r="N84">
        <v>0</v>
      </c>
      <c r="O84" s="20"/>
      <c r="P84" s="20"/>
      <c r="Q84" s="438">
        <v>4.1983883832383821E-2</v>
      </c>
      <c r="R84" s="197">
        <v>0.38700000000000001</v>
      </c>
      <c r="S84" s="197">
        <v>2.48</v>
      </c>
      <c r="T84" s="197">
        <v>0.72182006204756977</v>
      </c>
      <c r="U84" s="197">
        <v>0.90789473684210531</v>
      </c>
      <c r="V84" s="20">
        <f t="shared" ref="V84:Y89" si="96">IF(K84&gt;0,((E84-K84)*$Q84*$R84*10)+(K84*$O$12*$Q84*$R84*10),(E84*$Q84*$R84*10))</f>
        <v>18.295403628406358</v>
      </c>
      <c r="W84" s="20">
        <f t="shared" si="96"/>
        <v>0</v>
      </c>
      <c r="X84" s="20">
        <f t="shared" si="96"/>
        <v>0</v>
      </c>
      <c r="Y84" s="20">
        <f t="shared" si="96"/>
        <v>0</v>
      </c>
      <c r="Z84" s="20">
        <f t="shared" ref="Z84:AC89" si="97">V84*(EXP(1.01-0.34*LN(Z$8))*(1-$T84)+(1*$T84))</f>
        <v>14.134821524322462</v>
      </c>
      <c r="AA84" s="20">
        <f t="shared" si="97"/>
        <v>0</v>
      </c>
      <c r="AB84" s="20">
        <f t="shared" si="97"/>
        <v>0</v>
      </c>
      <c r="AC84" s="20">
        <f t="shared" si="97"/>
        <v>0</v>
      </c>
      <c r="AD84" s="20">
        <f t="shared" ref="AD84:AD89" si="98">SUM(Z84:AC84)</f>
        <v>14.134821524322462</v>
      </c>
      <c r="AE84" s="20">
        <f t="shared" ref="AE84:AH89" si="99">IF(K84&gt;0,((E84-K84)*$Q84*$S84*10)+(K84*$P$12*$Q84*$S84)*10,(E84*$Q84*$S84*10))</f>
        <v>117.24186304508467</v>
      </c>
      <c r="AF84" s="20">
        <f t="shared" si="99"/>
        <v>0</v>
      </c>
      <c r="AG84" s="20">
        <f t="shared" si="99"/>
        <v>0</v>
      </c>
      <c r="AH84" s="20">
        <f t="shared" si="99"/>
        <v>0</v>
      </c>
      <c r="AI84" s="20">
        <f t="shared" ref="AI84:AI89" si="100">AE84*(EXP(1.01-0.34*LN(AI$8))*(1-$U84)+(1*$U84))</f>
        <v>108.41404334891473</v>
      </c>
      <c r="AJ84" s="20">
        <f t="shared" ref="AJ84:AL89" si="101">AF84*(EXP(1.01-0.34*LN(AJ$8))*(1-$T84)+(1*$T84))</f>
        <v>0</v>
      </c>
      <c r="AK84" s="20">
        <f t="shared" si="101"/>
        <v>0</v>
      </c>
      <c r="AL84" s="20">
        <f t="shared" si="101"/>
        <v>0</v>
      </c>
      <c r="AM84" s="20">
        <f t="shared" ref="AM84:AM89" si="102">SUM(AI84:AL84)</f>
        <v>108.41404334891473</v>
      </c>
      <c r="AO84">
        <f t="shared" ref="AO84:AR89" si="103">Z84*AO$10</f>
        <v>15.71509457074171</v>
      </c>
      <c r="AP84">
        <f t="shared" si="103"/>
        <v>0</v>
      </c>
      <c r="AQ84">
        <f t="shared" si="103"/>
        <v>0</v>
      </c>
      <c r="AR84">
        <f t="shared" si="103"/>
        <v>0</v>
      </c>
      <c r="AS84">
        <f t="shared" ref="AS84:AS89" si="104">SUM(AO84:AR84)</f>
        <v>15.71509457074171</v>
      </c>
      <c r="AU84">
        <f t="shared" ref="AU84:AX89" si="105">AI84*AU$10</f>
        <v>120.53473339532339</v>
      </c>
      <c r="AV84">
        <f t="shared" si="105"/>
        <v>0</v>
      </c>
      <c r="AW84">
        <f t="shared" si="105"/>
        <v>0</v>
      </c>
      <c r="AX84">
        <f t="shared" si="105"/>
        <v>0</v>
      </c>
      <c r="AY84">
        <f t="shared" ref="AY84:AY89" si="106">SUM(AU84:AX84)</f>
        <v>120.53473339532339</v>
      </c>
    </row>
    <row r="85" spans="1:53" ht="15" x14ac:dyDescent="0.25">
      <c r="A85" s="1"/>
      <c r="B85" s="2"/>
      <c r="C85" s="1" t="s">
        <v>9</v>
      </c>
      <c r="D85">
        <v>0</v>
      </c>
      <c r="E85" s="360">
        <v>16.2562</v>
      </c>
      <c r="F85">
        <v>0</v>
      </c>
      <c r="G85">
        <v>0</v>
      </c>
      <c r="H85">
        <v>0</v>
      </c>
      <c r="J85">
        <v>0</v>
      </c>
      <c r="K85">
        <v>0</v>
      </c>
      <c r="L85">
        <v>0</v>
      </c>
      <c r="M85">
        <v>0</v>
      </c>
      <c r="N85">
        <v>0</v>
      </c>
      <c r="O85" s="20"/>
      <c r="P85" s="20"/>
      <c r="Q85" s="438">
        <v>7.4967767664767621E-2</v>
      </c>
      <c r="R85" s="197">
        <v>0.38700000000000001</v>
      </c>
      <c r="S85" s="197">
        <v>2.48</v>
      </c>
      <c r="T85" s="197">
        <v>0.72182006204756977</v>
      </c>
      <c r="U85" s="197">
        <v>0.90789473684210531</v>
      </c>
      <c r="V85" s="20">
        <f t="shared" si="96"/>
        <v>4.7163342656354219</v>
      </c>
      <c r="W85" s="20">
        <f t="shared" si="96"/>
        <v>0</v>
      </c>
      <c r="X85" s="20">
        <f t="shared" si="96"/>
        <v>0</v>
      </c>
      <c r="Y85" s="20">
        <f t="shared" si="96"/>
        <v>0</v>
      </c>
      <c r="Z85" s="20">
        <f t="shared" si="97"/>
        <v>3.6437864092977117</v>
      </c>
      <c r="AA85" s="20">
        <f t="shared" si="97"/>
        <v>0</v>
      </c>
      <c r="AB85" s="20">
        <f t="shared" si="97"/>
        <v>0</v>
      </c>
      <c r="AC85" s="20">
        <f t="shared" si="97"/>
        <v>0</v>
      </c>
      <c r="AD85" s="20">
        <f t="shared" si="98"/>
        <v>3.6437864092977117</v>
      </c>
      <c r="AE85" s="20">
        <f t="shared" si="99"/>
        <v>30.223537412857482</v>
      </c>
      <c r="AF85" s="20">
        <f t="shared" si="99"/>
        <v>0</v>
      </c>
      <c r="AG85" s="20">
        <f t="shared" si="99"/>
        <v>0</v>
      </c>
      <c r="AH85" s="20">
        <f t="shared" si="99"/>
        <v>0</v>
      </c>
      <c r="AI85" s="20">
        <f t="shared" si="100"/>
        <v>27.947832029716707</v>
      </c>
      <c r="AJ85" s="20">
        <f t="shared" si="101"/>
        <v>0</v>
      </c>
      <c r="AK85" s="20">
        <f t="shared" si="101"/>
        <v>0</v>
      </c>
      <c r="AL85" s="20">
        <f t="shared" si="101"/>
        <v>0</v>
      </c>
      <c r="AM85" s="20">
        <f t="shared" si="102"/>
        <v>27.947832029716707</v>
      </c>
      <c r="AO85">
        <f t="shared" si="103"/>
        <v>4.0511617298571956</v>
      </c>
      <c r="AP85">
        <f t="shared" si="103"/>
        <v>0</v>
      </c>
      <c r="AQ85">
        <f t="shared" si="103"/>
        <v>0</v>
      </c>
      <c r="AR85">
        <f t="shared" si="103"/>
        <v>0</v>
      </c>
      <c r="AS85">
        <f t="shared" si="104"/>
        <v>4.0511617298571956</v>
      </c>
      <c r="AU85">
        <f t="shared" si="105"/>
        <v>31.072399650639031</v>
      </c>
      <c r="AV85">
        <f t="shared" si="105"/>
        <v>0</v>
      </c>
      <c r="AW85">
        <f t="shared" si="105"/>
        <v>0</v>
      </c>
      <c r="AX85">
        <f t="shared" si="105"/>
        <v>0</v>
      </c>
      <c r="AY85">
        <f t="shared" si="106"/>
        <v>31.072399650639031</v>
      </c>
    </row>
    <row r="86" spans="1:53" ht="15" x14ac:dyDescent="0.25">
      <c r="A86" s="1"/>
      <c r="B86" s="2"/>
      <c r="C86" s="1" t="s">
        <v>10</v>
      </c>
      <c r="D86">
        <v>0</v>
      </c>
      <c r="E86" s="360">
        <v>0.92589999999999995</v>
      </c>
      <c r="F86">
        <v>0</v>
      </c>
      <c r="G86">
        <v>0</v>
      </c>
      <c r="H86">
        <v>0</v>
      </c>
      <c r="J86">
        <v>0</v>
      </c>
      <c r="K86">
        <v>0</v>
      </c>
      <c r="L86">
        <v>0</v>
      </c>
      <c r="M86">
        <v>0</v>
      </c>
      <c r="N86">
        <v>0</v>
      </c>
      <c r="O86" s="20"/>
      <c r="P86" s="20"/>
      <c r="Q86" s="438">
        <v>0.10795165149715143</v>
      </c>
      <c r="R86" s="197">
        <v>0.38700000000000001</v>
      </c>
      <c r="S86" s="197">
        <v>2.48</v>
      </c>
      <c r="T86" s="197">
        <v>0.72182006204756977</v>
      </c>
      <c r="U86" s="197">
        <v>0.90789473684210531</v>
      </c>
      <c r="V86" s="20">
        <f t="shared" si="96"/>
        <v>0.38681592004909238</v>
      </c>
      <c r="W86" s="20">
        <f t="shared" si="96"/>
        <v>0</v>
      </c>
      <c r="X86" s="20">
        <f t="shared" si="96"/>
        <v>0</v>
      </c>
      <c r="Y86" s="20">
        <f t="shared" si="96"/>
        <v>0</v>
      </c>
      <c r="Z86" s="20">
        <f t="shared" si="97"/>
        <v>0.29884959652769172</v>
      </c>
      <c r="AA86" s="20">
        <f t="shared" si="97"/>
        <v>0</v>
      </c>
      <c r="AB86" s="20">
        <f t="shared" si="97"/>
        <v>0</v>
      </c>
      <c r="AC86" s="20">
        <f t="shared" si="97"/>
        <v>0</v>
      </c>
      <c r="AD86" s="20">
        <f t="shared" si="98"/>
        <v>0.29884959652769172</v>
      </c>
      <c r="AE86" s="20">
        <f t="shared" si="99"/>
        <v>2.4788203662060702</v>
      </c>
      <c r="AF86" s="20">
        <f t="shared" si="99"/>
        <v>0</v>
      </c>
      <c r="AG86" s="20">
        <f t="shared" si="99"/>
        <v>0</v>
      </c>
      <c r="AH86" s="20">
        <f t="shared" si="99"/>
        <v>0</v>
      </c>
      <c r="AI86" s="20">
        <f t="shared" si="100"/>
        <v>2.2921756073826258</v>
      </c>
      <c r="AJ86" s="20">
        <f t="shared" si="101"/>
        <v>0</v>
      </c>
      <c r="AK86" s="20">
        <f t="shared" si="101"/>
        <v>0</v>
      </c>
      <c r="AL86" s="20">
        <f t="shared" si="101"/>
        <v>0</v>
      </c>
      <c r="AM86" s="20">
        <f t="shared" si="102"/>
        <v>2.2921756073826258</v>
      </c>
      <c r="AO86">
        <f t="shared" si="103"/>
        <v>0.33226098141948762</v>
      </c>
      <c r="AP86">
        <f t="shared" si="103"/>
        <v>0</v>
      </c>
      <c r="AQ86">
        <f t="shared" si="103"/>
        <v>0</v>
      </c>
      <c r="AR86">
        <f t="shared" si="103"/>
        <v>0</v>
      </c>
      <c r="AS86">
        <f t="shared" si="104"/>
        <v>0.33226098141948762</v>
      </c>
      <c r="AU86">
        <f t="shared" si="105"/>
        <v>2.548440840288003</v>
      </c>
      <c r="AV86">
        <f t="shared" si="105"/>
        <v>0</v>
      </c>
      <c r="AW86">
        <f t="shared" si="105"/>
        <v>0</v>
      </c>
      <c r="AX86">
        <f t="shared" si="105"/>
        <v>0</v>
      </c>
      <c r="AY86">
        <f t="shared" si="106"/>
        <v>2.548440840288003</v>
      </c>
    </row>
    <row r="87" spans="1:53" ht="15" x14ac:dyDescent="0.25">
      <c r="A87" s="1"/>
      <c r="B87" s="2"/>
      <c r="C87" s="1" t="s">
        <v>11</v>
      </c>
      <c r="D87">
        <v>0</v>
      </c>
      <c r="E87" s="360">
        <v>101.6451</v>
      </c>
      <c r="F87">
        <v>0</v>
      </c>
      <c r="G87">
        <v>0</v>
      </c>
      <c r="H87">
        <v>0</v>
      </c>
      <c r="J87">
        <v>0</v>
      </c>
      <c r="K87">
        <v>0</v>
      </c>
      <c r="L87">
        <v>0</v>
      </c>
      <c r="M87">
        <v>0</v>
      </c>
      <c r="N87">
        <v>0</v>
      </c>
      <c r="O87" s="20"/>
      <c r="P87" s="20"/>
      <c r="Q87" s="438">
        <v>0.14093553532953523</v>
      </c>
      <c r="R87" s="197">
        <v>0.38700000000000001</v>
      </c>
      <c r="S87" s="197">
        <v>2.48</v>
      </c>
      <c r="T87" s="197">
        <v>0.72182006204756977</v>
      </c>
      <c r="U87" s="197">
        <v>0.90789473684210531</v>
      </c>
      <c r="V87" s="20">
        <f t="shared" si="96"/>
        <v>55.439323472820433</v>
      </c>
      <c r="W87" s="20">
        <f t="shared" si="96"/>
        <v>0</v>
      </c>
      <c r="X87" s="20">
        <f t="shared" si="96"/>
        <v>0</v>
      </c>
      <c r="Y87" s="20">
        <f t="shared" si="96"/>
        <v>0</v>
      </c>
      <c r="Z87" s="20">
        <f t="shared" si="97"/>
        <v>42.831793090413292</v>
      </c>
      <c r="AA87" s="20">
        <f t="shared" si="97"/>
        <v>0</v>
      </c>
      <c r="AB87" s="20">
        <f t="shared" si="97"/>
        <v>0</v>
      </c>
      <c r="AC87" s="20">
        <f t="shared" si="97"/>
        <v>0</v>
      </c>
      <c r="AD87" s="20">
        <f t="shared" si="98"/>
        <v>42.831793090413292</v>
      </c>
      <c r="AE87" s="20">
        <f t="shared" si="99"/>
        <v>355.27008323667872</v>
      </c>
      <c r="AF87" s="20">
        <f t="shared" si="99"/>
        <v>0</v>
      </c>
      <c r="AG87" s="20">
        <f t="shared" si="99"/>
        <v>0</v>
      </c>
      <c r="AH87" s="20">
        <f t="shared" si="99"/>
        <v>0</v>
      </c>
      <c r="AI87" s="20">
        <f t="shared" si="100"/>
        <v>328.51973863450655</v>
      </c>
      <c r="AJ87" s="20">
        <f t="shared" si="101"/>
        <v>0</v>
      </c>
      <c r="AK87" s="20">
        <f t="shared" si="101"/>
        <v>0</v>
      </c>
      <c r="AL87" s="20">
        <f t="shared" si="101"/>
        <v>0</v>
      </c>
      <c r="AM87" s="20">
        <f t="shared" si="102"/>
        <v>328.51973863450655</v>
      </c>
      <c r="AO87">
        <f t="shared" si="103"/>
        <v>47.620387557921497</v>
      </c>
      <c r="AP87">
        <f t="shared" si="103"/>
        <v>0</v>
      </c>
      <c r="AQ87">
        <f t="shared" si="103"/>
        <v>0</v>
      </c>
      <c r="AR87">
        <f t="shared" si="103"/>
        <v>0</v>
      </c>
      <c r="AS87">
        <f t="shared" si="104"/>
        <v>47.620387557921497</v>
      </c>
      <c r="AU87">
        <f t="shared" si="105"/>
        <v>365.24824541384436</v>
      </c>
      <c r="AV87">
        <f t="shared" si="105"/>
        <v>0</v>
      </c>
      <c r="AW87">
        <f t="shared" si="105"/>
        <v>0</v>
      </c>
      <c r="AX87">
        <f t="shared" si="105"/>
        <v>0</v>
      </c>
      <c r="AY87">
        <f t="shared" si="106"/>
        <v>365.24824541384436</v>
      </c>
    </row>
    <row r="88" spans="1:53" ht="15" x14ac:dyDescent="0.25">
      <c r="A88" s="1"/>
      <c r="B88" s="2"/>
      <c r="C88" s="1" t="s">
        <v>12</v>
      </c>
      <c r="D88">
        <v>0</v>
      </c>
      <c r="E88" s="360">
        <v>0</v>
      </c>
      <c r="F88">
        <v>0</v>
      </c>
      <c r="G88">
        <v>0</v>
      </c>
      <c r="H88">
        <v>0</v>
      </c>
      <c r="J88">
        <v>0</v>
      </c>
      <c r="K88">
        <v>0</v>
      </c>
      <c r="L88">
        <v>0</v>
      </c>
      <c r="M88">
        <v>0</v>
      </c>
      <c r="N88">
        <v>0</v>
      </c>
      <c r="O88" s="20"/>
      <c r="P88" s="20"/>
      <c r="Q88" s="438"/>
      <c r="R88" s="197">
        <v>0.38700000000000001</v>
      </c>
      <c r="S88" s="197">
        <v>2.48</v>
      </c>
      <c r="T88" s="197">
        <v>0.72182006204756977</v>
      </c>
      <c r="U88" s="197">
        <v>0.90789473684210531</v>
      </c>
      <c r="V88" s="20">
        <f t="shared" si="96"/>
        <v>0</v>
      </c>
      <c r="W88" s="20">
        <f t="shared" si="96"/>
        <v>0</v>
      </c>
      <c r="X88" s="20">
        <f t="shared" si="96"/>
        <v>0</v>
      </c>
      <c r="Y88" s="20">
        <f t="shared" si="96"/>
        <v>0</v>
      </c>
      <c r="Z88" s="20">
        <f t="shared" si="97"/>
        <v>0</v>
      </c>
      <c r="AA88" s="20">
        <f t="shared" si="97"/>
        <v>0</v>
      </c>
      <c r="AB88" s="20">
        <f t="shared" si="97"/>
        <v>0</v>
      </c>
      <c r="AC88" s="20">
        <f t="shared" si="97"/>
        <v>0</v>
      </c>
      <c r="AD88" s="20">
        <f t="shared" si="98"/>
        <v>0</v>
      </c>
      <c r="AE88" s="20">
        <f t="shared" si="99"/>
        <v>0</v>
      </c>
      <c r="AF88" s="20">
        <f t="shared" si="99"/>
        <v>0</v>
      </c>
      <c r="AG88" s="20">
        <f t="shared" si="99"/>
        <v>0</v>
      </c>
      <c r="AH88" s="20">
        <f t="shared" si="99"/>
        <v>0</v>
      </c>
      <c r="AI88" s="20">
        <f t="shared" si="100"/>
        <v>0</v>
      </c>
      <c r="AJ88" s="20">
        <f t="shared" si="101"/>
        <v>0</v>
      </c>
      <c r="AK88" s="20">
        <f t="shared" si="101"/>
        <v>0</v>
      </c>
      <c r="AL88" s="20">
        <f t="shared" si="101"/>
        <v>0</v>
      </c>
      <c r="AM88" s="20">
        <f t="shared" si="102"/>
        <v>0</v>
      </c>
      <c r="AO88">
        <f t="shared" si="103"/>
        <v>0</v>
      </c>
      <c r="AP88">
        <f t="shared" si="103"/>
        <v>0</v>
      </c>
      <c r="AQ88">
        <f t="shared" si="103"/>
        <v>0</v>
      </c>
      <c r="AR88">
        <f t="shared" si="103"/>
        <v>0</v>
      </c>
      <c r="AS88">
        <f t="shared" si="104"/>
        <v>0</v>
      </c>
      <c r="AU88">
        <f t="shared" si="105"/>
        <v>0</v>
      </c>
      <c r="AV88">
        <f t="shared" si="105"/>
        <v>0</v>
      </c>
      <c r="AW88">
        <f t="shared" si="105"/>
        <v>0</v>
      </c>
      <c r="AX88">
        <f t="shared" si="105"/>
        <v>0</v>
      </c>
      <c r="AY88">
        <f t="shared" si="106"/>
        <v>0</v>
      </c>
    </row>
    <row r="89" spans="1:53" ht="15" x14ac:dyDescent="0.25">
      <c r="A89" s="1"/>
      <c r="B89" s="2"/>
      <c r="C89" s="1" t="s">
        <v>13</v>
      </c>
      <c r="D89">
        <v>0</v>
      </c>
      <c r="E89" s="360">
        <v>0.3357</v>
      </c>
      <c r="F89">
        <v>0</v>
      </c>
      <c r="G89">
        <v>0</v>
      </c>
      <c r="H89">
        <v>0</v>
      </c>
      <c r="J89">
        <v>0</v>
      </c>
      <c r="K89">
        <v>0</v>
      </c>
      <c r="L89">
        <v>0</v>
      </c>
      <c r="M89">
        <v>0</v>
      </c>
      <c r="N89">
        <v>0</v>
      </c>
      <c r="O89" s="20"/>
      <c r="P89" s="20"/>
      <c r="Q89" s="438">
        <v>0.14093553532953526</v>
      </c>
      <c r="R89" s="197">
        <v>0.38700000000000001</v>
      </c>
      <c r="S89" s="197">
        <v>2.48</v>
      </c>
      <c r="T89" s="197">
        <v>0.72182006204756977</v>
      </c>
      <c r="U89" s="197">
        <v>0.90789473684210531</v>
      </c>
      <c r="V89" s="20">
        <f t="shared" si="96"/>
        <v>0.18309766914318371</v>
      </c>
      <c r="W89" s="20">
        <f t="shared" si="96"/>
        <v>0</v>
      </c>
      <c r="X89" s="20">
        <f t="shared" si="96"/>
        <v>0</v>
      </c>
      <c r="Y89" s="20">
        <f t="shared" si="96"/>
        <v>0</v>
      </c>
      <c r="Z89" s="20">
        <f t="shared" si="97"/>
        <v>0.14145918436256882</v>
      </c>
      <c r="AA89" s="20">
        <f t="shared" si="97"/>
        <v>0</v>
      </c>
      <c r="AB89" s="20">
        <f t="shared" si="97"/>
        <v>0</v>
      </c>
      <c r="AC89" s="20">
        <f t="shared" si="97"/>
        <v>0</v>
      </c>
      <c r="AD89" s="20">
        <f t="shared" si="98"/>
        <v>0.14145918436256882</v>
      </c>
      <c r="AE89" s="20">
        <f t="shared" si="99"/>
        <v>1.1733390684110996</v>
      </c>
      <c r="AF89" s="20">
        <f t="shared" si="99"/>
        <v>0</v>
      </c>
      <c r="AG89" s="20">
        <f t="shared" si="99"/>
        <v>0</v>
      </c>
      <c r="AH89" s="20">
        <f t="shared" si="99"/>
        <v>0</v>
      </c>
      <c r="AI89" s="20">
        <f t="shared" si="100"/>
        <v>1.0849915663382088</v>
      </c>
      <c r="AJ89" s="20">
        <f t="shared" si="101"/>
        <v>0</v>
      </c>
      <c r="AK89" s="20">
        <f t="shared" si="101"/>
        <v>0</v>
      </c>
      <c r="AL89" s="20">
        <f t="shared" si="101"/>
        <v>0</v>
      </c>
      <c r="AM89" s="20">
        <f t="shared" si="102"/>
        <v>1.0849915663382088</v>
      </c>
      <c r="AO89">
        <f t="shared" si="103"/>
        <v>0.15727432117430401</v>
      </c>
      <c r="AP89">
        <f t="shared" si="103"/>
        <v>0</v>
      </c>
      <c r="AQ89">
        <f t="shared" si="103"/>
        <v>0</v>
      </c>
      <c r="AR89">
        <f t="shared" si="103"/>
        <v>0</v>
      </c>
      <c r="AS89">
        <f t="shared" si="104"/>
        <v>0.15727432117430401</v>
      </c>
      <c r="AU89">
        <f t="shared" si="105"/>
        <v>1.2062936234548205</v>
      </c>
      <c r="AV89">
        <f t="shared" si="105"/>
        <v>0</v>
      </c>
      <c r="AW89">
        <f t="shared" si="105"/>
        <v>0</v>
      </c>
      <c r="AX89">
        <f t="shared" si="105"/>
        <v>0</v>
      </c>
      <c r="AY89">
        <f t="shared" si="106"/>
        <v>1.2062936234548205</v>
      </c>
    </row>
    <row r="90" spans="1:53" ht="15" x14ac:dyDescent="0.25">
      <c r="A90" s="7"/>
      <c r="B90" s="8" t="s">
        <v>14</v>
      </c>
      <c r="C90" s="7"/>
      <c r="D90" s="357">
        <f t="shared" ref="D90:H90" si="107">SUM(D84:D89)</f>
        <v>0</v>
      </c>
      <c r="E90" s="363">
        <f>SUM(E84:E89)</f>
        <v>231.7655</v>
      </c>
      <c r="F90" s="357">
        <f t="shared" si="107"/>
        <v>0</v>
      </c>
      <c r="G90" s="357">
        <f t="shared" si="107"/>
        <v>0</v>
      </c>
      <c r="H90" s="357">
        <f t="shared" si="107"/>
        <v>0</v>
      </c>
      <c r="J90">
        <v>0</v>
      </c>
      <c r="K90">
        <v>0</v>
      </c>
      <c r="L90">
        <v>0</v>
      </c>
      <c r="M90">
        <v>0</v>
      </c>
      <c r="N90">
        <v>0</v>
      </c>
      <c r="O90" s="20"/>
      <c r="P90" s="20"/>
      <c r="Q90" s="438">
        <v>8.8101363567018628E-2</v>
      </c>
      <c r="R90" s="197"/>
      <c r="S90" s="197"/>
      <c r="T90" s="197"/>
      <c r="U90" s="197"/>
      <c r="BA90" s="319">
        <f>(E90*10000*Q90*AU$10)</f>
        <v>227016.84743188982</v>
      </c>
    </row>
    <row r="91" spans="1:53" ht="15" x14ac:dyDescent="0.25">
      <c r="A91" s="10"/>
      <c r="B91" s="9" t="s">
        <v>15</v>
      </c>
      <c r="C91" s="5"/>
      <c r="E91" s="363">
        <f>SUM(E90)</f>
        <v>231.7655</v>
      </c>
      <c r="H91" s="358">
        <f>SUM(D90:H90)</f>
        <v>231.7655</v>
      </c>
      <c r="K91" s="14"/>
      <c r="N91">
        <v>0</v>
      </c>
      <c r="O91" s="20"/>
      <c r="P91" s="20"/>
      <c r="Q91" s="438"/>
      <c r="R91" s="197"/>
      <c r="S91" s="197"/>
      <c r="T91" s="197"/>
      <c r="U91" s="197"/>
    </row>
    <row r="92" spans="1:53" ht="15.75" x14ac:dyDescent="0.25">
      <c r="A92" s="1"/>
      <c r="B92" s="2"/>
      <c r="C92" s="1"/>
      <c r="E92" s="361"/>
      <c r="K92" s="14"/>
      <c r="O92" s="20"/>
      <c r="P92" s="20"/>
      <c r="Q92" s="439"/>
      <c r="R92" s="197"/>
      <c r="S92" s="197"/>
      <c r="T92" s="197"/>
      <c r="U92" s="197"/>
    </row>
    <row r="93" spans="1:53" ht="15" x14ac:dyDescent="0.25">
      <c r="A93" s="1">
        <v>10</v>
      </c>
      <c r="B93" s="2" t="s">
        <v>24</v>
      </c>
      <c r="C93" s="1" t="s">
        <v>8</v>
      </c>
      <c r="D93">
        <v>0</v>
      </c>
      <c r="E93" s="360">
        <v>125.95440000000001</v>
      </c>
      <c r="F93">
        <v>0</v>
      </c>
      <c r="G93">
        <v>0</v>
      </c>
      <c r="H93">
        <v>0</v>
      </c>
      <c r="J93">
        <v>0</v>
      </c>
      <c r="K93">
        <v>0</v>
      </c>
      <c r="L93">
        <v>0</v>
      </c>
      <c r="M93">
        <v>0</v>
      </c>
      <c r="N93">
        <v>0</v>
      </c>
      <c r="O93" s="20"/>
      <c r="P93" s="20"/>
      <c r="Q93" s="438">
        <v>4.1983883832383814E-2</v>
      </c>
      <c r="R93" s="197">
        <v>0.66599999999999993</v>
      </c>
      <c r="S93" s="197">
        <v>4.5549999999999997</v>
      </c>
      <c r="T93" s="197">
        <v>0.60039794540960334</v>
      </c>
      <c r="U93" s="197">
        <v>0.90789473684210531</v>
      </c>
      <c r="V93" s="20">
        <f t="shared" ref="V93:Y98" si="108">IF(K93&gt;0,((E93-K93)*$Q93*$R93*10)+(K93*$O$12*$Q93*$R93*10),(E93*$Q93*$R93*10))</f>
        <v>35.218445619198839</v>
      </c>
      <c r="W93" s="20">
        <f t="shared" si="108"/>
        <v>0</v>
      </c>
      <c r="X93" s="20">
        <f t="shared" si="108"/>
        <v>0</v>
      </c>
      <c r="Y93" s="20">
        <f t="shared" si="108"/>
        <v>0</v>
      </c>
      <c r="Z93" s="20">
        <f t="shared" ref="Z93:AC98" si="109">V93*(EXP(1.01-0.34*LN(Z$8))*(1-$T93)+(1*$T93))</f>
        <v>23.713510009249624</v>
      </c>
      <c r="AA93" s="20">
        <f t="shared" si="109"/>
        <v>0</v>
      </c>
      <c r="AB93" s="20">
        <f t="shared" si="109"/>
        <v>0</v>
      </c>
      <c r="AC93" s="20">
        <f t="shared" si="109"/>
        <v>0</v>
      </c>
      <c r="AD93" s="20">
        <f t="shared" ref="AD93:AD98" si="110">SUM(Z93:AC93)</f>
        <v>23.713510009249624</v>
      </c>
      <c r="AE93" s="20">
        <f t="shared" ref="AE93:AH98" si="111">IF(K93&gt;0,((E93-K93)*$Q93*$S93*10)+(K93*$P$12*$Q93*$S93)*10,(E93*$Q93*$S93*10))</f>
        <v>240.87090059376987</v>
      </c>
      <c r="AF93" s="20">
        <f t="shared" si="111"/>
        <v>0</v>
      </c>
      <c r="AG93" s="20">
        <f t="shared" si="111"/>
        <v>0</v>
      </c>
      <c r="AH93" s="20">
        <f t="shared" si="111"/>
        <v>0</v>
      </c>
      <c r="AI93" s="20">
        <f t="shared" ref="AI93:AI98" si="112">AE93*(EXP(1.01-0.34*LN(AI$8))*(1-$U93)+(1*$U93))</f>
        <v>222.7343337969919</v>
      </c>
      <c r="AJ93" s="20">
        <f t="shared" ref="AJ93:AL98" si="113">AF93*(EXP(1.01-0.34*LN(AJ$8))*(1-$T93)+(1*$T93))</f>
        <v>0</v>
      </c>
      <c r="AK93" s="20">
        <f t="shared" si="113"/>
        <v>0</v>
      </c>
      <c r="AL93" s="20">
        <f t="shared" si="113"/>
        <v>0</v>
      </c>
      <c r="AM93" s="20">
        <f t="shared" ref="AM93:AM98" si="114">SUM(AI93:AL93)</f>
        <v>222.7343337969919</v>
      </c>
      <c r="AO93">
        <f t="shared" ref="AO93:AR98" si="115">Z93*AO$10</f>
        <v>26.36468042828373</v>
      </c>
      <c r="AP93">
        <f t="shared" si="115"/>
        <v>0</v>
      </c>
      <c r="AQ93">
        <f t="shared" si="115"/>
        <v>0</v>
      </c>
      <c r="AR93">
        <f t="shared" si="115"/>
        <v>0</v>
      </c>
      <c r="AS93">
        <f t="shared" ref="AS93:AS98" si="116">SUM(AO93:AR93)</f>
        <v>26.36468042828373</v>
      </c>
      <c r="AU93">
        <f t="shared" ref="AU93:AX98" si="117">AI93*AU$10</f>
        <v>247.63603231549558</v>
      </c>
      <c r="AV93">
        <f t="shared" si="117"/>
        <v>0</v>
      </c>
      <c r="AW93">
        <f t="shared" si="117"/>
        <v>0</v>
      </c>
      <c r="AX93">
        <f t="shared" si="117"/>
        <v>0</v>
      </c>
      <c r="AY93">
        <f t="shared" ref="AY93:AY98" si="118">SUM(AU93:AX93)</f>
        <v>247.63603231549558</v>
      </c>
    </row>
    <row r="94" spans="1:53" ht="15" x14ac:dyDescent="0.25">
      <c r="A94" s="1"/>
      <c r="B94" s="2"/>
      <c r="C94" s="1" t="s">
        <v>9</v>
      </c>
      <c r="D94">
        <v>0</v>
      </c>
      <c r="E94" s="360">
        <v>5.7535999999999996</v>
      </c>
      <c r="F94">
        <v>0</v>
      </c>
      <c r="G94">
        <v>0</v>
      </c>
      <c r="H94">
        <v>0</v>
      </c>
      <c r="J94">
        <v>0</v>
      </c>
      <c r="K94">
        <v>0</v>
      </c>
      <c r="L94">
        <v>0</v>
      </c>
      <c r="M94">
        <v>0</v>
      </c>
      <c r="N94">
        <v>0</v>
      </c>
      <c r="O94" s="20"/>
      <c r="P94" s="20"/>
      <c r="Q94" s="438">
        <v>7.4967767664767634E-2</v>
      </c>
      <c r="R94" s="197">
        <v>0.66599999999999993</v>
      </c>
      <c r="S94" s="197">
        <v>4.5549999999999997</v>
      </c>
      <c r="T94" s="197">
        <v>0.60039794540960334</v>
      </c>
      <c r="U94" s="197">
        <v>0.90789473684210531</v>
      </c>
      <c r="V94" s="20">
        <f t="shared" si="108"/>
        <v>2.8726880899198064</v>
      </c>
      <c r="W94" s="20">
        <f t="shared" si="108"/>
        <v>0</v>
      </c>
      <c r="X94" s="20">
        <f t="shared" si="108"/>
        <v>0</v>
      </c>
      <c r="Y94" s="20">
        <f t="shared" si="108"/>
        <v>0</v>
      </c>
      <c r="Z94" s="20">
        <f t="shared" si="109"/>
        <v>1.9342567957238301</v>
      </c>
      <c r="AA94" s="20">
        <f t="shared" si="109"/>
        <v>0</v>
      </c>
      <c r="AB94" s="20">
        <f t="shared" si="109"/>
        <v>0</v>
      </c>
      <c r="AC94" s="20">
        <f t="shared" si="109"/>
        <v>0</v>
      </c>
      <c r="AD94" s="20">
        <f t="shared" si="110"/>
        <v>1.9342567957238301</v>
      </c>
      <c r="AE94" s="20">
        <f t="shared" si="111"/>
        <v>19.647288663040118</v>
      </c>
      <c r="AF94" s="20">
        <f t="shared" si="111"/>
        <v>0</v>
      </c>
      <c r="AG94" s="20">
        <f t="shared" si="111"/>
        <v>0</v>
      </c>
      <c r="AH94" s="20">
        <f t="shared" si="111"/>
        <v>0</v>
      </c>
      <c r="AI94" s="20">
        <f t="shared" si="112"/>
        <v>18.167930374702227</v>
      </c>
      <c r="AJ94" s="20">
        <f t="shared" si="113"/>
        <v>0</v>
      </c>
      <c r="AK94" s="20">
        <f t="shared" si="113"/>
        <v>0</v>
      </c>
      <c r="AL94" s="20">
        <f t="shared" si="113"/>
        <v>0</v>
      </c>
      <c r="AM94" s="20">
        <f t="shared" si="114"/>
        <v>18.167930374702227</v>
      </c>
      <c r="AO94">
        <f t="shared" si="115"/>
        <v>2.1505067054857543</v>
      </c>
      <c r="AP94">
        <f t="shared" si="115"/>
        <v>0</v>
      </c>
      <c r="AQ94">
        <f t="shared" si="115"/>
        <v>0</v>
      </c>
      <c r="AR94">
        <f t="shared" si="115"/>
        <v>0</v>
      </c>
      <c r="AS94">
        <f t="shared" si="116"/>
        <v>2.1505067054857543</v>
      </c>
      <c r="AU94">
        <f t="shared" si="117"/>
        <v>20.199104990593934</v>
      </c>
      <c r="AV94">
        <f t="shared" si="117"/>
        <v>0</v>
      </c>
      <c r="AW94">
        <f t="shared" si="117"/>
        <v>0</v>
      </c>
      <c r="AX94">
        <f t="shared" si="117"/>
        <v>0</v>
      </c>
      <c r="AY94">
        <f t="shared" si="118"/>
        <v>20.199104990593934</v>
      </c>
    </row>
    <row r="95" spans="1:53" ht="15" x14ac:dyDescent="0.25">
      <c r="A95" s="1"/>
      <c r="B95" s="2"/>
      <c r="C95" s="1" t="s">
        <v>10</v>
      </c>
      <c r="D95">
        <v>0</v>
      </c>
      <c r="E95" s="360"/>
      <c r="F95">
        <v>0</v>
      </c>
      <c r="G95">
        <v>0</v>
      </c>
      <c r="H95">
        <v>0</v>
      </c>
      <c r="J95">
        <v>0</v>
      </c>
      <c r="K95">
        <v>0</v>
      </c>
      <c r="L95">
        <v>0</v>
      </c>
      <c r="M95">
        <v>0</v>
      </c>
      <c r="N95">
        <v>0</v>
      </c>
      <c r="O95" s="20"/>
      <c r="P95" s="20"/>
      <c r="Q95" s="438"/>
      <c r="R95" s="197">
        <v>0.66599999999999993</v>
      </c>
      <c r="S95" s="197">
        <v>4.5549999999999997</v>
      </c>
      <c r="T95" s="197">
        <v>0.60039794540960334</v>
      </c>
      <c r="U95" s="197">
        <v>0.90789473684210531</v>
      </c>
      <c r="V95" s="20">
        <f t="shared" si="108"/>
        <v>0</v>
      </c>
      <c r="W95" s="20">
        <f t="shared" si="108"/>
        <v>0</v>
      </c>
      <c r="X95" s="20">
        <f t="shared" si="108"/>
        <v>0</v>
      </c>
      <c r="Y95" s="20">
        <f t="shared" si="108"/>
        <v>0</v>
      </c>
      <c r="Z95" s="20">
        <f t="shared" si="109"/>
        <v>0</v>
      </c>
      <c r="AA95" s="20">
        <f t="shared" si="109"/>
        <v>0</v>
      </c>
      <c r="AB95" s="20">
        <f t="shared" si="109"/>
        <v>0</v>
      </c>
      <c r="AC95" s="20">
        <f t="shared" si="109"/>
        <v>0</v>
      </c>
      <c r="AD95" s="20">
        <f t="shared" si="110"/>
        <v>0</v>
      </c>
      <c r="AE95" s="20">
        <f t="shared" si="111"/>
        <v>0</v>
      </c>
      <c r="AF95" s="20">
        <f t="shared" si="111"/>
        <v>0</v>
      </c>
      <c r="AG95" s="20">
        <f t="shared" si="111"/>
        <v>0</v>
      </c>
      <c r="AH95" s="20">
        <f t="shared" si="111"/>
        <v>0</v>
      </c>
      <c r="AI95" s="20">
        <f t="shared" si="112"/>
        <v>0</v>
      </c>
      <c r="AJ95" s="20">
        <f t="shared" si="113"/>
        <v>0</v>
      </c>
      <c r="AK95" s="20">
        <f t="shared" si="113"/>
        <v>0</v>
      </c>
      <c r="AL95" s="20">
        <f t="shared" si="113"/>
        <v>0</v>
      </c>
      <c r="AM95" s="20">
        <f t="shared" si="114"/>
        <v>0</v>
      </c>
      <c r="AO95">
        <f t="shared" si="115"/>
        <v>0</v>
      </c>
      <c r="AP95">
        <f t="shared" si="115"/>
        <v>0</v>
      </c>
      <c r="AQ95">
        <f t="shared" si="115"/>
        <v>0</v>
      </c>
      <c r="AR95">
        <f t="shared" si="115"/>
        <v>0</v>
      </c>
      <c r="AS95">
        <f t="shared" si="116"/>
        <v>0</v>
      </c>
      <c r="AU95">
        <f t="shared" si="117"/>
        <v>0</v>
      </c>
      <c r="AV95">
        <f t="shared" si="117"/>
        <v>0</v>
      </c>
      <c r="AW95">
        <f t="shared" si="117"/>
        <v>0</v>
      </c>
      <c r="AX95">
        <f t="shared" si="117"/>
        <v>0</v>
      </c>
      <c r="AY95">
        <f t="shared" si="118"/>
        <v>0</v>
      </c>
    </row>
    <row r="96" spans="1:53" ht="15" x14ac:dyDescent="0.25">
      <c r="A96" s="1"/>
      <c r="B96" s="2"/>
      <c r="C96" s="1" t="s">
        <v>11</v>
      </c>
      <c r="D96">
        <v>0</v>
      </c>
      <c r="E96" s="360">
        <v>55.817700000000002</v>
      </c>
      <c r="F96">
        <v>0</v>
      </c>
      <c r="G96">
        <v>0</v>
      </c>
      <c r="H96">
        <v>0</v>
      </c>
      <c r="J96">
        <v>0</v>
      </c>
      <c r="K96">
        <v>0</v>
      </c>
      <c r="L96">
        <v>0</v>
      </c>
      <c r="M96">
        <v>0</v>
      </c>
      <c r="N96">
        <v>0</v>
      </c>
      <c r="O96" s="20"/>
      <c r="P96" s="20"/>
      <c r="Q96" s="438">
        <v>0.14093553532953526</v>
      </c>
      <c r="R96" s="197">
        <v>0.66599999999999993</v>
      </c>
      <c r="S96" s="197">
        <v>4.5549999999999997</v>
      </c>
      <c r="T96" s="197">
        <v>0.60039794540960334</v>
      </c>
      <c r="U96" s="197">
        <v>0.90789473684210531</v>
      </c>
      <c r="V96" s="20">
        <f t="shared" si="108"/>
        <v>52.392204886220242</v>
      </c>
      <c r="W96" s="20">
        <f t="shared" si="108"/>
        <v>0</v>
      </c>
      <c r="X96" s="20">
        <f t="shared" si="108"/>
        <v>0</v>
      </c>
      <c r="Y96" s="20">
        <f t="shared" si="108"/>
        <v>0</v>
      </c>
      <c r="Z96" s="20">
        <f t="shared" si="109"/>
        <v>35.277055904442363</v>
      </c>
      <c r="AA96" s="20">
        <f t="shared" si="109"/>
        <v>0</v>
      </c>
      <c r="AB96" s="20">
        <f t="shared" si="109"/>
        <v>0</v>
      </c>
      <c r="AC96" s="20">
        <f t="shared" si="109"/>
        <v>0</v>
      </c>
      <c r="AD96" s="20">
        <f t="shared" si="110"/>
        <v>35.277055904442363</v>
      </c>
      <c r="AE96" s="20">
        <f t="shared" si="111"/>
        <v>358.32806795305288</v>
      </c>
      <c r="AF96" s="20">
        <f t="shared" si="111"/>
        <v>0</v>
      </c>
      <c r="AG96" s="20">
        <f t="shared" si="111"/>
        <v>0</v>
      </c>
      <c r="AH96" s="20">
        <f t="shared" si="111"/>
        <v>0</v>
      </c>
      <c r="AI96" s="20">
        <f t="shared" si="112"/>
        <v>331.34746994984584</v>
      </c>
      <c r="AJ96" s="20">
        <f t="shared" si="113"/>
        <v>0</v>
      </c>
      <c r="AK96" s="20">
        <f t="shared" si="113"/>
        <v>0</v>
      </c>
      <c r="AL96" s="20">
        <f t="shared" si="113"/>
        <v>0</v>
      </c>
      <c r="AM96" s="20">
        <f t="shared" si="114"/>
        <v>331.34746994984584</v>
      </c>
      <c r="AO96">
        <f t="shared" si="115"/>
        <v>39.221030754559017</v>
      </c>
      <c r="AP96">
        <f t="shared" si="115"/>
        <v>0</v>
      </c>
      <c r="AQ96">
        <f t="shared" si="115"/>
        <v>0</v>
      </c>
      <c r="AR96">
        <f t="shared" si="115"/>
        <v>0</v>
      </c>
      <c r="AS96">
        <f t="shared" si="116"/>
        <v>39.221030754559017</v>
      </c>
      <c r="AU96">
        <f t="shared" si="117"/>
        <v>368.39211709023857</v>
      </c>
      <c r="AV96">
        <f t="shared" si="117"/>
        <v>0</v>
      </c>
      <c r="AW96">
        <f t="shared" si="117"/>
        <v>0</v>
      </c>
      <c r="AX96">
        <f t="shared" si="117"/>
        <v>0</v>
      </c>
      <c r="AY96">
        <f t="shared" si="118"/>
        <v>368.39211709023857</v>
      </c>
    </row>
    <row r="97" spans="1:53" ht="15" x14ac:dyDescent="0.25">
      <c r="A97" s="1"/>
      <c r="B97" s="2"/>
      <c r="C97" s="1" t="s">
        <v>12</v>
      </c>
      <c r="D97">
        <v>0</v>
      </c>
      <c r="E97" s="360">
        <v>0</v>
      </c>
      <c r="F97">
        <v>0</v>
      </c>
      <c r="G97">
        <v>0</v>
      </c>
      <c r="H9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20"/>
      <c r="P97" s="20"/>
      <c r="Q97" s="438"/>
      <c r="R97" s="197">
        <v>0.66599999999999993</v>
      </c>
      <c r="S97" s="197">
        <v>4.5549999999999997</v>
      </c>
      <c r="T97" s="197">
        <v>0.60039794540960334</v>
      </c>
      <c r="U97" s="197">
        <v>0.90789473684210531</v>
      </c>
      <c r="V97" s="20">
        <f t="shared" si="108"/>
        <v>0</v>
      </c>
      <c r="W97" s="20">
        <f t="shared" si="108"/>
        <v>0</v>
      </c>
      <c r="X97" s="20">
        <f t="shared" si="108"/>
        <v>0</v>
      </c>
      <c r="Y97" s="20">
        <f t="shared" si="108"/>
        <v>0</v>
      </c>
      <c r="Z97" s="20">
        <f t="shared" si="109"/>
        <v>0</v>
      </c>
      <c r="AA97" s="20">
        <f t="shared" si="109"/>
        <v>0</v>
      </c>
      <c r="AB97" s="20">
        <f t="shared" si="109"/>
        <v>0</v>
      </c>
      <c r="AC97" s="20">
        <f t="shared" si="109"/>
        <v>0</v>
      </c>
      <c r="AD97" s="20">
        <f t="shared" si="110"/>
        <v>0</v>
      </c>
      <c r="AE97" s="20">
        <f t="shared" si="111"/>
        <v>0</v>
      </c>
      <c r="AF97" s="20">
        <f t="shared" si="111"/>
        <v>0</v>
      </c>
      <c r="AG97" s="20">
        <f t="shared" si="111"/>
        <v>0</v>
      </c>
      <c r="AH97" s="20">
        <f t="shared" si="111"/>
        <v>0</v>
      </c>
      <c r="AI97" s="20">
        <f t="shared" si="112"/>
        <v>0</v>
      </c>
      <c r="AJ97" s="20">
        <f t="shared" si="113"/>
        <v>0</v>
      </c>
      <c r="AK97" s="20">
        <f t="shared" si="113"/>
        <v>0</v>
      </c>
      <c r="AL97" s="20">
        <f t="shared" si="113"/>
        <v>0</v>
      </c>
      <c r="AM97" s="20">
        <f t="shared" si="114"/>
        <v>0</v>
      </c>
      <c r="AO97">
        <f t="shared" si="115"/>
        <v>0</v>
      </c>
      <c r="AP97">
        <f t="shared" si="115"/>
        <v>0</v>
      </c>
      <c r="AQ97">
        <f t="shared" si="115"/>
        <v>0</v>
      </c>
      <c r="AR97">
        <f t="shared" si="115"/>
        <v>0</v>
      </c>
      <c r="AS97">
        <f t="shared" si="116"/>
        <v>0</v>
      </c>
      <c r="AU97">
        <f t="shared" si="117"/>
        <v>0</v>
      </c>
      <c r="AV97">
        <f t="shared" si="117"/>
        <v>0</v>
      </c>
      <c r="AW97">
        <f t="shared" si="117"/>
        <v>0</v>
      </c>
      <c r="AX97">
        <f t="shared" si="117"/>
        <v>0</v>
      </c>
      <c r="AY97">
        <f t="shared" si="118"/>
        <v>0</v>
      </c>
    </row>
    <row r="98" spans="1:53" ht="15" x14ac:dyDescent="0.25">
      <c r="A98" s="1"/>
      <c r="B98" s="2"/>
      <c r="C98" s="1" t="s">
        <v>13</v>
      </c>
      <c r="D98">
        <v>0</v>
      </c>
      <c r="E98" s="360">
        <v>0.22670000000000001</v>
      </c>
      <c r="F98">
        <v>0</v>
      </c>
      <c r="G98">
        <v>0</v>
      </c>
      <c r="H98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20"/>
      <c r="P98" s="20"/>
      <c r="Q98" s="438">
        <v>0.14093553532953526</v>
      </c>
      <c r="R98" s="197">
        <v>0.66599999999999993</v>
      </c>
      <c r="S98" s="197">
        <v>4.5549999999999997</v>
      </c>
      <c r="T98" s="197">
        <v>0.60039794540960334</v>
      </c>
      <c r="U98" s="197">
        <v>0.90789473684210531</v>
      </c>
      <c r="V98" s="20">
        <f t="shared" si="108"/>
        <v>0.21278757182230959</v>
      </c>
      <c r="W98" s="20">
        <f t="shared" si="108"/>
        <v>0</v>
      </c>
      <c r="X98" s="20">
        <f t="shared" si="108"/>
        <v>0</v>
      </c>
      <c r="Y98" s="20">
        <f t="shared" si="108"/>
        <v>0</v>
      </c>
      <c r="Z98" s="20">
        <f t="shared" si="109"/>
        <v>0.14327549457496611</v>
      </c>
      <c r="AA98" s="20">
        <f t="shared" si="109"/>
        <v>0</v>
      </c>
      <c r="AB98" s="20">
        <f t="shared" si="109"/>
        <v>0</v>
      </c>
      <c r="AC98" s="20">
        <f t="shared" si="109"/>
        <v>0</v>
      </c>
      <c r="AD98" s="20">
        <f t="shared" si="110"/>
        <v>0.14327549457496611</v>
      </c>
      <c r="AE98" s="20">
        <f t="shared" si="111"/>
        <v>1.4553264108868171</v>
      </c>
      <c r="AF98" s="20">
        <f t="shared" si="111"/>
        <v>0</v>
      </c>
      <c r="AG98" s="20">
        <f t="shared" si="111"/>
        <v>0</v>
      </c>
      <c r="AH98" s="20">
        <f t="shared" si="111"/>
        <v>0</v>
      </c>
      <c r="AI98" s="20">
        <f t="shared" si="112"/>
        <v>1.345746446693971</v>
      </c>
      <c r="AJ98" s="20">
        <f t="shared" si="113"/>
        <v>0</v>
      </c>
      <c r="AK98" s="20">
        <f t="shared" si="113"/>
        <v>0</v>
      </c>
      <c r="AL98" s="20">
        <f t="shared" si="113"/>
        <v>0</v>
      </c>
      <c r="AM98" s="20">
        <f t="shared" si="114"/>
        <v>1.345746446693971</v>
      </c>
      <c r="AO98">
        <f t="shared" si="115"/>
        <v>0.1592936948684473</v>
      </c>
      <c r="AP98">
        <f t="shared" si="115"/>
        <v>0</v>
      </c>
      <c r="AQ98">
        <f t="shared" si="115"/>
        <v>0</v>
      </c>
      <c r="AR98">
        <f t="shared" si="115"/>
        <v>0</v>
      </c>
      <c r="AS98">
        <f t="shared" si="116"/>
        <v>0.1592936948684473</v>
      </c>
      <c r="AU98">
        <f t="shared" si="117"/>
        <v>1.496200899434357</v>
      </c>
      <c r="AV98">
        <f t="shared" si="117"/>
        <v>0</v>
      </c>
      <c r="AW98">
        <f t="shared" si="117"/>
        <v>0</v>
      </c>
      <c r="AX98">
        <f t="shared" si="117"/>
        <v>0</v>
      </c>
      <c r="AY98">
        <f t="shared" si="118"/>
        <v>1.496200899434357</v>
      </c>
    </row>
    <row r="99" spans="1:53" ht="15" x14ac:dyDescent="0.25">
      <c r="A99" s="7"/>
      <c r="B99" s="8" t="s">
        <v>14</v>
      </c>
      <c r="C99" s="7"/>
      <c r="D99" s="357">
        <f t="shared" ref="D99:H99" si="119">SUM(D93:D98)</f>
        <v>0</v>
      </c>
      <c r="E99" s="363">
        <f>SUM(E93:E98)</f>
        <v>187.75239999999999</v>
      </c>
      <c r="F99" s="357">
        <f t="shared" si="119"/>
        <v>0</v>
      </c>
      <c r="G99" s="357">
        <f t="shared" si="119"/>
        <v>0</v>
      </c>
      <c r="H99" s="357">
        <f t="shared" si="119"/>
        <v>0</v>
      </c>
      <c r="J99">
        <v>0</v>
      </c>
      <c r="K99">
        <v>0</v>
      </c>
      <c r="L99">
        <v>0</v>
      </c>
      <c r="M99">
        <v>0</v>
      </c>
      <c r="N99">
        <v>0</v>
      </c>
      <c r="O99" s="20"/>
      <c r="P99" s="20"/>
      <c r="Q99" s="438">
        <v>7.2531892865477177E-2</v>
      </c>
      <c r="R99" s="197"/>
      <c r="S99" s="197"/>
      <c r="T99" s="197"/>
      <c r="U99" s="197"/>
      <c r="BA99" s="319">
        <f>(E99*10000*Q99*AU$10)</f>
        <v>151405.33494391866</v>
      </c>
    </row>
    <row r="100" spans="1:53" ht="15" x14ac:dyDescent="0.25">
      <c r="A100" s="10"/>
      <c r="B100" s="9" t="s">
        <v>15</v>
      </c>
      <c r="C100" s="5"/>
      <c r="E100" s="363">
        <f>SUM(E99)</f>
        <v>187.75239999999999</v>
      </c>
      <c r="H100" s="358">
        <f>SUM(D99:H99)</f>
        <v>187.75239999999999</v>
      </c>
      <c r="K100" s="14"/>
      <c r="N100">
        <v>0</v>
      </c>
      <c r="O100" s="20"/>
      <c r="P100" s="20"/>
      <c r="Q100" s="438"/>
      <c r="R100" s="197"/>
      <c r="S100" s="197"/>
      <c r="T100" s="197"/>
      <c r="U100" s="197"/>
    </row>
    <row r="101" spans="1:53" ht="15.75" x14ac:dyDescent="0.25">
      <c r="A101" s="1"/>
      <c r="B101" s="2"/>
      <c r="C101" s="1"/>
      <c r="E101" s="361"/>
      <c r="K101" s="14"/>
      <c r="O101" s="20"/>
      <c r="P101" s="20"/>
      <c r="Q101" s="439"/>
      <c r="R101" s="197"/>
      <c r="S101" s="197"/>
      <c r="T101" s="197"/>
      <c r="U101" s="197"/>
    </row>
    <row r="102" spans="1:53" ht="15" x14ac:dyDescent="0.25">
      <c r="A102" s="1">
        <v>11</v>
      </c>
      <c r="B102" s="2" t="s">
        <v>25</v>
      </c>
      <c r="C102" s="1" t="s">
        <v>8</v>
      </c>
      <c r="D102">
        <v>0</v>
      </c>
      <c r="E102" s="360">
        <v>9.1846999999999994</v>
      </c>
      <c r="F102">
        <v>0</v>
      </c>
      <c r="G102">
        <v>0</v>
      </c>
      <c r="H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 s="20"/>
      <c r="P102" s="20"/>
      <c r="Q102" s="438">
        <v>4.1983883832383814E-2</v>
      </c>
      <c r="R102" s="197">
        <v>0.14000000000000001</v>
      </c>
      <c r="S102" s="197">
        <v>2.0499999999999998</v>
      </c>
      <c r="T102" s="197">
        <v>0.62857142857142845</v>
      </c>
      <c r="U102" s="197">
        <v>0.90789473684210531</v>
      </c>
      <c r="V102" s="20">
        <f t="shared" ref="V102:Y107" si="120">IF(K102&gt;0,((E102-K102)*$Q102*$R102*10)+(K102*$O$12*$Q102*$R102*10),(E102*$Q102*$R102*10))</f>
        <v>0.53985312896941395</v>
      </c>
      <c r="W102" s="20">
        <f t="shared" si="120"/>
        <v>0</v>
      </c>
      <c r="X102" s="20">
        <f t="shared" si="120"/>
        <v>0</v>
      </c>
      <c r="Y102" s="20">
        <f t="shared" si="120"/>
        <v>0</v>
      </c>
      <c r="Z102" s="20">
        <f t="shared" ref="Z102:AC107" si="121">V102*(EXP(1.01-0.34*LN(Z$8))*(1-$T102)+(1*$T102))</f>
        <v>0.37593113569588943</v>
      </c>
      <c r="AA102" s="20">
        <f t="shared" si="121"/>
        <v>0</v>
      </c>
      <c r="AB102" s="20">
        <f t="shared" si="121"/>
        <v>0</v>
      </c>
      <c r="AC102" s="20">
        <f t="shared" si="121"/>
        <v>0</v>
      </c>
      <c r="AD102" s="20">
        <f t="shared" ref="AD102:AD107" si="122">SUM(Z102:AC102)</f>
        <v>0.37593113569588943</v>
      </c>
      <c r="AE102" s="20">
        <f t="shared" ref="AE102:AH107" si="123">IF(K102&gt;0,((E102-K102)*$Q102*$S102*10)+(K102*$P$12*$Q102*$S102)*10,(E102*$Q102*$S102*10))</f>
        <v>7.9049922456235588</v>
      </c>
      <c r="AF102" s="20">
        <f t="shared" si="123"/>
        <v>0</v>
      </c>
      <c r="AG102" s="20">
        <f t="shared" si="123"/>
        <v>0</v>
      </c>
      <c r="AH102" s="20">
        <f t="shared" si="123"/>
        <v>0</v>
      </c>
      <c r="AI102" s="20">
        <f t="shared" ref="AI102:AI107" si="124">AE102*(EXP(1.01-0.34*LN(AI$8))*(1-$U102)+(1*$U102))</f>
        <v>7.3097795423150886</v>
      </c>
      <c r="AJ102" s="20">
        <f t="shared" ref="AJ102:AL107" si="125">AF102*(EXP(1.01-0.34*LN(AJ$8))*(1-$T102)+(1*$T102))</f>
        <v>0</v>
      </c>
      <c r="AK102" s="20">
        <f t="shared" si="125"/>
        <v>0</v>
      </c>
      <c r="AL102" s="20">
        <f t="shared" si="125"/>
        <v>0</v>
      </c>
      <c r="AM102" s="20">
        <f t="shared" ref="AM102:AM107" si="126">SUM(AI102:AL102)</f>
        <v>7.3097795423150886</v>
      </c>
      <c r="AO102">
        <f t="shared" ref="AO102:AR107" si="127">Z102*AO$10</f>
        <v>0.41796023666668985</v>
      </c>
      <c r="AP102">
        <f t="shared" si="127"/>
        <v>0</v>
      </c>
      <c r="AQ102">
        <f t="shared" si="127"/>
        <v>0</v>
      </c>
      <c r="AR102">
        <f t="shared" si="127"/>
        <v>0</v>
      </c>
      <c r="AS102">
        <f t="shared" ref="AS102:AS107" si="128">SUM(AO102:AR102)</f>
        <v>0.41796023666668985</v>
      </c>
      <c r="AU102">
        <f t="shared" ref="AU102:AX107" si="129">AI102*AU$10</f>
        <v>8.1270128951459153</v>
      </c>
      <c r="AV102">
        <f t="shared" si="129"/>
        <v>0</v>
      </c>
      <c r="AW102">
        <f t="shared" si="129"/>
        <v>0</v>
      </c>
      <c r="AX102">
        <f t="shared" si="129"/>
        <v>0</v>
      </c>
      <c r="AY102">
        <f t="shared" ref="AY102:AY107" si="130">SUM(AU102:AX102)</f>
        <v>8.1270128951459153</v>
      </c>
    </row>
    <row r="103" spans="1:53" ht="15" x14ac:dyDescent="0.25">
      <c r="A103" s="1"/>
      <c r="B103" s="2"/>
      <c r="C103" s="1" t="s">
        <v>9</v>
      </c>
      <c r="D103">
        <v>0</v>
      </c>
      <c r="E103" s="360">
        <v>0</v>
      </c>
      <c r="F103">
        <v>0</v>
      </c>
      <c r="G103">
        <v>0</v>
      </c>
      <c r="H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 s="20"/>
      <c r="P103" s="20"/>
      <c r="Q103" s="438"/>
      <c r="R103" s="197">
        <v>0.14000000000000001</v>
      </c>
      <c r="S103" s="197">
        <v>2.0499999999999998</v>
      </c>
      <c r="T103" s="197">
        <v>0.62857142857142845</v>
      </c>
      <c r="U103" s="197">
        <v>0.90789473684210531</v>
      </c>
      <c r="V103" s="20">
        <f t="shared" si="120"/>
        <v>0</v>
      </c>
      <c r="W103" s="20">
        <f t="shared" si="120"/>
        <v>0</v>
      </c>
      <c r="X103" s="20">
        <f t="shared" si="120"/>
        <v>0</v>
      </c>
      <c r="Y103" s="20">
        <f t="shared" si="120"/>
        <v>0</v>
      </c>
      <c r="Z103" s="20">
        <f t="shared" si="121"/>
        <v>0</v>
      </c>
      <c r="AA103" s="20">
        <f t="shared" si="121"/>
        <v>0</v>
      </c>
      <c r="AB103" s="20">
        <f t="shared" si="121"/>
        <v>0</v>
      </c>
      <c r="AC103" s="20">
        <f t="shared" si="121"/>
        <v>0</v>
      </c>
      <c r="AD103" s="20">
        <f t="shared" si="122"/>
        <v>0</v>
      </c>
      <c r="AE103" s="20">
        <f t="shared" si="123"/>
        <v>0</v>
      </c>
      <c r="AF103" s="20">
        <f t="shared" si="123"/>
        <v>0</v>
      </c>
      <c r="AG103" s="20">
        <f t="shared" si="123"/>
        <v>0</v>
      </c>
      <c r="AH103" s="20">
        <f t="shared" si="123"/>
        <v>0</v>
      </c>
      <c r="AI103" s="20">
        <f t="shared" si="124"/>
        <v>0</v>
      </c>
      <c r="AJ103" s="20">
        <f t="shared" si="125"/>
        <v>0</v>
      </c>
      <c r="AK103" s="20">
        <f t="shared" si="125"/>
        <v>0</v>
      </c>
      <c r="AL103" s="20">
        <f t="shared" si="125"/>
        <v>0</v>
      </c>
      <c r="AM103" s="20">
        <f t="shared" si="126"/>
        <v>0</v>
      </c>
      <c r="AO103">
        <f t="shared" si="127"/>
        <v>0</v>
      </c>
      <c r="AP103">
        <f t="shared" si="127"/>
        <v>0</v>
      </c>
      <c r="AQ103">
        <f t="shared" si="127"/>
        <v>0</v>
      </c>
      <c r="AR103">
        <f t="shared" si="127"/>
        <v>0</v>
      </c>
      <c r="AS103">
        <f t="shared" si="128"/>
        <v>0</v>
      </c>
      <c r="AU103">
        <f t="shared" si="129"/>
        <v>0</v>
      </c>
      <c r="AV103">
        <f t="shared" si="129"/>
        <v>0</v>
      </c>
      <c r="AW103">
        <f t="shared" si="129"/>
        <v>0</v>
      </c>
      <c r="AX103">
        <f t="shared" si="129"/>
        <v>0</v>
      </c>
      <c r="AY103">
        <f t="shared" si="130"/>
        <v>0</v>
      </c>
    </row>
    <row r="104" spans="1:53" ht="15" x14ac:dyDescent="0.25">
      <c r="A104" s="1"/>
      <c r="B104" s="2"/>
      <c r="C104" s="1" t="s">
        <v>10</v>
      </c>
      <c r="D104">
        <v>0</v>
      </c>
      <c r="E104" s="360">
        <v>0</v>
      </c>
      <c r="F104">
        <v>0</v>
      </c>
      <c r="G104">
        <v>0</v>
      </c>
      <c r="H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 s="20"/>
      <c r="P104" s="20"/>
      <c r="Q104" s="438"/>
      <c r="R104" s="197">
        <v>0.14000000000000001</v>
      </c>
      <c r="S104" s="197">
        <v>2.0499999999999998</v>
      </c>
      <c r="T104" s="197">
        <v>0.62857142857142845</v>
      </c>
      <c r="U104" s="197">
        <v>0.90789473684210531</v>
      </c>
      <c r="V104" s="20">
        <f t="shared" si="120"/>
        <v>0</v>
      </c>
      <c r="W104" s="20">
        <f t="shared" si="120"/>
        <v>0</v>
      </c>
      <c r="X104" s="20">
        <f t="shared" si="120"/>
        <v>0</v>
      </c>
      <c r="Y104" s="20">
        <f t="shared" si="120"/>
        <v>0</v>
      </c>
      <c r="Z104" s="20">
        <f t="shared" si="121"/>
        <v>0</v>
      </c>
      <c r="AA104" s="20">
        <f t="shared" si="121"/>
        <v>0</v>
      </c>
      <c r="AB104" s="20">
        <f t="shared" si="121"/>
        <v>0</v>
      </c>
      <c r="AC104" s="20">
        <f t="shared" si="121"/>
        <v>0</v>
      </c>
      <c r="AD104" s="20">
        <f t="shared" si="122"/>
        <v>0</v>
      </c>
      <c r="AE104" s="20">
        <f t="shared" si="123"/>
        <v>0</v>
      </c>
      <c r="AF104" s="20">
        <f t="shared" si="123"/>
        <v>0</v>
      </c>
      <c r="AG104" s="20">
        <f t="shared" si="123"/>
        <v>0</v>
      </c>
      <c r="AH104" s="20">
        <f t="shared" si="123"/>
        <v>0</v>
      </c>
      <c r="AI104" s="20">
        <f t="shared" si="124"/>
        <v>0</v>
      </c>
      <c r="AJ104" s="20">
        <f t="shared" si="125"/>
        <v>0</v>
      </c>
      <c r="AK104" s="20">
        <f t="shared" si="125"/>
        <v>0</v>
      </c>
      <c r="AL104" s="20">
        <f t="shared" si="125"/>
        <v>0</v>
      </c>
      <c r="AM104" s="20">
        <f t="shared" si="126"/>
        <v>0</v>
      </c>
      <c r="AO104">
        <f t="shared" si="127"/>
        <v>0</v>
      </c>
      <c r="AP104">
        <f t="shared" si="127"/>
        <v>0</v>
      </c>
      <c r="AQ104">
        <f t="shared" si="127"/>
        <v>0</v>
      </c>
      <c r="AR104">
        <f t="shared" si="127"/>
        <v>0</v>
      </c>
      <c r="AS104">
        <f t="shared" si="128"/>
        <v>0</v>
      </c>
      <c r="AU104">
        <f t="shared" si="129"/>
        <v>0</v>
      </c>
      <c r="AV104">
        <f t="shared" si="129"/>
        <v>0</v>
      </c>
      <c r="AW104">
        <f t="shared" si="129"/>
        <v>0</v>
      </c>
      <c r="AX104">
        <f t="shared" si="129"/>
        <v>0</v>
      </c>
      <c r="AY104">
        <f t="shared" si="130"/>
        <v>0</v>
      </c>
    </row>
    <row r="105" spans="1:53" ht="15" x14ac:dyDescent="0.25">
      <c r="A105" s="1"/>
      <c r="B105" s="2"/>
      <c r="C105" s="1" t="s">
        <v>11</v>
      </c>
      <c r="D105">
        <v>0</v>
      </c>
      <c r="E105" s="360">
        <v>6.8199999999999997E-2</v>
      </c>
      <c r="F105">
        <v>0</v>
      </c>
      <c r="G105">
        <v>0</v>
      </c>
      <c r="H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 s="20"/>
      <c r="P105" s="20"/>
      <c r="Q105" s="438">
        <v>0.14093553532953523</v>
      </c>
      <c r="R105" s="197">
        <v>0.14000000000000001</v>
      </c>
      <c r="S105" s="197">
        <v>2.0499999999999998</v>
      </c>
      <c r="T105" s="197">
        <v>0.62857142857142845</v>
      </c>
      <c r="U105" s="197">
        <v>0.90789473684210531</v>
      </c>
      <c r="V105" s="20">
        <f t="shared" si="120"/>
        <v>1.3456524913264024E-2</v>
      </c>
      <c r="W105" s="20">
        <f t="shared" si="120"/>
        <v>0</v>
      </c>
      <c r="X105" s="20">
        <f t="shared" si="120"/>
        <v>0</v>
      </c>
      <c r="Y105" s="20">
        <f t="shared" si="120"/>
        <v>0</v>
      </c>
      <c r="Z105" s="20">
        <f t="shared" si="121"/>
        <v>9.370561031702352E-3</v>
      </c>
      <c r="AA105" s="20">
        <f t="shared" si="121"/>
        <v>0</v>
      </c>
      <c r="AB105" s="20">
        <f t="shared" si="121"/>
        <v>0</v>
      </c>
      <c r="AC105" s="20">
        <f t="shared" si="121"/>
        <v>0</v>
      </c>
      <c r="AD105" s="20">
        <f t="shared" si="122"/>
        <v>9.370561031702352E-3</v>
      </c>
      <c r="AE105" s="20">
        <f t="shared" si="123"/>
        <v>0.19704197194422318</v>
      </c>
      <c r="AF105" s="20">
        <f t="shared" si="123"/>
        <v>0</v>
      </c>
      <c r="AG105" s="20">
        <f t="shared" si="123"/>
        <v>0</v>
      </c>
      <c r="AH105" s="20">
        <f t="shared" si="123"/>
        <v>0</v>
      </c>
      <c r="AI105" s="20">
        <f t="shared" si="124"/>
        <v>0.18220553932772268</v>
      </c>
      <c r="AJ105" s="20">
        <f t="shared" si="125"/>
        <v>0</v>
      </c>
      <c r="AK105" s="20">
        <f t="shared" si="125"/>
        <v>0</v>
      </c>
      <c r="AL105" s="20">
        <f t="shared" si="125"/>
        <v>0</v>
      </c>
      <c r="AM105" s="20">
        <f t="shared" si="126"/>
        <v>0.18220553932772268</v>
      </c>
      <c r="AO105">
        <f t="shared" si="127"/>
        <v>1.0418189755046674E-2</v>
      </c>
      <c r="AP105">
        <f t="shared" si="127"/>
        <v>0</v>
      </c>
      <c r="AQ105">
        <f t="shared" si="127"/>
        <v>0</v>
      </c>
      <c r="AR105">
        <f t="shared" si="127"/>
        <v>0</v>
      </c>
      <c r="AS105">
        <f t="shared" si="128"/>
        <v>1.0418189755046674E-2</v>
      </c>
      <c r="AU105">
        <f t="shared" si="129"/>
        <v>0.20257611862456207</v>
      </c>
      <c r="AV105">
        <f t="shared" si="129"/>
        <v>0</v>
      </c>
      <c r="AW105">
        <f t="shared" si="129"/>
        <v>0</v>
      </c>
      <c r="AX105">
        <f t="shared" si="129"/>
        <v>0</v>
      </c>
      <c r="AY105">
        <f t="shared" si="130"/>
        <v>0.20257611862456207</v>
      </c>
    </row>
    <row r="106" spans="1:53" ht="15" x14ac:dyDescent="0.25">
      <c r="A106" s="1"/>
      <c r="B106" s="2"/>
      <c r="C106" s="1" t="s">
        <v>12</v>
      </c>
      <c r="D106">
        <v>0</v>
      </c>
      <c r="E106" s="360">
        <v>0</v>
      </c>
      <c r="F106">
        <v>0</v>
      </c>
      <c r="G106">
        <v>0</v>
      </c>
      <c r="H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 s="20"/>
      <c r="P106" s="20"/>
      <c r="Q106" s="438"/>
      <c r="R106" s="197">
        <v>0.14000000000000001</v>
      </c>
      <c r="S106" s="197">
        <v>2.0499999999999998</v>
      </c>
      <c r="T106" s="197">
        <v>0.62857142857142845</v>
      </c>
      <c r="U106" s="197">
        <v>0.90789473684210531</v>
      </c>
      <c r="V106" s="20">
        <f t="shared" si="120"/>
        <v>0</v>
      </c>
      <c r="W106" s="20">
        <f t="shared" si="120"/>
        <v>0</v>
      </c>
      <c r="X106" s="20">
        <f t="shared" si="120"/>
        <v>0</v>
      </c>
      <c r="Y106" s="20">
        <f t="shared" si="120"/>
        <v>0</v>
      </c>
      <c r="Z106" s="20">
        <f t="shared" si="121"/>
        <v>0</v>
      </c>
      <c r="AA106" s="20">
        <f t="shared" si="121"/>
        <v>0</v>
      </c>
      <c r="AB106" s="20">
        <f t="shared" si="121"/>
        <v>0</v>
      </c>
      <c r="AC106" s="20">
        <f t="shared" si="121"/>
        <v>0</v>
      </c>
      <c r="AD106" s="20">
        <f t="shared" si="122"/>
        <v>0</v>
      </c>
      <c r="AE106" s="20">
        <f t="shared" si="123"/>
        <v>0</v>
      </c>
      <c r="AF106" s="20">
        <f t="shared" si="123"/>
        <v>0</v>
      </c>
      <c r="AG106" s="20">
        <f t="shared" si="123"/>
        <v>0</v>
      </c>
      <c r="AH106" s="20">
        <f t="shared" si="123"/>
        <v>0</v>
      </c>
      <c r="AI106" s="20">
        <f t="shared" si="124"/>
        <v>0</v>
      </c>
      <c r="AJ106" s="20">
        <f t="shared" si="125"/>
        <v>0</v>
      </c>
      <c r="AK106" s="20">
        <f t="shared" si="125"/>
        <v>0</v>
      </c>
      <c r="AL106" s="20">
        <f t="shared" si="125"/>
        <v>0</v>
      </c>
      <c r="AM106" s="20">
        <f t="shared" si="126"/>
        <v>0</v>
      </c>
      <c r="AO106">
        <f t="shared" si="127"/>
        <v>0</v>
      </c>
      <c r="AP106">
        <f t="shared" si="127"/>
        <v>0</v>
      </c>
      <c r="AQ106">
        <f t="shared" si="127"/>
        <v>0</v>
      </c>
      <c r="AR106">
        <f t="shared" si="127"/>
        <v>0</v>
      </c>
      <c r="AS106">
        <f t="shared" si="128"/>
        <v>0</v>
      </c>
      <c r="AU106">
        <f t="shared" si="129"/>
        <v>0</v>
      </c>
      <c r="AV106">
        <f t="shared" si="129"/>
        <v>0</v>
      </c>
      <c r="AW106">
        <f t="shared" si="129"/>
        <v>0</v>
      </c>
      <c r="AX106">
        <f t="shared" si="129"/>
        <v>0</v>
      </c>
      <c r="AY106">
        <f t="shared" si="130"/>
        <v>0</v>
      </c>
    </row>
    <row r="107" spans="1:53" ht="15" x14ac:dyDescent="0.25">
      <c r="A107" s="1"/>
      <c r="B107" s="2"/>
      <c r="C107" s="1" t="s">
        <v>13</v>
      </c>
      <c r="D107">
        <v>0</v>
      </c>
      <c r="E107" s="360">
        <v>2.5700000000000001E-2</v>
      </c>
      <c r="F107">
        <v>0</v>
      </c>
      <c r="G107">
        <v>0</v>
      </c>
      <c r="H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0"/>
      <c r="P107" s="20"/>
      <c r="Q107" s="438">
        <v>0.14093553532953526</v>
      </c>
      <c r="R107" s="197">
        <v>0.14000000000000001</v>
      </c>
      <c r="S107" s="197">
        <v>2.0499999999999998</v>
      </c>
      <c r="T107" s="197">
        <v>0.62857142857142845</v>
      </c>
      <c r="U107" s="197">
        <v>0.90789473684210531</v>
      </c>
      <c r="V107" s="20">
        <f t="shared" si="120"/>
        <v>5.0708605611566792E-3</v>
      </c>
      <c r="W107" s="20">
        <f t="shared" si="120"/>
        <v>0</v>
      </c>
      <c r="X107" s="20">
        <f t="shared" si="120"/>
        <v>0</v>
      </c>
      <c r="Y107" s="20">
        <f t="shared" si="120"/>
        <v>0</v>
      </c>
      <c r="Z107" s="20">
        <f t="shared" si="121"/>
        <v>3.5311351688379843E-3</v>
      </c>
      <c r="AA107" s="20">
        <f t="shared" si="121"/>
        <v>0</v>
      </c>
      <c r="AB107" s="20">
        <f t="shared" si="121"/>
        <v>0</v>
      </c>
      <c r="AC107" s="20">
        <f t="shared" si="121"/>
        <v>0</v>
      </c>
      <c r="AD107" s="20">
        <f t="shared" si="122"/>
        <v>3.5311351688379843E-3</v>
      </c>
      <c r="AE107" s="20">
        <f t="shared" si="123"/>
        <v>7.4251886788365654E-2</v>
      </c>
      <c r="AF107" s="20">
        <f t="shared" si="123"/>
        <v>0</v>
      </c>
      <c r="AG107" s="20">
        <f t="shared" si="123"/>
        <v>0</v>
      </c>
      <c r="AH107" s="20">
        <f t="shared" si="123"/>
        <v>0</v>
      </c>
      <c r="AI107" s="20">
        <f t="shared" si="124"/>
        <v>6.8661031682147725E-2</v>
      </c>
      <c r="AJ107" s="20">
        <f t="shared" si="125"/>
        <v>0</v>
      </c>
      <c r="AK107" s="20">
        <f t="shared" si="125"/>
        <v>0</v>
      </c>
      <c r="AL107" s="20">
        <f t="shared" si="125"/>
        <v>0</v>
      </c>
      <c r="AM107" s="20">
        <f t="shared" si="126"/>
        <v>6.8661031682147725E-2</v>
      </c>
      <c r="AO107">
        <f t="shared" si="127"/>
        <v>3.9259160807140706E-3</v>
      </c>
      <c r="AP107">
        <f t="shared" si="127"/>
        <v>0</v>
      </c>
      <c r="AQ107">
        <f t="shared" si="127"/>
        <v>0</v>
      </c>
      <c r="AR107">
        <f t="shared" si="127"/>
        <v>0</v>
      </c>
      <c r="AS107">
        <f t="shared" si="128"/>
        <v>3.9259160807140706E-3</v>
      </c>
      <c r="AU107">
        <f t="shared" si="129"/>
        <v>7.6337335024211833E-2</v>
      </c>
      <c r="AV107">
        <f t="shared" si="129"/>
        <v>0</v>
      </c>
      <c r="AW107">
        <f t="shared" si="129"/>
        <v>0</v>
      </c>
      <c r="AX107">
        <f t="shared" si="129"/>
        <v>0</v>
      </c>
      <c r="AY107">
        <f t="shared" si="130"/>
        <v>7.6337335024211833E-2</v>
      </c>
    </row>
    <row r="108" spans="1:53" ht="15" x14ac:dyDescent="0.25">
      <c r="A108" s="7"/>
      <c r="B108" s="8" t="s">
        <v>14</v>
      </c>
      <c r="C108" s="7"/>
      <c r="D108" s="357">
        <f t="shared" ref="D108:H108" si="131">SUM(D102:D107)</f>
        <v>0</v>
      </c>
      <c r="E108" s="363">
        <f>SUM(E102:E107)</f>
        <v>9.2785999999999991</v>
      </c>
      <c r="F108" s="357">
        <f t="shared" si="131"/>
        <v>0</v>
      </c>
      <c r="G108" s="357">
        <f t="shared" si="131"/>
        <v>0</v>
      </c>
      <c r="H108" s="357">
        <f t="shared" si="131"/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 s="20"/>
      <c r="P108" s="20"/>
      <c r="Q108" s="438">
        <v>4.2985280602972332E-2</v>
      </c>
      <c r="R108" s="197"/>
      <c r="S108" s="197"/>
      <c r="T108" s="197"/>
      <c r="U108" s="197"/>
      <c r="BA108" s="319">
        <f>(E108*10000*Q108*AU$10)</f>
        <v>4434.338971133252</v>
      </c>
    </row>
    <row r="109" spans="1:53" ht="15" x14ac:dyDescent="0.25">
      <c r="A109" s="10"/>
      <c r="B109" s="9" t="s">
        <v>15</v>
      </c>
      <c r="C109" s="5"/>
      <c r="E109" s="363">
        <f>SUM(E108)</f>
        <v>9.2785999999999991</v>
      </c>
      <c r="H109" s="358">
        <f>SUM(D108:H108)</f>
        <v>9.2785999999999991</v>
      </c>
      <c r="K109" s="14"/>
      <c r="N109">
        <v>0</v>
      </c>
      <c r="O109" s="20"/>
      <c r="P109" s="20"/>
      <c r="Q109" s="438"/>
      <c r="R109" s="197"/>
      <c r="S109" s="197"/>
      <c r="T109" s="197"/>
      <c r="U109" s="197"/>
    </row>
    <row r="110" spans="1:53" ht="15.75" x14ac:dyDescent="0.25">
      <c r="A110" s="1"/>
      <c r="B110" s="2"/>
      <c r="C110" s="1"/>
      <c r="E110" s="361"/>
      <c r="K110" s="14"/>
      <c r="O110" s="20"/>
      <c r="P110" s="20"/>
      <c r="Q110" s="439"/>
      <c r="R110" s="197"/>
      <c r="S110" s="197"/>
      <c r="T110" s="197"/>
      <c r="U110" s="197"/>
    </row>
    <row r="111" spans="1:53" ht="15" x14ac:dyDescent="0.25">
      <c r="A111" s="1">
        <v>12</v>
      </c>
      <c r="B111" s="2" t="s">
        <v>26</v>
      </c>
      <c r="C111" s="1" t="s">
        <v>8</v>
      </c>
      <c r="D111">
        <v>0</v>
      </c>
      <c r="E111" s="360"/>
      <c r="F111">
        <v>0</v>
      </c>
      <c r="G111">
        <v>0</v>
      </c>
      <c r="H111">
        <v>0</v>
      </c>
      <c r="J111">
        <v>0</v>
      </c>
      <c r="K111" s="14">
        <v>0</v>
      </c>
      <c r="L111">
        <v>0</v>
      </c>
      <c r="M111">
        <v>0</v>
      </c>
      <c r="N111">
        <v>0</v>
      </c>
      <c r="O111" s="20"/>
      <c r="P111" s="20"/>
      <c r="Q111" s="438"/>
      <c r="R111" s="197">
        <v>6.531704360902256</v>
      </c>
      <c r="S111" s="197">
        <v>78.227142857142866</v>
      </c>
      <c r="T111" s="197">
        <v>0.5825685654008439</v>
      </c>
      <c r="U111" s="197">
        <v>0.90789473684210531</v>
      </c>
      <c r="V111" s="20">
        <f t="shared" ref="V111:Y116" si="132">IF(K111&gt;0,((E111-K111)*$Q111*$R111*10)+(K111*$O$12*$Q111*$R111*10),(E111*$Q111*$R111*10))</f>
        <v>0</v>
      </c>
      <c r="W111" s="20">
        <f t="shared" si="132"/>
        <v>0</v>
      </c>
      <c r="X111" s="20">
        <f t="shared" si="132"/>
        <v>0</v>
      </c>
      <c r="Y111" s="20">
        <f t="shared" si="132"/>
        <v>0</v>
      </c>
      <c r="Z111" s="20">
        <f t="shared" ref="Z111:AC116" si="133">V111*(EXP(1.01-0.34*LN(Z$8))*(1-$T111)+(1*$T111))</f>
        <v>0</v>
      </c>
      <c r="AA111" s="20">
        <f t="shared" si="133"/>
        <v>0</v>
      </c>
      <c r="AB111" s="20">
        <f t="shared" si="133"/>
        <v>0</v>
      </c>
      <c r="AC111" s="20">
        <f t="shared" si="133"/>
        <v>0</v>
      </c>
      <c r="AD111" s="20">
        <f t="shared" ref="AD111:AD116" si="134">SUM(Z111:AC111)</f>
        <v>0</v>
      </c>
      <c r="AE111" s="20">
        <f t="shared" ref="AE111:AH116" si="135">IF(K111&gt;0,((E111-K111)*$Q111*$S111*10)+(K111*$P$12*$Q111*$S111)*10,(E111*$Q111*$S111*10))</f>
        <v>0</v>
      </c>
      <c r="AF111" s="20">
        <f t="shared" si="135"/>
        <v>0</v>
      </c>
      <c r="AG111" s="20">
        <f t="shared" si="135"/>
        <v>0</v>
      </c>
      <c r="AH111" s="20">
        <f t="shared" si="135"/>
        <v>0</v>
      </c>
      <c r="AI111" s="20">
        <f t="shared" ref="AI111:AI116" si="136">AE111*(EXP(1.01-0.34*LN(AI$8))*(1-$U111)+(1*$U111))</f>
        <v>0</v>
      </c>
      <c r="AJ111" s="20">
        <f t="shared" ref="AJ111:AL116" si="137">AF111*(EXP(1.01-0.34*LN(AJ$8))*(1-$T111)+(1*$T111))</f>
        <v>0</v>
      </c>
      <c r="AK111" s="20">
        <f t="shared" si="137"/>
        <v>0</v>
      </c>
      <c r="AL111" s="20">
        <f t="shared" si="137"/>
        <v>0</v>
      </c>
      <c r="AM111" s="20">
        <f t="shared" ref="AM111:AM116" si="138">SUM(AI111:AL111)</f>
        <v>0</v>
      </c>
      <c r="AO111">
        <f t="shared" ref="AO111:AR116" si="139">Z111*AO$10</f>
        <v>0</v>
      </c>
      <c r="AP111">
        <f t="shared" si="139"/>
        <v>0</v>
      </c>
      <c r="AQ111">
        <f t="shared" si="139"/>
        <v>0</v>
      </c>
      <c r="AR111">
        <f t="shared" si="139"/>
        <v>0</v>
      </c>
      <c r="AS111">
        <f t="shared" ref="AS111:AS116" si="140">SUM(AO111:AR111)</f>
        <v>0</v>
      </c>
      <c r="AU111">
        <f t="shared" ref="AU111:AX116" si="141">AI111*AU$10</f>
        <v>0</v>
      </c>
      <c r="AV111">
        <f t="shared" si="141"/>
        <v>0</v>
      </c>
      <c r="AW111">
        <f t="shared" si="141"/>
        <v>0</v>
      </c>
      <c r="AX111">
        <f t="shared" si="141"/>
        <v>0</v>
      </c>
      <c r="AY111">
        <f t="shared" ref="AY111:AY116" si="142">SUM(AU111:AX111)</f>
        <v>0</v>
      </c>
    </row>
    <row r="112" spans="1:53" ht="15" x14ac:dyDescent="0.25">
      <c r="A112" s="1"/>
      <c r="B112" s="2"/>
      <c r="C112" s="1" t="s">
        <v>9</v>
      </c>
      <c r="D112">
        <v>0</v>
      </c>
      <c r="E112" s="360"/>
      <c r="F112">
        <v>0</v>
      </c>
      <c r="G112">
        <v>0</v>
      </c>
      <c r="H112">
        <v>0</v>
      </c>
      <c r="J112">
        <v>0</v>
      </c>
      <c r="K112" s="14">
        <v>0</v>
      </c>
      <c r="L112">
        <v>0</v>
      </c>
      <c r="M112">
        <v>0</v>
      </c>
      <c r="N112">
        <v>0</v>
      </c>
      <c r="O112" s="20"/>
      <c r="P112" s="20"/>
      <c r="Q112" s="438"/>
      <c r="R112" s="197">
        <v>6.531704360902256</v>
      </c>
      <c r="S112" s="197">
        <v>78.227142857142866</v>
      </c>
      <c r="T112" s="197">
        <v>0.5825685654008439</v>
      </c>
      <c r="U112" s="197">
        <v>0.90789473684210531</v>
      </c>
      <c r="V112" s="20">
        <f t="shared" si="132"/>
        <v>0</v>
      </c>
      <c r="W112" s="20">
        <f t="shared" si="132"/>
        <v>0</v>
      </c>
      <c r="X112" s="20">
        <f t="shared" si="132"/>
        <v>0</v>
      </c>
      <c r="Y112" s="20">
        <f t="shared" si="132"/>
        <v>0</v>
      </c>
      <c r="Z112" s="20">
        <f t="shared" si="133"/>
        <v>0</v>
      </c>
      <c r="AA112" s="20">
        <f t="shared" si="133"/>
        <v>0</v>
      </c>
      <c r="AB112" s="20">
        <f t="shared" si="133"/>
        <v>0</v>
      </c>
      <c r="AC112" s="20">
        <f t="shared" si="133"/>
        <v>0</v>
      </c>
      <c r="AD112" s="20">
        <f t="shared" si="134"/>
        <v>0</v>
      </c>
      <c r="AE112" s="20">
        <f t="shared" si="135"/>
        <v>0</v>
      </c>
      <c r="AF112" s="20">
        <f t="shared" si="135"/>
        <v>0</v>
      </c>
      <c r="AG112" s="20">
        <f t="shared" si="135"/>
        <v>0</v>
      </c>
      <c r="AH112" s="20">
        <f t="shared" si="135"/>
        <v>0</v>
      </c>
      <c r="AI112" s="20">
        <f t="shared" si="136"/>
        <v>0</v>
      </c>
      <c r="AJ112" s="20">
        <f t="shared" si="137"/>
        <v>0</v>
      </c>
      <c r="AK112" s="20">
        <f t="shared" si="137"/>
        <v>0</v>
      </c>
      <c r="AL112" s="20">
        <f t="shared" si="137"/>
        <v>0</v>
      </c>
      <c r="AM112" s="20">
        <f t="shared" si="138"/>
        <v>0</v>
      </c>
      <c r="AO112">
        <f t="shared" si="139"/>
        <v>0</v>
      </c>
      <c r="AP112">
        <f t="shared" si="139"/>
        <v>0</v>
      </c>
      <c r="AQ112">
        <f t="shared" si="139"/>
        <v>0</v>
      </c>
      <c r="AR112">
        <f t="shared" si="139"/>
        <v>0</v>
      </c>
      <c r="AS112">
        <f t="shared" si="140"/>
        <v>0</v>
      </c>
      <c r="AU112">
        <f t="shared" si="141"/>
        <v>0</v>
      </c>
      <c r="AV112">
        <f t="shared" si="141"/>
        <v>0</v>
      </c>
      <c r="AW112">
        <f t="shared" si="141"/>
        <v>0</v>
      </c>
      <c r="AX112">
        <f t="shared" si="141"/>
        <v>0</v>
      </c>
      <c r="AY112">
        <f t="shared" si="142"/>
        <v>0</v>
      </c>
    </row>
    <row r="113" spans="1:53" ht="15" x14ac:dyDescent="0.25">
      <c r="A113" s="1"/>
      <c r="B113" s="2"/>
      <c r="C113" s="1" t="s">
        <v>10</v>
      </c>
      <c r="D113">
        <v>0</v>
      </c>
      <c r="E113" s="360"/>
      <c r="F113">
        <v>0</v>
      </c>
      <c r="G113">
        <v>0</v>
      </c>
      <c r="H113">
        <v>0</v>
      </c>
      <c r="J113">
        <v>0</v>
      </c>
      <c r="K113" s="14">
        <v>0</v>
      </c>
      <c r="L113">
        <v>0</v>
      </c>
      <c r="M113">
        <v>0</v>
      </c>
      <c r="N113">
        <v>0</v>
      </c>
      <c r="O113" s="20"/>
      <c r="P113" s="20"/>
      <c r="Q113" s="438"/>
      <c r="R113" s="197">
        <v>6.531704360902256</v>
      </c>
      <c r="S113" s="197">
        <v>78.227142857142866</v>
      </c>
      <c r="T113" s="197">
        <v>0.5825685654008439</v>
      </c>
      <c r="U113" s="197">
        <v>0.90789473684210531</v>
      </c>
      <c r="V113" s="20">
        <f t="shared" si="132"/>
        <v>0</v>
      </c>
      <c r="W113" s="20">
        <f t="shared" si="132"/>
        <v>0</v>
      </c>
      <c r="X113" s="20">
        <f t="shared" si="132"/>
        <v>0</v>
      </c>
      <c r="Y113" s="20">
        <f t="shared" si="132"/>
        <v>0</v>
      </c>
      <c r="Z113" s="20">
        <f t="shared" si="133"/>
        <v>0</v>
      </c>
      <c r="AA113" s="20">
        <f t="shared" si="133"/>
        <v>0</v>
      </c>
      <c r="AB113" s="20">
        <f t="shared" si="133"/>
        <v>0</v>
      </c>
      <c r="AC113" s="20">
        <f t="shared" si="133"/>
        <v>0</v>
      </c>
      <c r="AD113" s="20">
        <f t="shared" si="134"/>
        <v>0</v>
      </c>
      <c r="AE113" s="20">
        <f t="shared" si="135"/>
        <v>0</v>
      </c>
      <c r="AF113" s="20">
        <f t="shared" si="135"/>
        <v>0</v>
      </c>
      <c r="AG113" s="20">
        <f t="shared" si="135"/>
        <v>0</v>
      </c>
      <c r="AH113" s="20">
        <f t="shared" si="135"/>
        <v>0</v>
      </c>
      <c r="AI113" s="20">
        <f t="shared" si="136"/>
        <v>0</v>
      </c>
      <c r="AJ113" s="20">
        <f t="shared" si="137"/>
        <v>0</v>
      </c>
      <c r="AK113" s="20">
        <f t="shared" si="137"/>
        <v>0</v>
      </c>
      <c r="AL113" s="20">
        <f t="shared" si="137"/>
        <v>0</v>
      </c>
      <c r="AM113" s="20">
        <f t="shared" si="138"/>
        <v>0</v>
      </c>
      <c r="AO113">
        <f t="shared" si="139"/>
        <v>0</v>
      </c>
      <c r="AP113">
        <f t="shared" si="139"/>
        <v>0</v>
      </c>
      <c r="AQ113">
        <f t="shared" si="139"/>
        <v>0</v>
      </c>
      <c r="AR113">
        <f t="shared" si="139"/>
        <v>0</v>
      </c>
      <c r="AS113">
        <f t="shared" si="140"/>
        <v>0</v>
      </c>
      <c r="AU113">
        <f t="shared" si="141"/>
        <v>0</v>
      </c>
      <c r="AV113">
        <f t="shared" si="141"/>
        <v>0</v>
      </c>
      <c r="AW113">
        <f t="shared" si="141"/>
        <v>0</v>
      </c>
      <c r="AX113">
        <f t="shared" si="141"/>
        <v>0</v>
      </c>
      <c r="AY113">
        <f t="shared" si="142"/>
        <v>0</v>
      </c>
    </row>
    <row r="114" spans="1:53" ht="15" x14ac:dyDescent="0.25">
      <c r="A114" s="1"/>
      <c r="B114" s="2"/>
      <c r="C114" s="1" t="s">
        <v>11</v>
      </c>
      <c r="D114">
        <v>0</v>
      </c>
      <c r="E114" s="360"/>
      <c r="F114">
        <v>0</v>
      </c>
      <c r="G114">
        <v>0</v>
      </c>
      <c r="H114">
        <v>0</v>
      </c>
      <c r="J114">
        <v>0</v>
      </c>
      <c r="K114" s="14">
        <v>0</v>
      </c>
      <c r="L114">
        <v>0</v>
      </c>
      <c r="M114">
        <v>0</v>
      </c>
      <c r="N114">
        <v>0</v>
      </c>
      <c r="O114" s="20"/>
      <c r="P114" s="20"/>
      <c r="Q114" s="438"/>
      <c r="R114" s="197">
        <v>6.531704360902256</v>
      </c>
      <c r="S114" s="197">
        <v>78.227142857142866</v>
      </c>
      <c r="T114" s="197">
        <v>0.5825685654008439</v>
      </c>
      <c r="U114" s="197">
        <v>0.90789473684210531</v>
      </c>
      <c r="V114" s="20">
        <f t="shared" si="132"/>
        <v>0</v>
      </c>
      <c r="W114" s="20">
        <f t="shared" si="132"/>
        <v>0</v>
      </c>
      <c r="X114" s="20">
        <f t="shared" si="132"/>
        <v>0</v>
      </c>
      <c r="Y114" s="20">
        <f t="shared" si="132"/>
        <v>0</v>
      </c>
      <c r="Z114" s="20">
        <f t="shared" si="133"/>
        <v>0</v>
      </c>
      <c r="AA114" s="20">
        <f t="shared" si="133"/>
        <v>0</v>
      </c>
      <c r="AB114" s="20">
        <f t="shared" si="133"/>
        <v>0</v>
      </c>
      <c r="AC114" s="20">
        <f t="shared" si="133"/>
        <v>0</v>
      </c>
      <c r="AD114" s="20">
        <f t="shared" si="134"/>
        <v>0</v>
      </c>
      <c r="AE114" s="20">
        <f t="shared" si="135"/>
        <v>0</v>
      </c>
      <c r="AF114" s="20">
        <f t="shared" si="135"/>
        <v>0</v>
      </c>
      <c r="AG114" s="20">
        <f t="shared" si="135"/>
        <v>0</v>
      </c>
      <c r="AH114" s="20">
        <f t="shared" si="135"/>
        <v>0</v>
      </c>
      <c r="AI114" s="20">
        <f t="shared" si="136"/>
        <v>0</v>
      </c>
      <c r="AJ114" s="20">
        <f t="shared" si="137"/>
        <v>0</v>
      </c>
      <c r="AK114" s="20">
        <f t="shared" si="137"/>
        <v>0</v>
      </c>
      <c r="AL114" s="20">
        <f t="shared" si="137"/>
        <v>0</v>
      </c>
      <c r="AM114" s="20">
        <f t="shared" si="138"/>
        <v>0</v>
      </c>
      <c r="AO114">
        <f t="shared" si="139"/>
        <v>0</v>
      </c>
      <c r="AP114">
        <f t="shared" si="139"/>
        <v>0</v>
      </c>
      <c r="AQ114">
        <f t="shared" si="139"/>
        <v>0</v>
      </c>
      <c r="AR114">
        <f t="shared" si="139"/>
        <v>0</v>
      </c>
      <c r="AS114">
        <f t="shared" si="140"/>
        <v>0</v>
      </c>
      <c r="AU114">
        <f t="shared" si="141"/>
        <v>0</v>
      </c>
      <c r="AV114">
        <f t="shared" si="141"/>
        <v>0</v>
      </c>
      <c r="AW114">
        <f t="shared" si="141"/>
        <v>0</v>
      </c>
      <c r="AX114">
        <f t="shared" si="141"/>
        <v>0</v>
      </c>
      <c r="AY114">
        <f t="shared" si="142"/>
        <v>0</v>
      </c>
    </row>
    <row r="115" spans="1:53" ht="15" x14ac:dyDescent="0.25">
      <c r="A115" s="1"/>
      <c r="B115" s="2"/>
      <c r="C115" s="1" t="s">
        <v>12</v>
      </c>
      <c r="D115">
        <v>0</v>
      </c>
      <c r="E115" s="360"/>
      <c r="F115">
        <v>0</v>
      </c>
      <c r="G115">
        <v>0</v>
      </c>
      <c r="H115">
        <v>0</v>
      </c>
      <c r="J115">
        <v>0</v>
      </c>
      <c r="K115" s="14">
        <v>0</v>
      </c>
      <c r="L115">
        <v>0</v>
      </c>
      <c r="M115">
        <v>0</v>
      </c>
      <c r="N115">
        <v>0</v>
      </c>
      <c r="O115" s="20"/>
      <c r="P115" s="20"/>
      <c r="Q115" s="438"/>
      <c r="R115" s="197">
        <v>6.531704360902256</v>
      </c>
      <c r="S115" s="197">
        <v>78.227142857142866</v>
      </c>
      <c r="T115" s="197">
        <v>0.5825685654008439</v>
      </c>
      <c r="U115" s="197">
        <v>0.90789473684210531</v>
      </c>
      <c r="V115" s="20">
        <f t="shared" si="132"/>
        <v>0</v>
      </c>
      <c r="W115" s="20">
        <f t="shared" si="132"/>
        <v>0</v>
      </c>
      <c r="X115" s="20">
        <f t="shared" si="132"/>
        <v>0</v>
      </c>
      <c r="Y115" s="20">
        <f t="shared" si="132"/>
        <v>0</v>
      </c>
      <c r="Z115" s="20">
        <f t="shared" si="133"/>
        <v>0</v>
      </c>
      <c r="AA115" s="20">
        <f t="shared" si="133"/>
        <v>0</v>
      </c>
      <c r="AB115" s="20">
        <f t="shared" si="133"/>
        <v>0</v>
      </c>
      <c r="AC115" s="20">
        <f t="shared" si="133"/>
        <v>0</v>
      </c>
      <c r="AD115" s="20">
        <f t="shared" si="134"/>
        <v>0</v>
      </c>
      <c r="AE115" s="20">
        <f t="shared" si="135"/>
        <v>0</v>
      </c>
      <c r="AF115" s="20">
        <f t="shared" si="135"/>
        <v>0</v>
      </c>
      <c r="AG115" s="20">
        <f t="shared" si="135"/>
        <v>0</v>
      </c>
      <c r="AH115" s="20">
        <f t="shared" si="135"/>
        <v>0</v>
      </c>
      <c r="AI115" s="20">
        <f t="shared" si="136"/>
        <v>0</v>
      </c>
      <c r="AJ115" s="20">
        <f t="shared" si="137"/>
        <v>0</v>
      </c>
      <c r="AK115" s="20">
        <f t="shared" si="137"/>
        <v>0</v>
      </c>
      <c r="AL115" s="20">
        <f t="shared" si="137"/>
        <v>0</v>
      </c>
      <c r="AM115" s="20">
        <f t="shared" si="138"/>
        <v>0</v>
      </c>
      <c r="AO115">
        <f t="shared" si="139"/>
        <v>0</v>
      </c>
      <c r="AP115">
        <f t="shared" si="139"/>
        <v>0</v>
      </c>
      <c r="AQ115">
        <f t="shared" si="139"/>
        <v>0</v>
      </c>
      <c r="AR115">
        <f t="shared" si="139"/>
        <v>0</v>
      </c>
      <c r="AS115">
        <f t="shared" si="140"/>
        <v>0</v>
      </c>
      <c r="AU115">
        <f t="shared" si="141"/>
        <v>0</v>
      </c>
      <c r="AV115">
        <f t="shared" si="141"/>
        <v>0</v>
      </c>
      <c r="AW115">
        <f t="shared" si="141"/>
        <v>0</v>
      </c>
      <c r="AX115">
        <f t="shared" si="141"/>
        <v>0</v>
      </c>
      <c r="AY115">
        <f t="shared" si="142"/>
        <v>0</v>
      </c>
    </row>
    <row r="116" spans="1:53" ht="15" x14ac:dyDescent="0.25">
      <c r="A116" s="1"/>
      <c r="B116" s="2"/>
      <c r="C116" s="1" t="s">
        <v>13</v>
      </c>
      <c r="D116">
        <v>0</v>
      </c>
      <c r="E116" s="360"/>
      <c r="F116">
        <v>0</v>
      </c>
      <c r="G116">
        <v>0</v>
      </c>
      <c r="H116">
        <v>0</v>
      </c>
      <c r="J116">
        <v>0</v>
      </c>
      <c r="K116" s="14">
        <v>0</v>
      </c>
      <c r="L116">
        <v>0</v>
      </c>
      <c r="M116">
        <v>0</v>
      </c>
      <c r="N116">
        <v>0</v>
      </c>
      <c r="O116" s="20"/>
      <c r="P116" s="20"/>
      <c r="Q116" s="438"/>
      <c r="R116" s="197">
        <v>6.531704360902256</v>
      </c>
      <c r="S116" s="197">
        <v>78.227142857142866</v>
      </c>
      <c r="T116" s="197">
        <v>0.5825685654008439</v>
      </c>
      <c r="U116" s="197">
        <v>0.90789473684210531</v>
      </c>
      <c r="V116" s="20">
        <f t="shared" si="132"/>
        <v>0</v>
      </c>
      <c r="W116" s="20">
        <f t="shared" si="132"/>
        <v>0</v>
      </c>
      <c r="X116" s="20">
        <f t="shared" si="132"/>
        <v>0</v>
      </c>
      <c r="Y116" s="20">
        <f t="shared" si="132"/>
        <v>0</v>
      </c>
      <c r="Z116" s="20">
        <f t="shared" si="133"/>
        <v>0</v>
      </c>
      <c r="AA116" s="20">
        <f t="shared" si="133"/>
        <v>0</v>
      </c>
      <c r="AB116" s="20">
        <f t="shared" si="133"/>
        <v>0</v>
      </c>
      <c r="AC116" s="20">
        <f t="shared" si="133"/>
        <v>0</v>
      </c>
      <c r="AD116" s="20">
        <f t="shared" si="134"/>
        <v>0</v>
      </c>
      <c r="AE116" s="20">
        <f t="shared" si="135"/>
        <v>0</v>
      </c>
      <c r="AF116" s="20">
        <f t="shared" si="135"/>
        <v>0</v>
      </c>
      <c r="AG116" s="20">
        <f t="shared" si="135"/>
        <v>0</v>
      </c>
      <c r="AH116" s="20">
        <f t="shared" si="135"/>
        <v>0</v>
      </c>
      <c r="AI116" s="20">
        <f t="shared" si="136"/>
        <v>0</v>
      </c>
      <c r="AJ116" s="20">
        <f t="shared" si="137"/>
        <v>0</v>
      </c>
      <c r="AK116" s="20">
        <f t="shared" si="137"/>
        <v>0</v>
      </c>
      <c r="AL116" s="20">
        <f t="shared" si="137"/>
        <v>0</v>
      </c>
      <c r="AM116" s="20">
        <f t="shared" si="138"/>
        <v>0</v>
      </c>
      <c r="AO116">
        <f t="shared" si="139"/>
        <v>0</v>
      </c>
      <c r="AP116">
        <f t="shared" si="139"/>
        <v>0</v>
      </c>
      <c r="AQ116">
        <f t="shared" si="139"/>
        <v>0</v>
      </c>
      <c r="AR116">
        <f t="shared" si="139"/>
        <v>0</v>
      </c>
      <c r="AS116">
        <f t="shared" si="140"/>
        <v>0</v>
      </c>
      <c r="AU116">
        <f t="shared" si="141"/>
        <v>0</v>
      </c>
      <c r="AV116">
        <f t="shared" si="141"/>
        <v>0</v>
      </c>
      <c r="AW116">
        <f t="shared" si="141"/>
        <v>0</v>
      </c>
      <c r="AX116">
        <f t="shared" si="141"/>
        <v>0</v>
      </c>
      <c r="AY116">
        <f t="shared" si="142"/>
        <v>0</v>
      </c>
    </row>
    <row r="117" spans="1:53" ht="15" x14ac:dyDescent="0.25">
      <c r="A117" s="7"/>
      <c r="B117" s="8" t="s">
        <v>14</v>
      </c>
      <c r="C117" s="7"/>
      <c r="D117" s="357">
        <f t="shared" ref="D117:H117" si="143">SUM(D111:D116)</f>
        <v>0</v>
      </c>
      <c r="E117" s="363">
        <f>SUM(E111:E116)</f>
        <v>0</v>
      </c>
      <c r="F117" s="357">
        <f t="shared" si="143"/>
        <v>0</v>
      </c>
      <c r="G117" s="357">
        <f t="shared" si="143"/>
        <v>0</v>
      </c>
      <c r="H117" s="357">
        <f t="shared" si="143"/>
        <v>0</v>
      </c>
      <c r="J117">
        <v>0</v>
      </c>
      <c r="K117" s="14">
        <v>0</v>
      </c>
      <c r="L117">
        <v>0</v>
      </c>
      <c r="M117">
        <v>0</v>
      </c>
      <c r="N117">
        <v>0</v>
      </c>
      <c r="O117" s="20"/>
      <c r="P117" s="20"/>
      <c r="Q117" s="438"/>
      <c r="R117" s="197"/>
      <c r="S117" s="197"/>
      <c r="T117" s="197"/>
      <c r="U117" s="197"/>
      <c r="BA117" s="319">
        <f>(E117*10000*Q117*AU$10)</f>
        <v>0</v>
      </c>
    </row>
    <row r="118" spans="1:53" ht="15" x14ac:dyDescent="0.25">
      <c r="A118" s="10"/>
      <c r="B118" s="9" t="s">
        <v>15</v>
      </c>
      <c r="C118" s="5"/>
      <c r="E118" s="363">
        <f>SUM(E117)</f>
        <v>0</v>
      </c>
      <c r="H118" s="358">
        <f>SUM(D117:H117)</f>
        <v>0</v>
      </c>
      <c r="K118" s="14"/>
      <c r="N118">
        <v>0</v>
      </c>
      <c r="O118" s="20"/>
      <c r="P118" s="20"/>
      <c r="Q118" s="438"/>
      <c r="R118" s="197"/>
      <c r="S118" s="197"/>
      <c r="T118" s="197"/>
      <c r="U118" s="197"/>
    </row>
    <row r="119" spans="1:53" ht="15.75" x14ac:dyDescent="0.25">
      <c r="A119" s="1"/>
      <c r="B119" s="2"/>
      <c r="C119" s="1"/>
      <c r="E119" s="361"/>
      <c r="K119" s="14"/>
      <c r="O119" s="20"/>
      <c r="P119" s="20"/>
      <c r="Q119" s="439"/>
      <c r="R119" s="197"/>
      <c r="S119" s="197"/>
      <c r="T119" s="197"/>
      <c r="U119" s="197"/>
    </row>
    <row r="120" spans="1:53" ht="15" x14ac:dyDescent="0.25">
      <c r="A120" s="1">
        <v>13</v>
      </c>
      <c r="B120" s="2" t="s">
        <v>27</v>
      </c>
      <c r="C120" s="1" t="s">
        <v>8</v>
      </c>
      <c r="D120">
        <v>0</v>
      </c>
      <c r="E120" s="360">
        <v>6.2455999999999996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 s="20"/>
      <c r="P120" s="20"/>
      <c r="Q120" s="438">
        <v>4.1983883832383814E-2</v>
      </c>
      <c r="R120" s="197">
        <v>0.49226666666666663</v>
      </c>
      <c r="S120" s="197">
        <v>2.8337500000000002</v>
      </c>
      <c r="T120" s="197">
        <v>0.68718466195761863</v>
      </c>
      <c r="U120" s="197">
        <v>0.90789473684210531</v>
      </c>
      <c r="V120" s="20">
        <f t="shared" ref="V120:Y125" si="144">IF(K120&gt;0,((E120-K120)*$Q120*$R120*10)+(K120*$O$12*$Q120*$R120*10),(E120*$Q120*$R120*10))</f>
        <v>1.2907947995149016</v>
      </c>
      <c r="W120" s="20">
        <f t="shared" si="144"/>
        <v>0</v>
      </c>
      <c r="X120" s="20">
        <f t="shared" si="144"/>
        <v>0</v>
      </c>
      <c r="Y120" s="20">
        <f t="shared" si="144"/>
        <v>0</v>
      </c>
      <c r="Z120" s="20">
        <f t="shared" ref="Z120:AC125" si="145">V120*(EXP(1.01-0.34*LN(Z$8))*(1-$T120)+(1*$T120))</f>
        <v>0.96070542713663187</v>
      </c>
      <c r="AA120" s="20">
        <f t="shared" si="145"/>
        <v>0</v>
      </c>
      <c r="AB120" s="20">
        <f t="shared" si="145"/>
        <v>0</v>
      </c>
      <c r="AC120" s="20">
        <f t="shared" si="145"/>
        <v>0</v>
      </c>
      <c r="AD120" s="20">
        <f t="shared" ref="AD120:AD125" si="146">SUM(Z120:AC120)</f>
        <v>0.96070542713663187</v>
      </c>
      <c r="AE120" s="20">
        <f t="shared" ref="AE120:AH125" si="147">IF(K120&gt;0,((E120-K120)*$Q120*$S120*10)+(K120*$P$12*$Q120*$S120)*10,(E120*$Q120*$S120*10))</f>
        <v>7.4305046650704618</v>
      </c>
      <c r="AF120" s="20">
        <f t="shared" si="147"/>
        <v>0</v>
      </c>
      <c r="AG120" s="20">
        <f t="shared" si="147"/>
        <v>0</v>
      </c>
      <c r="AH120" s="20">
        <f t="shared" si="147"/>
        <v>0</v>
      </c>
      <c r="AI120" s="20">
        <f t="shared" ref="AI120:AI125" si="148">AE120*(EXP(1.01-0.34*LN(AI$8))*(1-$U120)+(1*$U120))</f>
        <v>6.8710188830203469</v>
      </c>
      <c r="AJ120" s="20">
        <f t="shared" ref="AJ120:AL125" si="149">AF120*(EXP(1.01-0.34*LN(AJ$8))*(1-$T120)+(1*$T120))</f>
        <v>0</v>
      </c>
      <c r="AK120" s="20">
        <f t="shared" si="149"/>
        <v>0</v>
      </c>
      <c r="AL120" s="20">
        <f t="shared" si="149"/>
        <v>0</v>
      </c>
      <c r="AM120" s="20">
        <f t="shared" ref="AM120:AM125" si="150">SUM(AI120:AL120)</f>
        <v>6.8710188830203469</v>
      </c>
      <c r="AO120">
        <f t="shared" ref="AO120:AR125" si="151">Z120*AO$10</f>
        <v>1.0681122938905072</v>
      </c>
      <c r="AP120">
        <f t="shared" si="151"/>
        <v>0</v>
      </c>
      <c r="AQ120">
        <f t="shared" si="151"/>
        <v>0</v>
      </c>
      <c r="AR120">
        <f t="shared" si="151"/>
        <v>0</v>
      </c>
      <c r="AS120">
        <f t="shared" ref="AS120:AS125" si="152">SUM(AO120:AR120)</f>
        <v>1.0681122938905072</v>
      </c>
      <c r="AU120">
        <f t="shared" ref="AU120:AX125" si="153">AI120*AU$10</f>
        <v>7.639198794142021</v>
      </c>
      <c r="AV120">
        <f t="shared" si="153"/>
        <v>0</v>
      </c>
      <c r="AW120">
        <f t="shared" si="153"/>
        <v>0</v>
      </c>
      <c r="AX120">
        <f t="shared" si="153"/>
        <v>0</v>
      </c>
      <c r="AY120">
        <f t="shared" ref="AY120:AY125" si="154">SUM(AU120:AX120)</f>
        <v>7.639198794142021</v>
      </c>
    </row>
    <row r="121" spans="1:53" ht="15" x14ac:dyDescent="0.25">
      <c r="A121" s="1"/>
      <c r="B121" s="2"/>
      <c r="C121" s="1" t="s">
        <v>9</v>
      </c>
      <c r="D121">
        <v>0</v>
      </c>
      <c r="E121" s="360">
        <v>0.30580000000000002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20"/>
      <c r="P121" s="20"/>
      <c r="Q121" s="438">
        <v>7.4967767664767634E-2</v>
      </c>
      <c r="R121" s="197">
        <v>0.49226666666666663</v>
      </c>
      <c r="S121" s="197">
        <v>2.8337500000000002</v>
      </c>
      <c r="T121" s="197">
        <v>0.68718466195761863</v>
      </c>
      <c r="U121" s="197">
        <v>0.90789473684210531</v>
      </c>
      <c r="V121" s="20">
        <f t="shared" si="144"/>
        <v>0.11285283900688385</v>
      </c>
      <c r="W121" s="20">
        <f t="shared" si="144"/>
        <v>0</v>
      </c>
      <c r="X121" s="20">
        <f t="shared" si="144"/>
        <v>0</v>
      </c>
      <c r="Y121" s="20">
        <f t="shared" si="144"/>
        <v>0</v>
      </c>
      <c r="Z121" s="20">
        <f t="shared" si="145"/>
        <v>8.3993470489991909E-2</v>
      </c>
      <c r="AA121" s="20">
        <f t="shared" si="145"/>
        <v>0</v>
      </c>
      <c r="AB121" s="20">
        <f t="shared" si="145"/>
        <v>0</v>
      </c>
      <c r="AC121" s="20">
        <f t="shared" si="145"/>
        <v>0</v>
      </c>
      <c r="AD121" s="20">
        <f t="shared" si="146"/>
        <v>8.3993470489991909E-2</v>
      </c>
      <c r="AE121" s="20">
        <f t="shared" si="147"/>
        <v>0.649641249734068</v>
      </c>
      <c r="AF121" s="20">
        <f t="shared" si="147"/>
        <v>0</v>
      </c>
      <c r="AG121" s="20">
        <f t="shared" si="147"/>
        <v>0</v>
      </c>
      <c r="AH121" s="20">
        <f t="shared" si="147"/>
        <v>0</v>
      </c>
      <c r="AI121" s="20">
        <f t="shared" si="148"/>
        <v>0.6007259930936858</v>
      </c>
      <c r="AJ121" s="20">
        <f t="shared" si="149"/>
        <v>0</v>
      </c>
      <c r="AK121" s="20">
        <f t="shared" si="149"/>
        <v>0</v>
      </c>
      <c r="AL121" s="20">
        <f t="shared" si="149"/>
        <v>0</v>
      </c>
      <c r="AM121" s="20">
        <f t="shared" si="150"/>
        <v>0.6007259930936858</v>
      </c>
      <c r="AO121">
        <f t="shared" si="151"/>
        <v>9.338394049077299E-2</v>
      </c>
      <c r="AP121">
        <f t="shared" si="151"/>
        <v>0</v>
      </c>
      <c r="AQ121">
        <f t="shared" si="151"/>
        <v>0</v>
      </c>
      <c r="AR121">
        <f t="shared" si="151"/>
        <v>0</v>
      </c>
      <c r="AS121">
        <f t="shared" si="152"/>
        <v>9.338394049077299E-2</v>
      </c>
      <c r="AU121">
        <f t="shared" si="153"/>
        <v>0.66788715912155983</v>
      </c>
      <c r="AV121">
        <f t="shared" si="153"/>
        <v>0</v>
      </c>
      <c r="AW121">
        <f t="shared" si="153"/>
        <v>0</v>
      </c>
      <c r="AX121">
        <f t="shared" si="153"/>
        <v>0</v>
      </c>
      <c r="AY121">
        <f t="shared" si="154"/>
        <v>0.66788715912155983</v>
      </c>
    </row>
    <row r="122" spans="1:53" ht="15" x14ac:dyDescent="0.25">
      <c r="A122" s="1"/>
      <c r="B122" s="2"/>
      <c r="C122" s="1" t="s">
        <v>10</v>
      </c>
      <c r="D122">
        <v>0</v>
      </c>
      <c r="E122" s="360"/>
      <c r="F122">
        <v>0</v>
      </c>
      <c r="G122">
        <v>0</v>
      </c>
      <c r="H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s="20"/>
      <c r="P122" s="20"/>
      <c r="Q122" s="438"/>
      <c r="R122" s="197">
        <v>0.49226666666666663</v>
      </c>
      <c r="S122" s="197">
        <v>2.8337500000000002</v>
      </c>
      <c r="T122" s="197">
        <v>0.68718466195761863</v>
      </c>
      <c r="U122" s="197">
        <v>0.90789473684210531</v>
      </c>
      <c r="V122" s="20">
        <f t="shared" si="144"/>
        <v>0</v>
      </c>
      <c r="W122" s="20">
        <f t="shared" si="144"/>
        <v>0</v>
      </c>
      <c r="X122" s="20">
        <f t="shared" si="144"/>
        <v>0</v>
      </c>
      <c r="Y122" s="20">
        <f t="shared" si="144"/>
        <v>0</v>
      </c>
      <c r="Z122" s="20">
        <f t="shared" si="145"/>
        <v>0</v>
      </c>
      <c r="AA122" s="20">
        <f t="shared" si="145"/>
        <v>0</v>
      </c>
      <c r="AB122" s="20">
        <f t="shared" si="145"/>
        <v>0</v>
      </c>
      <c r="AC122" s="20">
        <f t="shared" si="145"/>
        <v>0</v>
      </c>
      <c r="AD122" s="20">
        <f t="shared" si="146"/>
        <v>0</v>
      </c>
      <c r="AE122" s="20">
        <f t="shared" si="147"/>
        <v>0</v>
      </c>
      <c r="AF122" s="20">
        <f t="shared" si="147"/>
        <v>0</v>
      </c>
      <c r="AG122" s="20">
        <f t="shared" si="147"/>
        <v>0</v>
      </c>
      <c r="AH122" s="20">
        <f t="shared" si="147"/>
        <v>0</v>
      </c>
      <c r="AI122" s="20">
        <f t="shared" si="148"/>
        <v>0</v>
      </c>
      <c r="AJ122" s="20">
        <f t="shared" si="149"/>
        <v>0</v>
      </c>
      <c r="AK122" s="20">
        <f t="shared" si="149"/>
        <v>0</v>
      </c>
      <c r="AL122" s="20">
        <f t="shared" si="149"/>
        <v>0</v>
      </c>
      <c r="AM122" s="20">
        <f t="shared" si="150"/>
        <v>0</v>
      </c>
      <c r="AO122">
        <f t="shared" si="151"/>
        <v>0</v>
      </c>
      <c r="AP122">
        <f t="shared" si="151"/>
        <v>0</v>
      </c>
      <c r="AQ122">
        <f t="shared" si="151"/>
        <v>0</v>
      </c>
      <c r="AR122">
        <f t="shared" si="151"/>
        <v>0</v>
      </c>
      <c r="AS122">
        <f t="shared" si="152"/>
        <v>0</v>
      </c>
      <c r="AU122">
        <f t="shared" si="153"/>
        <v>0</v>
      </c>
      <c r="AV122">
        <f t="shared" si="153"/>
        <v>0</v>
      </c>
      <c r="AW122">
        <f t="shared" si="153"/>
        <v>0</v>
      </c>
      <c r="AX122">
        <f t="shared" si="153"/>
        <v>0</v>
      </c>
      <c r="AY122">
        <f t="shared" si="154"/>
        <v>0</v>
      </c>
    </row>
    <row r="123" spans="1:53" ht="15" x14ac:dyDescent="0.25">
      <c r="A123" s="1"/>
      <c r="B123" s="2"/>
      <c r="C123" s="1" t="s">
        <v>11</v>
      </c>
      <c r="D123">
        <v>0</v>
      </c>
      <c r="E123" s="360">
        <v>1.7323999999999999</v>
      </c>
      <c r="F123">
        <v>0</v>
      </c>
      <c r="G123">
        <v>0</v>
      </c>
      <c r="H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 s="20"/>
      <c r="P123" s="20"/>
      <c r="Q123" s="438">
        <v>0.14093553532953526</v>
      </c>
      <c r="R123" s="197">
        <v>0.49226666666666663</v>
      </c>
      <c r="S123" s="197">
        <v>2.8337500000000002</v>
      </c>
      <c r="T123" s="197">
        <v>0.68718466195761863</v>
      </c>
      <c r="U123" s="197">
        <v>0.90789473684210531</v>
      </c>
      <c r="V123" s="20">
        <f t="shared" si="144"/>
        <v>1.2019021539024564</v>
      </c>
      <c r="W123" s="20">
        <f t="shared" si="144"/>
        <v>0</v>
      </c>
      <c r="X123" s="20">
        <f t="shared" si="144"/>
        <v>0</v>
      </c>
      <c r="Y123" s="20">
        <f t="shared" si="144"/>
        <v>0</v>
      </c>
      <c r="Z123" s="20">
        <f t="shared" si="145"/>
        <v>0.89454491339385589</v>
      </c>
      <c r="AA123" s="20">
        <f t="shared" si="145"/>
        <v>0</v>
      </c>
      <c r="AB123" s="20">
        <f t="shared" si="145"/>
        <v>0</v>
      </c>
      <c r="AC123" s="20">
        <f t="shared" si="145"/>
        <v>0</v>
      </c>
      <c r="AD123" s="20">
        <f t="shared" si="146"/>
        <v>0.89454491339385589</v>
      </c>
      <c r="AE123" s="20">
        <f t="shared" si="147"/>
        <v>6.9187910928109817</v>
      </c>
      <c r="AF123" s="20">
        <f t="shared" si="147"/>
        <v>0</v>
      </c>
      <c r="AG123" s="20">
        <f t="shared" si="147"/>
        <v>0</v>
      </c>
      <c r="AH123" s="20">
        <f t="shared" si="147"/>
        <v>0</v>
      </c>
      <c r="AI123" s="20">
        <f t="shared" si="148"/>
        <v>6.3978351927898878</v>
      </c>
      <c r="AJ123" s="20">
        <f t="shared" si="149"/>
        <v>0</v>
      </c>
      <c r="AK123" s="20">
        <f t="shared" si="149"/>
        <v>0</v>
      </c>
      <c r="AL123" s="20">
        <f t="shared" si="149"/>
        <v>0</v>
      </c>
      <c r="AM123" s="20">
        <f t="shared" si="150"/>
        <v>6.3978351927898878</v>
      </c>
      <c r="AO123">
        <f t="shared" si="151"/>
        <v>0.99455503471128892</v>
      </c>
      <c r="AP123">
        <f t="shared" si="151"/>
        <v>0</v>
      </c>
      <c r="AQ123">
        <f t="shared" si="151"/>
        <v>0</v>
      </c>
      <c r="AR123">
        <f t="shared" si="151"/>
        <v>0</v>
      </c>
      <c r="AS123">
        <f t="shared" si="152"/>
        <v>0.99455503471128892</v>
      </c>
      <c r="AU123">
        <f t="shared" si="153"/>
        <v>7.1131131673437968</v>
      </c>
      <c r="AV123">
        <f t="shared" si="153"/>
        <v>0</v>
      </c>
      <c r="AW123">
        <f t="shared" si="153"/>
        <v>0</v>
      </c>
      <c r="AX123">
        <f t="shared" si="153"/>
        <v>0</v>
      </c>
      <c r="AY123">
        <f t="shared" si="154"/>
        <v>7.1131131673437968</v>
      </c>
    </row>
    <row r="124" spans="1:53" ht="15" x14ac:dyDescent="0.25">
      <c r="A124" s="1"/>
      <c r="B124" s="2"/>
      <c r="C124" s="1" t="s">
        <v>12</v>
      </c>
      <c r="D124">
        <v>0</v>
      </c>
      <c r="E124" s="360"/>
      <c r="F124">
        <v>0</v>
      </c>
      <c r="G124">
        <v>0</v>
      </c>
      <c r="H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 s="20"/>
      <c r="P124" s="20"/>
      <c r="Q124" s="438"/>
      <c r="R124" s="197">
        <v>0.49226666666666663</v>
      </c>
      <c r="S124" s="197">
        <v>2.8337500000000002</v>
      </c>
      <c r="T124" s="197">
        <v>0.68718466195761863</v>
      </c>
      <c r="U124" s="197">
        <v>0.90789473684210531</v>
      </c>
      <c r="V124" s="20">
        <f t="shared" si="144"/>
        <v>0</v>
      </c>
      <c r="W124" s="20">
        <f t="shared" si="144"/>
        <v>0</v>
      </c>
      <c r="X124" s="20">
        <f t="shared" si="144"/>
        <v>0</v>
      </c>
      <c r="Y124" s="20">
        <f t="shared" si="144"/>
        <v>0</v>
      </c>
      <c r="Z124" s="20">
        <f t="shared" si="145"/>
        <v>0</v>
      </c>
      <c r="AA124" s="20">
        <f t="shared" si="145"/>
        <v>0</v>
      </c>
      <c r="AB124" s="20">
        <f t="shared" si="145"/>
        <v>0</v>
      </c>
      <c r="AC124" s="20">
        <f t="shared" si="145"/>
        <v>0</v>
      </c>
      <c r="AD124" s="20">
        <f t="shared" si="146"/>
        <v>0</v>
      </c>
      <c r="AE124" s="20">
        <f t="shared" si="147"/>
        <v>0</v>
      </c>
      <c r="AF124" s="20">
        <f t="shared" si="147"/>
        <v>0</v>
      </c>
      <c r="AG124" s="20">
        <f t="shared" si="147"/>
        <v>0</v>
      </c>
      <c r="AH124" s="20">
        <f t="shared" si="147"/>
        <v>0</v>
      </c>
      <c r="AI124" s="20">
        <f t="shared" si="148"/>
        <v>0</v>
      </c>
      <c r="AJ124" s="20">
        <f t="shared" si="149"/>
        <v>0</v>
      </c>
      <c r="AK124" s="20">
        <f t="shared" si="149"/>
        <v>0</v>
      </c>
      <c r="AL124" s="20">
        <f t="shared" si="149"/>
        <v>0</v>
      </c>
      <c r="AM124" s="20">
        <f t="shared" si="150"/>
        <v>0</v>
      </c>
      <c r="AO124">
        <f t="shared" si="151"/>
        <v>0</v>
      </c>
      <c r="AP124">
        <f t="shared" si="151"/>
        <v>0</v>
      </c>
      <c r="AQ124">
        <f t="shared" si="151"/>
        <v>0</v>
      </c>
      <c r="AR124">
        <f t="shared" si="151"/>
        <v>0</v>
      </c>
      <c r="AS124">
        <f t="shared" si="152"/>
        <v>0</v>
      </c>
      <c r="AU124">
        <f t="shared" si="153"/>
        <v>0</v>
      </c>
      <c r="AV124">
        <f t="shared" si="153"/>
        <v>0</v>
      </c>
      <c r="AW124">
        <f t="shared" si="153"/>
        <v>0</v>
      </c>
      <c r="AX124">
        <f t="shared" si="153"/>
        <v>0</v>
      </c>
      <c r="AY124">
        <f t="shared" si="154"/>
        <v>0</v>
      </c>
    </row>
    <row r="125" spans="1:53" ht="15" x14ac:dyDescent="0.25">
      <c r="A125" s="1"/>
      <c r="B125" s="2"/>
      <c r="C125" s="1" t="s">
        <v>13</v>
      </c>
      <c r="D125">
        <v>0</v>
      </c>
      <c r="E125" s="360"/>
      <c r="F125">
        <v>0</v>
      </c>
      <c r="G125">
        <v>0</v>
      </c>
      <c r="H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20"/>
      <c r="P125" s="20"/>
      <c r="Q125" s="438"/>
      <c r="R125" s="197">
        <v>0.49226666666666663</v>
      </c>
      <c r="S125" s="197">
        <v>2.8337500000000002</v>
      </c>
      <c r="T125" s="197">
        <v>0.68718466195761863</v>
      </c>
      <c r="U125" s="197">
        <v>0.90789473684210531</v>
      </c>
      <c r="V125" s="20">
        <f t="shared" si="144"/>
        <v>0</v>
      </c>
      <c r="W125" s="20">
        <f t="shared" si="144"/>
        <v>0</v>
      </c>
      <c r="X125" s="20">
        <f t="shared" si="144"/>
        <v>0</v>
      </c>
      <c r="Y125" s="20">
        <f t="shared" si="144"/>
        <v>0</v>
      </c>
      <c r="Z125" s="20">
        <f t="shared" si="145"/>
        <v>0</v>
      </c>
      <c r="AA125" s="20">
        <f t="shared" si="145"/>
        <v>0</v>
      </c>
      <c r="AB125" s="20">
        <f t="shared" si="145"/>
        <v>0</v>
      </c>
      <c r="AC125" s="20">
        <f t="shared" si="145"/>
        <v>0</v>
      </c>
      <c r="AD125" s="20">
        <f t="shared" si="146"/>
        <v>0</v>
      </c>
      <c r="AE125" s="20">
        <f t="shared" si="147"/>
        <v>0</v>
      </c>
      <c r="AF125" s="20">
        <f t="shared" si="147"/>
        <v>0</v>
      </c>
      <c r="AG125" s="20">
        <f t="shared" si="147"/>
        <v>0</v>
      </c>
      <c r="AH125" s="20">
        <f t="shared" si="147"/>
        <v>0</v>
      </c>
      <c r="AI125" s="20">
        <f t="shared" si="148"/>
        <v>0</v>
      </c>
      <c r="AJ125" s="20">
        <f t="shared" si="149"/>
        <v>0</v>
      </c>
      <c r="AK125" s="20">
        <f t="shared" si="149"/>
        <v>0</v>
      </c>
      <c r="AL125" s="20">
        <f t="shared" si="149"/>
        <v>0</v>
      </c>
      <c r="AM125" s="20">
        <f t="shared" si="150"/>
        <v>0</v>
      </c>
      <c r="AO125">
        <f t="shared" si="151"/>
        <v>0</v>
      </c>
      <c r="AP125">
        <f t="shared" si="151"/>
        <v>0</v>
      </c>
      <c r="AQ125">
        <f t="shared" si="151"/>
        <v>0</v>
      </c>
      <c r="AR125">
        <f t="shared" si="151"/>
        <v>0</v>
      </c>
      <c r="AS125">
        <f t="shared" si="152"/>
        <v>0</v>
      </c>
      <c r="AU125">
        <f t="shared" si="153"/>
        <v>0</v>
      </c>
      <c r="AV125">
        <f t="shared" si="153"/>
        <v>0</v>
      </c>
      <c r="AW125">
        <f t="shared" si="153"/>
        <v>0</v>
      </c>
      <c r="AX125">
        <f t="shared" si="153"/>
        <v>0</v>
      </c>
      <c r="AY125">
        <f t="shared" si="154"/>
        <v>0</v>
      </c>
    </row>
    <row r="126" spans="1:53" ht="15" x14ac:dyDescent="0.25">
      <c r="A126" s="7"/>
      <c r="B126" s="8" t="s">
        <v>14</v>
      </c>
      <c r="C126" s="7"/>
      <c r="D126" s="357">
        <f t="shared" ref="D126:H126" si="155">SUM(D120:D125)</f>
        <v>0</v>
      </c>
      <c r="E126" s="363">
        <f>SUM(E120:E125)</f>
        <v>8.2837999999999994</v>
      </c>
      <c r="F126" s="357">
        <f t="shared" si="155"/>
        <v>0</v>
      </c>
      <c r="G126" s="357">
        <f t="shared" si="155"/>
        <v>0</v>
      </c>
      <c r="H126" s="357">
        <f t="shared" si="155"/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 s="20"/>
      <c r="P126" s="20"/>
      <c r="Q126" s="438">
        <v>6.3895363193257823E-2</v>
      </c>
      <c r="R126" s="197"/>
      <c r="S126" s="197"/>
      <c r="T126" s="197"/>
      <c r="U126" s="197"/>
      <c r="BA126" s="319">
        <f>(E126*10000*Q126*AU$10)</f>
        <v>5884.7174821585968</v>
      </c>
    </row>
    <row r="127" spans="1:53" ht="15" x14ac:dyDescent="0.25">
      <c r="A127" s="10"/>
      <c r="B127" s="9" t="s">
        <v>15</v>
      </c>
      <c r="C127" s="5"/>
      <c r="E127" s="363">
        <f>SUM(E126)</f>
        <v>8.2837999999999994</v>
      </c>
      <c r="H127" s="358">
        <f>SUM(D126:H126)</f>
        <v>8.2837999999999994</v>
      </c>
      <c r="K127" s="14"/>
      <c r="N127">
        <v>0</v>
      </c>
      <c r="O127" s="20"/>
      <c r="P127" s="20"/>
      <c r="Q127" s="438"/>
      <c r="R127" s="197"/>
      <c r="S127" s="197"/>
      <c r="T127" s="197"/>
      <c r="U127" s="197"/>
    </row>
    <row r="128" spans="1:53" ht="15.75" x14ac:dyDescent="0.25">
      <c r="A128" s="1"/>
      <c r="B128" s="2"/>
      <c r="C128" s="1"/>
      <c r="E128" s="361"/>
      <c r="K128" s="14"/>
      <c r="O128" s="20"/>
      <c r="P128" s="20"/>
      <c r="Q128" s="439"/>
      <c r="R128" s="197"/>
      <c r="S128" s="197"/>
      <c r="T128" s="197"/>
      <c r="U128" s="197"/>
    </row>
    <row r="129" spans="1:53" ht="15" x14ac:dyDescent="0.25">
      <c r="A129" s="1">
        <v>14</v>
      </c>
      <c r="B129" s="2" t="s">
        <v>28</v>
      </c>
      <c r="C129" s="1" t="s">
        <v>8</v>
      </c>
      <c r="D129">
        <v>0</v>
      </c>
      <c r="E129" s="360">
        <v>216.33430000000001</v>
      </c>
      <c r="F129">
        <v>0</v>
      </c>
      <c r="G129">
        <v>0</v>
      </c>
      <c r="H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 s="20"/>
      <c r="P129" s="20"/>
      <c r="Q129" s="438">
        <v>4.1983883832383814E-2</v>
      </c>
      <c r="R129" s="197">
        <v>5.6499999999999995E-2</v>
      </c>
      <c r="S129" s="197">
        <v>1.25</v>
      </c>
      <c r="T129" s="197">
        <v>0.50078889239507718</v>
      </c>
      <c r="U129" s="197">
        <v>0.75268470790377973</v>
      </c>
      <c r="V129" s="20">
        <f t="shared" ref="V129:Y134" si="156">E129*$Q129*$R129*10</f>
        <v>5.1316430778904385</v>
      </c>
      <c r="W129" s="20">
        <f t="shared" si="156"/>
        <v>0</v>
      </c>
      <c r="X129" s="20">
        <f t="shared" si="156"/>
        <v>0</v>
      </c>
      <c r="Y129" s="20">
        <f t="shared" si="156"/>
        <v>0</v>
      </c>
      <c r="Z129" s="20">
        <f t="shared" ref="Z129:AC134" si="157">V129*(EXP(1.01-0.34*LN(Z$8))*(1-$T129)+(1*$T129))</f>
        <v>3.0374005348247288</v>
      </c>
      <c r="AA129" s="20">
        <f t="shared" si="157"/>
        <v>0</v>
      </c>
      <c r="AB129" s="20">
        <f t="shared" si="157"/>
        <v>0</v>
      </c>
      <c r="AC129" s="20">
        <f t="shared" si="157"/>
        <v>0</v>
      </c>
      <c r="AD129" s="20">
        <f t="shared" ref="AD129:AD134" si="158">SUM(Z129:AC129)</f>
        <v>3.0374005348247288</v>
      </c>
      <c r="AE129" s="20">
        <f t="shared" ref="AE129:AH134" si="159">E129*$Q129*$S129*10</f>
        <v>113.53192650200087</v>
      </c>
      <c r="AF129" s="20">
        <f t="shared" si="159"/>
        <v>0</v>
      </c>
      <c r="AG129" s="20">
        <f t="shared" si="159"/>
        <v>0</v>
      </c>
      <c r="AH129" s="20">
        <f t="shared" si="159"/>
        <v>0</v>
      </c>
      <c r="AI129" s="20">
        <f t="shared" ref="AI129:AI134" si="160">AE129*(EXP(1.01-0.34*LN(AI$8))*(1-$U129)+(1*$U129))</f>
        <v>90.57809054279177</v>
      </c>
      <c r="AJ129" s="20">
        <f t="shared" ref="AJ129:AL134" si="161">AF129*(EXP(1.01-0.34*LN(AJ$8))*(1-$T129)+(1*$T129))</f>
        <v>0</v>
      </c>
      <c r="AK129" s="20">
        <f t="shared" si="161"/>
        <v>0</v>
      </c>
      <c r="AL129" s="20">
        <f t="shared" si="161"/>
        <v>0</v>
      </c>
      <c r="AM129" s="20">
        <f t="shared" ref="AM129:AM134" si="162">SUM(AI129:AL129)</f>
        <v>90.57809054279177</v>
      </c>
      <c r="AO129">
        <f t="shared" ref="AO129:AR134" si="163">Z129*AO$10</f>
        <v>3.376981914618133</v>
      </c>
      <c r="AP129">
        <f t="shared" si="163"/>
        <v>0</v>
      </c>
      <c r="AQ129">
        <f t="shared" si="163"/>
        <v>0</v>
      </c>
      <c r="AR129">
        <f t="shared" si="163"/>
        <v>0</v>
      </c>
      <c r="AS129">
        <f t="shared" ref="AS129:AS134" si="164">SUM(AO129:AR129)</f>
        <v>3.376981914618133</v>
      </c>
      <c r="AU129">
        <f t="shared" ref="AU129:AX134" si="165">AI129*AU$10</f>
        <v>100.70472106547588</v>
      </c>
      <c r="AV129">
        <f t="shared" si="165"/>
        <v>0</v>
      </c>
      <c r="AW129">
        <f t="shared" si="165"/>
        <v>0</v>
      </c>
      <c r="AX129">
        <f t="shared" si="165"/>
        <v>0</v>
      </c>
      <c r="AY129">
        <f t="shared" ref="AY129:AY134" si="166">SUM(AU129:AX129)</f>
        <v>100.70472106547588</v>
      </c>
    </row>
    <row r="130" spans="1:53" ht="15" x14ac:dyDescent="0.25">
      <c r="A130" s="1"/>
      <c r="B130" s="2"/>
      <c r="C130" s="1" t="s">
        <v>9</v>
      </c>
      <c r="D130">
        <v>0</v>
      </c>
      <c r="E130" s="360">
        <v>4.1064999999999996</v>
      </c>
      <c r="F130">
        <v>0</v>
      </c>
      <c r="G130">
        <v>0</v>
      </c>
      <c r="H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 s="20"/>
      <c r="P130" s="20"/>
      <c r="Q130" s="438">
        <v>7.4967767664767634E-2</v>
      </c>
      <c r="R130" s="197">
        <v>5.6499999999999995E-2</v>
      </c>
      <c r="S130" s="197">
        <v>1.25</v>
      </c>
      <c r="T130" s="197">
        <v>0.50078889239507718</v>
      </c>
      <c r="U130" s="197">
        <v>0.75268470790377973</v>
      </c>
      <c r="V130" s="20">
        <f t="shared" si="156"/>
        <v>0.17393815292218306</v>
      </c>
      <c r="W130" s="20">
        <f t="shared" si="156"/>
        <v>0</v>
      </c>
      <c r="X130" s="20">
        <f t="shared" si="156"/>
        <v>0</v>
      </c>
      <c r="Y130" s="20">
        <f t="shared" si="156"/>
        <v>0</v>
      </c>
      <c r="Z130" s="20">
        <f t="shared" si="157"/>
        <v>0.10295334860456638</v>
      </c>
      <c r="AA130" s="20">
        <f t="shared" si="157"/>
        <v>0</v>
      </c>
      <c r="AB130" s="20">
        <f t="shared" si="157"/>
        <v>0</v>
      </c>
      <c r="AC130" s="20">
        <f t="shared" si="157"/>
        <v>0</v>
      </c>
      <c r="AD130" s="20">
        <f t="shared" si="158"/>
        <v>0.10295334860456638</v>
      </c>
      <c r="AE130" s="20">
        <f t="shared" si="159"/>
        <v>3.8481892239421036</v>
      </c>
      <c r="AF130" s="20">
        <f t="shared" si="159"/>
        <v>0</v>
      </c>
      <c r="AG130" s="20">
        <f t="shared" si="159"/>
        <v>0</v>
      </c>
      <c r="AH130" s="20">
        <f t="shared" si="159"/>
        <v>0</v>
      </c>
      <c r="AI130" s="20">
        <f t="shared" si="160"/>
        <v>3.0701639855101064</v>
      </c>
      <c r="AJ130" s="20">
        <f t="shared" si="161"/>
        <v>0</v>
      </c>
      <c r="AK130" s="20">
        <f t="shared" si="161"/>
        <v>0</v>
      </c>
      <c r="AL130" s="20">
        <f t="shared" si="161"/>
        <v>0</v>
      </c>
      <c r="AM130" s="20">
        <f t="shared" si="162"/>
        <v>3.0701639855101064</v>
      </c>
      <c r="AO130">
        <f t="shared" si="163"/>
        <v>0.1144635329785569</v>
      </c>
      <c r="AP130">
        <f t="shared" si="163"/>
        <v>0</v>
      </c>
      <c r="AQ130">
        <f t="shared" si="163"/>
        <v>0</v>
      </c>
      <c r="AR130">
        <f t="shared" si="163"/>
        <v>0</v>
      </c>
      <c r="AS130">
        <f t="shared" si="164"/>
        <v>0.1144635329785569</v>
      </c>
      <c r="AU130">
        <f t="shared" si="165"/>
        <v>3.4134083190901361</v>
      </c>
      <c r="AV130">
        <f t="shared" si="165"/>
        <v>0</v>
      </c>
      <c r="AW130">
        <f t="shared" si="165"/>
        <v>0</v>
      </c>
      <c r="AX130">
        <f t="shared" si="165"/>
        <v>0</v>
      </c>
      <c r="AY130">
        <f t="shared" si="166"/>
        <v>3.4134083190901361</v>
      </c>
    </row>
    <row r="131" spans="1:53" ht="15" x14ac:dyDescent="0.25">
      <c r="A131" s="1"/>
      <c r="B131" s="2"/>
      <c r="C131" s="1" t="s">
        <v>10</v>
      </c>
      <c r="D131">
        <v>0</v>
      </c>
      <c r="E131" s="360">
        <v>9.0899999999999995E-2</v>
      </c>
      <c r="F131">
        <v>0</v>
      </c>
      <c r="G131">
        <v>0</v>
      </c>
      <c r="H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 s="20"/>
      <c r="P131" s="20"/>
      <c r="Q131" s="438">
        <v>0.10795165149715144</v>
      </c>
      <c r="R131" s="197">
        <v>5.6499999999999995E-2</v>
      </c>
      <c r="S131" s="197">
        <v>1.25</v>
      </c>
      <c r="T131" s="197">
        <v>0.50078889239507718</v>
      </c>
      <c r="U131" s="197">
        <v>0.75268470790377973</v>
      </c>
      <c r="V131" s="20">
        <f t="shared" si="156"/>
        <v>5.5442348934164505E-3</v>
      </c>
      <c r="W131" s="20">
        <f t="shared" si="156"/>
        <v>0</v>
      </c>
      <c r="X131" s="20">
        <f t="shared" si="156"/>
        <v>0</v>
      </c>
      <c r="Y131" s="20">
        <f t="shared" si="156"/>
        <v>0</v>
      </c>
      <c r="Z131" s="20">
        <f t="shared" si="157"/>
        <v>3.2816121025665353E-3</v>
      </c>
      <c r="AA131" s="20">
        <f t="shared" si="157"/>
        <v>0</v>
      </c>
      <c r="AB131" s="20">
        <f t="shared" si="157"/>
        <v>0</v>
      </c>
      <c r="AC131" s="20">
        <f t="shared" si="157"/>
        <v>0</v>
      </c>
      <c r="AD131" s="20">
        <f t="shared" si="158"/>
        <v>3.2816121025665353E-3</v>
      </c>
      <c r="AE131" s="20">
        <f t="shared" si="159"/>
        <v>0.1226600640136383</v>
      </c>
      <c r="AF131" s="20">
        <f t="shared" si="159"/>
        <v>0</v>
      </c>
      <c r="AG131" s="20">
        <f t="shared" si="159"/>
        <v>0</v>
      </c>
      <c r="AH131" s="20">
        <f t="shared" si="159"/>
        <v>0</v>
      </c>
      <c r="AI131" s="20">
        <f t="shared" si="160"/>
        <v>9.7860705147253507E-2</v>
      </c>
      <c r="AJ131" s="20">
        <f t="shared" si="161"/>
        <v>0</v>
      </c>
      <c r="AK131" s="20">
        <f t="shared" si="161"/>
        <v>0</v>
      </c>
      <c r="AL131" s="20">
        <f t="shared" si="161"/>
        <v>0</v>
      </c>
      <c r="AM131" s="20">
        <f t="shared" si="162"/>
        <v>9.7860705147253507E-2</v>
      </c>
      <c r="AO131">
        <f t="shared" si="163"/>
        <v>3.6484963356334735E-3</v>
      </c>
      <c r="AP131">
        <f t="shared" si="163"/>
        <v>0</v>
      </c>
      <c r="AQ131">
        <f t="shared" si="163"/>
        <v>0</v>
      </c>
      <c r="AR131">
        <f t="shared" si="163"/>
        <v>0</v>
      </c>
      <c r="AS131">
        <f t="shared" si="164"/>
        <v>3.6484963356334735E-3</v>
      </c>
      <c r="AU131">
        <f t="shared" si="165"/>
        <v>0.10880153198271644</v>
      </c>
      <c r="AV131">
        <f t="shared" si="165"/>
        <v>0</v>
      </c>
      <c r="AW131">
        <f t="shared" si="165"/>
        <v>0</v>
      </c>
      <c r="AX131">
        <f t="shared" si="165"/>
        <v>0</v>
      </c>
      <c r="AY131">
        <f t="shared" si="166"/>
        <v>0.10880153198271644</v>
      </c>
    </row>
    <row r="132" spans="1:53" ht="15" x14ac:dyDescent="0.25">
      <c r="A132" s="1"/>
      <c r="B132" s="2"/>
      <c r="C132" s="1" t="s">
        <v>11</v>
      </c>
      <c r="D132">
        <v>0</v>
      </c>
      <c r="E132" s="360">
        <v>98.100099999999998</v>
      </c>
      <c r="F132">
        <v>0</v>
      </c>
      <c r="G132">
        <v>0</v>
      </c>
      <c r="H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 s="20"/>
      <c r="P132" s="20"/>
      <c r="Q132" s="438">
        <v>0.14093553532953523</v>
      </c>
      <c r="R132" s="197">
        <v>5.6499999999999995E-2</v>
      </c>
      <c r="S132" s="197">
        <v>1.25</v>
      </c>
      <c r="T132" s="197">
        <v>0.50078889239507718</v>
      </c>
      <c r="U132" s="197">
        <v>0.75268470790377973</v>
      </c>
      <c r="V132" s="20">
        <f t="shared" si="156"/>
        <v>7.8115714118002302</v>
      </c>
      <c r="W132" s="20">
        <f t="shared" si="156"/>
        <v>0</v>
      </c>
      <c r="X132" s="20">
        <f t="shared" si="156"/>
        <v>0</v>
      </c>
      <c r="Y132" s="20">
        <f t="shared" si="156"/>
        <v>0</v>
      </c>
      <c r="Z132" s="20">
        <f t="shared" si="157"/>
        <v>4.6236401916279481</v>
      </c>
      <c r="AA132" s="20">
        <f t="shared" si="157"/>
        <v>0</v>
      </c>
      <c r="AB132" s="20">
        <f t="shared" si="157"/>
        <v>0</v>
      </c>
      <c r="AC132" s="20">
        <f t="shared" si="157"/>
        <v>0</v>
      </c>
      <c r="AD132" s="20">
        <f t="shared" si="158"/>
        <v>4.6236401916279481</v>
      </c>
      <c r="AE132" s="20">
        <f t="shared" si="159"/>
        <v>172.82237636726171</v>
      </c>
      <c r="AF132" s="20">
        <f t="shared" si="159"/>
        <v>0</v>
      </c>
      <c r="AG132" s="20">
        <f t="shared" si="159"/>
        <v>0</v>
      </c>
      <c r="AH132" s="20">
        <f t="shared" si="159"/>
        <v>0</v>
      </c>
      <c r="AI132" s="20">
        <f t="shared" si="160"/>
        <v>137.88122281302418</v>
      </c>
      <c r="AJ132" s="20">
        <f t="shared" si="161"/>
        <v>0</v>
      </c>
      <c r="AK132" s="20">
        <f t="shared" si="161"/>
        <v>0</v>
      </c>
      <c r="AL132" s="20">
        <f t="shared" si="161"/>
        <v>0</v>
      </c>
      <c r="AM132" s="20">
        <f t="shared" si="162"/>
        <v>137.88122281302418</v>
      </c>
      <c r="AO132">
        <f t="shared" si="163"/>
        <v>5.1405631650519519</v>
      </c>
      <c r="AP132">
        <f t="shared" si="163"/>
        <v>0</v>
      </c>
      <c r="AQ132">
        <f t="shared" si="163"/>
        <v>0</v>
      </c>
      <c r="AR132">
        <f t="shared" si="163"/>
        <v>0</v>
      </c>
      <c r="AS132">
        <f t="shared" si="164"/>
        <v>5.1405631650519519</v>
      </c>
      <c r="AU132">
        <f t="shared" si="165"/>
        <v>153.29634352352028</v>
      </c>
      <c r="AV132">
        <f t="shared" si="165"/>
        <v>0</v>
      </c>
      <c r="AW132">
        <f t="shared" si="165"/>
        <v>0</v>
      </c>
      <c r="AX132">
        <f t="shared" si="165"/>
        <v>0</v>
      </c>
      <c r="AY132">
        <f t="shared" si="166"/>
        <v>153.29634352352028</v>
      </c>
    </row>
    <row r="133" spans="1:53" ht="15" x14ac:dyDescent="0.25">
      <c r="A133" s="1"/>
      <c r="B133" s="2"/>
      <c r="C133" s="1" t="s">
        <v>12</v>
      </c>
      <c r="D133">
        <v>0</v>
      </c>
      <c r="E133" s="360">
        <v>0</v>
      </c>
      <c r="F133">
        <v>0</v>
      </c>
      <c r="G133">
        <v>0</v>
      </c>
      <c r="H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 s="20"/>
      <c r="P133" s="20"/>
      <c r="Q133" s="438"/>
      <c r="R133" s="197">
        <v>5.6499999999999995E-2</v>
      </c>
      <c r="S133" s="197">
        <v>1.25</v>
      </c>
      <c r="T133" s="197">
        <v>0.50078889239507718</v>
      </c>
      <c r="U133" s="197">
        <v>0.75268470790377973</v>
      </c>
      <c r="V133" s="20">
        <f t="shared" si="156"/>
        <v>0</v>
      </c>
      <c r="W133" s="20">
        <f t="shared" si="156"/>
        <v>0</v>
      </c>
      <c r="X133" s="20">
        <f t="shared" si="156"/>
        <v>0</v>
      </c>
      <c r="Y133" s="20">
        <f t="shared" si="156"/>
        <v>0</v>
      </c>
      <c r="Z133" s="20">
        <f t="shared" si="157"/>
        <v>0</v>
      </c>
      <c r="AA133" s="20">
        <f t="shared" si="157"/>
        <v>0</v>
      </c>
      <c r="AB133" s="20">
        <f t="shared" si="157"/>
        <v>0</v>
      </c>
      <c r="AC133" s="20">
        <f t="shared" si="157"/>
        <v>0</v>
      </c>
      <c r="AD133" s="20">
        <f t="shared" si="158"/>
        <v>0</v>
      </c>
      <c r="AE133" s="20">
        <f t="shared" si="159"/>
        <v>0</v>
      </c>
      <c r="AF133" s="20">
        <f t="shared" si="159"/>
        <v>0</v>
      </c>
      <c r="AG133" s="20">
        <f t="shared" si="159"/>
        <v>0</v>
      </c>
      <c r="AH133" s="20">
        <f t="shared" si="159"/>
        <v>0</v>
      </c>
      <c r="AI133" s="20">
        <f t="shared" si="160"/>
        <v>0</v>
      </c>
      <c r="AJ133" s="20">
        <f t="shared" si="161"/>
        <v>0</v>
      </c>
      <c r="AK133" s="20">
        <f t="shared" si="161"/>
        <v>0</v>
      </c>
      <c r="AL133" s="20">
        <f t="shared" si="161"/>
        <v>0</v>
      </c>
      <c r="AM133" s="20">
        <f t="shared" si="162"/>
        <v>0</v>
      </c>
      <c r="AO133">
        <f t="shared" si="163"/>
        <v>0</v>
      </c>
      <c r="AP133">
        <f t="shared" si="163"/>
        <v>0</v>
      </c>
      <c r="AQ133">
        <f t="shared" si="163"/>
        <v>0</v>
      </c>
      <c r="AR133">
        <f t="shared" si="163"/>
        <v>0</v>
      </c>
      <c r="AS133">
        <f t="shared" si="164"/>
        <v>0</v>
      </c>
      <c r="AU133">
        <f t="shared" si="165"/>
        <v>0</v>
      </c>
      <c r="AV133">
        <f t="shared" si="165"/>
        <v>0</v>
      </c>
      <c r="AW133">
        <f t="shared" si="165"/>
        <v>0</v>
      </c>
      <c r="AX133">
        <f t="shared" si="165"/>
        <v>0</v>
      </c>
      <c r="AY133">
        <f t="shared" si="166"/>
        <v>0</v>
      </c>
    </row>
    <row r="134" spans="1:53" ht="15" x14ac:dyDescent="0.25">
      <c r="A134" s="1"/>
      <c r="B134" s="2"/>
      <c r="C134" s="1" t="s">
        <v>13</v>
      </c>
      <c r="D134">
        <v>0</v>
      </c>
      <c r="E134" s="360">
        <v>0.71750000000000003</v>
      </c>
      <c r="F134">
        <v>0</v>
      </c>
      <c r="G134">
        <v>0</v>
      </c>
      <c r="H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20"/>
      <c r="P134" s="20"/>
      <c r="Q134" s="438">
        <v>0.14093553532953526</v>
      </c>
      <c r="R134" s="197">
        <v>5.6499999999999995E-2</v>
      </c>
      <c r="S134" s="197">
        <v>1.25</v>
      </c>
      <c r="T134" s="197">
        <v>0.50078889239507718</v>
      </c>
      <c r="U134" s="197">
        <v>0.75268470790377973</v>
      </c>
      <c r="V134" s="20">
        <f t="shared" si="156"/>
        <v>5.7133504328401967E-2</v>
      </c>
      <c r="W134" s="20">
        <f t="shared" si="156"/>
        <v>0</v>
      </c>
      <c r="X134" s="20">
        <f t="shared" si="156"/>
        <v>0</v>
      </c>
      <c r="Y134" s="20">
        <f t="shared" si="156"/>
        <v>0</v>
      </c>
      <c r="Z134" s="20">
        <f t="shared" si="157"/>
        <v>3.381710964099989E-2</v>
      </c>
      <c r="AA134" s="20">
        <f t="shared" si="157"/>
        <v>0</v>
      </c>
      <c r="AB134" s="20">
        <f t="shared" si="157"/>
        <v>0</v>
      </c>
      <c r="AC134" s="20">
        <f t="shared" si="157"/>
        <v>0</v>
      </c>
      <c r="AD134" s="20">
        <f t="shared" si="158"/>
        <v>3.381710964099989E-2</v>
      </c>
      <c r="AE134" s="20">
        <f t="shared" si="159"/>
        <v>1.2640155824867694</v>
      </c>
      <c r="AF134" s="20">
        <f t="shared" si="159"/>
        <v>0</v>
      </c>
      <c r="AG134" s="20">
        <f t="shared" si="159"/>
        <v>0</v>
      </c>
      <c r="AH134" s="20">
        <f t="shared" si="159"/>
        <v>0</v>
      </c>
      <c r="AI134" s="20">
        <f t="shared" si="160"/>
        <v>1.0084574569072293</v>
      </c>
      <c r="AJ134" s="20">
        <f t="shared" si="161"/>
        <v>0</v>
      </c>
      <c r="AK134" s="20">
        <f t="shared" si="161"/>
        <v>0</v>
      </c>
      <c r="AL134" s="20">
        <f t="shared" si="161"/>
        <v>0</v>
      </c>
      <c r="AM134" s="20">
        <f t="shared" si="162"/>
        <v>1.0084574569072293</v>
      </c>
      <c r="AO134">
        <f t="shared" si="163"/>
        <v>3.7597862498863675E-2</v>
      </c>
      <c r="AP134">
        <f t="shared" si="163"/>
        <v>0</v>
      </c>
      <c r="AQ134">
        <f t="shared" si="163"/>
        <v>0</v>
      </c>
      <c r="AR134">
        <f t="shared" si="163"/>
        <v>0</v>
      </c>
      <c r="AS134">
        <f t="shared" si="164"/>
        <v>3.7597862498863675E-2</v>
      </c>
      <c r="AU134">
        <f t="shared" si="165"/>
        <v>1.1212030005894575</v>
      </c>
      <c r="AV134">
        <f t="shared" si="165"/>
        <v>0</v>
      </c>
      <c r="AW134">
        <f t="shared" si="165"/>
        <v>0</v>
      </c>
      <c r="AX134">
        <f t="shared" si="165"/>
        <v>0</v>
      </c>
      <c r="AY134">
        <f t="shared" si="166"/>
        <v>1.1212030005894575</v>
      </c>
    </row>
    <row r="135" spans="1:53" ht="15" x14ac:dyDescent="0.25">
      <c r="A135" s="7"/>
      <c r="B135" s="8" t="s">
        <v>14</v>
      </c>
      <c r="C135" s="7"/>
      <c r="D135" s="357">
        <f t="shared" ref="D135:H135" si="167">SUM(D129:D134)</f>
        <v>0</v>
      </c>
      <c r="E135" s="363">
        <f>SUM(E129:E134)</f>
        <v>319.34929999999997</v>
      </c>
      <c r="F135" s="357">
        <f t="shared" si="167"/>
        <v>0</v>
      </c>
      <c r="G135" s="357">
        <f t="shared" si="167"/>
        <v>0</v>
      </c>
      <c r="H135" s="357">
        <f t="shared" si="167"/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 s="20"/>
      <c r="P135" s="20"/>
      <c r="Q135" s="438">
        <v>7.304582605684877E-2</v>
      </c>
      <c r="R135" s="197"/>
      <c r="S135" s="197"/>
      <c r="T135" s="197"/>
      <c r="U135" s="197"/>
      <c r="BA135" s="319">
        <f>(E135*10000*Q135*AU$10)</f>
        <v>259351.06935440333</v>
      </c>
    </row>
    <row r="136" spans="1:53" ht="15" x14ac:dyDescent="0.25">
      <c r="A136" s="10"/>
      <c r="B136" s="9" t="s">
        <v>15</v>
      </c>
      <c r="C136" s="5"/>
      <c r="E136" s="363">
        <f>SUM(E135)</f>
        <v>319.34929999999997</v>
      </c>
      <c r="H136" s="358">
        <f>SUM(D135:H135)</f>
        <v>319.34929999999997</v>
      </c>
      <c r="K136" s="14"/>
      <c r="N136">
        <v>0</v>
      </c>
      <c r="O136" s="20"/>
      <c r="P136" s="20"/>
      <c r="Q136" s="438"/>
      <c r="R136" s="197"/>
      <c r="S136" s="197"/>
      <c r="T136" s="197"/>
      <c r="U136" s="197"/>
    </row>
    <row r="137" spans="1:53" ht="15.75" x14ac:dyDescent="0.25">
      <c r="A137" s="1"/>
      <c r="B137" s="2"/>
      <c r="C137" s="1"/>
      <c r="E137" s="361"/>
      <c r="K137" s="14"/>
      <c r="O137" s="20"/>
      <c r="P137" s="20"/>
      <c r="Q137" s="439"/>
      <c r="R137" s="197"/>
      <c r="S137" s="197"/>
      <c r="T137" s="197"/>
      <c r="U137" s="197"/>
    </row>
    <row r="138" spans="1:53" ht="15" x14ac:dyDescent="0.25">
      <c r="A138" s="1">
        <v>15</v>
      </c>
      <c r="B138" s="2" t="s">
        <v>29</v>
      </c>
      <c r="C138" s="1" t="s">
        <v>8</v>
      </c>
      <c r="D138">
        <v>0</v>
      </c>
      <c r="E138" s="360">
        <v>2.8900999999999999</v>
      </c>
      <c r="F138">
        <v>0</v>
      </c>
      <c r="G138">
        <v>0</v>
      </c>
      <c r="H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 s="20"/>
      <c r="P138" s="20"/>
      <c r="Q138" s="438">
        <v>0.76999755815642201</v>
      </c>
      <c r="R138" s="197">
        <v>2.5000000000000001E-2</v>
      </c>
      <c r="S138" s="197">
        <v>0.71599999999999997</v>
      </c>
      <c r="T138" s="197">
        <v>0.11808671869809276</v>
      </c>
      <c r="U138" s="197">
        <v>0.41263016220713056</v>
      </c>
      <c r="V138" s="20">
        <f t="shared" ref="V138:Y143" si="168">E138*$Q138*$R138*10</f>
        <v>0.55634248570696876</v>
      </c>
      <c r="W138" s="20">
        <f t="shared" si="168"/>
        <v>0</v>
      </c>
      <c r="X138" s="20">
        <f t="shared" si="168"/>
        <v>0</v>
      </c>
      <c r="Y138" s="20">
        <f t="shared" si="168"/>
        <v>0</v>
      </c>
      <c r="Z138" s="20">
        <f t="shared" ref="Z138:AC143" si="169">V138*(EXP(1.01-0.34*LN(Z$8))*(1-$T138)+(1*$T138))</f>
        <v>0.15524087579113349</v>
      </c>
      <c r="AA138" s="20">
        <f t="shared" si="169"/>
        <v>0</v>
      </c>
      <c r="AB138" s="20">
        <f t="shared" si="169"/>
        <v>0</v>
      </c>
      <c r="AC138" s="20">
        <f t="shared" si="169"/>
        <v>0</v>
      </c>
      <c r="AD138" s="20">
        <f t="shared" ref="AD138:AD143" si="170">SUM(Z138:AC138)</f>
        <v>0.15524087579113349</v>
      </c>
      <c r="AE138" s="20">
        <f t="shared" ref="AE138:AH143" si="171">E138*$Q138*$S138*10</f>
        <v>15.933648790647585</v>
      </c>
      <c r="AF138" s="20">
        <f t="shared" si="171"/>
        <v>0</v>
      </c>
      <c r="AG138" s="20">
        <f t="shared" si="171"/>
        <v>0</v>
      </c>
      <c r="AH138" s="20">
        <f t="shared" si="171"/>
        <v>0</v>
      </c>
      <c r="AI138" s="20">
        <f t="shared" ref="AI138:AI143" si="172">AE138*(EXP(1.01-0.34*LN(AI$8))*(1-$U138)+(1*$U138))</f>
        <v>8.2827373159882072</v>
      </c>
      <c r="AJ138" s="20">
        <f t="shared" ref="AJ138:AL143" si="173">AF138*(EXP(1.01-0.34*LN(AJ$8))*(1-$T138)+(1*$T138))</f>
        <v>0</v>
      </c>
      <c r="AK138" s="20">
        <f t="shared" si="173"/>
        <v>0</v>
      </c>
      <c r="AL138" s="20">
        <f t="shared" si="173"/>
        <v>0</v>
      </c>
      <c r="AM138" s="20">
        <f t="shared" ref="AM138:AM143" si="174">SUM(AI138:AL138)</f>
        <v>8.2827373159882072</v>
      </c>
      <c r="AO138">
        <f t="shared" ref="AO138:AR143" si="175">Z138*AO$10</f>
        <v>0.17259680570458219</v>
      </c>
      <c r="AP138">
        <f t="shared" si="175"/>
        <v>0</v>
      </c>
      <c r="AQ138">
        <f t="shared" si="175"/>
        <v>0</v>
      </c>
      <c r="AR138">
        <f t="shared" si="175"/>
        <v>0</v>
      </c>
      <c r="AS138">
        <f t="shared" ref="AS138:AS143" si="176">SUM(AO138:AR138)</f>
        <v>0.17259680570458219</v>
      </c>
      <c r="AU138">
        <f t="shared" ref="AU138:AX143" si="177">AI138*AU$10</f>
        <v>9.2087473479156881</v>
      </c>
      <c r="AV138">
        <f t="shared" si="177"/>
        <v>0</v>
      </c>
      <c r="AW138">
        <f t="shared" si="177"/>
        <v>0</v>
      </c>
      <c r="AX138">
        <f t="shared" si="177"/>
        <v>0</v>
      </c>
      <c r="AY138">
        <f t="shared" ref="AY138:AY143" si="178">SUM(AU138:AX138)</f>
        <v>9.2087473479156881</v>
      </c>
    </row>
    <row r="139" spans="1:53" ht="15" x14ac:dyDescent="0.25">
      <c r="A139" s="1"/>
      <c r="B139" s="2"/>
      <c r="C139" s="1" t="s">
        <v>9</v>
      </c>
      <c r="D139">
        <v>0</v>
      </c>
      <c r="E139" s="360">
        <v>0.32750000000000001</v>
      </c>
      <c r="F139">
        <v>0</v>
      </c>
      <c r="G139">
        <v>0</v>
      </c>
      <c r="H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 s="20"/>
      <c r="P139" s="20"/>
      <c r="Q139" s="438">
        <v>0.77499511631284346</v>
      </c>
      <c r="R139" s="197">
        <v>2.5000000000000001E-2</v>
      </c>
      <c r="S139" s="197">
        <v>0.71599999999999997</v>
      </c>
      <c r="T139" s="197">
        <v>0.11808671869809276</v>
      </c>
      <c r="U139" s="197">
        <v>0.41263016220713056</v>
      </c>
      <c r="V139" s="20">
        <f t="shared" si="168"/>
        <v>6.3452725148114064E-2</v>
      </c>
      <c r="W139" s="20">
        <f t="shared" si="168"/>
        <v>0</v>
      </c>
      <c r="X139" s="20">
        <f t="shared" si="168"/>
        <v>0</v>
      </c>
      <c r="Y139" s="20">
        <f t="shared" si="168"/>
        <v>0</v>
      </c>
      <c r="Z139" s="20">
        <f t="shared" si="169"/>
        <v>1.7705742193695494E-2</v>
      </c>
      <c r="AA139" s="20">
        <f t="shared" si="169"/>
        <v>0</v>
      </c>
      <c r="AB139" s="20">
        <f t="shared" si="169"/>
        <v>0</v>
      </c>
      <c r="AC139" s="20">
        <f t="shared" si="169"/>
        <v>0</v>
      </c>
      <c r="AD139" s="20">
        <f t="shared" si="170"/>
        <v>1.7705742193695494E-2</v>
      </c>
      <c r="AE139" s="20">
        <f t="shared" si="171"/>
        <v>1.8172860482419866</v>
      </c>
      <c r="AF139" s="20">
        <f t="shared" si="171"/>
        <v>0</v>
      </c>
      <c r="AG139" s="20">
        <f t="shared" si="171"/>
        <v>0</v>
      </c>
      <c r="AH139" s="20">
        <f t="shared" si="171"/>
        <v>0</v>
      </c>
      <c r="AI139" s="20">
        <f t="shared" si="172"/>
        <v>0.94467395154546341</v>
      </c>
      <c r="AJ139" s="20">
        <f t="shared" si="173"/>
        <v>0</v>
      </c>
      <c r="AK139" s="20">
        <f t="shared" si="173"/>
        <v>0</v>
      </c>
      <c r="AL139" s="20">
        <f t="shared" si="173"/>
        <v>0</v>
      </c>
      <c r="AM139" s="20">
        <f t="shared" si="174"/>
        <v>0.94467395154546341</v>
      </c>
      <c r="AO139">
        <f t="shared" si="175"/>
        <v>1.9685244170950647E-2</v>
      </c>
      <c r="AP139">
        <f t="shared" si="175"/>
        <v>0</v>
      </c>
      <c r="AQ139">
        <f t="shared" si="175"/>
        <v>0</v>
      </c>
      <c r="AR139">
        <f t="shared" si="175"/>
        <v>0</v>
      </c>
      <c r="AS139">
        <f t="shared" si="176"/>
        <v>1.9685244170950647E-2</v>
      </c>
      <c r="AU139">
        <f t="shared" si="177"/>
        <v>1.0502884993282462</v>
      </c>
      <c r="AV139">
        <f t="shared" si="177"/>
        <v>0</v>
      </c>
      <c r="AW139">
        <f t="shared" si="177"/>
        <v>0</v>
      </c>
      <c r="AX139">
        <f t="shared" si="177"/>
        <v>0</v>
      </c>
      <c r="AY139">
        <f t="shared" si="178"/>
        <v>1.0502884993282462</v>
      </c>
    </row>
    <row r="140" spans="1:53" ht="15" x14ac:dyDescent="0.25">
      <c r="A140" s="1"/>
      <c r="B140" s="2"/>
      <c r="C140" s="1" t="s">
        <v>10</v>
      </c>
      <c r="D140">
        <v>0</v>
      </c>
      <c r="E140" s="360">
        <v>0</v>
      </c>
      <c r="F140">
        <v>0</v>
      </c>
      <c r="G140">
        <v>0</v>
      </c>
      <c r="H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 s="20"/>
      <c r="P140" s="20"/>
      <c r="Q140" s="438"/>
      <c r="R140" s="197">
        <v>2.5000000000000001E-2</v>
      </c>
      <c r="S140" s="197">
        <v>0.71599999999999997</v>
      </c>
      <c r="T140" s="197">
        <v>0.11808671869809276</v>
      </c>
      <c r="U140" s="197">
        <v>0.41263016220713056</v>
      </c>
      <c r="V140" s="20">
        <f t="shared" si="168"/>
        <v>0</v>
      </c>
      <c r="W140" s="20">
        <f t="shared" si="168"/>
        <v>0</v>
      </c>
      <c r="X140" s="20">
        <f t="shared" si="168"/>
        <v>0</v>
      </c>
      <c r="Y140" s="20">
        <f t="shared" si="168"/>
        <v>0</v>
      </c>
      <c r="Z140" s="20">
        <f t="shared" si="169"/>
        <v>0</v>
      </c>
      <c r="AA140" s="20">
        <f t="shared" si="169"/>
        <v>0</v>
      </c>
      <c r="AB140" s="20">
        <f t="shared" si="169"/>
        <v>0</v>
      </c>
      <c r="AC140" s="20">
        <f t="shared" si="169"/>
        <v>0</v>
      </c>
      <c r="AD140" s="20">
        <f t="shared" si="170"/>
        <v>0</v>
      </c>
      <c r="AE140" s="20">
        <f t="shared" si="171"/>
        <v>0</v>
      </c>
      <c r="AF140" s="20">
        <f t="shared" si="171"/>
        <v>0</v>
      </c>
      <c r="AG140" s="20">
        <f t="shared" si="171"/>
        <v>0</v>
      </c>
      <c r="AH140" s="20">
        <f t="shared" si="171"/>
        <v>0</v>
      </c>
      <c r="AI140" s="20">
        <f t="shared" si="172"/>
        <v>0</v>
      </c>
      <c r="AJ140" s="20">
        <f t="shared" si="173"/>
        <v>0</v>
      </c>
      <c r="AK140" s="20">
        <f t="shared" si="173"/>
        <v>0</v>
      </c>
      <c r="AL140" s="20">
        <f t="shared" si="173"/>
        <v>0</v>
      </c>
      <c r="AM140" s="20">
        <f t="shared" si="174"/>
        <v>0</v>
      </c>
      <c r="AO140">
        <f t="shared" si="175"/>
        <v>0</v>
      </c>
      <c r="AP140">
        <f t="shared" si="175"/>
        <v>0</v>
      </c>
      <c r="AQ140">
        <f t="shared" si="175"/>
        <v>0</v>
      </c>
      <c r="AR140">
        <f t="shared" si="175"/>
        <v>0</v>
      </c>
      <c r="AS140">
        <f t="shared" si="176"/>
        <v>0</v>
      </c>
      <c r="AU140">
        <f t="shared" si="177"/>
        <v>0</v>
      </c>
      <c r="AV140">
        <f t="shared" si="177"/>
        <v>0</v>
      </c>
      <c r="AW140">
        <f t="shared" si="177"/>
        <v>0</v>
      </c>
      <c r="AX140">
        <f t="shared" si="177"/>
        <v>0</v>
      </c>
      <c r="AY140">
        <f t="shared" si="178"/>
        <v>0</v>
      </c>
    </row>
    <row r="141" spans="1:53" ht="15" x14ac:dyDescent="0.25">
      <c r="A141" s="1"/>
      <c r="B141" s="2"/>
      <c r="C141" s="1" t="s">
        <v>11</v>
      </c>
      <c r="D141">
        <v>0</v>
      </c>
      <c r="E141" s="360">
        <v>10.4046</v>
      </c>
      <c r="F141">
        <v>0</v>
      </c>
      <c r="G141">
        <v>0</v>
      </c>
      <c r="H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 s="20"/>
      <c r="P141" s="20"/>
      <c r="Q141" s="438">
        <v>0.78499023262568701</v>
      </c>
      <c r="R141" s="197">
        <v>2.5000000000000001E-2</v>
      </c>
      <c r="S141" s="197">
        <v>0.71599999999999997</v>
      </c>
      <c r="T141" s="197">
        <v>0.11808671869809276</v>
      </c>
      <c r="U141" s="197">
        <v>0.41263016220713056</v>
      </c>
      <c r="V141" s="20">
        <f t="shared" si="168"/>
        <v>2.0418773435943063</v>
      </c>
      <c r="W141" s="20">
        <f t="shared" si="168"/>
        <v>0</v>
      </c>
      <c r="X141" s="20">
        <f t="shared" si="168"/>
        <v>0</v>
      </c>
      <c r="Y141" s="20">
        <f t="shared" si="168"/>
        <v>0</v>
      </c>
      <c r="Z141" s="20">
        <f t="shared" si="169"/>
        <v>0.56976203547505333</v>
      </c>
      <c r="AA141" s="20">
        <f t="shared" si="169"/>
        <v>0</v>
      </c>
      <c r="AB141" s="20">
        <f t="shared" si="169"/>
        <v>0</v>
      </c>
      <c r="AC141" s="20">
        <f t="shared" si="169"/>
        <v>0</v>
      </c>
      <c r="AD141" s="20">
        <f t="shared" si="170"/>
        <v>0.56976203547505333</v>
      </c>
      <c r="AE141" s="20">
        <f t="shared" si="171"/>
        <v>58.479367120540921</v>
      </c>
      <c r="AF141" s="20">
        <f t="shared" si="171"/>
        <v>0</v>
      </c>
      <c r="AG141" s="20">
        <f t="shared" si="171"/>
        <v>0</v>
      </c>
      <c r="AH141" s="20">
        <f t="shared" si="171"/>
        <v>0</v>
      </c>
      <c r="AI141" s="20">
        <f t="shared" si="172"/>
        <v>30.39914100209009</v>
      </c>
      <c r="AJ141" s="20">
        <f t="shared" si="173"/>
        <v>0</v>
      </c>
      <c r="AK141" s="20">
        <f t="shared" si="173"/>
        <v>0</v>
      </c>
      <c r="AL141" s="20">
        <f t="shared" si="173"/>
        <v>0</v>
      </c>
      <c r="AM141" s="20">
        <f t="shared" si="174"/>
        <v>30.39914100209009</v>
      </c>
      <c r="AO141">
        <f t="shared" si="175"/>
        <v>0.63346143104116426</v>
      </c>
      <c r="AP141">
        <f t="shared" si="175"/>
        <v>0</v>
      </c>
      <c r="AQ141">
        <f t="shared" si="175"/>
        <v>0</v>
      </c>
      <c r="AR141">
        <f t="shared" si="175"/>
        <v>0</v>
      </c>
      <c r="AS141">
        <f t="shared" si="176"/>
        <v>0.63346143104116426</v>
      </c>
      <c r="AU141">
        <f t="shared" si="177"/>
        <v>33.797764966123758</v>
      </c>
      <c r="AV141">
        <f t="shared" si="177"/>
        <v>0</v>
      </c>
      <c r="AW141">
        <f t="shared" si="177"/>
        <v>0</v>
      </c>
      <c r="AX141">
        <f t="shared" si="177"/>
        <v>0</v>
      </c>
      <c r="AY141">
        <f t="shared" si="178"/>
        <v>33.797764966123758</v>
      </c>
    </row>
    <row r="142" spans="1:53" ht="15" x14ac:dyDescent="0.25">
      <c r="A142" s="1"/>
      <c r="B142" s="2"/>
      <c r="C142" s="1" t="s">
        <v>12</v>
      </c>
      <c r="D142">
        <v>0</v>
      </c>
      <c r="E142" s="360">
        <v>0</v>
      </c>
      <c r="F142">
        <v>0</v>
      </c>
      <c r="G142">
        <v>0</v>
      </c>
      <c r="H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 s="20"/>
      <c r="P142" s="20"/>
      <c r="Q142" s="438"/>
      <c r="R142" s="197">
        <v>2.5000000000000001E-2</v>
      </c>
      <c r="S142" s="197">
        <v>0.71599999999999997</v>
      </c>
      <c r="T142" s="197">
        <v>0.11808671869809276</v>
      </c>
      <c r="U142" s="197">
        <v>0.41263016220713056</v>
      </c>
      <c r="V142" s="20">
        <f t="shared" si="168"/>
        <v>0</v>
      </c>
      <c r="W142" s="20">
        <f t="shared" si="168"/>
        <v>0</v>
      </c>
      <c r="X142" s="20">
        <f t="shared" si="168"/>
        <v>0</v>
      </c>
      <c r="Y142" s="20">
        <f t="shared" si="168"/>
        <v>0</v>
      </c>
      <c r="Z142" s="20">
        <f t="shared" si="169"/>
        <v>0</v>
      </c>
      <c r="AA142" s="20">
        <f t="shared" si="169"/>
        <v>0</v>
      </c>
      <c r="AB142" s="20">
        <f t="shared" si="169"/>
        <v>0</v>
      </c>
      <c r="AC142" s="20">
        <f t="shared" si="169"/>
        <v>0</v>
      </c>
      <c r="AD142" s="20">
        <f t="shared" si="170"/>
        <v>0</v>
      </c>
      <c r="AE142" s="20">
        <f t="shared" si="171"/>
        <v>0</v>
      </c>
      <c r="AF142" s="20">
        <f t="shared" si="171"/>
        <v>0</v>
      </c>
      <c r="AG142" s="20">
        <f t="shared" si="171"/>
        <v>0</v>
      </c>
      <c r="AH142" s="20">
        <f t="shared" si="171"/>
        <v>0</v>
      </c>
      <c r="AI142" s="20">
        <f t="shared" si="172"/>
        <v>0</v>
      </c>
      <c r="AJ142" s="20">
        <f t="shared" si="173"/>
        <v>0</v>
      </c>
      <c r="AK142" s="20">
        <f t="shared" si="173"/>
        <v>0</v>
      </c>
      <c r="AL142" s="20">
        <f t="shared" si="173"/>
        <v>0</v>
      </c>
      <c r="AM142" s="20">
        <f t="shared" si="174"/>
        <v>0</v>
      </c>
      <c r="AO142">
        <f t="shared" si="175"/>
        <v>0</v>
      </c>
      <c r="AP142">
        <f t="shared" si="175"/>
        <v>0</v>
      </c>
      <c r="AQ142">
        <f t="shared" si="175"/>
        <v>0</v>
      </c>
      <c r="AR142">
        <f t="shared" si="175"/>
        <v>0</v>
      </c>
      <c r="AS142">
        <f t="shared" si="176"/>
        <v>0</v>
      </c>
      <c r="AU142">
        <f t="shared" si="177"/>
        <v>0</v>
      </c>
      <c r="AV142">
        <f t="shared" si="177"/>
        <v>0</v>
      </c>
      <c r="AW142">
        <f t="shared" si="177"/>
        <v>0</v>
      </c>
      <c r="AX142">
        <f t="shared" si="177"/>
        <v>0</v>
      </c>
      <c r="AY142">
        <f t="shared" si="178"/>
        <v>0</v>
      </c>
    </row>
    <row r="143" spans="1:53" ht="15" x14ac:dyDescent="0.25">
      <c r="A143" s="1"/>
      <c r="B143" s="2"/>
      <c r="C143" s="1" t="s">
        <v>13</v>
      </c>
      <c r="D143">
        <v>0</v>
      </c>
      <c r="E143" s="360">
        <v>9.9110999999999994</v>
      </c>
      <c r="F143">
        <v>0</v>
      </c>
      <c r="G143">
        <v>0</v>
      </c>
      <c r="H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20"/>
      <c r="P143" s="20"/>
      <c r="Q143" s="438">
        <v>0.78499023262568712</v>
      </c>
      <c r="R143" s="197">
        <v>2.5000000000000001E-2</v>
      </c>
      <c r="S143" s="197">
        <v>0.71599999999999997</v>
      </c>
      <c r="T143" s="197">
        <v>0.11808671869809276</v>
      </c>
      <c r="U143" s="197">
        <v>0.41263016220713056</v>
      </c>
      <c r="V143" s="20">
        <f t="shared" si="168"/>
        <v>1.9450291736441119</v>
      </c>
      <c r="W143" s="20">
        <f t="shared" si="168"/>
        <v>0</v>
      </c>
      <c r="X143" s="20">
        <f t="shared" si="168"/>
        <v>0</v>
      </c>
      <c r="Y143" s="20">
        <f t="shared" si="168"/>
        <v>0</v>
      </c>
      <c r="Z143" s="20">
        <f t="shared" si="169"/>
        <v>0.54273768427395586</v>
      </c>
      <c r="AA143" s="20">
        <f t="shared" si="169"/>
        <v>0</v>
      </c>
      <c r="AB143" s="20">
        <f t="shared" si="169"/>
        <v>0</v>
      </c>
      <c r="AC143" s="20">
        <f t="shared" si="169"/>
        <v>0</v>
      </c>
      <c r="AD143" s="20">
        <f t="shared" si="170"/>
        <v>0.54273768427395586</v>
      </c>
      <c r="AE143" s="20">
        <f t="shared" si="171"/>
        <v>55.705635533167367</v>
      </c>
      <c r="AF143" s="20">
        <f t="shared" si="171"/>
        <v>0</v>
      </c>
      <c r="AG143" s="20">
        <f t="shared" si="171"/>
        <v>0</v>
      </c>
      <c r="AH143" s="20">
        <f t="shared" si="171"/>
        <v>0</v>
      </c>
      <c r="AI143" s="20">
        <f t="shared" si="172"/>
        <v>28.957281047403566</v>
      </c>
      <c r="AJ143" s="20">
        <f t="shared" si="173"/>
        <v>0</v>
      </c>
      <c r="AK143" s="20">
        <f t="shared" si="173"/>
        <v>0</v>
      </c>
      <c r="AL143" s="20">
        <f t="shared" si="173"/>
        <v>0</v>
      </c>
      <c r="AM143" s="20">
        <f t="shared" si="174"/>
        <v>28.957281047403566</v>
      </c>
      <c r="AO143">
        <f t="shared" si="175"/>
        <v>0.60341575737578401</v>
      </c>
      <c r="AP143">
        <f t="shared" si="175"/>
        <v>0</v>
      </c>
      <c r="AQ143">
        <f t="shared" si="175"/>
        <v>0</v>
      </c>
      <c r="AR143">
        <f t="shared" si="175"/>
        <v>0</v>
      </c>
      <c r="AS143">
        <f t="shared" si="176"/>
        <v>0.60341575737578401</v>
      </c>
      <c r="AU143">
        <f t="shared" si="177"/>
        <v>32.194705068503282</v>
      </c>
      <c r="AV143">
        <f t="shared" si="177"/>
        <v>0</v>
      </c>
      <c r="AW143">
        <f t="shared" si="177"/>
        <v>0</v>
      </c>
      <c r="AX143">
        <f t="shared" si="177"/>
        <v>0</v>
      </c>
      <c r="AY143">
        <f t="shared" si="178"/>
        <v>32.194705068503282</v>
      </c>
    </row>
    <row r="144" spans="1:53" ht="15" x14ac:dyDescent="0.25">
      <c r="A144" s="7"/>
      <c r="B144" s="8" t="s">
        <v>14</v>
      </c>
      <c r="C144" s="7"/>
      <c r="D144" s="357">
        <f t="shared" ref="D144:H144" si="179">SUM(D138:D143)</f>
        <v>0</v>
      </c>
      <c r="E144" s="363">
        <f>SUM(E138:E143)</f>
        <v>23.533299999999997</v>
      </c>
      <c r="F144" s="357">
        <f t="shared" si="179"/>
        <v>0</v>
      </c>
      <c r="G144" s="357">
        <f t="shared" si="179"/>
        <v>0</v>
      </c>
      <c r="H144" s="357">
        <f t="shared" si="179"/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 s="20"/>
      <c r="P144" s="20"/>
      <c r="Q144" s="438">
        <v>0.78300990138969062</v>
      </c>
      <c r="R144" s="197"/>
      <c r="S144" s="197"/>
      <c r="T144" s="197"/>
      <c r="U144" s="197"/>
      <c r="BA144" s="319">
        <f>(E144*10000*Q144*AU$10)</f>
        <v>204869.23925177415</v>
      </c>
    </row>
    <row r="145" spans="1:53" ht="15" x14ac:dyDescent="0.25">
      <c r="A145" s="10"/>
      <c r="B145" s="9" t="s">
        <v>15</v>
      </c>
      <c r="C145" s="5"/>
      <c r="E145" s="363">
        <f>SUM(E144)</f>
        <v>23.533299999999997</v>
      </c>
      <c r="H145" s="358">
        <f>SUM(D144:H144)</f>
        <v>23.533299999999997</v>
      </c>
      <c r="K145" s="14"/>
      <c r="N145">
        <v>0</v>
      </c>
      <c r="O145" s="20"/>
      <c r="P145" s="20"/>
      <c r="Q145" s="438"/>
      <c r="R145" s="197"/>
      <c r="S145" s="197"/>
      <c r="T145" s="197"/>
      <c r="U145" s="197"/>
    </row>
    <row r="146" spans="1:53" ht="15.75" x14ac:dyDescent="0.25">
      <c r="A146" s="1"/>
      <c r="B146" s="2"/>
      <c r="C146" s="1"/>
      <c r="E146" s="361"/>
      <c r="K146" s="14"/>
      <c r="O146" s="20"/>
      <c r="P146" s="20"/>
      <c r="Q146" s="439"/>
      <c r="R146" s="197"/>
      <c r="S146" s="197"/>
      <c r="T146" s="197"/>
      <c r="U146" s="197"/>
    </row>
    <row r="147" spans="1:53" ht="15" x14ac:dyDescent="0.25">
      <c r="A147" s="1">
        <v>16</v>
      </c>
      <c r="B147" s="2" t="s">
        <v>30</v>
      </c>
      <c r="C147" s="1" t="s">
        <v>8</v>
      </c>
      <c r="D147">
        <v>0</v>
      </c>
      <c r="E147" s="360">
        <v>72.439700000000002</v>
      </c>
      <c r="F147">
        <v>0</v>
      </c>
      <c r="G147">
        <v>0</v>
      </c>
      <c r="H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 s="20"/>
      <c r="P147" s="20"/>
      <c r="Q147" s="438">
        <v>0.68332926359403634</v>
      </c>
      <c r="R147" s="197">
        <v>5.6499999999999995E-2</v>
      </c>
      <c r="S147" s="197">
        <v>1.25</v>
      </c>
      <c r="T147" s="197">
        <v>0.50650413159351704</v>
      </c>
      <c r="U147" s="197">
        <v>0.77519673403474398</v>
      </c>
      <c r="V147" s="20">
        <f t="shared" ref="V147:Y152" si="180">E147*$Q147*$R147*10</f>
        <v>27.967594273624691</v>
      </c>
      <c r="W147" s="20">
        <f t="shared" si="180"/>
        <v>0</v>
      </c>
      <c r="X147" s="20">
        <f t="shared" si="180"/>
        <v>0</v>
      </c>
      <c r="Y147" s="20">
        <f t="shared" si="180"/>
        <v>0</v>
      </c>
      <c r="Z147" s="20">
        <f t="shared" ref="Z147:AC152" si="181">V147*(EXP(1.01-0.34*LN(Z$8))*(1-$T147)+(1*$T147))</f>
        <v>16.684585461748028</v>
      </c>
      <c r="AA147" s="20">
        <f t="shared" si="181"/>
        <v>0</v>
      </c>
      <c r="AB147" s="20">
        <f t="shared" si="181"/>
        <v>0</v>
      </c>
      <c r="AC147" s="20">
        <f t="shared" si="181"/>
        <v>0</v>
      </c>
      <c r="AD147" s="20">
        <f t="shared" ref="AD147:AD152" si="182">SUM(Z147:AC147)</f>
        <v>16.684585461748028</v>
      </c>
      <c r="AE147" s="20">
        <f t="shared" ref="AE147:AH152" si="183">E147*$Q147*$S147*10</f>
        <v>618.75208569966139</v>
      </c>
      <c r="AF147" s="20">
        <f t="shared" si="183"/>
        <v>0</v>
      </c>
      <c r="AG147" s="20">
        <f t="shared" si="183"/>
        <v>0</v>
      </c>
      <c r="AH147" s="20">
        <f t="shared" si="183"/>
        <v>0</v>
      </c>
      <c r="AI147" s="20">
        <f t="shared" ref="AI147:AI152" si="184">AE147*(EXP(1.01-0.34*LN(AI$8))*(1-$U147)+(1*$U147))</f>
        <v>505.04027166223898</v>
      </c>
      <c r="AJ147" s="20">
        <f t="shared" ref="AJ147:AL152" si="185">AF147*(EXP(1.01-0.34*LN(AJ$8))*(1-$T147)+(1*$T147))</f>
        <v>0</v>
      </c>
      <c r="AK147" s="20">
        <f t="shared" si="185"/>
        <v>0</v>
      </c>
      <c r="AL147" s="20">
        <f t="shared" si="185"/>
        <v>0</v>
      </c>
      <c r="AM147" s="20">
        <f t="shared" ref="AM147:AM152" si="186">SUM(AI147:AL147)</f>
        <v>505.04027166223898</v>
      </c>
      <c r="AO147">
        <f t="shared" ref="AO147:AR152" si="187">Z147*AO$10</f>
        <v>18.549922116371455</v>
      </c>
      <c r="AP147">
        <f t="shared" si="187"/>
        <v>0</v>
      </c>
      <c r="AQ147">
        <f t="shared" si="187"/>
        <v>0</v>
      </c>
      <c r="AR147">
        <f t="shared" si="187"/>
        <v>0</v>
      </c>
      <c r="AS147">
        <f t="shared" ref="AS147:AS152" si="188">SUM(AO147:AR147)</f>
        <v>18.549922116371455</v>
      </c>
      <c r="AU147">
        <f t="shared" ref="AU147:AX152" si="189">AI147*AU$10</f>
        <v>561.5037740340772</v>
      </c>
      <c r="AV147">
        <f t="shared" si="189"/>
        <v>0</v>
      </c>
      <c r="AW147">
        <f t="shared" si="189"/>
        <v>0</v>
      </c>
      <c r="AX147">
        <f t="shared" si="189"/>
        <v>0</v>
      </c>
      <c r="AY147">
        <f t="shared" ref="AY147:AY152" si="190">SUM(AU147:AX147)</f>
        <v>561.5037740340772</v>
      </c>
    </row>
    <row r="148" spans="1:53" ht="15" x14ac:dyDescent="0.25">
      <c r="A148" s="1"/>
      <c r="B148" s="2"/>
      <c r="C148" s="1" t="s">
        <v>9</v>
      </c>
      <c r="D148">
        <v>0</v>
      </c>
      <c r="E148" s="360">
        <v>6.3832000000000004</v>
      </c>
      <c r="F148">
        <v>0</v>
      </c>
      <c r="G148">
        <v>0</v>
      </c>
      <c r="H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 s="20"/>
      <c r="P148" s="20"/>
      <c r="Q148" s="438">
        <v>0.69165852718807252</v>
      </c>
      <c r="R148" s="197">
        <v>5.6499999999999995E-2</v>
      </c>
      <c r="S148" s="197">
        <v>1.25</v>
      </c>
      <c r="T148" s="197">
        <v>0.50650413159351704</v>
      </c>
      <c r="U148" s="197">
        <v>0.77519673403474398</v>
      </c>
      <c r="V148" s="20">
        <f t="shared" si="180"/>
        <v>2.4944720115720012</v>
      </c>
      <c r="W148" s="20">
        <f t="shared" si="180"/>
        <v>0</v>
      </c>
      <c r="X148" s="20">
        <f t="shared" si="180"/>
        <v>0</v>
      </c>
      <c r="Y148" s="20">
        <f t="shared" si="180"/>
        <v>0</v>
      </c>
      <c r="Z148" s="20">
        <f t="shared" si="181"/>
        <v>1.4881233992392862</v>
      </c>
      <c r="AA148" s="20">
        <f t="shared" si="181"/>
        <v>0</v>
      </c>
      <c r="AB148" s="20">
        <f t="shared" si="181"/>
        <v>0</v>
      </c>
      <c r="AC148" s="20">
        <f t="shared" si="181"/>
        <v>0</v>
      </c>
      <c r="AD148" s="20">
        <f t="shared" si="182"/>
        <v>1.4881233992392862</v>
      </c>
      <c r="AE148" s="20">
        <f t="shared" si="183"/>
        <v>55.187433884336308</v>
      </c>
      <c r="AF148" s="20">
        <f t="shared" si="183"/>
        <v>0</v>
      </c>
      <c r="AG148" s="20">
        <f t="shared" si="183"/>
        <v>0</v>
      </c>
      <c r="AH148" s="20">
        <f t="shared" si="183"/>
        <v>0</v>
      </c>
      <c r="AI148" s="20">
        <f t="shared" si="184"/>
        <v>45.04530529342879</v>
      </c>
      <c r="AJ148" s="20">
        <f t="shared" si="185"/>
        <v>0</v>
      </c>
      <c r="AK148" s="20">
        <f t="shared" si="185"/>
        <v>0</v>
      </c>
      <c r="AL148" s="20">
        <f t="shared" si="185"/>
        <v>0</v>
      </c>
      <c r="AM148" s="20">
        <f t="shared" si="186"/>
        <v>45.04530529342879</v>
      </c>
      <c r="AO148">
        <f t="shared" si="187"/>
        <v>1.6544955952742382</v>
      </c>
      <c r="AP148">
        <f t="shared" si="187"/>
        <v>0</v>
      </c>
      <c r="AQ148">
        <f t="shared" si="187"/>
        <v>0</v>
      </c>
      <c r="AR148">
        <f t="shared" si="187"/>
        <v>0</v>
      </c>
      <c r="AS148">
        <f t="shared" si="188"/>
        <v>1.6544955952742382</v>
      </c>
      <c r="AU148">
        <f t="shared" si="189"/>
        <v>50.081370425234127</v>
      </c>
      <c r="AV148">
        <f t="shared" si="189"/>
        <v>0</v>
      </c>
      <c r="AW148">
        <f t="shared" si="189"/>
        <v>0</v>
      </c>
      <c r="AX148">
        <f t="shared" si="189"/>
        <v>0</v>
      </c>
      <c r="AY148">
        <f t="shared" si="190"/>
        <v>50.081370425234127</v>
      </c>
    </row>
    <row r="149" spans="1:53" ht="15" x14ac:dyDescent="0.25">
      <c r="A149" s="1"/>
      <c r="B149" s="2"/>
      <c r="C149" s="1" t="s">
        <v>10</v>
      </c>
      <c r="D149">
        <v>0</v>
      </c>
      <c r="E149" s="360">
        <v>0</v>
      </c>
      <c r="F149">
        <v>0</v>
      </c>
      <c r="G149">
        <v>0</v>
      </c>
      <c r="H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 s="20"/>
      <c r="P149" s="20"/>
      <c r="Q149" s="438"/>
      <c r="R149" s="197">
        <v>5.6499999999999995E-2</v>
      </c>
      <c r="S149" s="197">
        <v>1.25</v>
      </c>
      <c r="T149" s="197">
        <v>0.50650413159351704</v>
      </c>
      <c r="U149" s="197">
        <v>0.77519673403474398</v>
      </c>
      <c r="V149" s="20">
        <f t="shared" si="180"/>
        <v>0</v>
      </c>
      <c r="W149" s="20">
        <f t="shared" si="180"/>
        <v>0</v>
      </c>
      <c r="X149" s="20">
        <f t="shared" si="180"/>
        <v>0</v>
      </c>
      <c r="Y149" s="20">
        <f t="shared" si="180"/>
        <v>0</v>
      </c>
      <c r="Z149" s="20">
        <f t="shared" si="181"/>
        <v>0</v>
      </c>
      <c r="AA149" s="20">
        <f t="shared" si="181"/>
        <v>0</v>
      </c>
      <c r="AB149" s="20">
        <f t="shared" si="181"/>
        <v>0</v>
      </c>
      <c r="AC149" s="20">
        <f t="shared" si="181"/>
        <v>0</v>
      </c>
      <c r="AD149" s="20">
        <f t="shared" si="182"/>
        <v>0</v>
      </c>
      <c r="AE149" s="20">
        <f t="shared" si="183"/>
        <v>0</v>
      </c>
      <c r="AF149" s="20">
        <f t="shared" si="183"/>
        <v>0</v>
      </c>
      <c r="AG149" s="20">
        <f t="shared" si="183"/>
        <v>0</v>
      </c>
      <c r="AH149" s="20">
        <f t="shared" si="183"/>
        <v>0</v>
      </c>
      <c r="AI149" s="20">
        <f t="shared" si="184"/>
        <v>0</v>
      </c>
      <c r="AJ149" s="20">
        <f t="shared" si="185"/>
        <v>0</v>
      </c>
      <c r="AK149" s="20">
        <f t="shared" si="185"/>
        <v>0</v>
      </c>
      <c r="AL149" s="20">
        <f t="shared" si="185"/>
        <v>0</v>
      </c>
      <c r="AM149" s="20">
        <f t="shared" si="186"/>
        <v>0</v>
      </c>
      <c r="AO149">
        <f t="shared" si="187"/>
        <v>0</v>
      </c>
      <c r="AP149">
        <f t="shared" si="187"/>
        <v>0</v>
      </c>
      <c r="AQ149">
        <f t="shared" si="187"/>
        <v>0</v>
      </c>
      <c r="AR149">
        <f t="shared" si="187"/>
        <v>0</v>
      </c>
      <c r="AS149">
        <f t="shared" si="188"/>
        <v>0</v>
      </c>
      <c r="AU149">
        <f t="shared" si="189"/>
        <v>0</v>
      </c>
      <c r="AV149">
        <f t="shared" si="189"/>
        <v>0</v>
      </c>
      <c r="AW149">
        <f t="shared" si="189"/>
        <v>0</v>
      </c>
      <c r="AX149">
        <f t="shared" si="189"/>
        <v>0</v>
      </c>
      <c r="AY149">
        <f t="shared" si="190"/>
        <v>0</v>
      </c>
    </row>
    <row r="150" spans="1:53" ht="15" x14ac:dyDescent="0.25">
      <c r="A150" s="1"/>
      <c r="B150" s="2"/>
      <c r="C150" s="1" t="s">
        <v>11</v>
      </c>
      <c r="D150">
        <v>0</v>
      </c>
      <c r="E150" s="360">
        <v>1282.5646999999999</v>
      </c>
      <c r="F150">
        <v>0</v>
      </c>
      <c r="G150">
        <v>0</v>
      </c>
      <c r="H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s="20"/>
      <c r="P150" s="20"/>
      <c r="Q150" s="438">
        <v>0.70831705437614523</v>
      </c>
      <c r="R150" s="197">
        <v>5.6499999999999995E-2</v>
      </c>
      <c r="S150" s="197">
        <v>1.25</v>
      </c>
      <c r="T150" s="197">
        <v>0.50650413159351704</v>
      </c>
      <c r="U150" s="197">
        <v>0.77519673403474398</v>
      </c>
      <c r="V150" s="20">
        <f t="shared" si="180"/>
        <v>513.28128444821562</v>
      </c>
      <c r="W150" s="20">
        <f t="shared" si="180"/>
        <v>0</v>
      </c>
      <c r="X150" s="20">
        <f t="shared" si="180"/>
        <v>0</v>
      </c>
      <c r="Y150" s="20">
        <f t="shared" si="180"/>
        <v>0</v>
      </c>
      <c r="Z150" s="20">
        <f t="shared" si="181"/>
        <v>306.2074403864035</v>
      </c>
      <c r="AA150" s="20">
        <f t="shared" si="181"/>
        <v>0</v>
      </c>
      <c r="AB150" s="20">
        <f t="shared" si="181"/>
        <v>0</v>
      </c>
      <c r="AC150" s="20">
        <f t="shared" si="181"/>
        <v>0</v>
      </c>
      <c r="AD150" s="20">
        <f t="shared" si="182"/>
        <v>306.2074403864035</v>
      </c>
      <c r="AE150" s="20">
        <f t="shared" si="183"/>
        <v>11355.780629385303</v>
      </c>
      <c r="AF150" s="20">
        <f t="shared" si="183"/>
        <v>0</v>
      </c>
      <c r="AG150" s="20">
        <f t="shared" si="183"/>
        <v>0</v>
      </c>
      <c r="AH150" s="20">
        <f t="shared" si="183"/>
        <v>0</v>
      </c>
      <c r="AI150" s="20">
        <f t="shared" si="184"/>
        <v>9268.8601243525191</v>
      </c>
      <c r="AJ150" s="20">
        <f t="shared" si="185"/>
        <v>0</v>
      </c>
      <c r="AK150" s="20">
        <f t="shared" si="185"/>
        <v>0</v>
      </c>
      <c r="AL150" s="20">
        <f t="shared" si="185"/>
        <v>0</v>
      </c>
      <c r="AM150" s="20">
        <f t="shared" si="186"/>
        <v>9268.8601243525191</v>
      </c>
      <c r="AO150">
        <f t="shared" si="187"/>
        <v>340.44143222160341</v>
      </c>
      <c r="AP150">
        <f t="shared" si="187"/>
        <v>0</v>
      </c>
      <c r="AQ150">
        <f t="shared" si="187"/>
        <v>0</v>
      </c>
      <c r="AR150">
        <f t="shared" si="187"/>
        <v>0</v>
      </c>
      <c r="AS150">
        <f t="shared" si="188"/>
        <v>340.44143222160341</v>
      </c>
      <c r="AU150">
        <f t="shared" si="189"/>
        <v>10305.118686255129</v>
      </c>
      <c r="AV150">
        <f t="shared" si="189"/>
        <v>0</v>
      </c>
      <c r="AW150">
        <f t="shared" si="189"/>
        <v>0</v>
      </c>
      <c r="AX150">
        <f t="shared" si="189"/>
        <v>0</v>
      </c>
      <c r="AY150">
        <f t="shared" si="190"/>
        <v>10305.118686255129</v>
      </c>
    </row>
    <row r="151" spans="1:53" ht="15" x14ac:dyDescent="0.25">
      <c r="A151" s="1"/>
      <c r="B151" s="2"/>
      <c r="C151" s="1" t="s">
        <v>12</v>
      </c>
      <c r="D151">
        <v>0</v>
      </c>
      <c r="E151" s="360">
        <v>0</v>
      </c>
      <c r="F151">
        <v>0</v>
      </c>
      <c r="G151">
        <v>0</v>
      </c>
      <c r="H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 s="20"/>
      <c r="P151" s="20"/>
      <c r="Q151" s="438"/>
      <c r="R151" s="197">
        <v>5.6499999999999995E-2</v>
      </c>
      <c r="S151" s="197">
        <v>1.25</v>
      </c>
      <c r="T151" s="197">
        <v>0.50650413159351704</v>
      </c>
      <c r="U151" s="197">
        <v>0.77519673403474398</v>
      </c>
      <c r="V151" s="20">
        <f t="shared" si="180"/>
        <v>0</v>
      </c>
      <c r="W151" s="20">
        <f t="shared" si="180"/>
        <v>0</v>
      </c>
      <c r="X151" s="20">
        <f t="shared" si="180"/>
        <v>0</v>
      </c>
      <c r="Y151" s="20">
        <f t="shared" si="180"/>
        <v>0</v>
      </c>
      <c r="Z151" s="20">
        <f t="shared" si="181"/>
        <v>0</v>
      </c>
      <c r="AA151" s="20">
        <f t="shared" si="181"/>
        <v>0</v>
      </c>
      <c r="AB151" s="20">
        <f t="shared" si="181"/>
        <v>0</v>
      </c>
      <c r="AC151" s="20">
        <f t="shared" si="181"/>
        <v>0</v>
      </c>
      <c r="AD151" s="20">
        <f t="shared" si="182"/>
        <v>0</v>
      </c>
      <c r="AE151" s="20">
        <f t="shared" si="183"/>
        <v>0</v>
      </c>
      <c r="AF151" s="20">
        <f t="shared" si="183"/>
        <v>0</v>
      </c>
      <c r="AG151" s="20">
        <f t="shared" si="183"/>
        <v>0</v>
      </c>
      <c r="AH151" s="20">
        <f t="shared" si="183"/>
        <v>0</v>
      </c>
      <c r="AI151" s="20">
        <f t="shared" si="184"/>
        <v>0</v>
      </c>
      <c r="AJ151" s="20">
        <f t="shared" si="185"/>
        <v>0</v>
      </c>
      <c r="AK151" s="20">
        <f t="shared" si="185"/>
        <v>0</v>
      </c>
      <c r="AL151" s="20">
        <f t="shared" si="185"/>
        <v>0</v>
      </c>
      <c r="AM151" s="20">
        <f t="shared" si="186"/>
        <v>0</v>
      </c>
      <c r="AO151">
        <f t="shared" si="187"/>
        <v>0</v>
      </c>
      <c r="AP151">
        <f t="shared" si="187"/>
        <v>0</v>
      </c>
      <c r="AQ151">
        <f t="shared" si="187"/>
        <v>0</v>
      </c>
      <c r="AR151">
        <f t="shared" si="187"/>
        <v>0</v>
      </c>
      <c r="AS151">
        <f t="shared" si="188"/>
        <v>0</v>
      </c>
      <c r="AU151">
        <f t="shared" si="189"/>
        <v>0</v>
      </c>
      <c r="AV151">
        <f t="shared" si="189"/>
        <v>0</v>
      </c>
      <c r="AW151">
        <f t="shared" si="189"/>
        <v>0</v>
      </c>
      <c r="AX151">
        <f t="shared" si="189"/>
        <v>0</v>
      </c>
      <c r="AY151">
        <f t="shared" si="190"/>
        <v>0</v>
      </c>
    </row>
    <row r="152" spans="1:53" ht="15" x14ac:dyDescent="0.25">
      <c r="A152" s="1"/>
      <c r="B152" s="2"/>
      <c r="C152" s="1" t="s">
        <v>13</v>
      </c>
      <c r="D152">
        <v>0</v>
      </c>
      <c r="E152" s="360">
        <v>29.971499999999999</v>
      </c>
      <c r="F152">
        <v>0</v>
      </c>
      <c r="G152">
        <v>0</v>
      </c>
      <c r="H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20"/>
      <c r="P152" s="20"/>
      <c r="Q152" s="438">
        <v>0.70831705437614534</v>
      </c>
      <c r="R152" s="197"/>
      <c r="S152" s="197">
        <v>1.25</v>
      </c>
      <c r="T152" s="197">
        <v>0.50650413159351704</v>
      </c>
      <c r="U152" s="197">
        <v>0.77519673403474398</v>
      </c>
      <c r="V152" s="20">
        <f t="shared" si="180"/>
        <v>0</v>
      </c>
      <c r="W152" s="20">
        <f t="shared" si="180"/>
        <v>0</v>
      </c>
      <c r="X152" s="20">
        <f t="shared" si="180"/>
        <v>0</v>
      </c>
      <c r="Y152" s="20">
        <f t="shared" si="180"/>
        <v>0</v>
      </c>
      <c r="Z152" s="20">
        <f t="shared" si="181"/>
        <v>0</v>
      </c>
      <c r="AA152" s="20">
        <f t="shared" si="181"/>
        <v>0</v>
      </c>
      <c r="AB152" s="20">
        <f t="shared" si="181"/>
        <v>0</v>
      </c>
      <c r="AC152" s="20">
        <f t="shared" si="181"/>
        <v>0</v>
      </c>
      <c r="AD152" s="20">
        <f t="shared" si="182"/>
        <v>0</v>
      </c>
      <c r="AE152" s="20">
        <f t="shared" si="183"/>
        <v>265.36655744043298</v>
      </c>
      <c r="AF152" s="20">
        <f t="shared" si="183"/>
        <v>0</v>
      </c>
      <c r="AG152" s="20">
        <f t="shared" si="183"/>
        <v>0</v>
      </c>
      <c r="AH152" s="20">
        <f t="shared" si="183"/>
        <v>0</v>
      </c>
      <c r="AI152" s="20">
        <f t="shared" si="184"/>
        <v>216.59853979844573</v>
      </c>
      <c r="AJ152" s="20">
        <f t="shared" si="185"/>
        <v>0</v>
      </c>
      <c r="AK152" s="20">
        <f t="shared" si="185"/>
        <v>0</v>
      </c>
      <c r="AL152" s="20">
        <f t="shared" si="185"/>
        <v>0</v>
      </c>
      <c r="AM152" s="20">
        <f t="shared" si="186"/>
        <v>216.59853979844573</v>
      </c>
      <c r="AO152">
        <f t="shared" si="187"/>
        <v>0</v>
      </c>
      <c r="AP152">
        <f t="shared" si="187"/>
        <v>0</v>
      </c>
      <c r="AQ152">
        <f t="shared" si="187"/>
        <v>0</v>
      </c>
      <c r="AR152">
        <f t="shared" si="187"/>
        <v>0</v>
      </c>
      <c r="AS152">
        <f t="shared" si="188"/>
        <v>0</v>
      </c>
      <c r="AU152">
        <f t="shared" si="189"/>
        <v>240.81425654791195</v>
      </c>
      <c r="AV152">
        <f t="shared" si="189"/>
        <v>0</v>
      </c>
      <c r="AW152">
        <f t="shared" si="189"/>
        <v>0</v>
      </c>
      <c r="AX152">
        <f t="shared" si="189"/>
        <v>0</v>
      </c>
      <c r="AY152">
        <f t="shared" si="190"/>
        <v>240.81425654791195</v>
      </c>
    </row>
    <row r="153" spans="1:53" ht="15" x14ac:dyDescent="0.25">
      <c r="A153" s="7"/>
      <c r="B153" s="8" t="s">
        <v>14</v>
      </c>
      <c r="C153" s="7"/>
      <c r="D153" s="357">
        <f t="shared" ref="D153:H153" si="191">SUM(D147:D152)</f>
        <v>0</v>
      </c>
      <c r="E153" s="363">
        <f>SUM(E147:E152)</f>
        <v>1391.3591000000001</v>
      </c>
      <c r="F153" s="357">
        <f t="shared" si="191"/>
        <v>0</v>
      </c>
      <c r="G153" s="357">
        <f t="shared" si="191"/>
        <v>0</v>
      </c>
      <c r="H153" s="357">
        <f t="shared" si="191"/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 s="20"/>
      <c r="P153" s="20"/>
      <c r="Q153" s="438">
        <v>0.70693966533354236</v>
      </c>
      <c r="R153" s="197"/>
      <c r="S153" s="197"/>
      <c r="T153" s="197"/>
      <c r="U153" s="197"/>
      <c r="BA153" s="319">
        <f>(E153*10000*Q153*AU$10)</f>
        <v>10935741.920149075</v>
      </c>
    </row>
    <row r="154" spans="1:53" ht="15" x14ac:dyDescent="0.25">
      <c r="A154" s="10"/>
      <c r="B154" s="9" t="s">
        <v>15</v>
      </c>
      <c r="C154" s="5"/>
      <c r="E154" s="363">
        <f>SUM(E153)</f>
        <v>1391.3591000000001</v>
      </c>
      <c r="H154" s="358">
        <f>SUM(D153:H153)</f>
        <v>1391.3591000000001</v>
      </c>
      <c r="K154" s="14"/>
      <c r="N154">
        <v>0</v>
      </c>
      <c r="O154" s="20"/>
      <c r="P154" s="20"/>
      <c r="Q154" s="438"/>
      <c r="R154" s="197"/>
      <c r="S154" s="197"/>
      <c r="T154" s="197"/>
      <c r="U154" s="197"/>
    </row>
    <row r="155" spans="1:53" ht="15.75" x14ac:dyDescent="0.25">
      <c r="A155" s="1"/>
      <c r="B155" s="2"/>
      <c r="C155" s="1"/>
      <c r="E155" s="361"/>
      <c r="K155" s="14"/>
      <c r="O155" s="20"/>
      <c r="P155" s="20"/>
      <c r="Q155" s="439"/>
      <c r="R155" s="197"/>
      <c r="S155" s="197"/>
      <c r="T155" s="197"/>
      <c r="U155" s="197"/>
    </row>
    <row r="156" spans="1:53" ht="15" x14ac:dyDescent="0.25">
      <c r="A156" s="1">
        <v>17</v>
      </c>
      <c r="B156" s="2" t="s">
        <v>31</v>
      </c>
      <c r="C156" s="1" t="s">
        <v>8</v>
      </c>
      <c r="D156">
        <v>0</v>
      </c>
      <c r="E156" s="360"/>
      <c r="F156">
        <v>0</v>
      </c>
      <c r="G156">
        <v>0</v>
      </c>
      <c r="H156">
        <v>0</v>
      </c>
      <c r="J156">
        <v>0</v>
      </c>
      <c r="K156" s="14">
        <v>0</v>
      </c>
      <c r="L156">
        <v>0</v>
      </c>
      <c r="M156">
        <v>0</v>
      </c>
      <c r="N156">
        <v>0</v>
      </c>
      <c r="O156" s="20"/>
      <c r="P156" s="20"/>
      <c r="Q156" s="438"/>
      <c r="R156" s="197"/>
      <c r="S156" s="197"/>
      <c r="T156" s="197"/>
      <c r="U156" s="197"/>
      <c r="V156" s="20">
        <f t="shared" ref="V156:Y161" si="192">IF(K156&gt;0,((E156-K156)*$Q156*$R156*10)+(K156*$O$12*$Q156*$R156*10),(E156*$Q156*$R156*10))</f>
        <v>0</v>
      </c>
      <c r="W156" s="20">
        <f t="shared" si="192"/>
        <v>0</v>
      </c>
      <c r="X156" s="20">
        <f t="shared" si="192"/>
        <v>0</v>
      </c>
      <c r="Y156" s="20">
        <f t="shared" si="192"/>
        <v>0</v>
      </c>
      <c r="Z156" s="20">
        <f t="shared" ref="Z156:AC161" si="193">V156*(EXP(1.01-0.34*LN(Z$8))*(1-$T156)+(1*$T156))</f>
        <v>0</v>
      </c>
      <c r="AA156" s="20">
        <f t="shared" si="193"/>
        <v>0</v>
      </c>
      <c r="AB156" s="20">
        <f t="shared" si="193"/>
        <v>0</v>
      </c>
      <c r="AC156" s="20">
        <f t="shared" si="193"/>
        <v>0</v>
      </c>
      <c r="AD156" s="20">
        <f t="shared" ref="AD156:AD161" si="194">SUM(Z156:AC156)</f>
        <v>0</v>
      </c>
      <c r="AE156" s="20">
        <f t="shared" ref="AE156:AH161" si="195">IF(K156&gt;0,((E156-K156)*$Q156*$S156*10)+(K156*$P$12*$Q156*$S156)*10,(E156*$Q156*$S156*10))</f>
        <v>0</v>
      </c>
      <c r="AF156" s="20">
        <f t="shared" si="195"/>
        <v>0</v>
      </c>
      <c r="AG156" s="20">
        <f t="shared" si="195"/>
        <v>0</v>
      </c>
      <c r="AH156" s="20">
        <f t="shared" si="195"/>
        <v>0</v>
      </c>
      <c r="AI156" s="20">
        <f t="shared" ref="AI156:AI161" si="196">AE156*(EXP(1.01-0.34*LN(AI$8))*(1-$U156)+(1*$U156))</f>
        <v>0</v>
      </c>
      <c r="AJ156" s="20">
        <f t="shared" ref="AJ156:AL161" si="197">AF156*(EXP(1.01-0.34*LN(AJ$8))*(1-$T156)+(1*$T156))</f>
        <v>0</v>
      </c>
      <c r="AK156" s="20">
        <f t="shared" si="197"/>
        <v>0</v>
      </c>
      <c r="AL156" s="20">
        <f t="shared" si="197"/>
        <v>0</v>
      </c>
      <c r="AM156" s="20">
        <f t="shared" ref="AM156:AM161" si="198">SUM(AI156:AL156)</f>
        <v>0</v>
      </c>
      <c r="AO156">
        <f t="shared" ref="AO156:AR161" si="199">Z156*AO$10</f>
        <v>0</v>
      </c>
      <c r="AP156">
        <f t="shared" si="199"/>
        <v>0</v>
      </c>
      <c r="AQ156">
        <f t="shared" si="199"/>
        <v>0</v>
      </c>
      <c r="AR156">
        <f t="shared" si="199"/>
        <v>0</v>
      </c>
      <c r="AS156">
        <f t="shared" ref="AS156:AS161" si="200">SUM(AO156:AR156)</f>
        <v>0</v>
      </c>
      <c r="AU156">
        <f t="shared" ref="AU156:AX161" si="201">AI156*AU$10</f>
        <v>0</v>
      </c>
      <c r="AV156">
        <f t="shared" si="201"/>
        <v>0</v>
      </c>
      <c r="AW156">
        <f t="shared" si="201"/>
        <v>0</v>
      </c>
      <c r="AX156">
        <f t="shared" si="201"/>
        <v>0</v>
      </c>
      <c r="AY156">
        <f t="shared" ref="AY156:AY161" si="202">SUM(AU156:AX156)</f>
        <v>0</v>
      </c>
    </row>
    <row r="157" spans="1:53" ht="15" x14ac:dyDescent="0.25">
      <c r="A157" s="1"/>
      <c r="B157" s="2"/>
      <c r="C157" s="1" t="s">
        <v>9</v>
      </c>
      <c r="D157">
        <v>0</v>
      </c>
      <c r="E157" s="360"/>
      <c r="F157">
        <v>0</v>
      </c>
      <c r="G157">
        <v>0</v>
      </c>
      <c r="H157">
        <v>0</v>
      </c>
      <c r="J157">
        <v>0</v>
      </c>
      <c r="K157" s="14">
        <v>0</v>
      </c>
      <c r="L157">
        <v>0</v>
      </c>
      <c r="M157">
        <v>0</v>
      </c>
      <c r="N157">
        <v>0</v>
      </c>
      <c r="O157" s="20"/>
      <c r="P157" s="20"/>
      <c r="Q157" s="438"/>
      <c r="R157" s="197"/>
      <c r="S157" s="197"/>
      <c r="T157" s="197"/>
      <c r="U157" s="197"/>
      <c r="V157" s="20">
        <f t="shared" si="192"/>
        <v>0</v>
      </c>
      <c r="W157" s="20">
        <f t="shared" si="192"/>
        <v>0</v>
      </c>
      <c r="X157" s="20">
        <f t="shared" si="192"/>
        <v>0</v>
      </c>
      <c r="Y157" s="20">
        <f t="shared" si="192"/>
        <v>0</v>
      </c>
      <c r="Z157" s="20">
        <f t="shared" si="193"/>
        <v>0</v>
      </c>
      <c r="AA157" s="20">
        <f t="shared" si="193"/>
        <v>0</v>
      </c>
      <c r="AB157" s="20">
        <f t="shared" si="193"/>
        <v>0</v>
      </c>
      <c r="AC157" s="20">
        <f t="shared" si="193"/>
        <v>0</v>
      </c>
      <c r="AD157" s="20">
        <f t="shared" si="194"/>
        <v>0</v>
      </c>
      <c r="AE157" s="20">
        <f t="shared" si="195"/>
        <v>0</v>
      </c>
      <c r="AF157" s="20">
        <f t="shared" si="195"/>
        <v>0</v>
      </c>
      <c r="AG157" s="20">
        <f t="shared" si="195"/>
        <v>0</v>
      </c>
      <c r="AH157" s="20">
        <f t="shared" si="195"/>
        <v>0</v>
      </c>
      <c r="AI157" s="20">
        <f t="shared" si="196"/>
        <v>0</v>
      </c>
      <c r="AJ157" s="20">
        <f t="shared" si="197"/>
        <v>0</v>
      </c>
      <c r="AK157" s="20">
        <f t="shared" si="197"/>
        <v>0</v>
      </c>
      <c r="AL157" s="20">
        <f t="shared" si="197"/>
        <v>0</v>
      </c>
      <c r="AM157" s="20">
        <f t="shared" si="198"/>
        <v>0</v>
      </c>
      <c r="AO157">
        <f t="shared" si="199"/>
        <v>0</v>
      </c>
      <c r="AP157">
        <f t="shared" si="199"/>
        <v>0</v>
      </c>
      <c r="AQ157">
        <f t="shared" si="199"/>
        <v>0</v>
      </c>
      <c r="AR157">
        <f t="shared" si="199"/>
        <v>0</v>
      </c>
      <c r="AS157">
        <f t="shared" si="200"/>
        <v>0</v>
      </c>
      <c r="AU157">
        <f t="shared" si="201"/>
        <v>0</v>
      </c>
      <c r="AV157">
        <f t="shared" si="201"/>
        <v>0</v>
      </c>
      <c r="AW157">
        <f t="shared" si="201"/>
        <v>0</v>
      </c>
      <c r="AX157">
        <f t="shared" si="201"/>
        <v>0</v>
      </c>
      <c r="AY157">
        <f t="shared" si="202"/>
        <v>0</v>
      </c>
    </row>
    <row r="158" spans="1:53" ht="15" x14ac:dyDescent="0.25">
      <c r="A158" s="1"/>
      <c r="B158" s="2"/>
      <c r="C158" s="1" t="s">
        <v>10</v>
      </c>
      <c r="D158">
        <v>0</v>
      </c>
      <c r="E158" s="360"/>
      <c r="F158">
        <v>0</v>
      </c>
      <c r="G158">
        <v>0</v>
      </c>
      <c r="H158">
        <v>0</v>
      </c>
      <c r="J158">
        <v>0</v>
      </c>
      <c r="K158" s="14">
        <v>0</v>
      </c>
      <c r="L158">
        <v>0</v>
      </c>
      <c r="M158">
        <v>0</v>
      </c>
      <c r="N158">
        <v>0</v>
      </c>
      <c r="O158" s="20"/>
      <c r="P158" s="20"/>
      <c r="Q158" s="438"/>
      <c r="R158" s="197"/>
      <c r="S158" s="197"/>
      <c r="T158" s="197"/>
      <c r="U158" s="197"/>
      <c r="V158" s="20">
        <f t="shared" si="192"/>
        <v>0</v>
      </c>
      <c r="W158" s="20">
        <f t="shared" si="192"/>
        <v>0</v>
      </c>
      <c r="X158" s="20">
        <f t="shared" si="192"/>
        <v>0</v>
      </c>
      <c r="Y158" s="20">
        <f t="shared" si="192"/>
        <v>0</v>
      </c>
      <c r="Z158" s="20">
        <f t="shared" si="193"/>
        <v>0</v>
      </c>
      <c r="AA158" s="20">
        <f t="shared" si="193"/>
        <v>0</v>
      </c>
      <c r="AB158" s="20">
        <f t="shared" si="193"/>
        <v>0</v>
      </c>
      <c r="AC158" s="20">
        <f t="shared" si="193"/>
        <v>0</v>
      </c>
      <c r="AD158" s="20">
        <f t="shared" si="194"/>
        <v>0</v>
      </c>
      <c r="AE158" s="20">
        <f t="shared" si="195"/>
        <v>0</v>
      </c>
      <c r="AF158" s="20">
        <f t="shared" si="195"/>
        <v>0</v>
      </c>
      <c r="AG158" s="20">
        <f t="shared" si="195"/>
        <v>0</v>
      </c>
      <c r="AH158" s="20">
        <f t="shared" si="195"/>
        <v>0</v>
      </c>
      <c r="AI158" s="20">
        <f t="shared" si="196"/>
        <v>0</v>
      </c>
      <c r="AJ158" s="20">
        <f t="shared" si="197"/>
        <v>0</v>
      </c>
      <c r="AK158" s="20">
        <f t="shared" si="197"/>
        <v>0</v>
      </c>
      <c r="AL158" s="20">
        <f t="shared" si="197"/>
        <v>0</v>
      </c>
      <c r="AM158" s="20">
        <f t="shared" si="198"/>
        <v>0</v>
      </c>
      <c r="AO158">
        <f t="shared" si="199"/>
        <v>0</v>
      </c>
      <c r="AP158">
        <f t="shared" si="199"/>
        <v>0</v>
      </c>
      <c r="AQ158">
        <f t="shared" si="199"/>
        <v>0</v>
      </c>
      <c r="AR158">
        <f t="shared" si="199"/>
        <v>0</v>
      </c>
      <c r="AS158">
        <f t="shared" si="200"/>
        <v>0</v>
      </c>
      <c r="AU158">
        <f t="shared" si="201"/>
        <v>0</v>
      </c>
      <c r="AV158">
        <f t="shared" si="201"/>
        <v>0</v>
      </c>
      <c r="AW158">
        <f t="shared" si="201"/>
        <v>0</v>
      </c>
      <c r="AX158">
        <f t="shared" si="201"/>
        <v>0</v>
      </c>
      <c r="AY158">
        <f t="shared" si="202"/>
        <v>0</v>
      </c>
    </row>
    <row r="159" spans="1:53" ht="15" x14ac:dyDescent="0.25">
      <c r="A159" s="1"/>
      <c r="B159" s="2"/>
      <c r="C159" s="1" t="s">
        <v>11</v>
      </c>
      <c r="D159">
        <v>0</v>
      </c>
      <c r="E159" s="360"/>
      <c r="F159">
        <v>0</v>
      </c>
      <c r="G159">
        <v>0</v>
      </c>
      <c r="H159">
        <v>0</v>
      </c>
      <c r="J159">
        <v>0</v>
      </c>
      <c r="K159" s="14">
        <v>0</v>
      </c>
      <c r="L159">
        <v>0</v>
      </c>
      <c r="M159">
        <v>0</v>
      </c>
      <c r="N159">
        <v>0</v>
      </c>
      <c r="O159" s="20"/>
      <c r="P159" s="20"/>
      <c r="Q159" s="438"/>
      <c r="R159" s="197"/>
      <c r="S159" s="197"/>
      <c r="T159" s="197"/>
      <c r="U159" s="197"/>
      <c r="V159" s="20">
        <f t="shared" si="192"/>
        <v>0</v>
      </c>
      <c r="W159" s="20">
        <f t="shared" si="192"/>
        <v>0</v>
      </c>
      <c r="X159" s="20">
        <f t="shared" si="192"/>
        <v>0</v>
      </c>
      <c r="Y159" s="20">
        <f t="shared" si="192"/>
        <v>0</v>
      </c>
      <c r="Z159" s="20">
        <f t="shared" si="193"/>
        <v>0</v>
      </c>
      <c r="AA159" s="20">
        <f t="shared" si="193"/>
        <v>0</v>
      </c>
      <c r="AB159" s="20">
        <f t="shared" si="193"/>
        <v>0</v>
      </c>
      <c r="AC159" s="20">
        <f t="shared" si="193"/>
        <v>0</v>
      </c>
      <c r="AD159" s="20">
        <f t="shared" si="194"/>
        <v>0</v>
      </c>
      <c r="AE159" s="20">
        <f t="shared" si="195"/>
        <v>0</v>
      </c>
      <c r="AF159" s="20">
        <f t="shared" si="195"/>
        <v>0</v>
      </c>
      <c r="AG159" s="20">
        <f t="shared" si="195"/>
        <v>0</v>
      </c>
      <c r="AH159" s="20">
        <f t="shared" si="195"/>
        <v>0</v>
      </c>
      <c r="AI159" s="20">
        <f t="shared" si="196"/>
        <v>0</v>
      </c>
      <c r="AJ159" s="20">
        <f t="shared" si="197"/>
        <v>0</v>
      </c>
      <c r="AK159" s="20">
        <f t="shared" si="197"/>
        <v>0</v>
      </c>
      <c r="AL159" s="20">
        <f t="shared" si="197"/>
        <v>0</v>
      </c>
      <c r="AM159" s="20">
        <f t="shared" si="198"/>
        <v>0</v>
      </c>
      <c r="AO159">
        <f t="shared" si="199"/>
        <v>0</v>
      </c>
      <c r="AP159">
        <f t="shared" si="199"/>
        <v>0</v>
      </c>
      <c r="AQ159">
        <f t="shared" si="199"/>
        <v>0</v>
      </c>
      <c r="AR159">
        <f t="shared" si="199"/>
        <v>0</v>
      </c>
      <c r="AS159">
        <f t="shared" si="200"/>
        <v>0</v>
      </c>
      <c r="AU159">
        <f t="shared" si="201"/>
        <v>0</v>
      </c>
      <c r="AV159">
        <f t="shared" si="201"/>
        <v>0</v>
      </c>
      <c r="AW159">
        <f t="shared" si="201"/>
        <v>0</v>
      </c>
      <c r="AX159">
        <f t="shared" si="201"/>
        <v>0</v>
      </c>
      <c r="AY159">
        <f t="shared" si="202"/>
        <v>0</v>
      </c>
    </row>
    <row r="160" spans="1:53" ht="15" x14ac:dyDescent="0.25">
      <c r="A160" s="1"/>
      <c r="B160" s="2"/>
      <c r="C160" s="1" t="s">
        <v>12</v>
      </c>
      <c r="D160">
        <v>0</v>
      </c>
      <c r="E160" s="360"/>
      <c r="F160">
        <v>0</v>
      </c>
      <c r="G160">
        <v>0</v>
      </c>
      <c r="H160">
        <v>0</v>
      </c>
      <c r="J160">
        <v>0</v>
      </c>
      <c r="K160" s="14">
        <v>0</v>
      </c>
      <c r="L160">
        <v>0</v>
      </c>
      <c r="M160">
        <v>0</v>
      </c>
      <c r="N160">
        <v>0</v>
      </c>
      <c r="O160" s="20"/>
      <c r="P160" s="20"/>
      <c r="Q160" s="438"/>
      <c r="R160" s="197"/>
      <c r="S160" s="197"/>
      <c r="T160" s="197"/>
      <c r="U160" s="197"/>
      <c r="V160" s="20">
        <f t="shared" si="192"/>
        <v>0</v>
      </c>
      <c r="W160" s="20">
        <f t="shared" si="192"/>
        <v>0</v>
      </c>
      <c r="X160" s="20">
        <f t="shared" si="192"/>
        <v>0</v>
      </c>
      <c r="Y160" s="20">
        <f t="shared" si="192"/>
        <v>0</v>
      </c>
      <c r="Z160" s="20">
        <f t="shared" si="193"/>
        <v>0</v>
      </c>
      <c r="AA160" s="20">
        <f t="shared" si="193"/>
        <v>0</v>
      </c>
      <c r="AB160" s="20">
        <f t="shared" si="193"/>
        <v>0</v>
      </c>
      <c r="AC160" s="20">
        <f t="shared" si="193"/>
        <v>0</v>
      </c>
      <c r="AD160" s="20">
        <f t="shared" si="194"/>
        <v>0</v>
      </c>
      <c r="AE160" s="20">
        <f t="shared" si="195"/>
        <v>0</v>
      </c>
      <c r="AF160" s="20">
        <f t="shared" si="195"/>
        <v>0</v>
      </c>
      <c r="AG160" s="20">
        <f t="shared" si="195"/>
        <v>0</v>
      </c>
      <c r="AH160" s="20">
        <f t="shared" si="195"/>
        <v>0</v>
      </c>
      <c r="AI160" s="20">
        <f t="shared" si="196"/>
        <v>0</v>
      </c>
      <c r="AJ160" s="20">
        <f t="shared" si="197"/>
        <v>0</v>
      </c>
      <c r="AK160" s="20">
        <f t="shared" si="197"/>
        <v>0</v>
      </c>
      <c r="AL160" s="20">
        <f t="shared" si="197"/>
        <v>0</v>
      </c>
      <c r="AM160" s="20">
        <f t="shared" si="198"/>
        <v>0</v>
      </c>
      <c r="AO160">
        <f t="shared" si="199"/>
        <v>0</v>
      </c>
      <c r="AP160">
        <f t="shared" si="199"/>
        <v>0</v>
      </c>
      <c r="AQ160">
        <f t="shared" si="199"/>
        <v>0</v>
      </c>
      <c r="AR160">
        <f t="shared" si="199"/>
        <v>0</v>
      </c>
      <c r="AS160">
        <f t="shared" si="200"/>
        <v>0</v>
      </c>
      <c r="AU160">
        <f t="shared" si="201"/>
        <v>0</v>
      </c>
      <c r="AV160">
        <f t="shared" si="201"/>
        <v>0</v>
      </c>
      <c r="AW160">
        <f t="shared" si="201"/>
        <v>0</v>
      </c>
      <c r="AX160">
        <f t="shared" si="201"/>
        <v>0</v>
      </c>
      <c r="AY160">
        <f t="shared" si="202"/>
        <v>0</v>
      </c>
    </row>
    <row r="161" spans="1:53" ht="15" x14ac:dyDescent="0.25">
      <c r="A161" s="1"/>
      <c r="B161" s="2"/>
      <c r="C161" s="1" t="s">
        <v>13</v>
      </c>
      <c r="D161">
        <v>0</v>
      </c>
      <c r="E161" s="360"/>
      <c r="F161">
        <v>0</v>
      </c>
      <c r="G161">
        <v>0</v>
      </c>
      <c r="H161">
        <v>0</v>
      </c>
      <c r="J161">
        <v>0</v>
      </c>
      <c r="K161" s="14">
        <v>0</v>
      </c>
      <c r="L161">
        <v>0</v>
      </c>
      <c r="M161">
        <v>0</v>
      </c>
      <c r="N161">
        <v>0</v>
      </c>
      <c r="O161" s="20"/>
      <c r="P161" s="20"/>
      <c r="Q161" s="438"/>
      <c r="R161" s="197"/>
      <c r="S161" s="197"/>
      <c r="T161" s="197"/>
      <c r="U161" s="197"/>
      <c r="V161" s="20">
        <f t="shared" si="192"/>
        <v>0</v>
      </c>
      <c r="W161" s="20">
        <f t="shared" si="192"/>
        <v>0</v>
      </c>
      <c r="X161" s="20">
        <f t="shared" si="192"/>
        <v>0</v>
      </c>
      <c r="Y161" s="20">
        <f t="shared" si="192"/>
        <v>0</v>
      </c>
      <c r="Z161" s="20">
        <f t="shared" si="193"/>
        <v>0</v>
      </c>
      <c r="AA161" s="20">
        <f t="shared" si="193"/>
        <v>0</v>
      </c>
      <c r="AB161" s="20">
        <f t="shared" si="193"/>
        <v>0</v>
      </c>
      <c r="AC161" s="20">
        <f t="shared" si="193"/>
        <v>0</v>
      </c>
      <c r="AD161" s="20">
        <f t="shared" si="194"/>
        <v>0</v>
      </c>
      <c r="AE161" s="20">
        <f t="shared" si="195"/>
        <v>0</v>
      </c>
      <c r="AF161" s="20">
        <f t="shared" si="195"/>
        <v>0</v>
      </c>
      <c r="AG161" s="20">
        <f t="shared" si="195"/>
        <v>0</v>
      </c>
      <c r="AH161" s="20">
        <f t="shared" si="195"/>
        <v>0</v>
      </c>
      <c r="AI161" s="20">
        <f t="shared" si="196"/>
        <v>0</v>
      </c>
      <c r="AJ161" s="20">
        <f t="shared" si="197"/>
        <v>0</v>
      </c>
      <c r="AK161" s="20">
        <f t="shared" si="197"/>
        <v>0</v>
      </c>
      <c r="AL161" s="20">
        <f t="shared" si="197"/>
        <v>0</v>
      </c>
      <c r="AM161" s="20">
        <f t="shared" si="198"/>
        <v>0</v>
      </c>
      <c r="AO161">
        <f t="shared" si="199"/>
        <v>0</v>
      </c>
      <c r="AP161">
        <f t="shared" si="199"/>
        <v>0</v>
      </c>
      <c r="AQ161">
        <f t="shared" si="199"/>
        <v>0</v>
      </c>
      <c r="AR161">
        <f t="shared" si="199"/>
        <v>0</v>
      </c>
      <c r="AS161">
        <f t="shared" si="200"/>
        <v>0</v>
      </c>
      <c r="AU161">
        <f t="shared" si="201"/>
        <v>0</v>
      </c>
      <c r="AV161">
        <f t="shared" si="201"/>
        <v>0</v>
      </c>
      <c r="AW161">
        <f t="shared" si="201"/>
        <v>0</v>
      </c>
      <c r="AX161">
        <f t="shared" si="201"/>
        <v>0</v>
      </c>
      <c r="AY161">
        <f t="shared" si="202"/>
        <v>0</v>
      </c>
    </row>
    <row r="162" spans="1:53" ht="15" x14ac:dyDescent="0.25">
      <c r="A162" s="7"/>
      <c r="B162" s="8" t="s">
        <v>14</v>
      </c>
      <c r="C162" s="7"/>
      <c r="D162" s="357">
        <f t="shared" ref="D162:H162" si="203">SUM(D156:D161)</f>
        <v>0</v>
      </c>
      <c r="E162" s="363">
        <f>SUM(E156:E161)</f>
        <v>0</v>
      </c>
      <c r="F162" s="357">
        <f t="shared" si="203"/>
        <v>0</v>
      </c>
      <c r="G162" s="357">
        <f t="shared" si="203"/>
        <v>0</v>
      </c>
      <c r="H162" s="357">
        <f t="shared" si="203"/>
        <v>0</v>
      </c>
      <c r="J162">
        <v>0</v>
      </c>
      <c r="K162" s="14">
        <v>0</v>
      </c>
      <c r="L162">
        <v>0</v>
      </c>
      <c r="M162">
        <v>0</v>
      </c>
      <c r="N162">
        <v>0</v>
      </c>
      <c r="O162" s="20"/>
      <c r="P162" s="20"/>
      <c r="Q162" s="438"/>
      <c r="R162" s="197"/>
      <c r="S162" s="197"/>
      <c r="T162" s="197"/>
      <c r="U162" s="197"/>
      <c r="BA162" s="319">
        <f>(E162*10000*Q162*AU$10)</f>
        <v>0</v>
      </c>
    </row>
    <row r="163" spans="1:53" ht="15" x14ac:dyDescent="0.25">
      <c r="A163" s="10"/>
      <c r="B163" s="9" t="s">
        <v>15</v>
      </c>
      <c r="C163" s="5"/>
      <c r="E163" s="363">
        <f>SUM(E162)</f>
        <v>0</v>
      </c>
      <c r="H163" s="358">
        <f>SUM(D162:H162)</f>
        <v>0</v>
      </c>
      <c r="K163" s="14"/>
      <c r="N163">
        <v>0</v>
      </c>
      <c r="O163" s="20"/>
      <c r="P163" s="20"/>
      <c r="Q163" s="438"/>
      <c r="R163" s="197"/>
      <c r="S163" s="197"/>
      <c r="T163" s="197"/>
      <c r="U163" s="197"/>
    </row>
    <row r="164" spans="1:53" ht="15.75" x14ac:dyDescent="0.25">
      <c r="A164" s="1"/>
      <c r="B164" s="2"/>
      <c r="C164" s="1"/>
      <c r="E164" s="361"/>
      <c r="K164" s="14"/>
      <c r="O164" s="20"/>
      <c r="P164" s="20"/>
      <c r="Q164" s="439"/>
      <c r="R164" s="197"/>
      <c r="S164" s="197"/>
      <c r="T164" s="197"/>
      <c r="U164" s="197"/>
    </row>
    <row r="165" spans="1:53" ht="15" x14ac:dyDescent="0.25">
      <c r="A165" s="1">
        <v>18</v>
      </c>
      <c r="B165" s="2" t="s">
        <v>709</v>
      </c>
      <c r="C165" s="1" t="s">
        <v>8</v>
      </c>
      <c r="D165">
        <v>0</v>
      </c>
      <c r="E165" s="360"/>
      <c r="F165">
        <v>0</v>
      </c>
      <c r="G165">
        <v>0</v>
      </c>
      <c r="H165">
        <v>0</v>
      </c>
      <c r="J165">
        <v>0</v>
      </c>
      <c r="K165" s="14">
        <v>0</v>
      </c>
      <c r="L165">
        <v>0</v>
      </c>
      <c r="M165">
        <v>0</v>
      </c>
      <c r="N165">
        <v>0</v>
      </c>
      <c r="O165" s="20"/>
      <c r="P165" s="20"/>
      <c r="Q165" s="438"/>
      <c r="R165" s="197">
        <v>0.66599999999999993</v>
      </c>
      <c r="S165" s="197">
        <v>4.5549999999999997</v>
      </c>
      <c r="T165" s="197">
        <v>0.60039794540960334</v>
      </c>
      <c r="U165" s="197">
        <v>0.90789473684210531</v>
      </c>
      <c r="V165" s="20">
        <f t="shared" ref="V165:Y170" si="204">IF(K165&gt;0,((E165-K165)*$Q165*$R165*10)+(K165*$O$12*$Q165*$R165*10),(E165*$Q165*$R165*10))</f>
        <v>0</v>
      </c>
      <c r="W165" s="20">
        <f t="shared" si="204"/>
        <v>0</v>
      </c>
      <c r="X165" s="20">
        <f t="shared" si="204"/>
        <v>0</v>
      </c>
      <c r="Y165" s="20">
        <f t="shared" si="204"/>
        <v>0</v>
      </c>
      <c r="Z165" s="20">
        <f t="shared" ref="Z165:AC170" si="205">V165*(EXP(1.01-0.34*LN(Z$8))*(1-$T165)+(1*$T165))</f>
        <v>0</v>
      </c>
      <c r="AA165" s="20">
        <f t="shared" si="205"/>
        <v>0</v>
      </c>
      <c r="AB165" s="20">
        <f t="shared" si="205"/>
        <v>0</v>
      </c>
      <c r="AC165" s="20">
        <f t="shared" si="205"/>
        <v>0</v>
      </c>
      <c r="AD165" s="20">
        <f t="shared" ref="AD165:AD170" si="206">SUM(Z165:AC165)</f>
        <v>0</v>
      </c>
      <c r="AE165" s="20">
        <f t="shared" ref="AE165:AH170" si="207">IF(K165&gt;0,((E165-K165)*$Q165*$S165*10)+(K165*$P$12*$Q165*$S165)*10,(E165*$Q165*$S165*10))</f>
        <v>0</v>
      </c>
      <c r="AF165" s="20">
        <f t="shared" si="207"/>
        <v>0</v>
      </c>
      <c r="AG165" s="20">
        <f t="shared" si="207"/>
        <v>0</v>
      </c>
      <c r="AH165" s="20">
        <f t="shared" si="207"/>
        <v>0</v>
      </c>
      <c r="AI165" s="20">
        <f t="shared" ref="AI165:AI170" si="208">AE165*(EXP(1.01-0.34*LN(AI$8))*(1-$U165)+(1*$U165))</f>
        <v>0</v>
      </c>
      <c r="AJ165" s="20">
        <f t="shared" ref="AJ165:AL170" si="209">AF165*(EXP(1.01-0.34*LN(AJ$8))*(1-$T165)+(1*$T165))</f>
        <v>0</v>
      </c>
      <c r="AK165" s="20">
        <f t="shared" si="209"/>
        <v>0</v>
      </c>
      <c r="AL165" s="20">
        <f t="shared" si="209"/>
        <v>0</v>
      </c>
      <c r="AM165" s="20">
        <f t="shared" ref="AM165:AM170" si="210">SUM(AI165:AL165)</f>
        <v>0</v>
      </c>
      <c r="AO165">
        <f t="shared" ref="AO165:AR170" si="211">Z165*AO$10</f>
        <v>0</v>
      </c>
      <c r="AP165">
        <f t="shared" si="211"/>
        <v>0</v>
      </c>
      <c r="AQ165">
        <f t="shared" si="211"/>
        <v>0</v>
      </c>
      <c r="AR165">
        <f t="shared" si="211"/>
        <v>0</v>
      </c>
      <c r="AS165">
        <f t="shared" ref="AS165:AS170" si="212">SUM(AO165:AR165)</f>
        <v>0</v>
      </c>
      <c r="AU165">
        <f t="shared" ref="AU165:AX170" si="213">AI165*AU$10</f>
        <v>0</v>
      </c>
      <c r="AV165">
        <f t="shared" si="213"/>
        <v>0</v>
      </c>
      <c r="AW165">
        <f t="shared" si="213"/>
        <v>0</v>
      </c>
      <c r="AX165">
        <f t="shared" si="213"/>
        <v>0</v>
      </c>
      <c r="AY165">
        <f t="shared" ref="AY165:AY170" si="214">SUM(AU165:AX165)</f>
        <v>0</v>
      </c>
    </row>
    <row r="166" spans="1:53" ht="15" x14ac:dyDescent="0.25">
      <c r="A166" s="1"/>
      <c r="B166" s="2"/>
      <c r="C166" s="1" t="s">
        <v>9</v>
      </c>
      <c r="D166">
        <v>0</v>
      </c>
      <c r="E166" s="360"/>
      <c r="F166">
        <v>0</v>
      </c>
      <c r="G166">
        <v>0</v>
      </c>
      <c r="H166">
        <v>0</v>
      </c>
      <c r="J166">
        <v>0</v>
      </c>
      <c r="K166" s="14">
        <v>0</v>
      </c>
      <c r="L166">
        <v>0</v>
      </c>
      <c r="M166">
        <v>0</v>
      </c>
      <c r="N166">
        <v>0</v>
      </c>
      <c r="O166" s="20"/>
      <c r="P166" s="20"/>
      <c r="Q166" s="438"/>
      <c r="R166" s="197">
        <v>0.66599999999999993</v>
      </c>
      <c r="S166" s="197">
        <v>4.5549999999999997</v>
      </c>
      <c r="T166" s="197">
        <v>0.60039794540960334</v>
      </c>
      <c r="U166" s="197">
        <v>0.90789473684210531</v>
      </c>
      <c r="V166" s="20">
        <f t="shared" si="204"/>
        <v>0</v>
      </c>
      <c r="W166" s="20">
        <f t="shared" si="204"/>
        <v>0</v>
      </c>
      <c r="X166" s="20">
        <f t="shared" si="204"/>
        <v>0</v>
      </c>
      <c r="Y166" s="20">
        <f t="shared" si="204"/>
        <v>0</v>
      </c>
      <c r="Z166" s="20">
        <f t="shared" si="205"/>
        <v>0</v>
      </c>
      <c r="AA166" s="20">
        <f t="shared" si="205"/>
        <v>0</v>
      </c>
      <c r="AB166" s="20">
        <f t="shared" si="205"/>
        <v>0</v>
      </c>
      <c r="AC166" s="20">
        <f t="shared" si="205"/>
        <v>0</v>
      </c>
      <c r="AD166" s="20">
        <f t="shared" si="206"/>
        <v>0</v>
      </c>
      <c r="AE166" s="20">
        <f t="shared" si="207"/>
        <v>0</v>
      </c>
      <c r="AF166" s="20">
        <f t="shared" si="207"/>
        <v>0</v>
      </c>
      <c r="AG166" s="20">
        <f t="shared" si="207"/>
        <v>0</v>
      </c>
      <c r="AH166" s="20">
        <f t="shared" si="207"/>
        <v>0</v>
      </c>
      <c r="AI166" s="20">
        <f t="shared" si="208"/>
        <v>0</v>
      </c>
      <c r="AJ166" s="20">
        <f t="shared" si="209"/>
        <v>0</v>
      </c>
      <c r="AK166" s="20">
        <f t="shared" si="209"/>
        <v>0</v>
      </c>
      <c r="AL166" s="20">
        <f t="shared" si="209"/>
        <v>0</v>
      </c>
      <c r="AM166" s="20">
        <f t="shared" si="210"/>
        <v>0</v>
      </c>
      <c r="AO166">
        <f t="shared" si="211"/>
        <v>0</v>
      </c>
      <c r="AP166">
        <f t="shared" si="211"/>
        <v>0</v>
      </c>
      <c r="AQ166">
        <f t="shared" si="211"/>
        <v>0</v>
      </c>
      <c r="AR166">
        <f t="shared" si="211"/>
        <v>0</v>
      </c>
      <c r="AS166">
        <f t="shared" si="212"/>
        <v>0</v>
      </c>
      <c r="AU166">
        <f t="shared" si="213"/>
        <v>0</v>
      </c>
      <c r="AV166">
        <f t="shared" si="213"/>
        <v>0</v>
      </c>
      <c r="AW166">
        <f t="shared" si="213"/>
        <v>0</v>
      </c>
      <c r="AX166">
        <f t="shared" si="213"/>
        <v>0</v>
      </c>
      <c r="AY166">
        <f t="shared" si="214"/>
        <v>0</v>
      </c>
    </row>
    <row r="167" spans="1:53" ht="15" x14ac:dyDescent="0.25">
      <c r="A167" s="1"/>
      <c r="B167" s="2"/>
      <c r="C167" s="1" t="s">
        <v>10</v>
      </c>
      <c r="D167">
        <v>0</v>
      </c>
      <c r="E167" s="360"/>
      <c r="F167">
        <v>0</v>
      </c>
      <c r="G167">
        <v>0</v>
      </c>
      <c r="H167">
        <v>0</v>
      </c>
      <c r="J167">
        <v>0</v>
      </c>
      <c r="K167" s="14">
        <v>0</v>
      </c>
      <c r="L167">
        <v>0</v>
      </c>
      <c r="M167">
        <v>0</v>
      </c>
      <c r="N167">
        <v>0</v>
      </c>
      <c r="O167" s="20"/>
      <c r="P167" s="20"/>
      <c r="Q167" s="438"/>
      <c r="R167" s="197">
        <v>0.66599999999999993</v>
      </c>
      <c r="S167" s="197">
        <v>4.5549999999999997</v>
      </c>
      <c r="T167" s="197">
        <v>0.60039794540960334</v>
      </c>
      <c r="U167" s="197">
        <v>0.90789473684210531</v>
      </c>
      <c r="V167" s="20">
        <f t="shared" si="204"/>
        <v>0</v>
      </c>
      <c r="W167" s="20">
        <f t="shared" si="204"/>
        <v>0</v>
      </c>
      <c r="X167" s="20">
        <f t="shared" si="204"/>
        <v>0</v>
      </c>
      <c r="Y167" s="20">
        <f t="shared" si="204"/>
        <v>0</v>
      </c>
      <c r="Z167" s="20">
        <f t="shared" si="205"/>
        <v>0</v>
      </c>
      <c r="AA167" s="20">
        <f t="shared" si="205"/>
        <v>0</v>
      </c>
      <c r="AB167" s="20">
        <f t="shared" si="205"/>
        <v>0</v>
      </c>
      <c r="AC167" s="20">
        <f t="shared" si="205"/>
        <v>0</v>
      </c>
      <c r="AD167" s="20">
        <f t="shared" si="206"/>
        <v>0</v>
      </c>
      <c r="AE167" s="20">
        <f t="shared" si="207"/>
        <v>0</v>
      </c>
      <c r="AF167" s="20">
        <f t="shared" si="207"/>
        <v>0</v>
      </c>
      <c r="AG167" s="20">
        <f t="shared" si="207"/>
        <v>0</v>
      </c>
      <c r="AH167" s="20">
        <f t="shared" si="207"/>
        <v>0</v>
      </c>
      <c r="AI167" s="20">
        <f t="shared" si="208"/>
        <v>0</v>
      </c>
      <c r="AJ167" s="20">
        <f t="shared" si="209"/>
        <v>0</v>
      </c>
      <c r="AK167" s="20">
        <f t="shared" si="209"/>
        <v>0</v>
      </c>
      <c r="AL167" s="20">
        <f t="shared" si="209"/>
        <v>0</v>
      </c>
      <c r="AM167" s="20">
        <f t="shared" si="210"/>
        <v>0</v>
      </c>
      <c r="AO167">
        <f t="shared" si="211"/>
        <v>0</v>
      </c>
      <c r="AP167">
        <f t="shared" si="211"/>
        <v>0</v>
      </c>
      <c r="AQ167">
        <f t="shared" si="211"/>
        <v>0</v>
      </c>
      <c r="AR167">
        <f t="shared" si="211"/>
        <v>0</v>
      </c>
      <c r="AS167">
        <f t="shared" si="212"/>
        <v>0</v>
      </c>
      <c r="AU167">
        <f t="shared" si="213"/>
        <v>0</v>
      </c>
      <c r="AV167">
        <f t="shared" si="213"/>
        <v>0</v>
      </c>
      <c r="AW167">
        <f t="shared" si="213"/>
        <v>0</v>
      </c>
      <c r="AX167">
        <f t="shared" si="213"/>
        <v>0</v>
      </c>
      <c r="AY167">
        <f t="shared" si="214"/>
        <v>0</v>
      </c>
    </row>
    <row r="168" spans="1:53" ht="15" x14ac:dyDescent="0.25">
      <c r="A168" s="1"/>
      <c r="B168" s="2"/>
      <c r="C168" s="1" t="s">
        <v>11</v>
      </c>
      <c r="D168">
        <v>0</v>
      </c>
      <c r="E168" s="360">
        <v>137.8776</v>
      </c>
      <c r="F168">
        <v>0</v>
      </c>
      <c r="G168">
        <v>0</v>
      </c>
      <c r="H168">
        <v>0</v>
      </c>
      <c r="J168">
        <v>0</v>
      </c>
      <c r="K168" s="14">
        <v>6.583568409723739E-5</v>
      </c>
      <c r="L168">
        <v>0</v>
      </c>
      <c r="M168">
        <v>0</v>
      </c>
      <c r="N168">
        <v>0</v>
      </c>
      <c r="O168" s="20"/>
      <c r="P168" s="20"/>
      <c r="Q168" s="438">
        <v>0.14860285315448946</v>
      </c>
      <c r="R168" s="197">
        <v>0.66599999999999993</v>
      </c>
      <c r="S168" s="197">
        <v>4.5549999999999997</v>
      </c>
      <c r="T168" s="197">
        <v>0.60039794540960334</v>
      </c>
      <c r="U168" s="197">
        <v>0.90789473684210531</v>
      </c>
      <c r="V168" s="20">
        <f t="shared" si="204"/>
        <v>136.4567304134458</v>
      </c>
      <c r="W168" s="20">
        <f t="shared" si="204"/>
        <v>0</v>
      </c>
      <c r="X168" s="20">
        <f t="shared" si="204"/>
        <v>0</v>
      </c>
      <c r="Y168" s="20">
        <f t="shared" si="204"/>
        <v>0</v>
      </c>
      <c r="Z168" s="20">
        <f t="shared" si="205"/>
        <v>91.879922171373082</v>
      </c>
      <c r="AA168" s="20">
        <f t="shared" si="205"/>
        <v>0</v>
      </c>
      <c r="AB168" s="20">
        <f t="shared" si="205"/>
        <v>0</v>
      </c>
      <c r="AC168" s="20">
        <f t="shared" si="205"/>
        <v>0</v>
      </c>
      <c r="AD168" s="20">
        <f t="shared" si="206"/>
        <v>91.879922171373082</v>
      </c>
      <c r="AE168" s="20">
        <f t="shared" si="207"/>
        <v>933.27397863128294</v>
      </c>
      <c r="AF168" s="20">
        <f t="shared" si="207"/>
        <v>0</v>
      </c>
      <c r="AG168" s="20">
        <f t="shared" si="207"/>
        <v>0</v>
      </c>
      <c r="AH168" s="20">
        <f t="shared" si="207"/>
        <v>0</v>
      </c>
      <c r="AI168" s="20">
        <f t="shared" si="208"/>
        <v>863.00236918648977</v>
      </c>
      <c r="AJ168" s="20">
        <f t="shared" si="209"/>
        <v>0</v>
      </c>
      <c r="AK168" s="20">
        <f t="shared" si="209"/>
        <v>0</v>
      </c>
      <c r="AL168" s="20">
        <f t="shared" si="209"/>
        <v>0</v>
      </c>
      <c r="AM168" s="20">
        <f t="shared" si="210"/>
        <v>863.00236918648977</v>
      </c>
      <c r="AO168">
        <f t="shared" si="211"/>
        <v>102.15209747013259</v>
      </c>
      <c r="AP168">
        <f t="shared" si="211"/>
        <v>0</v>
      </c>
      <c r="AQ168">
        <f t="shared" si="211"/>
        <v>0</v>
      </c>
      <c r="AR168">
        <f t="shared" si="211"/>
        <v>0</v>
      </c>
      <c r="AS168">
        <f t="shared" si="212"/>
        <v>102.15209747013259</v>
      </c>
      <c r="AU168">
        <f t="shared" si="213"/>
        <v>959.48603406153927</v>
      </c>
      <c r="AV168">
        <f t="shared" si="213"/>
        <v>0</v>
      </c>
      <c r="AW168">
        <f t="shared" si="213"/>
        <v>0</v>
      </c>
      <c r="AX168">
        <f t="shared" si="213"/>
        <v>0</v>
      </c>
      <c r="AY168">
        <f t="shared" si="214"/>
        <v>959.48603406153927</v>
      </c>
    </row>
    <row r="169" spans="1:53" ht="15" x14ac:dyDescent="0.25">
      <c r="A169" s="1"/>
      <c r="B169" s="2"/>
      <c r="C169" s="1" t="s">
        <v>12</v>
      </c>
      <c r="D169">
        <v>0</v>
      </c>
      <c r="E169" s="360"/>
      <c r="F169">
        <v>0</v>
      </c>
      <c r="G169">
        <v>0</v>
      </c>
      <c r="H169">
        <v>0</v>
      </c>
      <c r="J169">
        <v>0</v>
      </c>
      <c r="K169" s="14">
        <v>0</v>
      </c>
      <c r="L169">
        <v>0</v>
      </c>
      <c r="M169">
        <v>0</v>
      </c>
      <c r="N169">
        <v>0</v>
      </c>
      <c r="O169" s="20"/>
      <c r="P169" s="20"/>
      <c r="Q169" s="438"/>
      <c r="R169" s="197">
        <v>0.66599999999999993</v>
      </c>
      <c r="S169" s="197">
        <v>4.5549999999999997</v>
      </c>
      <c r="T169" s="197">
        <v>0.60039794540960334</v>
      </c>
      <c r="U169" s="197">
        <v>0.90789473684210531</v>
      </c>
      <c r="V169" s="20">
        <f t="shared" si="204"/>
        <v>0</v>
      </c>
      <c r="W169" s="20">
        <f t="shared" si="204"/>
        <v>0</v>
      </c>
      <c r="X169" s="20">
        <f t="shared" si="204"/>
        <v>0</v>
      </c>
      <c r="Y169" s="20">
        <f t="shared" si="204"/>
        <v>0</v>
      </c>
      <c r="Z169" s="20">
        <f t="shared" si="205"/>
        <v>0</v>
      </c>
      <c r="AA169" s="20">
        <f t="shared" si="205"/>
        <v>0</v>
      </c>
      <c r="AB169" s="20">
        <f t="shared" si="205"/>
        <v>0</v>
      </c>
      <c r="AC169" s="20">
        <f t="shared" si="205"/>
        <v>0</v>
      </c>
      <c r="AD169" s="20">
        <f t="shared" si="206"/>
        <v>0</v>
      </c>
      <c r="AE169" s="20">
        <f t="shared" si="207"/>
        <v>0</v>
      </c>
      <c r="AF169" s="20">
        <f t="shared" si="207"/>
        <v>0</v>
      </c>
      <c r="AG169" s="20">
        <f t="shared" si="207"/>
        <v>0</v>
      </c>
      <c r="AH169" s="20">
        <f t="shared" si="207"/>
        <v>0</v>
      </c>
      <c r="AI169" s="20">
        <f t="shared" si="208"/>
        <v>0</v>
      </c>
      <c r="AJ169" s="20">
        <f t="shared" si="209"/>
        <v>0</v>
      </c>
      <c r="AK169" s="20">
        <f t="shared" si="209"/>
        <v>0</v>
      </c>
      <c r="AL169" s="20">
        <f t="shared" si="209"/>
        <v>0</v>
      </c>
      <c r="AM169" s="20">
        <f t="shared" si="210"/>
        <v>0</v>
      </c>
      <c r="AO169">
        <f t="shared" si="211"/>
        <v>0</v>
      </c>
      <c r="AP169">
        <f t="shared" si="211"/>
        <v>0</v>
      </c>
      <c r="AQ169">
        <f t="shared" si="211"/>
        <v>0</v>
      </c>
      <c r="AR169">
        <f t="shared" si="211"/>
        <v>0</v>
      </c>
      <c r="AS169">
        <f t="shared" si="212"/>
        <v>0</v>
      </c>
      <c r="AU169">
        <f t="shared" si="213"/>
        <v>0</v>
      </c>
      <c r="AV169">
        <f t="shared" si="213"/>
        <v>0</v>
      </c>
      <c r="AW169">
        <f t="shared" si="213"/>
        <v>0</v>
      </c>
      <c r="AX169">
        <f t="shared" si="213"/>
        <v>0</v>
      </c>
      <c r="AY169">
        <f t="shared" si="214"/>
        <v>0</v>
      </c>
    </row>
    <row r="170" spans="1:53" ht="15" x14ac:dyDescent="0.25">
      <c r="A170" s="1"/>
      <c r="B170" s="2"/>
      <c r="C170" s="1" t="s">
        <v>13</v>
      </c>
      <c r="D170">
        <v>0</v>
      </c>
      <c r="E170" s="360"/>
      <c r="F170">
        <v>0</v>
      </c>
      <c r="G170">
        <v>0</v>
      </c>
      <c r="H170">
        <v>0</v>
      </c>
      <c r="J170">
        <v>0</v>
      </c>
      <c r="K170" s="14">
        <v>0</v>
      </c>
      <c r="L170">
        <v>0</v>
      </c>
      <c r="M170">
        <v>0</v>
      </c>
      <c r="N170">
        <v>0</v>
      </c>
      <c r="O170" s="20"/>
      <c r="P170" s="20"/>
      <c r="Q170" s="438"/>
      <c r="R170" s="197">
        <v>0.66599999999999993</v>
      </c>
      <c r="S170" s="197">
        <v>4.5549999999999997</v>
      </c>
      <c r="T170" s="197">
        <v>0.60039794540960334</v>
      </c>
      <c r="U170" s="197">
        <v>0.90789473684210531</v>
      </c>
      <c r="V170" s="20">
        <f t="shared" si="204"/>
        <v>0</v>
      </c>
      <c r="W170" s="20">
        <f t="shared" si="204"/>
        <v>0</v>
      </c>
      <c r="X170" s="20">
        <f t="shared" si="204"/>
        <v>0</v>
      </c>
      <c r="Y170" s="20">
        <f t="shared" si="204"/>
        <v>0</v>
      </c>
      <c r="Z170" s="20">
        <f t="shared" si="205"/>
        <v>0</v>
      </c>
      <c r="AA170" s="20">
        <f t="shared" si="205"/>
        <v>0</v>
      </c>
      <c r="AB170" s="20">
        <f t="shared" si="205"/>
        <v>0</v>
      </c>
      <c r="AC170" s="20">
        <f t="shared" si="205"/>
        <v>0</v>
      </c>
      <c r="AD170" s="20">
        <f t="shared" si="206"/>
        <v>0</v>
      </c>
      <c r="AE170" s="20">
        <f t="shared" si="207"/>
        <v>0</v>
      </c>
      <c r="AF170" s="20">
        <f t="shared" si="207"/>
        <v>0</v>
      </c>
      <c r="AG170" s="20">
        <f t="shared" si="207"/>
        <v>0</v>
      </c>
      <c r="AH170" s="20">
        <f t="shared" si="207"/>
        <v>0</v>
      </c>
      <c r="AI170" s="20">
        <f t="shared" si="208"/>
        <v>0</v>
      </c>
      <c r="AJ170" s="20">
        <f t="shared" si="209"/>
        <v>0</v>
      </c>
      <c r="AK170" s="20">
        <f t="shared" si="209"/>
        <v>0</v>
      </c>
      <c r="AL170" s="20">
        <f t="shared" si="209"/>
        <v>0</v>
      </c>
      <c r="AM170" s="20">
        <f t="shared" si="210"/>
        <v>0</v>
      </c>
      <c r="AO170">
        <f t="shared" si="211"/>
        <v>0</v>
      </c>
      <c r="AP170">
        <f t="shared" si="211"/>
        <v>0</v>
      </c>
      <c r="AQ170">
        <f t="shared" si="211"/>
        <v>0</v>
      </c>
      <c r="AR170">
        <f t="shared" si="211"/>
        <v>0</v>
      </c>
      <c r="AS170">
        <f t="shared" si="212"/>
        <v>0</v>
      </c>
      <c r="AU170">
        <f t="shared" si="213"/>
        <v>0</v>
      </c>
      <c r="AV170">
        <f t="shared" si="213"/>
        <v>0</v>
      </c>
      <c r="AW170">
        <f t="shared" si="213"/>
        <v>0</v>
      </c>
      <c r="AX170">
        <f t="shared" si="213"/>
        <v>0</v>
      </c>
      <c r="AY170">
        <f t="shared" si="214"/>
        <v>0</v>
      </c>
    </row>
    <row r="171" spans="1:53" ht="15" x14ac:dyDescent="0.25">
      <c r="A171" s="7"/>
      <c r="B171" s="8" t="s">
        <v>14</v>
      </c>
      <c r="C171" s="7"/>
      <c r="D171" s="357">
        <f t="shared" ref="D171:H171" si="215">SUM(D165:D170)</f>
        <v>0</v>
      </c>
      <c r="E171" s="363">
        <f>SUM(E165:E170)</f>
        <v>137.8776</v>
      </c>
      <c r="F171" s="357">
        <f t="shared" si="215"/>
        <v>0</v>
      </c>
      <c r="G171" s="357">
        <f t="shared" si="215"/>
        <v>0</v>
      </c>
      <c r="H171" s="357">
        <f t="shared" si="215"/>
        <v>0</v>
      </c>
      <c r="J171">
        <v>0</v>
      </c>
      <c r="K171" s="14">
        <v>6.583568409723739E-5</v>
      </c>
      <c r="L171">
        <v>0</v>
      </c>
      <c r="M171">
        <v>0</v>
      </c>
      <c r="N171">
        <v>0</v>
      </c>
      <c r="O171" s="20"/>
      <c r="P171" s="20"/>
      <c r="Q171" s="438">
        <v>0.14860285315448946</v>
      </c>
      <c r="R171" s="20"/>
      <c r="S171" s="20"/>
      <c r="T171" s="20"/>
      <c r="U171" s="20"/>
      <c r="BA171" s="319">
        <f>(E171*10000*Q171*AU$10)</f>
        <v>227796.7547670668</v>
      </c>
    </row>
    <row r="172" spans="1:53" ht="15" x14ac:dyDescent="0.25">
      <c r="A172" s="1"/>
      <c r="B172" s="9" t="s">
        <v>15</v>
      </c>
      <c r="C172" s="5"/>
      <c r="E172" s="363">
        <f>SUM(E171)</f>
        <v>137.8776</v>
      </c>
      <c r="H172" s="358">
        <f>SUM(D171:H171)</f>
        <v>137.8776</v>
      </c>
      <c r="K172" s="14"/>
      <c r="N172">
        <v>0</v>
      </c>
      <c r="O172" s="20"/>
      <c r="P172" s="20"/>
      <c r="Q172" s="438"/>
      <c r="R172" s="20"/>
      <c r="S172" s="20"/>
      <c r="T172" s="20"/>
      <c r="U172" s="20"/>
    </row>
    <row r="173" spans="1:53" ht="15.75" x14ac:dyDescent="0.25">
      <c r="A173" s="1"/>
      <c r="B173" s="2"/>
      <c r="C173" s="1"/>
      <c r="E173" s="361"/>
      <c r="K173" s="14"/>
      <c r="O173" s="20"/>
      <c r="P173" s="20"/>
      <c r="Q173" s="439"/>
      <c r="R173" s="20"/>
      <c r="S173" s="20"/>
      <c r="T173" s="20"/>
      <c r="U173" s="20"/>
    </row>
    <row r="174" spans="1:53" ht="15" x14ac:dyDescent="0.25">
      <c r="A174" s="1">
        <v>19</v>
      </c>
      <c r="B174" s="154" t="s">
        <v>865</v>
      </c>
      <c r="C174" s="1" t="s">
        <v>8</v>
      </c>
      <c r="D174">
        <v>0</v>
      </c>
      <c r="E174" s="360">
        <v>0</v>
      </c>
      <c r="F174">
        <v>0</v>
      </c>
      <c r="G174">
        <v>0</v>
      </c>
      <c r="H174">
        <v>0</v>
      </c>
      <c r="J174">
        <v>0</v>
      </c>
      <c r="K174" s="14">
        <v>0</v>
      </c>
      <c r="L174">
        <v>0</v>
      </c>
      <c r="M174">
        <v>0</v>
      </c>
      <c r="N174">
        <v>0</v>
      </c>
      <c r="O174" s="20"/>
      <c r="P174" s="20"/>
      <c r="Q174" s="438"/>
      <c r="R174" s="20"/>
      <c r="S174" s="20"/>
      <c r="T174" s="20"/>
      <c r="U174" s="20"/>
    </row>
    <row r="175" spans="1:53" ht="15" x14ac:dyDescent="0.25">
      <c r="A175" s="1"/>
      <c r="B175" s="2"/>
      <c r="C175" s="1" t="s">
        <v>9</v>
      </c>
      <c r="D175">
        <v>0</v>
      </c>
      <c r="E175" s="360">
        <v>0</v>
      </c>
      <c r="F175">
        <v>0</v>
      </c>
      <c r="G175">
        <v>0</v>
      </c>
      <c r="H175">
        <v>0</v>
      </c>
      <c r="J175">
        <v>0</v>
      </c>
      <c r="K175" s="14">
        <v>0</v>
      </c>
      <c r="L175">
        <v>0</v>
      </c>
      <c r="M175">
        <v>0</v>
      </c>
      <c r="N175">
        <v>0</v>
      </c>
      <c r="O175" s="20"/>
      <c r="P175" s="20"/>
      <c r="Q175" s="438"/>
      <c r="R175" s="20"/>
      <c r="S175" s="20"/>
      <c r="T175" s="20"/>
      <c r="U175" s="20"/>
    </row>
    <row r="176" spans="1:53" ht="15" x14ac:dyDescent="0.25">
      <c r="A176" s="1"/>
      <c r="B176" s="2"/>
      <c r="C176" s="1" t="s">
        <v>10</v>
      </c>
      <c r="D176">
        <v>0</v>
      </c>
      <c r="E176" s="360">
        <v>0</v>
      </c>
      <c r="F176">
        <v>0</v>
      </c>
      <c r="G176">
        <v>0</v>
      </c>
      <c r="H176">
        <v>0</v>
      </c>
      <c r="J176">
        <v>0</v>
      </c>
      <c r="K176" s="14">
        <v>0</v>
      </c>
      <c r="L176">
        <v>0</v>
      </c>
      <c r="M176">
        <v>0</v>
      </c>
      <c r="N176">
        <v>0</v>
      </c>
      <c r="O176" s="20"/>
      <c r="P176" s="20"/>
      <c r="Q176" s="438"/>
      <c r="R176" s="20"/>
      <c r="S176" s="20"/>
      <c r="T176" s="20"/>
      <c r="U176" s="20"/>
    </row>
    <row r="177" spans="1:53" ht="15" x14ac:dyDescent="0.25">
      <c r="A177" s="1"/>
      <c r="B177" s="2"/>
      <c r="C177" s="1" t="s">
        <v>11</v>
      </c>
      <c r="D177">
        <v>0</v>
      </c>
      <c r="E177" s="360">
        <v>1.3947290000000001</v>
      </c>
      <c r="F177">
        <v>0</v>
      </c>
      <c r="G177">
        <v>0</v>
      </c>
      <c r="H177">
        <v>0</v>
      </c>
      <c r="J177">
        <v>0</v>
      </c>
      <c r="K177" s="14">
        <v>1.3220211001474524E-6</v>
      </c>
      <c r="L177">
        <v>0</v>
      </c>
      <c r="M177">
        <v>0</v>
      </c>
      <c r="N177">
        <v>0</v>
      </c>
      <c r="O177" s="20"/>
      <c r="P177" s="20"/>
      <c r="Q177" s="438">
        <v>0.90000000000000013</v>
      </c>
      <c r="R177" s="20"/>
      <c r="S177" s="20"/>
      <c r="T177" s="20"/>
      <c r="U177" s="20"/>
    </row>
    <row r="178" spans="1:53" ht="15" x14ac:dyDescent="0.25">
      <c r="A178" s="1"/>
      <c r="B178" s="2"/>
      <c r="C178" s="1" t="s">
        <v>12</v>
      </c>
      <c r="D178">
        <v>0</v>
      </c>
      <c r="E178" s="360">
        <v>0</v>
      </c>
      <c r="F178">
        <v>0</v>
      </c>
      <c r="G178">
        <v>0</v>
      </c>
      <c r="H178">
        <v>0</v>
      </c>
      <c r="J178">
        <v>0</v>
      </c>
      <c r="K178" s="14">
        <v>0</v>
      </c>
      <c r="L178">
        <v>0</v>
      </c>
      <c r="M178">
        <v>0</v>
      </c>
      <c r="N178">
        <v>0</v>
      </c>
      <c r="O178" s="20"/>
      <c r="P178" s="20"/>
      <c r="Q178" s="438"/>
      <c r="R178" s="20"/>
      <c r="S178" s="20"/>
      <c r="T178" s="20"/>
      <c r="U178" s="20"/>
    </row>
    <row r="179" spans="1:53" ht="15" x14ac:dyDescent="0.25">
      <c r="A179" s="1"/>
      <c r="B179" s="2"/>
      <c r="C179" s="1" t="s">
        <v>13</v>
      </c>
      <c r="D179">
        <v>0</v>
      </c>
      <c r="E179" s="360">
        <v>99.678190000000001</v>
      </c>
      <c r="F179">
        <v>0</v>
      </c>
      <c r="G179">
        <v>0</v>
      </c>
      <c r="H179">
        <v>0</v>
      </c>
      <c r="J179">
        <v>0</v>
      </c>
      <c r="K179" s="14">
        <v>8.7469220872549158E-5</v>
      </c>
      <c r="L179">
        <v>0</v>
      </c>
      <c r="M179">
        <v>0</v>
      </c>
      <c r="N179">
        <v>0</v>
      </c>
      <c r="O179" s="20"/>
      <c r="P179" s="20"/>
      <c r="Q179" s="438">
        <v>0.90000000000000013</v>
      </c>
      <c r="R179" s="20"/>
      <c r="S179" s="20"/>
      <c r="T179" s="20"/>
      <c r="U179" s="20"/>
    </row>
    <row r="180" spans="1:53" ht="15" x14ac:dyDescent="0.25">
      <c r="A180" s="7"/>
      <c r="B180" s="8" t="s">
        <v>14</v>
      </c>
      <c r="C180" s="7"/>
      <c r="D180" s="357">
        <f t="shared" ref="D180:H180" si="216">SUM(D174:D179)</f>
        <v>0</v>
      </c>
      <c r="E180" s="363">
        <f>SUM(E174:E179)</f>
        <v>101.072919</v>
      </c>
      <c r="F180" s="357">
        <f t="shared" si="216"/>
        <v>0</v>
      </c>
      <c r="G180" s="357">
        <f t="shared" si="216"/>
        <v>0</v>
      </c>
      <c r="H180" s="357">
        <f t="shared" si="216"/>
        <v>0</v>
      </c>
      <c r="J180">
        <v>0</v>
      </c>
      <c r="K180">
        <v>0</v>
      </c>
      <c r="L180">
        <v>0</v>
      </c>
      <c r="M180">
        <v>0</v>
      </c>
      <c r="N180">
        <v>0</v>
      </c>
      <c r="Q180" s="438">
        <v>0.9</v>
      </c>
      <c r="BA180" s="319">
        <f>(E180*10000*Q180*AU$10)</f>
        <v>1011355.8420977999</v>
      </c>
    </row>
    <row r="181" spans="1:53" ht="15" x14ac:dyDescent="0.25">
      <c r="A181" s="5"/>
      <c r="B181" s="9" t="s">
        <v>15</v>
      </c>
      <c r="C181" s="5"/>
      <c r="E181" s="363">
        <f>SUM(E180)</f>
        <v>101.072919</v>
      </c>
      <c r="H181" s="358">
        <f>SUM(D180:H180)</f>
        <v>101.072919</v>
      </c>
      <c r="N181">
        <v>0</v>
      </c>
    </row>
    <row r="182" spans="1:53" s="79" customFormat="1" ht="15" x14ac:dyDescent="0.25">
      <c r="A182" s="199"/>
      <c r="B182" s="198" t="s">
        <v>661</v>
      </c>
      <c r="C182" s="199"/>
    </row>
    <row r="183" spans="1:53" x14ac:dyDescent="0.2">
      <c r="E183" s="14">
        <f>SUM(E180,E171,E162,E153,E144,E135,E126,E117,E108,E99,E90,E81,E72,E63,E54,E45,E36,E27,E18,)</f>
        <v>2788.5663690000001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BA183"/>
  <sheetViews>
    <sheetView defaultGridColor="0" colorId="11" zoomScale="75" workbookViewId="0">
      <pane xSplit="3" topLeftCell="D1" activePane="topRight" state="frozen"/>
      <selection pane="topRight" activeCell="BA12" sqref="BA12:BA180"/>
    </sheetView>
  </sheetViews>
  <sheetFormatPr defaultRowHeight="12.75" x14ac:dyDescent="0.2"/>
  <cols>
    <col min="2" max="2" width="26.42578125" bestFit="1" customWidth="1"/>
    <col min="4" max="8" width="13.7109375" customWidth="1"/>
    <col min="10" max="14" width="13.5703125" customWidth="1"/>
    <col min="15" max="15" width="12" bestFit="1" customWidth="1"/>
    <col min="17" max="17" width="15.7109375" style="108" bestFit="1" customWidth="1"/>
    <col min="18" max="19" width="12" bestFit="1" customWidth="1"/>
    <col min="20" max="21" width="12" customWidth="1"/>
    <col min="22" max="25" width="11.5703125" customWidth="1"/>
    <col min="26" max="29" width="10.7109375" customWidth="1"/>
    <col min="30" max="30" width="11.42578125" customWidth="1"/>
    <col min="31" max="34" width="13.42578125" customWidth="1"/>
    <col min="35" max="39" width="10.85546875" customWidth="1"/>
    <col min="45" max="45" width="28.140625" customWidth="1"/>
    <col min="51" max="51" width="28.42578125" customWidth="1"/>
  </cols>
  <sheetData>
    <row r="1" spans="1:53" ht="15" x14ac:dyDescent="0.25">
      <c r="A1" s="15"/>
      <c r="B1" s="16"/>
    </row>
    <row r="2" spans="1:53" ht="15" x14ac:dyDescent="0.25">
      <c r="A2" s="15"/>
      <c r="B2" s="16"/>
      <c r="V2" s="99"/>
      <c r="W2" s="99"/>
      <c r="X2" s="99"/>
      <c r="Y2" s="99"/>
      <c r="Z2" s="26"/>
      <c r="AA2" s="26"/>
      <c r="AB2" s="26"/>
      <c r="AC2" s="26"/>
      <c r="AD2" s="26"/>
      <c r="AE2" s="28"/>
      <c r="AF2" s="28"/>
      <c r="AG2" s="28"/>
      <c r="AH2" s="28"/>
      <c r="AI2" s="124"/>
      <c r="AJ2" s="124"/>
      <c r="AK2" s="124"/>
      <c r="AL2" s="124"/>
      <c r="AM2" s="124"/>
    </row>
    <row r="3" spans="1:53" ht="81" x14ac:dyDescent="0.25">
      <c r="B3" s="16"/>
      <c r="D3" s="179" t="s">
        <v>788</v>
      </c>
      <c r="E3" s="179"/>
      <c r="F3" s="179"/>
      <c r="G3" s="179"/>
      <c r="H3" s="179"/>
      <c r="J3" s="181" t="s">
        <v>789</v>
      </c>
      <c r="K3" s="181"/>
      <c r="L3" s="181"/>
      <c r="M3" s="181"/>
      <c r="N3" s="181"/>
      <c r="V3" s="99" t="s">
        <v>534</v>
      </c>
      <c r="W3" s="99"/>
      <c r="X3" s="99"/>
      <c r="Y3" s="99"/>
      <c r="Z3" s="26" t="s">
        <v>535</v>
      </c>
      <c r="AA3" s="26"/>
      <c r="AB3" s="26"/>
      <c r="AC3" s="26"/>
      <c r="AD3" s="125"/>
      <c r="AE3" s="28" t="s">
        <v>536</v>
      </c>
      <c r="AF3" s="28"/>
      <c r="AG3" s="28"/>
      <c r="AH3" s="28"/>
      <c r="AI3" s="124" t="s">
        <v>537</v>
      </c>
      <c r="AJ3" s="131"/>
      <c r="AK3" s="131"/>
      <c r="AL3" s="131"/>
      <c r="AM3" s="131"/>
    </row>
    <row r="4" spans="1:53" ht="15.75" x14ac:dyDescent="0.25">
      <c r="D4" s="180"/>
      <c r="E4" s="180"/>
      <c r="F4" s="180"/>
      <c r="G4" s="180"/>
      <c r="H4" s="180"/>
      <c r="J4" s="314" t="s">
        <v>793</v>
      </c>
      <c r="K4" s="182"/>
      <c r="L4" s="182"/>
      <c r="M4" s="182"/>
      <c r="N4" s="182"/>
      <c r="V4" s="101" t="s">
        <v>40</v>
      </c>
      <c r="W4" s="101"/>
      <c r="X4" s="101"/>
      <c r="Y4" s="101"/>
      <c r="Z4" s="27" t="s">
        <v>40</v>
      </c>
      <c r="AA4" s="27"/>
      <c r="AB4" s="27"/>
      <c r="AC4" s="27"/>
      <c r="AD4" s="126"/>
      <c r="AE4" s="30" t="s">
        <v>40</v>
      </c>
      <c r="AF4" s="30"/>
      <c r="AG4" s="30"/>
      <c r="AH4" s="30"/>
      <c r="AI4" s="132" t="s">
        <v>40</v>
      </c>
      <c r="AJ4" s="133"/>
      <c r="AK4" s="133"/>
      <c r="AL4" s="133"/>
      <c r="AM4" s="133"/>
    </row>
    <row r="5" spans="1:53" ht="94.5" x14ac:dyDescent="0.25">
      <c r="A5" s="1"/>
      <c r="B5" s="2"/>
      <c r="C5" s="3"/>
      <c r="D5" s="103"/>
      <c r="E5" s="229"/>
      <c r="F5" s="229"/>
      <c r="G5" s="229"/>
      <c r="H5" s="229"/>
      <c r="J5" s="115"/>
      <c r="K5" s="232"/>
      <c r="L5" s="232"/>
      <c r="M5" s="232"/>
      <c r="N5" s="232"/>
      <c r="V5" s="103"/>
      <c r="W5" s="103"/>
      <c r="X5" s="103"/>
      <c r="Y5" s="103"/>
      <c r="Z5" s="93"/>
      <c r="AA5" s="236"/>
      <c r="AB5" s="236"/>
      <c r="AC5" s="236"/>
      <c r="AD5" s="127"/>
      <c r="AE5" s="90"/>
      <c r="AF5" s="90"/>
      <c r="AG5" s="90"/>
      <c r="AH5" s="90"/>
      <c r="AI5" s="134"/>
      <c r="AJ5" s="135"/>
      <c r="AK5" s="135"/>
      <c r="AL5" s="135"/>
      <c r="AM5" s="135"/>
      <c r="AO5" s="240" t="s">
        <v>727</v>
      </c>
      <c r="AP5" s="241"/>
      <c r="AQ5" s="241"/>
      <c r="AR5" s="241"/>
      <c r="AS5" s="242" t="s">
        <v>727</v>
      </c>
      <c r="AU5" s="244" t="s">
        <v>728</v>
      </c>
      <c r="AV5" s="245"/>
      <c r="AW5" s="245"/>
      <c r="AX5" s="245"/>
      <c r="AY5" s="246" t="s">
        <v>728</v>
      </c>
    </row>
    <row r="6" spans="1:53" ht="39" x14ac:dyDescent="0.25">
      <c r="A6" s="1"/>
      <c r="B6" s="2" t="s">
        <v>0</v>
      </c>
      <c r="C6" s="3"/>
      <c r="D6" s="234"/>
      <c r="E6" s="234" t="s">
        <v>862</v>
      </c>
      <c r="F6" s="234"/>
      <c r="G6" s="234"/>
      <c r="H6" s="234"/>
      <c r="J6" s="117"/>
      <c r="K6" s="117" t="s">
        <v>862</v>
      </c>
      <c r="L6" s="117"/>
      <c r="M6" s="117"/>
      <c r="N6" s="117"/>
      <c r="O6" s="17" t="s">
        <v>35</v>
      </c>
      <c r="P6" s="18"/>
      <c r="Q6" s="146">
        <v>2007</v>
      </c>
      <c r="R6" s="22" t="s">
        <v>38</v>
      </c>
      <c r="S6" s="22" t="s">
        <v>39</v>
      </c>
      <c r="T6" s="196" t="s">
        <v>659</v>
      </c>
      <c r="U6" s="196" t="s">
        <v>660</v>
      </c>
      <c r="V6" s="105" t="s">
        <v>862</v>
      </c>
      <c r="W6" s="105"/>
      <c r="X6" s="105"/>
      <c r="Y6" s="105"/>
      <c r="Z6" s="78" t="s">
        <v>862</v>
      </c>
      <c r="AA6" s="78"/>
      <c r="AB6" s="78"/>
      <c r="AC6" s="78"/>
      <c r="AD6" s="128" t="s">
        <v>42</v>
      </c>
      <c r="AE6" s="72" t="s">
        <v>862</v>
      </c>
      <c r="AF6" s="72"/>
      <c r="AG6" s="72"/>
      <c r="AH6" s="72"/>
      <c r="AI6" s="137" t="s">
        <v>862</v>
      </c>
      <c r="AJ6" s="137"/>
      <c r="AK6" s="137"/>
      <c r="AL6" s="137"/>
      <c r="AM6" s="137"/>
      <c r="AO6" s="118" t="s">
        <v>862</v>
      </c>
      <c r="AP6" s="118"/>
      <c r="AQ6" s="118"/>
      <c r="AR6" s="118"/>
      <c r="AS6" s="129"/>
      <c r="AU6" s="118" t="s">
        <v>862</v>
      </c>
      <c r="AV6" s="118"/>
      <c r="AW6" s="118"/>
      <c r="AX6" s="118"/>
      <c r="AY6" s="247"/>
    </row>
    <row r="7" spans="1:53" ht="26.25" x14ac:dyDescent="0.25">
      <c r="A7" s="1"/>
      <c r="B7" s="2" t="s">
        <v>1</v>
      </c>
      <c r="C7" s="2"/>
      <c r="D7" s="107"/>
      <c r="E7" s="107"/>
      <c r="F7" s="107"/>
      <c r="G7" s="107"/>
      <c r="H7" s="107"/>
      <c r="J7" s="119"/>
      <c r="K7" s="233"/>
      <c r="L7" s="233"/>
      <c r="M7" s="233"/>
      <c r="N7" s="233"/>
      <c r="O7" s="21" t="s">
        <v>36</v>
      </c>
      <c r="P7" s="21" t="s">
        <v>37</v>
      </c>
      <c r="Q7" s="148" t="s">
        <v>538</v>
      </c>
      <c r="R7" s="22"/>
      <c r="S7" s="22"/>
      <c r="T7" s="22"/>
      <c r="U7" s="22"/>
      <c r="V7" s="107"/>
      <c r="W7" s="107"/>
      <c r="X7" s="107"/>
      <c r="Y7" s="107"/>
      <c r="Z7" s="237"/>
      <c r="AA7" s="237"/>
      <c r="AB7" s="237"/>
      <c r="AC7" s="237"/>
      <c r="AD7" s="129"/>
      <c r="AE7" s="91"/>
      <c r="AF7" s="91"/>
      <c r="AG7" s="91"/>
      <c r="AH7" s="91"/>
      <c r="AI7" s="139"/>
      <c r="AJ7" s="139"/>
      <c r="AK7" s="139"/>
      <c r="AL7" s="139"/>
      <c r="AM7" s="139"/>
      <c r="AS7" s="129"/>
      <c r="AY7" s="247"/>
      <c r="BA7" t="s">
        <v>864</v>
      </c>
    </row>
    <row r="8" spans="1:53" ht="15.75" x14ac:dyDescent="0.25">
      <c r="A8" s="1"/>
      <c r="B8" s="2" t="s">
        <v>4</v>
      </c>
      <c r="C8" s="2"/>
      <c r="D8" s="107"/>
      <c r="E8" s="230"/>
      <c r="F8" s="230"/>
      <c r="G8" s="230"/>
      <c r="H8" s="230"/>
      <c r="J8" s="183"/>
      <c r="K8" s="183"/>
      <c r="L8" s="183"/>
      <c r="M8" s="183"/>
      <c r="N8" s="183"/>
      <c r="O8" s="20"/>
      <c r="P8" s="20"/>
      <c r="Q8" s="145"/>
      <c r="R8" s="20"/>
      <c r="S8" s="20"/>
      <c r="T8" s="20"/>
      <c r="U8" s="20"/>
      <c r="V8" s="107"/>
      <c r="W8" s="107"/>
      <c r="X8" s="107"/>
      <c r="Y8" s="107"/>
      <c r="Z8" s="237">
        <v>2903</v>
      </c>
      <c r="AA8" s="237">
        <v>2903</v>
      </c>
      <c r="AB8" s="237">
        <v>2903</v>
      </c>
      <c r="AC8" s="237">
        <v>2903</v>
      </c>
      <c r="AD8" s="129"/>
      <c r="AE8" s="91"/>
      <c r="AF8" s="91"/>
      <c r="AG8" s="91"/>
      <c r="AH8" s="91"/>
      <c r="AI8" s="237">
        <v>2903</v>
      </c>
      <c r="AJ8" s="237">
        <v>2903</v>
      </c>
      <c r="AK8" s="237">
        <v>2903</v>
      </c>
      <c r="AL8" s="237">
        <v>2903</v>
      </c>
      <c r="AM8" s="139"/>
      <c r="AS8" s="129"/>
      <c r="AY8" s="247"/>
    </row>
    <row r="9" spans="1:53" ht="15.75" x14ac:dyDescent="0.25">
      <c r="A9" s="1"/>
      <c r="B9" s="15" t="s">
        <v>558</v>
      </c>
      <c r="C9" s="2"/>
      <c r="D9" s="109"/>
      <c r="E9" s="231"/>
      <c r="F9" s="231"/>
      <c r="G9" s="231"/>
      <c r="H9" s="231"/>
      <c r="J9" s="119"/>
      <c r="K9" s="233"/>
      <c r="L9" s="233"/>
      <c r="M9" s="233"/>
      <c r="N9" s="233"/>
      <c r="O9" s="21"/>
      <c r="P9" s="21"/>
      <c r="Q9" s="145"/>
      <c r="R9" s="20"/>
      <c r="S9" s="20"/>
      <c r="T9" s="20"/>
      <c r="U9" s="20"/>
      <c r="V9" s="109"/>
      <c r="W9" s="109"/>
      <c r="X9" s="109"/>
      <c r="Y9" s="109"/>
      <c r="Z9" s="238"/>
      <c r="AA9" s="238"/>
      <c r="AB9" s="238"/>
      <c r="AC9" s="238"/>
      <c r="AD9" s="129"/>
      <c r="AE9" s="92"/>
      <c r="AF9" s="92"/>
      <c r="AG9" s="92"/>
      <c r="AH9" s="92"/>
      <c r="AI9" s="139"/>
      <c r="AJ9" s="139"/>
      <c r="AK9" s="139"/>
      <c r="AL9" s="139"/>
      <c r="AM9" s="139"/>
      <c r="AO9" s="239">
        <v>2007</v>
      </c>
      <c r="AP9" s="239">
        <v>2007</v>
      </c>
      <c r="AQ9" s="239">
        <v>2007</v>
      </c>
      <c r="AR9" s="239">
        <v>2007</v>
      </c>
      <c r="AS9" s="243">
        <v>2007</v>
      </c>
      <c r="AU9" s="239">
        <v>2007</v>
      </c>
      <c r="AV9" s="239">
        <v>2007</v>
      </c>
      <c r="AW9" s="239">
        <v>2007</v>
      </c>
      <c r="AX9" s="239">
        <v>2007</v>
      </c>
      <c r="AY9" s="248">
        <v>2007</v>
      </c>
    </row>
    <row r="10" spans="1:53" ht="15" x14ac:dyDescent="0.2">
      <c r="B10" s="15" t="s">
        <v>726</v>
      </c>
      <c r="AO10" s="356">
        <v>1.0135000000000001</v>
      </c>
      <c r="AP10" s="356">
        <v>1.0135000000000001</v>
      </c>
      <c r="AQ10" s="356">
        <v>1.0135000000000001</v>
      </c>
      <c r="AR10" s="356">
        <v>1.0135000000000001</v>
      </c>
      <c r="AU10" s="356">
        <v>1.0135000000000001</v>
      </c>
      <c r="AV10" s="356">
        <v>1.0135000000000001</v>
      </c>
      <c r="AW10" s="356">
        <v>1.0135000000000001</v>
      </c>
      <c r="AX10" s="356">
        <v>1.0135000000000001</v>
      </c>
    </row>
    <row r="11" spans="1:53" ht="27" x14ac:dyDescent="0.25">
      <c r="A11" s="1"/>
      <c r="B11" s="2" t="s">
        <v>5</v>
      </c>
      <c r="C11" s="4" t="s">
        <v>6</v>
      </c>
      <c r="D11" s="107"/>
      <c r="E11" s="230"/>
      <c r="F11" s="230"/>
      <c r="G11" s="230"/>
      <c r="H11" s="230"/>
      <c r="J11" s="183"/>
      <c r="K11" s="183"/>
      <c r="L11" s="183"/>
      <c r="M11" s="183"/>
      <c r="N11" s="183"/>
      <c r="O11" s="20"/>
      <c r="P11" s="20"/>
      <c r="Q11" s="147"/>
      <c r="R11" s="20"/>
      <c r="S11" s="20"/>
      <c r="T11" s="20"/>
      <c r="U11" s="20"/>
      <c r="V11" s="230"/>
      <c r="W11" s="230"/>
      <c r="X11" s="230"/>
      <c r="Y11" s="230"/>
      <c r="Z11" s="130"/>
      <c r="AA11" s="130"/>
      <c r="AB11" s="130"/>
      <c r="AC11" s="130"/>
      <c r="AD11" s="129"/>
      <c r="AE11" s="91"/>
      <c r="AF11" s="91"/>
      <c r="AG11" s="91"/>
      <c r="AH11" s="91"/>
      <c r="AI11" s="139"/>
      <c r="AJ11" s="139"/>
      <c r="AK11" s="139"/>
      <c r="AL11" s="139"/>
      <c r="AM11" s="139"/>
    </row>
    <row r="12" spans="1:53" ht="15" x14ac:dyDescent="0.25">
      <c r="A12" s="1">
        <v>1</v>
      </c>
      <c r="B12" s="2" t="s">
        <v>7</v>
      </c>
      <c r="C12" s="3" t="s">
        <v>8</v>
      </c>
      <c r="D12">
        <v>0</v>
      </c>
      <c r="E12" s="360">
        <v>47.0105</v>
      </c>
      <c r="F12">
        <v>0</v>
      </c>
      <c r="G12">
        <v>0</v>
      </c>
      <c r="H12">
        <v>0</v>
      </c>
      <c r="J12">
        <v>0</v>
      </c>
      <c r="K12" s="14">
        <v>37.234618939624283</v>
      </c>
      <c r="L12">
        <v>0</v>
      </c>
      <c r="M12">
        <v>0</v>
      </c>
      <c r="N12">
        <v>0</v>
      </c>
      <c r="O12" s="20">
        <v>0.36775204520040022</v>
      </c>
      <c r="P12" s="20">
        <v>0.57913019816794442</v>
      </c>
      <c r="Q12" s="436">
        <v>5.6534641458355094E-2</v>
      </c>
      <c r="R12" s="197">
        <v>0.17699999999999999</v>
      </c>
      <c r="S12" s="197">
        <v>1.77</v>
      </c>
      <c r="T12" s="197">
        <v>0.50078889239507718</v>
      </c>
      <c r="U12" s="197">
        <v>0.75268470790377973</v>
      </c>
      <c r="V12" s="20">
        <f>IF(K12&gt;0,((E12-K12)*$Q12*$R12*10)+(K12*$O$12*$Q12*$R12*10),(E12*$Q12*$R12*10))</f>
        <v>2.3484551876774162</v>
      </c>
      <c r="W12" s="20">
        <f t="shared" ref="V12:Y17" si="0">IF(L12&gt;0,((F12-L12)*$Q12*$R12*10)+(L12*$O$12*$Q12*$R12*10),(F12*$Q12*$R12*10))</f>
        <v>0</v>
      </c>
      <c r="X12" s="20">
        <f t="shared" si="0"/>
        <v>0</v>
      </c>
      <c r="Y12" s="20">
        <f t="shared" si="0"/>
        <v>0</v>
      </c>
      <c r="Z12" s="20">
        <f t="shared" ref="Z12:AC17" si="1">V12*(EXP(1.01-0.34*LN(Z$8))*(1-$T12)+(1*$T12))</f>
        <v>1.3900419290259118</v>
      </c>
      <c r="AA12" s="20">
        <f t="shared" si="1"/>
        <v>0</v>
      </c>
      <c r="AB12" s="20">
        <f t="shared" si="1"/>
        <v>0</v>
      </c>
      <c r="AC12" s="20">
        <f t="shared" si="1"/>
        <v>0</v>
      </c>
      <c r="AD12" s="20">
        <f t="shared" ref="AD12:AD17" si="2">SUM(Z12:AC12)</f>
        <v>1.3900419290259118</v>
      </c>
      <c r="AE12" s="20">
        <f t="shared" ref="AE12:AH17" si="3">IF(K12&gt;0,((E12-K12)*$Q12*$S12*10)+(K12*$P$12*$Q12*$S12)*10,(E12*$Q12*$S12*10))</f>
        <v>31.360356263120018</v>
      </c>
      <c r="AF12" s="20">
        <f t="shared" si="3"/>
        <v>0</v>
      </c>
      <c r="AG12" s="20">
        <f t="shared" si="3"/>
        <v>0</v>
      </c>
      <c r="AH12" s="20">
        <f t="shared" si="3"/>
        <v>0</v>
      </c>
      <c r="AI12" s="20">
        <f t="shared" ref="AI12:AL17" si="4">AE12*(EXP(1.01-0.34*LN(AI$8))*(1-$U12)+(1*$U12))</f>
        <v>25.019932952560531</v>
      </c>
      <c r="AJ12" s="20">
        <f t="shared" si="4"/>
        <v>0</v>
      </c>
      <c r="AK12" s="20">
        <f t="shared" si="4"/>
        <v>0</v>
      </c>
      <c r="AL12" s="20">
        <f t="shared" si="4"/>
        <v>0</v>
      </c>
      <c r="AM12" s="20">
        <f t="shared" ref="AM12:AM17" si="5">SUM(AI12:AL12)</f>
        <v>25.019932952560531</v>
      </c>
      <c r="AO12">
        <f t="shared" ref="AO12:AR17" si="6">Z12*AO$10</f>
        <v>1.4088074950677618</v>
      </c>
      <c r="AP12">
        <f t="shared" si="6"/>
        <v>0</v>
      </c>
      <c r="AQ12">
        <f t="shared" si="6"/>
        <v>0</v>
      </c>
      <c r="AR12">
        <f t="shared" si="6"/>
        <v>0</v>
      </c>
      <c r="AS12">
        <f t="shared" ref="AS12:AS17" si="7">SUM(AO12:AR12)</f>
        <v>1.4088074950677618</v>
      </c>
      <c r="AU12">
        <f t="shared" ref="AU12:AX17" si="8">AI12*AU$10</f>
        <v>25.357702047420101</v>
      </c>
      <c r="AV12">
        <f t="shared" si="8"/>
        <v>0</v>
      </c>
      <c r="AW12">
        <f t="shared" si="8"/>
        <v>0</v>
      </c>
      <c r="AX12">
        <f t="shared" si="8"/>
        <v>0</v>
      </c>
      <c r="AY12">
        <f t="shared" ref="AY12:AY17" si="9">SUM(AU12:AX12)</f>
        <v>25.357702047420101</v>
      </c>
    </row>
    <row r="13" spans="1:53" ht="15" x14ac:dyDescent="0.25">
      <c r="A13" s="1"/>
      <c r="B13" s="2"/>
      <c r="C13" s="1" t="s">
        <v>9</v>
      </c>
      <c r="D13">
        <v>0</v>
      </c>
      <c r="E13" s="360">
        <v>6.9507000000000003</v>
      </c>
      <c r="F13">
        <v>0</v>
      </c>
      <c r="G13">
        <v>0</v>
      </c>
      <c r="H13">
        <v>0</v>
      </c>
      <c r="J13">
        <v>0</v>
      </c>
      <c r="K13" s="14">
        <v>5.320047699801</v>
      </c>
      <c r="L13">
        <v>0</v>
      </c>
      <c r="M13">
        <v>0</v>
      </c>
      <c r="N13">
        <v>0</v>
      </c>
      <c r="O13" s="20"/>
      <c r="P13" s="20"/>
      <c r="Q13" s="436">
        <v>6.8069282916710175E-2</v>
      </c>
      <c r="R13" s="197">
        <v>0.17699999999999999</v>
      </c>
      <c r="S13" s="197">
        <v>1.77</v>
      </c>
      <c r="T13" s="197">
        <v>0.50078889239507718</v>
      </c>
      <c r="U13" s="197">
        <v>0.75268470790377973</v>
      </c>
      <c r="V13" s="20">
        <f t="shared" si="0"/>
        <v>0.43218453666712331</v>
      </c>
      <c r="W13" s="20">
        <f t="shared" si="0"/>
        <v>0</v>
      </c>
      <c r="X13" s="20">
        <f t="shared" si="0"/>
        <v>0</v>
      </c>
      <c r="Y13" s="20">
        <f t="shared" si="0"/>
        <v>0</v>
      </c>
      <c r="Z13" s="20">
        <f t="shared" si="1"/>
        <v>0.25580842683145871</v>
      </c>
      <c r="AA13" s="20">
        <f t="shared" si="1"/>
        <v>0</v>
      </c>
      <c r="AB13" s="20">
        <f t="shared" si="1"/>
        <v>0</v>
      </c>
      <c r="AC13" s="20">
        <f t="shared" si="1"/>
        <v>0</v>
      </c>
      <c r="AD13" s="20">
        <f t="shared" si="2"/>
        <v>0.25580842683145871</v>
      </c>
      <c r="AE13" s="20">
        <f t="shared" si="3"/>
        <v>5.6767229793884759</v>
      </c>
      <c r="AF13" s="20">
        <f t="shared" si="3"/>
        <v>0</v>
      </c>
      <c r="AG13" s="20">
        <f t="shared" si="3"/>
        <v>0</v>
      </c>
      <c r="AH13" s="20">
        <f t="shared" si="3"/>
        <v>0</v>
      </c>
      <c r="AI13" s="20">
        <f t="shared" si="4"/>
        <v>4.5290055745185835</v>
      </c>
      <c r="AJ13" s="20">
        <f t="shared" si="4"/>
        <v>0</v>
      </c>
      <c r="AK13" s="20">
        <f t="shared" si="4"/>
        <v>0</v>
      </c>
      <c r="AL13" s="20">
        <f t="shared" si="4"/>
        <v>0</v>
      </c>
      <c r="AM13" s="20">
        <f t="shared" si="5"/>
        <v>4.5290055745185835</v>
      </c>
      <c r="AO13">
        <f t="shared" si="6"/>
        <v>0.2592618405936834</v>
      </c>
      <c r="AP13">
        <f t="shared" si="6"/>
        <v>0</v>
      </c>
      <c r="AQ13">
        <f t="shared" si="6"/>
        <v>0</v>
      </c>
      <c r="AR13">
        <f t="shared" si="6"/>
        <v>0</v>
      </c>
      <c r="AS13">
        <f t="shared" si="7"/>
        <v>0.2592618405936834</v>
      </c>
      <c r="AU13">
        <f t="shared" si="8"/>
        <v>4.5901471497745847</v>
      </c>
      <c r="AV13">
        <f t="shared" si="8"/>
        <v>0</v>
      </c>
      <c r="AW13">
        <f t="shared" si="8"/>
        <v>0</v>
      </c>
      <c r="AX13">
        <f t="shared" si="8"/>
        <v>0</v>
      </c>
      <c r="AY13">
        <f t="shared" si="9"/>
        <v>4.5901471497745847</v>
      </c>
    </row>
    <row r="14" spans="1:53" ht="15" x14ac:dyDescent="0.25">
      <c r="A14" s="1"/>
      <c r="B14" s="2"/>
      <c r="C14" s="1" t="s">
        <v>10</v>
      </c>
      <c r="D14">
        <v>0</v>
      </c>
      <c r="E14" s="360">
        <v>0.9526</v>
      </c>
      <c r="F14">
        <v>0</v>
      </c>
      <c r="G14">
        <v>0</v>
      </c>
      <c r="H14">
        <v>0</v>
      </c>
      <c r="J14">
        <v>0</v>
      </c>
      <c r="K14" s="14">
        <v>-1.1364075421309998</v>
      </c>
      <c r="L14">
        <v>0</v>
      </c>
      <c r="M14">
        <v>0</v>
      </c>
      <c r="N14">
        <v>0</v>
      </c>
      <c r="O14" s="20"/>
      <c r="P14" s="20"/>
      <c r="Q14" s="436">
        <v>7.9603924375065263E-2</v>
      </c>
      <c r="R14" s="197">
        <v>0.17699999999999999</v>
      </c>
      <c r="S14" s="197">
        <v>1.77</v>
      </c>
      <c r="T14" s="197">
        <v>0.50078889239507718</v>
      </c>
      <c r="U14" s="197">
        <v>0.75268470790377973</v>
      </c>
      <c r="V14" s="20">
        <f t="shared" si="0"/>
        <v>0.13422033609664627</v>
      </c>
      <c r="W14" s="20">
        <f t="shared" si="0"/>
        <v>0</v>
      </c>
      <c r="X14" s="20">
        <f t="shared" si="0"/>
        <v>0</v>
      </c>
      <c r="Y14" s="20">
        <f t="shared" si="0"/>
        <v>0</v>
      </c>
      <c r="Z14" s="20">
        <f t="shared" si="1"/>
        <v>7.9444519904510055E-2</v>
      </c>
      <c r="AA14" s="20">
        <f t="shared" si="1"/>
        <v>0</v>
      </c>
      <c r="AB14" s="20">
        <f t="shared" si="1"/>
        <v>0</v>
      </c>
      <c r="AC14" s="20">
        <f t="shared" si="1"/>
        <v>0</v>
      </c>
      <c r="AD14" s="20">
        <f t="shared" si="2"/>
        <v>7.9444519904510055E-2</v>
      </c>
      <c r="AE14" s="20">
        <f t="shared" si="3"/>
        <v>1.342203360966463</v>
      </c>
      <c r="AF14" s="20">
        <f t="shared" si="3"/>
        <v>0</v>
      </c>
      <c r="AG14" s="20">
        <f t="shared" si="3"/>
        <v>0</v>
      </c>
      <c r="AH14" s="20">
        <f t="shared" si="3"/>
        <v>0</v>
      </c>
      <c r="AI14" s="20">
        <f t="shared" si="4"/>
        <v>1.0708372640388262</v>
      </c>
      <c r="AJ14" s="20">
        <f t="shared" si="4"/>
        <v>0</v>
      </c>
      <c r="AK14" s="20">
        <f t="shared" si="4"/>
        <v>0</v>
      </c>
      <c r="AL14" s="20">
        <f t="shared" si="4"/>
        <v>0</v>
      </c>
      <c r="AM14" s="20">
        <f t="shared" si="5"/>
        <v>1.0708372640388262</v>
      </c>
      <c r="AO14">
        <f t="shared" si="6"/>
        <v>8.0517020923220953E-2</v>
      </c>
      <c r="AP14">
        <f t="shared" si="6"/>
        <v>0</v>
      </c>
      <c r="AQ14">
        <f t="shared" si="6"/>
        <v>0</v>
      </c>
      <c r="AR14">
        <f t="shared" si="6"/>
        <v>0</v>
      </c>
      <c r="AS14">
        <f t="shared" si="7"/>
        <v>8.0517020923220953E-2</v>
      </c>
      <c r="AU14">
        <f t="shared" si="8"/>
        <v>1.0852935671033503</v>
      </c>
      <c r="AV14">
        <f t="shared" si="8"/>
        <v>0</v>
      </c>
      <c r="AW14">
        <f t="shared" si="8"/>
        <v>0</v>
      </c>
      <c r="AX14">
        <f t="shared" si="8"/>
        <v>0</v>
      </c>
      <c r="AY14">
        <f t="shared" si="9"/>
        <v>1.0852935671033503</v>
      </c>
    </row>
    <row r="15" spans="1:53" ht="15" x14ac:dyDescent="0.25">
      <c r="A15" s="1"/>
      <c r="B15" s="2"/>
      <c r="C15" s="1" t="s">
        <v>11</v>
      </c>
      <c r="D15">
        <v>0</v>
      </c>
      <c r="E15" s="360">
        <v>17.2622</v>
      </c>
      <c r="F15">
        <v>0</v>
      </c>
      <c r="G15">
        <v>0</v>
      </c>
      <c r="H15">
        <v>0</v>
      </c>
      <c r="J15">
        <v>0</v>
      </c>
      <c r="K15" s="14">
        <v>5.5363741905186252</v>
      </c>
      <c r="L15">
        <v>0</v>
      </c>
      <c r="M15">
        <v>0</v>
      </c>
      <c r="N15">
        <v>0</v>
      </c>
      <c r="O15" s="20"/>
      <c r="P15" s="20"/>
      <c r="Q15" s="436">
        <v>9.1138565833420351E-2</v>
      </c>
      <c r="R15" s="197">
        <v>0.17699999999999999</v>
      </c>
      <c r="S15" s="197">
        <v>1.77</v>
      </c>
      <c r="T15" s="197">
        <v>0.50078889239507718</v>
      </c>
      <c r="U15" s="197">
        <v>0.75268470790377973</v>
      </c>
      <c r="V15" s="20">
        <f t="shared" si="0"/>
        <v>2.2199946155777521</v>
      </c>
      <c r="W15" s="20">
        <f t="shared" si="0"/>
        <v>0</v>
      </c>
      <c r="X15" s="20">
        <f t="shared" si="0"/>
        <v>0</v>
      </c>
      <c r="Y15" s="20">
        <f t="shared" si="0"/>
        <v>0</v>
      </c>
      <c r="Z15" s="20">
        <f t="shared" si="1"/>
        <v>1.3140065921022435</v>
      </c>
      <c r="AA15" s="20">
        <f t="shared" si="1"/>
        <v>0</v>
      </c>
      <c r="AB15" s="20">
        <f t="shared" si="1"/>
        <v>0</v>
      </c>
      <c r="AC15" s="20">
        <f t="shared" si="1"/>
        <v>0</v>
      </c>
      <c r="AD15" s="20">
        <f t="shared" si="2"/>
        <v>1.3140065921022435</v>
      </c>
      <c r="AE15" s="20">
        <f t="shared" si="3"/>
        <v>24.087767928610027</v>
      </c>
      <c r="AF15" s="20">
        <f t="shared" si="3"/>
        <v>0</v>
      </c>
      <c r="AG15" s="20">
        <f t="shared" si="3"/>
        <v>0</v>
      </c>
      <c r="AH15" s="20">
        <f t="shared" si="3"/>
        <v>0</v>
      </c>
      <c r="AI15" s="20">
        <f t="shared" si="4"/>
        <v>19.217713392478569</v>
      </c>
      <c r="AJ15" s="20">
        <f t="shared" si="4"/>
        <v>0</v>
      </c>
      <c r="AK15" s="20">
        <f t="shared" si="4"/>
        <v>0</v>
      </c>
      <c r="AL15" s="20">
        <f t="shared" si="4"/>
        <v>0</v>
      </c>
      <c r="AM15" s="20">
        <f t="shared" si="5"/>
        <v>19.217713392478569</v>
      </c>
      <c r="AO15">
        <f t="shared" si="6"/>
        <v>1.3317456810956239</v>
      </c>
      <c r="AP15">
        <f t="shared" si="6"/>
        <v>0</v>
      </c>
      <c r="AQ15">
        <f t="shared" si="6"/>
        <v>0</v>
      </c>
      <c r="AR15">
        <f t="shared" si="6"/>
        <v>0</v>
      </c>
      <c r="AS15">
        <f t="shared" si="7"/>
        <v>1.3317456810956239</v>
      </c>
      <c r="AU15">
        <f t="shared" si="8"/>
        <v>19.477152523277031</v>
      </c>
      <c r="AV15">
        <f t="shared" si="8"/>
        <v>0</v>
      </c>
      <c r="AW15">
        <f t="shared" si="8"/>
        <v>0</v>
      </c>
      <c r="AX15">
        <f t="shared" si="8"/>
        <v>0</v>
      </c>
      <c r="AY15">
        <f t="shared" si="9"/>
        <v>19.477152523277031</v>
      </c>
    </row>
    <row r="16" spans="1:53" ht="15" x14ac:dyDescent="0.25">
      <c r="A16" s="5"/>
      <c r="B16" s="6"/>
      <c r="C16" s="5" t="s">
        <v>12</v>
      </c>
      <c r="D16">
        <v>0</v>
      </c>
      <c r="E16" s="360">
        <v>0</v>
      </c>
      <c r="F16">
        <v>0</v>
      </c>
      <c r="G16">
        <v>0</v>
      </c>
      <c r="H16">
        <v>0</v>
      </c>
      <c r="J16">
        <v>0</v>
      </c>
      <c r="K16" s="14">
        <v>0</v>
      </c>
      <c r="L16">
        <v>0</v>
      </c>
      <c r="M16">
        <v>0</v>
      </c>
      <c r="N16">
        <v>0</v>
      </c>
      <c r="O16" s="20"/>
      <c r="P16" s="20"/>
      <c r="Q16" s="436"/>
      <c r="R16" s="197">
        <v>0.17699999999999999</v>
      </c>
      <c r="S16" s="197">
        <v>1.77</v>
      </c>
      <c r="T16" s="197">
        <v>0.50078889239507718</v>
      </c>
      <c r="U16" s="197">
        <v>0.75268470790377973</v>
      </c>
      <c r="V16" s="20">
        <f t="shared" si="0"/>
        <v>0</v>
      </c>
      <c r="W16" s="20">
        <f t="shared" si="0"/>
        <v>0</v>
      </c>
      <c r="X16" s="20">
        <f t="shared" si="0"/>
        <v>0</v>
      </c>
      <c r="Y16" s="20">
        <f t="shared" si="0"/>
        <v>0</v>
      </c>
      <c r="Z16" s="20">
        <f t="shared" si="1"/>
        <v>0</v>
      </c>
      <c r="AA16" s="20">
        <f t="shared" si="1"/>
        <v>0</v>
      </c>
      <c r="AB16" s="20">
        <f t="shared" si="1"/>
        <v>0</v>
      </c>
      <c r="AC16" s="20">
        <f t="shared" si="1"/>
        <v>0</v>
      </c>
      <c r="AD16" s="20">
        <f t="shared" si="2"/>
        <v>0</v>
      </c>
      <c r="AE16" s="20">
        <f t="shared" si="3"/>
        <v>0</v>
      </c>
      <c r="AF16" s="20">
        <f t="shared" si="3"/>
        <v>0</v>
      </c>
      <c r="AG16" s="20">
        <f t="shared" si="3"/>
        <v>0</v>
      </c>
      <c r="AH16" s="20">
        <f t="shared" si="3"/>
        <v>0</v>
      </c>
      <c r="AI16" s="20">
        <f t="shared" si="4"/>
        <v>0</v>
      </c>
      <c r="AJ16" s="20">
        <f t="shared" si="4"/>
        <v>0</v>
      </c>
      <c r="AK16" s="20">
        <f t="shared" si="4"/>
        <v>0</v>
      </c>
      <c r="AL16" s="20">
        <f t="shared" si="4"/>
        <v>0</v>
      </c>
      <c r="AM16" s="20">
        <f t="shared" si="5"/>
        <v>0</v>
      </c>
      <c r="AO16">
        <f t="shared" si="6"/>
        <v>0</v>
      </c>
      <c r="AP16">
        <f t="shared" si="6"/>
        <v>0</v>
      </c>
      <c r="AQ16">
        <f t="shared" si="6"/>
        <v>0</v>
      </c>
      <c r="AR16">
        <f t="shared" si="6"/>
        <v>0</v>
      </c>
      <c r="AS16">
        <f t="shared" si="7"/>
        <v>0</v>
      </c>
      <c r="AU16">
        <f t="shared" si="8"/>
        <v>0</v>
      </c>
      <c r="AV16">
        <f t="shared" si="8"/>
        <v>0</v>
      </c>
      <c r="AW16">
        <f t="shared" si="8"/>
        <v>0</v>
      </c>
      <c r="AX16">
        <f t="shared" si="8"/>
        <v>0</v>
      </c>
      <c r="AY16">
        <f t="shared" si="9"/>
        <v>0</v>
      </c>
    </row>
    <row r="17" spans="1:53" ht="15" x14ac:dyDescent="0.25">
      <c r="A17" s="5"/>
      <c r="B17" s="6"/>
      <c r="C17" s="5" t="s">
        <v>13</v>
      </c>
      <c r="D17">
        <v>0</v>
      </c>
      <c r="E17" s="360">
        <v>0.1033</v>
      </c>
      <c r="F17">
        <v>0</v>
      </c>
      <c r="G17">
        <v>0</v>
      </c>
      <c r="H17">
        <v>0</v>
      </c>
      <c r="J17">
        <v>0</v>
      </c>
      <c r="K17" s="14">
        <v>0.1033</v>
      </c>
      <c r="L17">
        <v>0</v>
      </c>
      <c r="M17">
        <v>0</v>
      </c>
      <c r="N17">
        <v>0</v>
      </c>
      <c r="O17" s="20"/>
      <c r="P17" s="20"/>
      <c r="Q17" s="436">
        <v>9.1138565833420365E-2</v>
      </c>
      <c r="R17" s="197">
        <v>0.17699999999999999</v>
      </c>
      <c r="S17" s="197">
        <v>1.77</v>
      </c>
      <c r="T17" s="197">
        <v>0.50078889239507718</v>
      </c>
      <c r="U17" s="197">
        <v>0.75268470790377973</v>
      </c>
      <c r="V17" s="20">
        <f t="shared" si="0"/>
        <v>6.1281709920393956E-3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1"/>
        <v>3.6272417169686982E-3</v>
      </c>
      <c r="AA17" s="20">
        <f t="shared" si="1"/>
        <v>0</v>
      </c>
      <c r="AB17" s="20">
        <f t="shared" si="1"/>
        <v>0</v>
      </c>
      <c r="AC17" s="20">
        <f t="shared" si="1"/>
        <v>0</v>
      </c>
      <c r="AD17" s="20">
        <f t="shared" si="2"/>
        <v>3.6272417169686982E-3</v>
      </c>
      <c r="AE17" s="20">
        <f t="shared" si="3"/>
        <v>9.6505483173937257E-2</v>
      </c>
      <c r="AF17" s="20">
        <f t="shared" si="3"/>
        <v>0</v>
      </c>
      <c r="AG17" s="20">
        <f t="shared" si="3"/>
        <v>0</v>
      </c>
      <c r="AH17" s="20">
        <f t="shared" si="3"/>
        <v>0</v>
      </c>
      <c r="AI17" s="20">
        <f t="shared" si="4"/>
        <v>7.6994046187093476E-2</v>
      </c>
      <c r="AJ17" s="20">
        <f t="shared" si="4"/>
        <v>0</v>
      </c>
      <c r="AK17" s="20">
        <f t="shared" si="4"/>
        <v>0</v>
      </c>
      <c r="AL17" s="20">
        <f t="shared" si="4"/>
        <v>0</v>
      </c>
      <c r="AM17" s="20">
        <f t="shared" si="5"/>
        <v>7.6994046187093476E-2</v>
      </c>
      <c r="AO17">
        <f t="shared" si="6"/>
        <v>3.6762094801477759E-3</v>
      </c>
      <c r="AP17">
        <f t="shared" si="6"/>
        <v>0</v>
      </c>
      <c r="AQ17">
        <f t="shared" si="6"/>
        <v>0</v>
      </c>
      <c r="AR17">
        <f t="shared" si="6"/>
        <v>0</v>
      </c>
      <c r="AS17">
        <f t="shared" si="7"/>
        <v>3.6762094801477759E-3</v>
      </c>
      <c r="AU17">
        <f t="shared" si="8"/>
        <v>7.8033465810619249E-2</v>
      </c>
      <c r="AV17">
        <f t="shared" si="8"/>
        <v>0</v>
      </c>
      <c r="AW17">
        <f t="shared" si="8"/>
        <v>0</v>
      </c>
      <c r="AX17">
        <f t="shared" si="8"/>
        <v>0</v>
      </c>
      <c r="AY17">
        <f t="shared" si="9"/>
        <v>7.8033465810619249E-2</v>
      </c>
    </row>
    <row r="18" spans="1:53" ht="15" x14ac:dyDescent="0.25">
      <c r="A18" s="7"/>
      <c r="B18" s="8" t="s">
        <v>14</v>
      </c>
      <c r="C18" s="7"/>
      <c r="D18" s="357">
        <f t="shared" ref="D18:H18" si="10">SUM(D12:D17)</f>
        <v>0</v>
      </c>
      <c r="E18" s="363">
        <f>SUM(E12:E17)</f>
        <v>72.279299999999992</v>
      </c>
      <c r="F18" s="357">
        <f t="shared" si="10"/>
        <v>0</v>
      </c>
      <c r="G18" s="357">
        <f t="shared" si="10"/>
        <v>0</v>
      </c>
      <c r="H18" s="357">
        <f t="shared" si="10"/>
        <v>0</v>
      </c>
      <c r="J18">
        <v>0</v>
      </c>
      <c r="K18" s="14">
        <v>47.057933287812901</v>
      </c>
      <c r="L18">
        <v>0</v>
      </c>
      <c r="M18">
        <v>0</v>
      </c>
      <c r="N18">
        <v>0</v>
      </c>
      <c r="O18" s="20"/>
      <c r="P18" s="20"/>
      <c r="Q18" s="436">
        <v>6.6261687514781245E-2</v>
      </c>
      <c r="R18" s="197"/>
      <c r="S18" s="197"/>
      <c r="T18" s="197"/>
      <c r="U18" s="197"/>
      <c r="BA18" s="319">
        <f>(E18*10000*Q18*AU$10)</f>
        <v>48540.045936573537</v>
      </c>
    </row>
    <row r="19" spans="1:53" ht="15" x14ac:dyDescent="0.25">
      <c r="A19" s="5"/>
      <c r="B19" s="9" t="s">
        <v>15</v>
      </c>
      <c r="C19" s="5"/>
      <c r="E19" s="363">
        <f>SUM(E18)</f>
        <v>72.279299999999992</v>
      </c>
      <c r="H19" s="358">
        <f>SUM(D18:H18)</f>
        <v>72.279299999999992</v>
      </c>
      <c r="K19" s="14"/>
      <c r="N19">
        <v>0</v>
      </c>
      <c r="O19" s="20"/>
      <c r="P19" s="20"/>
      <c r="Q19" s="436"/>
      <c r="R19" s="197"/>
      <c r="S19" s="197"/>
      <c r="T19" s="197"/>
      <c r="U19" s="197"/>
    </row>
    <row r="20" spans="1:53" ht="15.75" x14ac:dyDescent="0.25">
      <c r="A20" s="1"/>
      <c r="B20" s="2"/>
      <c r="C20" s="1"/>
      <c r="E20" s="361"/>
      <c r="K20" s="14"/>
      <c r="O20" s="20"/>
      <c r="P20" s="20"/>
      <c r="Q20" s="437"/>
      <c r="R20" s="197"/>
      <c r="S20" s="197"/>
      <c r="T20" s="197"/>
      <c r="U20" s="197"/>
    </row>
    <row r="21" spans="1:53" ht="15" x14ac:dyDescent="0.25">
      <c r="A21" s="1">
        <v>2</v>
      </c>
      <c r="B21" s="2" t="s">
        <v>16</v>
      </c>
      <c r="C21" s="1" t="s">
        <v>8</v>
      </c>
      <c r="D21">
        <v>0</v>
      </c>
      <c r="E21" s="360">
        <v>16.384799999999998</v>
      </c>
      <c r="F21">
        <v>0</v>
      </c>
      <c r="G21">
        <v>0</v>
      </c>
      <c r="H21">
        <v>0</v>
      </c>
      <c r="J21">
        <v>0</v>
      </c>
      <c r="K21" s="14">
        <v>-39.910024524594213</v>
      </c>
      <c r="L21">
        <v>0</v>
      </c>
      <c r="M21">
        <v>0</v>
      </c>
      <c r="N21">
        <v>0</v>
      </c>
      <c r="O21" s="20"/>
      <c r="P21" s="20"/>
      <c r="Q21" s="436">
        <v>0.14532046867326506</v>
      </c>
      <c r="R21" s="197">
        <v>0.3</v>
      </c>
      <c r="S21" s="197">
        <v>2.29</v>
      </c>
      <c r="T21" s="197">
        <v>0.50078889239507718</v>
      </c>
      <c r="U21" s="197">
        <v>0.75268470790377973</v>
      </c>
      <c r="V21" s="20">
        <f t="shared" ref="V21:Y26" si="11">IF(K21&gt;0,((E21-K21)*$Q21*$R21*10)+(K21*$O$12*$Q21*$R21*10),(E21*$Q21*$R21*10))</f>
        <v>7.14314044535314</v>
      </c>
      <c r="W21" s="20">
        <f t="shared" si="11"/>
        <v>0</v>
      </c>
      <c r="X21" s="20">
        <f t="shared" si="11"/>
        <v>0</v>
      </c>
      <c r="Y21" s="20">
        <f t="shared" si="11"/>
        <v>0</v>
      </c>
      <c r="Z21" s="20">
        <f t="shared" ref="Z21:AC26" si="12">V21*(EXP(1.01-0.34*LN(Z$8))*(1-$T21)+(1*$T21))</f>
        <v>4.2279983778534733</v>
      </c>
      <c r="AA21" s="20">
        <f t="shared" si="12"/>
        <v>0</v>
      </c>
      <c r="AB21" s="20">
        <f t="shared" si="12"/>
        <v>0</v>
      </c>
      <c r="AC21" s="20">
        <f t="shared" si="12"/>
        <v>0</v>
      </c>
      <c r="AD21" s="20">
        <f t="shared" ref="AD21:AD26" si="13">SUM(Z21:AC21)</f>
        <v>4.2279983778534733</v>
      </c>
      <c r="AE21" s="20">
        <f t="shared" ref="AE21:AH26" si="14">IF(K21&gt;0,((E21-K21)*$Q21*$S21*10)+(K21*$P$12*$Q21*$S21)*10,(E21*$Q21*$S21*10))</f>
        <v>54.525972066195635</v>
      </c>
      <c r="AF21" s="20">
        <f t="shared" si="14"/>
        <v>0</v>
      </c>
      <c r="AG21" s="20">
        <f t="shared" si="14"/>
        <v>0</v>
      </c>
      <c r="AH21" s="20">
        <f t="shared" si="14"/>
        <v>0</v>
      </c>
      <c r="AI21" s="20">
        <f t="shared" ref="AI21:AL26" si="15">AE21*(EXP(1.01-0.34*LN(AI$8))*(1-$U21)+(1*$U21))</f>
        <v>43.501934538726964</v>
      </c>
      <c r="AJ21" s="20">
        <f t="shared" si="15"/>
        <v>0</v>
      </c>
      <c r="AK21" s="20">
        <f t="shared" si="15"/>
        <v>0</v>
      </c>
      <c r="AL21" s="20">
        <f t="shared" si="15"/>
        <v>0</v>
      </c>
      <c r="AM21" s="20">
        <f t="shared" ref="AM21:AM26" si="16">SUM(AI21:AL21)</f>
        <v>43.501934538726964</v>
      </c>
      <c r="AO21">
        <f t="shared" ref="AO21:AR26" si="17">Z21*AO$10</f>
        <v>4.2850763559544953</v>
      </c>
      <c r="AP21">
        <f t="shared" si="17"/>
        <v>0</v>
      </c>
      <c r="AQ21">
        <f t="shared" si="17"/>
        <v>0</v>
      </c>
      <c r="AR21">
        <f t="shared" si="17"/>
        <v>0</v>
      </c>
      <c r="AS21">
        <f t="shared" ref="AS21:AS26" si="18">SUM(AO21:AR21)</f>
        <v>4.2850763559544953</v>
      </c>
      <c r="AU21">
        <f t="shared" ref="AU21:AX26" si="19">AI21*AU$10</f>
        <v>44.089210654999782</v>
      </c>
      <c r="AV21">
        <f t="shared" si="19"/>
        <v>0</v>
      </c>
      <c r="AW21">
        <f t="shared" si="19"/>
        <v>0</v>
      </c>
      <c r="AX21">
        <f t="shared" si="19"/>
        <v>0</v>
      </c>
      <c r="AY21">
        <f t="shared" ref="AY21:AY26" si="20">SUM(AU21:AX21)</f>
        <v>44.089210654999782</v>
      </c>
    </row>
    <row r="22" spans="1:53" ht="15" x14ac:dyDescent="0.25">
      <c r="A22" s="1"/>
      <c r="B22" s="2"/>
      <c r="C22" s="1" t="s">
        <v>9</v>
      </c>
      <c r="D22">
        <v>0</v>
      </c>
      <c r="E22" s="360">
        <v>2.0095999999999998</v>
      </c>
      <c r="F22">
        <v>0</v>
      </c>
      <c r="G22">
        <v>0</v>
      </c>
      <c r="H22">
        <v>0</v>
      </c>
      <c r="J22">
        <v>0</v>
      </c>
      <c r="K22" s="14">
        <v>-0.49104187160940027</v>
      </c>
      <c r="L22">
        <v>0</v>
      </c>
      <c r="M22">
        <v>0</v>
      </c>
      <c r="N22">
        <v>0</v>
      </c>
      <c r="O22" s="20"/>
      <c r="P22" s="20"/>
      <c r="Q22" s="436">
        <v>0.15564093734653014</v>
      </c>
      <c r="R22" s="197">
        <v>0.3</v>
      </c>
      <c r="S22" s="197">
        <v>2.29</v>
      </c>
      <c r="T22" s="197">
        <v>0.50078889239507718</v>
      </c>
      <c r="U22" s="197">
        <v>0.75268470790377973</v>
      </c>
      <c r="V22" s="20">
        <f t="shared" si="11"/>
        <v>0.9383280830747609</v>
      </c>
      <c r="W22" s="20">
        <f t="shared" si="11"/>
        <v>0</v>
      </c>
      <c r="X22" s="20">
        <f t="shared" si="11"/>
        <v>0</v>
      </c>
      <c r="Y22" s="20">
        <f t="shared" si="11"/>
        <v>0</v>
      </c>
      <c r="Z22" s="20">
        <f t="shared" si="12"/>
        <v>0.55539291765084653</v>
      </c>
      <c r="AA22" s="20">
        <f t="shared" si="12"/>
        <v>0</v>
      </c>
      <c r="AB22" s="20">
        <f t="shared" si="12"/>
        <v>0</v>
      </c>
      <c r="AC22" s="20">
        <f t="shared" si="12"/>
        <v>0</v>
      </c>
      <c r="AD22" s="20">
        <f t="shared" si="13"/>
        <v>0.55539291765084653</v>
      </c>
      <c r="AE22" s="20">
        <f t="shared" si="14"/>
        <v>7.1625710341373416</v>
      </c>
      <c r="AF22" s="20">
        <f t="shared" si="14"/>
        <v>0</v>
      </c>
      <c r="AG22" s="20">
        <f t="shared" si="14"/>
        <v>0</v>
      </c>
      <c r="AH22" s="20">
        <f t="shared" si="14"/>
        <v>0</v>
      </c>
      <c r="AI22" s="20">
        <f t="shared" si="15"/>
        <v>5.7144455100727631</v>
      </c>
      <c r="AJ22" s="20">
        <f t="shared" si="15"/>
        <v>0</v>
      </c>
      <c r="AK22" s="20">
        <f t="shared" si="15"/>
        <v>0</v>
      </c>
      <c r="AL22" s="20">
        <f t="shared" si="15"/>
        <v>0</v>
      </c>
      <c r="AM22" s="20">
        <f t="shared" si="16"/>
        <v>5.7144455100727631</v>
      </c>
      <c r="AO22">
        <f t="shared" si="17"/>
        <v>0.56289072203913304</v>
      </c>
      <c r="AP22">
        <f t="shared" si="17"/>
        <v>0</v>
      </c>
      <c r="AQ22">
        <f t="shared" si="17"/>
        <v>0</v>
      </c>
      <c r="AR22">
        <f t="shared" si="17"/>
        <v>0</v>
      </c>
      <c r="AS22">
        <f t="shared" si="18"/>
        <v>0.56289072203913304</v>
      </c>
      <c r="AU22">
        <f t="shared" si="19"/>
        <v>5.791590524458746</v>
      </c>
      <c r="AV22">
        <f t="shared" si="19"/>
        <v>0</v>
      </c>
      <c r="AW22">
        <f t="shared" si="19"/>
        <v>0</v>
      </c>
      <c r="AX22">
        <f t="shared" si="19"/>
        <v>0</v>
      </c>
      <c r="AY22">
        <f t="shared" si="20"/>
        <v>5.791590524458746</v>
      </c>
    </row>
    <row r="23" spans="1:53" ht="15" x14ac:dyDescent="0.25">
      <c r="A23" s="1"/>
      <c r="B23" s="2"/>
      <c r="C23" s="1" t="s">
        <v>10</v>
      </c>
      <c r="D23">
        <v>0</v>
      </c>
      <c r="E23" s="360">
        <v>0</v>
      </c>
      <c r="F23">
        <v>0</v>
      </c>
      <c r="G23">
        <v>0</v>
      </c>
      <c r="H23">
        <v>0</v>
      </c>
      <c r="J23">
        <v>0</v>
      </c>
      <c r="K23" s="14">
        <v>0</v>
      </c>
      <c r="L23">
        <v>0</v>
      </c>
      <c r="M23">
        <v>0</v>
      </c>
      <c r="N23">
        <v>0</v>
      </c>
      <c r="O23" s="20"/>
      <c r="P23" s="20"/>
      <c r="Q23" s="436"/>
      <c r="R23" s="197">
        <v>0.3</v>
      </c>
      <c r="S23" s="197">
        <v>2.29</v>
      </c>
      <c r="T23" s="197">
        <v>0.50078889239507718</v>
      </c>
      <c r="U23" s="197">
        <v>0.75268470790377973</v>
      </c>
      <c r="V23" s="20">
        <f t="shared" si="11"/>
        <v>0</v>
      </c>
      <c r="W23" s="20">
        <f t="shared" si="11"/>
        <v>0</v>
      </c>
      <c r="X23" s="20">
        <f t="shared" si="11"/>
        <v>0</v>
      </c>
      <c r="Y23" s="20">
        <f t="shared" si="11"/>
        <v>0</v>
      </c>
      <c r="Z23" s="20">
        <f t="shared" si="12"/>
        <v>0</v>
      </c>
      <c r="AA23" s="20">
        <f t="shared" si="12"/>
        <v>0</v>
      </c>
      <c r="AB23" s="20">
        <f t="shared" si="12"/>
        <v>0</v>
      </c>
      <c r="AC23" s="20">
        <f t="shared" si="12"/>
        <v>0</v>
      </c>
      <c r="AD23" s="20">
        <f t="shared" si="13"/>
        <v>0</v>
      </c>
      <c r="AE23" s="20">
        <f t="shared" si="14"/>
        <v>0</v>
      </c>
      <c r="AF23" s="20">
        <f t="shared" si="14"/>
        <v>0</v>
      </c>
      <c r="AG23" s="20">
        <f t="shared" si="14"/>
        <v>0</v>
      </c>
      <c r="AH23" s="20">
        <f t="shared" si="14"/>
        <v>0</v>
      </c>
      <c r="AI23" s="20">
        <f t="shared" si="15"/>
        <v>0</v>
      </c>
      <c r="AJ23" s="20">
        <f t="shared" si="15"/>
        <v>0</v>
      </c>
      <c r="AK23" s="20">
        <f t="shared" si="15"/>
        <v>0</v>
      </c>
      <c r="AL23" s="20">
        <f t="shared" si="15"/>
        <v>0</v>
      </c>
      <c r="AM23" s="20">
        <f t="shared" si="16"/>
        <v>0</v>
      </c>
      <c r="AO23">
        <f t="shared" si="17"/>
        <v>0</v>
      </c>
      <c r="AP23">
        <f t="shared" si="17"/>
        <v>0</v>
      </c>
      <c r="AQ23">
        <f t="shared" si="17"/>
        <v>0</v>
      </c>
      <c r="AR23">
        <f t="shared" si="17"/>
        <v>0</v>
      </c>
      <c r="AS23">
        <f t="shared" si="18"/>
        <v>0</v>
      </c>
      <c r="AU23">
        <f t="shared" si="19"/>
        <v>0</v>
      </c>
      <c r="AV23">
        <f t="shared" si="19"/>
        <v>0</v>
      </c>
      <c r="AW23">
        <f t="shared" si="19"/>
        <v>0</v>
      </c>
      <c r="AX23">
        <f t="shared" si="19"/>
        <v>0</v>
      </c>
      <c r="AY23">
        <f t="shared" si="20"/>
        <v>0</v>
      </c>
    </row>
    <row r="24" spans="1:53" ht="15" x14ac:dyDescent="0.25">
      <c r="A24" s="1"/>
      <c r="B24" s="2"/>
      <c r="C24" s="1" t="s">
        <v>11</v>
      </c>
      <c r="D24">
        <v>0</v>
      </c>
      <c r="E24" s="360">
        <v>0.63349999999999995</v>
      </c>
      <c r="F24">
        <v>0</v>
      </c>
      <c r="G24">
        <v>0</v>
      </c>
      <c r="H24">
        <v>0</v>
      </c>
      <c r="J24">
        <v>0</v>
      </c>
      <c r="K24" s="14">
        <v>-9.2556332118376989</v>
      </c>
      <c r="L24">
        <v>0</v>
      </c>
      <c r="M24">
        <v>0</v>
      </c>
      <c r="N24">
        <v>0</v>
      </c>
      <c r="O24" s="20"/>
      <c r="P24" s="20"/>
      <c r="Q24" s="436">
        <v>0.17628187469306031</v>
      </c>
      <c r="R24" s="197">
        <v>0.3</v>
      </c>
      <c r="S24" s="197">
        <v>2.29</v>
      </c>
      <c r="T24" s="197">
        <v>0.50078889239507718</v>
      </c>
      <c r="U24" s="197">
        <v>0.75268470790377973</v>
      </c>
      <c r="V24" s="20">
        <f t="shared" si="11"/>
        <v>0.33502370285416105</v>
      </c>
      <c r="W24" s="20">
        <f t="shared" si="11"/>
        <v>0</v>
      </c>
      <c r="X24" s="20">
        <f t="shared" si="11"/>
        <v>0</v>
      </c>
      <c r="Y24" s="20">
        <f t="shared" si="11"/>
        <v>0</v>
      </c>
      <c r="Z24" s="20">
        <f t="shared" si="12"/>
        <v>0.1982992890936823</v>
      </c>
      <c r="AA24" s="20">
        <f t="shared" si="12"/>
        <v>0</v>
      </c>
      <c r="AB24" s="20">
        <f t="shared" si="12"/>
        <v>0</v>
      </c>
      <c r="AC24" s="20">
        <f t="shared" si="12"/>
        <v>0</v>
      </c>
      <c r="AD24" s="20">
        <f t="shared" si="13"/>
        <v>0.1982992890936823</v>
      </c>
      <c r="AE24" s="20">
        <f t="shared" si="14"/>
        <v>2.5573475984534295</v>
      </c>
      <c r="AF24" s="20">
        <f t="shared" si="14"/>
        <v>0</v>
      </c>
      <c r="AG24" s="20">
        <f t="shared" si="14"/>
        <v>0</v>
      </c>
      <c r="AH24" s="20">
        <f t="shared" si="14"/>
        <v>0</v>
      </c>
      <c r="AI24" s="20">
        <f t="shared" si="15"/>
        <v>2.0403041634110157</v>
      </c>
      <c r="AJ24" s="20">
        <f t="shared" si="15"/>
        <v>0</v>
      </c>
      <c r="AK24" s="20">
        <f t="shared" si="15"/>
        <v>0</v>
      </c>
      <c r="AL24" s="20">
        <f t="shared" si="15"/>
        <v>0</v>
      </c>
      <c r="AM24" s="20">
        <f t="shared" si="16"/>
        <v>2.0403041634110157</v>
      </c>
      <c r="AO24">
        <f t="shared" si="17"/>
        <v>0.20097632949644703</v>
      </c>
      <c r="AP24">
        <f t="shared" si="17"/>
        <v>0</v>
      </c>
      <c r="AQ24">
        <f t="shared" si="17"/>
        <v>0</v>
      </c>
      <c r="AR24">
        <f t="shared" si="17"/>
        <v>0</v>
      </c>
      <c r="AS24">
        <f t="shared" si="18"/>
        <v>0.20097632949644703</v>
      </c>
      <c r="AU24">
        <f t="shared" si="19"/>
        <v>2.0678482696170644</v>
      </c>
      <c r="AV24">
        <f t="shared" si="19"/>
        <v>0</v>
      </c>
      <c r="AW24">
        <f t="shared" si="19"/>
        <v>0</v>
      </c>
      <c r="AX24">
        <f t="shared" si="19"/>
        <v>0</v>
      </c>
      <c r="AY24">
        <f t="shared" si="20"/>
        <v>2.0678482696170644</v>
      </c>
    </row>
    <row r="25" spans="1:53" ht="15" x14ac:dyDescent="0.25">
      <c r="A25" s="1"/>
      <c r="B25" s="2"/>
      <c r="C25" s="1" t="s">
        <v>12</v>
      </c>
      <c r="D25">
        <v>0</v>
      </c>
      <c r="E25" s="360">
        <v>0</v>
      </c>
      <c r="F25">
        <v>0</v>
      </c>
      <c r="G25">
        <v>0</v>
      </c>
      <c r="H25">
        <v>0</v>
      </c>
      <c r="J25">
        <v>0</v>
      </c>
      <c r="K25" s="14">
        <v>0</v>
      </c>
      <c r="L25">
        <v>0</v>
      </c>
      <c r="M25">
        <v>0</v>
      </c>
      <c r="N25">
        <v>0</v>
      </c>
      <c r="O25" s="20"/>
      <c r="P25" s="20"/>
      <c r="Q25" s="436"/>
      <c r="R25" s="197">
        <v>0.3</v>
      </c>
      <c r="S25" s="197">
        <v>2.29</v>
      </c>
      <c r="T25" s="197">
        <v>0.50078889239507718</v>
      </c>
      <c r="U25" s="197">
        <v>0.75268470790377973</v>
      </c>
      <c r="V25" s="20">
        <f t="shared" si="11"/>
        <v>0</v>
      </c>
      <c r="W25" s="20">
        <f t="shared" si="11"/>
        <v>0</v>
      </c>
      <c r="X25" s="20">
        <f t="shared" si="11"/>
        <v>0</v>
      </c>
      <c r="Y25" s="20">
        <f t="shared" si="11"/>
        <v>0</v>
      </c>
      <c r="Z25" s="20">
        <f t="shared" si="12"/>
        <v>0</v>
      </c>
      <c r="AA25" s="20">
        <f t="shared" si="12"/>
        <v>0</v>
      </c>
      <c r="AB25" s="20">
        <f t="shared" si="12"/>
        <v>0</v>
      </c>
      <c r="AC25" s="20">
        <f t="shared" si="12"/>
        <v>0</v>
      </c>
      <c r="AD25" s="20">
        <f t="shared" si="13"/>
        <v>0</v>
      </c>
      <c r="AE25" s="20">
        <f t="shared" si="14"/>
        <v>0</v>
      </c>
      <c r="AF25" s="20">
        <f t="shared" si="14"/>
        <v>0</v>
      </c>
      <c r="AG25" s="20">
        <f t="shared" si="14"/>
        <v>0</v>
      </c>
      <c r="AH25" s="20">
        <f t="shared" si="14"/>
        <v>0</v>
      </c>
      <c r="AI25" s="20">
        <f t="shared" si="15"/>
        <v>0</v>
      </c>
      <c r="AJ25" s="20">
        <f t="shared" si="15"/>
        <v>0</v>
      </c>
      <c r="AK25" s="20">
        <f t="shared" si="15"/>
        <v>0</v>
      </c>
      <c r="AL25" s="20">
        <f t="shared" si="15"/>
        <v>0</v>
      </c>
      <c r="AM25" s="20">
        <f t="shared" si="16"/>
        <v>0</v>
      </c>
      <c r="AO25">
        <f t="shared" si="17"/>
        <v>0</v>
      </c>
      <c r="AP25">
        <f t="shared" si="17"/>
        <v>0</v>
      </c>
      <c r="AQ25">
        <f t="shared" si="17"/>
        <v>0</v>
      </c>
      <c r="AR25">
        <f t="shared" si="17"/>
        <v>0</v>
      </c>
      <c r="AS25">
        <f t="shared" si="18"/>
        <v>0</v>
      </c>
      <c r="AU25">
        <f t="shared" si="19"/>
        <v>0</v>
      </c>
      <c r="AV25">
        <f t="shared" si="19"/>
        <v>0</v>
      </c>
      <c r="AW25">
        <f t="shared" si="19"/>
        <v>0</v>
      </c>
      <c r="AX25">
        <f t="shared" si="19"/>
        <v>0</v>
      </c>
      <c r="AY25">
        <f t="shared" si="20"/>
        <v>0</v>
      </c>
    </row>
    <row r="26" spans="1:53" ht="15" x14ac:dyDescent="0.25">
      <c r="A26" s="1"/>
      <c r="B26" s="2"/>
      <c r="C26" s="1" t="s">
        <v>13</v>
      </c>
      <c r="D26">
        <v>0</v>
      </c>
      <c r="E26" s="360">
        <v>3.5499999999999997E-2</v>
      </c>
      <c r="F26">
        <v>0</v>
      </c>
      <c r="G26">
        <v>0</v>
      </c>
      <c r="H26">
        <v>0</v>
      </c>
      <c r="J26">
        <v>0</v>
      </c>
      <c r="K26" s="14">
        <v>-1.4578033836145998</v>
      </c>
      <c r="L26">
        <v>0</v>
      </c>
      <c r="M26">
        <v>0</v>
      </c>
      <c r="N26">
        <v>0</v>
      </c>
      <c r="O26" s="20"/>
      <c r="P26" s="20"/>
      <c r="Q26" s="436">
        <v>0.17628187469306031</v>
      </c>
      <c r="R26" s="197">
        <v>0.3</v>
      </c>
      <c r="S26" s="197">
        <v>2.29</v>
      </c>
      <c r="T26" s="197">
        <v>0.50078889239507718</v>
      </c>
      <c r="U26" s="197">
        <v>0.75268470790377973</v>
      </c>
      <c r="V26" s="20">
        <f t="shared" si="11"/>
        <v>1.877401965481092E-2</v>
      </c>
      <c r="W26" s="20">
        <f t="shared" si="11"/>
        <v>0</v>
      </c>
      <c r="X26" s="20">
        <f t="shared" si="11"/>
        <v>0</v>
      </c>
      <c r="Y26" s="20">
        <f t="shared" si="11"/>
        <v>0</v>
      </c>
      <c r="Z26" s="20">
        <f t="shared" si="12"/>
        <v>1.1112272711642814E-2</v>
      </c>
      <c r="AA26" s="20">
        <f t="shared" si="12"/>
        <v>0</v>
      </c>
      <c r="AB26" s="20">
        <f t="shared" si="12"/>
        <v>0</v>
      </c>
      <c r="AC26" s="20">
        <f t="shared" si="12"/>
        <v>0</v>
      </c>
      <c r="AD26" s="20">
        <f t="shared" si="13"/>
        <v>1.1112272711642814E-2</v>
      </c>
      <c r="AE26" s="20">
        <f t="shared" si="14"/>
        <v>0.14330835003172337</v>
      </c>
      <c r="AF26" s="20">
        <f t="shared" si="14"/>
        <v>0</v>
      </c>
      <c r="AG26" s="20">
        <f t="shared" si="14"/>
        <v>0</v>
      </c>
      <c r="AH26" s="20">
        <f t="shared" si="14"/>
        <v>0</v>
      </c>
      <c r="AI26" s="20">
        <f t="shared" si="15"/>
        <v>0.11433432959919664</v>
      </c>
      <c r="AJ26" s="20">
        <f t="shared" si="15"/>
        <v>0</v>
      </c>
      <c r="AK26" s="20">
        <f t="shared" si="15"/>
        <v>0</v>
      </c>
      <c r="AL26" s="20">
        <f t="shared" si="15"/>
        <v>0</v>
      </c>
      <c r="AM26" s="20">
        <f t="shared" si="16"/>
        <v>0.11433432959919664</v>
      </c>
      <c r="AO26">
        <f t="shared" si="17"/>
        <v>1.1262288393249992E-2</v>
      </c>
      <c r="AP26">
        <f t="shared" si="17"/>
        <v>0</v>
      </c>
      <c r="AQ26">
        <f t="shared" si="17"/>
        <v>0</v>
      </c>
      <c r="AR26">
        <f t="shared" si="17"/>
        <v>0</v>
      </c>
      <c r="AS26">
        <f t="shared" si="18"/>
        <v>1.1262288393249992E-2</v>
      </c>
      <c r="AU26">
        <f t="shared" si="19"/>
        <v>0.1158778430487858</v>
      </c>
      <c r="AV26">
        <f t="shared" si="19"/>
        <v>0</v>
      </c>
      <c r="AW26">
        <f t="shared" si="19"/>
        <v>0</v>
      </c>
      <c r="AX26">
        <f t="shared" si="19"/>
        <v>0</v>
      </c>
      <c r="AY26">
        <f t="shared" si="20"/>
        <v>0.1158778430487858</v>
      </c>
    </row>
    <row r="27" spans="1:53" ht="15" x14ac:dyDescent="0.25">
      <c r="A27" s="7"/>
      <c r="B27" s="8" t="s">
        <v>14</v>
      </c>
      <c r="C27" s="7"/>
      <c r="D27" s="357">
        <f t="shared" ref="D27:H27" si="21">SUM(D21:D26)</f>
        <v>0</v>
      </c>
      <c r="E27" s="363">
        <f>SUM(E21:E26)</f>
        <v>19.063399999999998</v>
      </c>
      <c r="F27" s="357">
        <f t="shared" si="21"/>
        <v>0</v>
      </c>
      <c r="G27" s="357">
        <f t="shared" si="21"/>
        <v>0</v>
      </c>
      <c r="H27" s="357">
        <f t="shared" si="21"/>
        <v>0</v>
      </c>
      <c r="J27">
        <v>0</v>
      </c>
      <c r="K27" s="14">
        <v>-51.114502991655911</v>
      </c>
      <c r="L27">
        <v>0</v>
      </c>
      <c r="M27">
        <v>0</v>
      </c>
      <c r="N27">
        <v>0</v>
      </c>
      <c r="O27" s="20"/>
      <c r="P27" s="20"/>
      <c r="Q27" s="436">
        <v>0.14749495981718677</v>
      </c>
      <c r="R27" s="197"/>
      <c r="S27" s="197"/>
      <c r="T27" s="197"/>
      <c r="U27" s="197"/>
      <c r="BA27" s="319">
        <f>(E27*10000*Q27*AU$10)</f>
        <v>28497.141151081742</v>
      </c>
    </row>
    <row r="28" spans="1:53" ht="15" x14ac:dyDescent="0.25">
      <c r="A28" s="5"/>
      <c r="B28" s="9" t="s">
        <v>15</v>
      </c>
      <c r="C28" s="5"/>
      <c r="E28" s="363">
        <f>SUM(E27)</f>
        <v>19.063399999999998</v>
      </c>
      <c r="H28" s="358">
        <f>SUM(D27:H27)</f>
        <v>19.063399999999998</v>
      </c>
      <c r="K28" s="14"/>
      <c r="N28">
        <v>0</v>
      </c>
      <c r="O28" s="20"/>
      <c r="P28" s="20"/>
      <c r="Q28" s="436"/>
      <c r="R28" s="197"/>
      <c r="S28" s="197"/>
      <c r="T28" s="197"/>
      <c r="U28" s="197"/>
    </row>
    <row r="29" spans="1:53" ht="15.75" x14ac:dyDescent="0.25">
      <c r="A29" s="1"/>
      <c r="B29" s="2"/>
      <c r="C29" s="1"/>
      <c r="E29" s="361"/>
      <c r="K29" s="14"/>
      <c r="O29" s="20"/>
      <c r="P29" s="20"/>
      <c r="Q29" s="437"/>
      <c r="R29" s="197"/>
      <c r="S29" s="197"/>
      <c r="T29" s="197"/>
      <c r="U29" s="197"/>
    </row>
    <row r="30" spans="1:53" ht="15" x14ac:dyDescent="0.25">
      <c r="A30" s="1">
        <v>3</v>
      </c>
      <c r="B30" s="2" t="s">
        <v>17</v>
      </c>
      <c r="C30" s="1" t="s">
        <v>8</v>
      </c>
      <c r="D30">
        <v>0</v>
      </c>
      <c r="E30" s="360">
        <v>23.8947</v>
      </c>
      <c r="F30">
        <v>0</v>
      </c>
      <c r="G30">
        <v>0</v>
      </c>
      <c r="H30">
        <v>0</v>
      </c>
      <c r="J30">
        <v>0</v>
      </c>
      <c r="K30" s="14">
        <v>4.2351467865730008</v>
      </c>
      <c r="L30">
        <v>0</v>
      </c>
      <c r="M30">
        <v>0</v>
      </c>
      <c r="N30">
        <v>0</v>
      </c>
      <c r="O30" s="20"/>
      <c r="P30" s="20"/>
      <c r="Q30" s="436">
        <v>0.23410629588817508</v>
      </c>
      <c r="R30" s="197">
        <v>0.49</v>
      </c>
      <c r="S30" s="197">
        <v>2.42</v>
      </c>
      <c r="T30" s="197">
        <v>0.50078889239507718</v>
      </c>
      <c r="U30" s="197">
        <v>0.75268470790377973</v>
      </c>
      <c r="V30" s="20">
        <f t="shared" ref="V30:Y35" si="22">IF(K30&gt;0,((E30-K30)*$Q30*$R30*10)+(K30*$O$12*$Q30*$R30*10),(E30*$Q30*$R30*10))</f>
        <v>24.338505636277709</v>
      </c>
      <c r="W30" s="20">
        <f t="shared" si="22"/>
        <v>0</v>
      </c>
      <c r="X30" s="20">
        <f t="shared" si="22"/>
        <v>0</v>
      </c>
      <c r="Y30" s="20">
        <f t="shared" si="22"/>
        <v>0</v>
      </c>
      <c r="Z30" s="20">
        <f t="shared" ref="Z30:AC35" si="23">V30*(EXP(1.01-0.34*LN(Z$8))*(1-$T30)+(1*$T30))</f>
        <v>14.405871358234576</v>
      </c>
      <c r="AA30" s="20">
        <f t="shared" si="23"/>
        <v>0</v>
      </c>
      <c r="AB30" s="20">
        <f t="shared" si="23"/>
        <v>0</v>
      </c>
      <c r="AC30" s="20">
        <f t="shared" si="23"/>
        <v>0</v>
      </c>
      <c r="AD30" s="20">
        <f t="shared" ref="AD30:AD35" si="24">SUM(Z30:AC30)</f>
        <v>14.405871358234576</v>
      </c>
      <c r="AE30" s="20">
        <f t="shared" ref="AE30:AH35" si="25">IF(K30&gt;0,((E30-K30)*$Q30*$S30*10)+(K30*$P$12*$Q30*$S30)*10,(E30*$Q30*$S30*10))</f>
        <v>125.27415610252521</v>
      </c>
      <c r="AF30" s="20">
        <f t="shared" si="25"/>
        <v>0</v>
      </c>
      <c r="AG30" s="20">
        <f t="shared" si="25"/>
        <v>0</v>
      </c>
      <c r="AH30" s="20">
        <f t="shared" si="25"/>
        <v>0</v>
      </c>
      <c r="AI30" s="20">
        <f t="shared" ref="AI30:AL35" si="26">AE30*(EXP(1.01-0.34*LN(AI$8))*(1-$U30)+(1*$U30))</f>
        <v>99.9462812244834</v>
      </c>
      <c r="AJ30" s="20">
        <f t="shared" si="26"/>
        <v>0</v>
      </c>
      <c r="AK30" s="20">
        <f t="shared" si="26"/>
        <v>0</v>
      </c>
      <c r="AL30" s="20">
        <f t="shared" si="26"/>
        <v>0</v>
      </c>
      <c r="AM30" s="20">
        <f t="shared" ref="AM30:AM35" si="27">SUM(AI30:AL30)</f>
        <v>99.9462812244834</v>
      </c>
      <c r="AO30">
        <f t="shared" ref="AO30:AR35" si="28">Z30*AO$10</f>
        <v>14.600350621570744</v>
      </c>
      <c r="AP30">
        <f t="shared" si="28"/>
        <v>0</v>
      </c>
      <c r="AQ30">
        <f t="shared" si="28"/>
        <v>0</v>
      </c>
      <c r="AR30">
        <f t="shared" si="28"/>
        <v>0</v>
      </c>
      <c r="AS30">
        <f t="shared" ref="AS30:AS35" si="29">SUM(AO30:AR30)</f>
        <v>14.600350621570744</v>
      </c>
      <c r="AU30">
        <f t="shared" ref="AU30:AX35" si="30">AI30*AU$10</f>
        <v>101.29555602101394</v>
      </c>
      <c r="AV30">
        <f t="shared" si="30"/>
        <v>0</v>
      </c>
      <c r="AW30">
        <f t="shared" si="30"/>
        <v>0</v>
      </c>
      <c r="AX30">
        <f t="shared" si="30"/>
        <v>0</v>
      </c>
      <c r="AY30">
        <f t="shared" ref="AY30:AY35" si="31">SUM(AU30:AX30)</f>
        <v>101.29555602101394</v>
      </c>
    </row>
    <row r="31" spans="1:53" ht="15" x14ac:dyDescent="0.25">
      <c r="A31" s="1"/>
      <c r="B31" s="2"/>
      <c r="C31" s="1" t="s">
        <v>9</v>
      </c>
      <c r="D31">
        <v>0</v>
      </c>
      <c r="E31" s="360">
        <v>3.4548999999999999</v>
      </c>
      <c r="F31">
        <v>0</v>
      </c>
      <c r="G31">
        <v>0</v>
      </c>
      <c r="H31">
        <v>0</v>
      </c>
      <c r="J31">
        <v>0</v>
      </c>
      <c r="K31" s="14">
        <v>3.4548999999999999</v>
      </c>
      <c r="L31">
        <v>0</v>
      </c>
      <c r="M31">
        <v>0</v>
      </c>
      <c r="N31">
        <v>0</v>
      </c>
      <c r="O31" s="20"/>
      <c r="P31" s="20"/>
      <c r="Q31" s="436">
        <v>0.24321259177635016</v>
      </c>
      <c r="R31" s="197">
        <v>0.49</v>
      </c>
      <c r="S31" s="197">
        <v>2.42</v>
      </c>
      <c r="T31" s="197">
        <v>0.50078889239507718</v>
      </c>
      <c r="U31" s="197">
        <v>0.75268470790377973</v>
      </c>
      <c r="V31" s="20">
        <f t="shared" si="22"/>
        <v>1.5141632942802667</v>
      </c>
      <c r="W31" s="20">
        <f t="shared" si="22"/>
        <v>0</v>
      </c>
      <c r="X31" s="20">
        <f t="shared" si="22"/>
        <v>0</v>
      </c>
      <c r="Y31" s="20">
        <f t="shared" si="22"/>
        <v>0</v>
      </c>
      <c r="Z31" s="20">
        <f t="shared" si="23"/>
        <v>0.89622764678900901</v>
      </c>
      <c r="AA31" s="20">
        <f t="shared" si="23"/>
        <v>0</v>
      </c>
      <c r="AB31" s="20">
        <f t="shared" si="23"/>
        <v>0</v>
      </c>
      <c r="AC31" s="20">
        <f t="shared" si="23"/>
        <v>0</v>
      </c>
      <c r="AD31" s="20">
        <f t="shared" si="24"/>
        <v>0.89622764678900901</v>
      </c>
      <c r="AE31" s="20">
        <f t="shared" si="25"/>
        <v>11.776415349161253</v>
      </c>
      <c r="AF31" s="20">
        <f t="shared" si="25"/>
        <v>0</v>
      </c>
      <c r="AG31" s="20">
        <f t="shared" si="25"/>
        <v>0</v>
      </c>
      <c r="AH31" s="20">
        <f t="shared" si="25"/>
        <v>0</v>
      </c>
      <c r="AI31" s="20">
        <f t="shared" si="26"/>
        <v>9.395464770405809</v>
      </c>
      <c r="AJ31" s="20">
        <f t="shared" si="26"/>
        <v>0</v>
      </c>
      <c r="AK31" s="20">
        <f t="shared" si="26"/>
        <v>0</v>
      </c>
      <c r="AL31" s="20">
        <f t="shared" si="26"/>
        <v>0</v>
      </c>
      <c r="AM31" s="20">
        <f t="shared" si="27"/>
        <v>9.395464770405809</v>
      </c>
      <c r="AO31">
        <f t="shared" si="28"/>
        <v>0.90832672002066073</v>
      </c>
      <c r="AP31">
        <f t="shared" si="28"/>
        <v>0</v>
      </c>
      <c r="AQ31">
        <f t="shared" si="28"/>
        <v>0</v>
      </c>
      <c r="AR31">
        <f t="shared" si="28"/>
        <v>0</v>
      </c>
      <c r="AS31">
        <f t="shared" si="29"/>
        <v>0.90832672002066073</v>
      </c>
      <c r="AU31">
        <f t="shared" si="30"/>
        <v>9.522303544806288</v>
      </c>
      <c r="AV31">
        <f t="shared" si="30"/>
        <v>0</v>
      </c>
      <c r="AW31">
        <f t="shared" si="30"/>
        <v>0</v>
      </c>
      <c r="AX31">
        <f t="shared" si="30"/>
        <v>0</v>
      </c>
      <c r="AY31">
        <f t="shared" si="31"/>
        <v>9.522303544806288</v>
      </c>
    </row>
    <row r="32" spans="1:53" ht="15" x14ac:dyDescent="0.25">
      <c r="A32" s="1"/>
      <c r="B32" s="2"/>
      <c r="C32" s="1" t="s">
        <v>10</v>
      </c>
      <c r="D32">
        <v>0</v>
      </c>
      <c r="E32" s="360">
        <v>1.1971000000000001</v>
      </c>
      <c r="F32">
        <v>0</v>
      </c>
      <c r="G32">
        <v>0</v>
      </c>
      <c r="H32">
        <v>0</v>
      </c>
      <c r="J32">
        <v>0</v>
      </c>
      <c r="K32" s="14">
        <v>2.8251047800000872E-3</v>
      </c>
      <c r="L32">
        <v>0</v>
      </c>
      <c r="M32">
        <v>0</v>
      </c>
      <c r="N32">
        <v>0</v>
      </c>
      <c r="O32" s="20"/>
      <c r="P32" s="20"/>
      <c r="Q32" s="436">
        <v>0.2523188876645252</v>
      </c>
      <c r="R32" s="197">
        <v>0.49</v>
      </c>
      <c r="S32" s="197">
        <v>2.42</v>
      </c>
      <c r="T32" s="197">
        <v>0.50078889239507718</v>
      </c>
      <c r="U32" s="197">
        <v>0.75268470790377973</v>
      </c>
      <c r="V32" s="20">
        <f t="shared" si="22"/>
        <v>1.4778412584347516</v>
      </c>
      <c r="W32" s="20">
        <f t="shared" si="22"/>
        <v>0</v>
      </c>
      <c r="X32" s="20">
        <f t="shared" si="22"/>
        <v>0</v>
      </c>
      <c r="Y32" s="20">
        <f t="shared" si="22"/>
        <v>0</v>
      </c>
      <c r="Z32" s="20">
        <f t="shared" si="23"/>
        <v>0.8747287682761169</v>
      </c>
      <c r="AA32" s="20">
        <f t="shared" si="23"/>
        <v>0</v>
      </c>
      <c r="AB32" s="20">
        <f t="shared" si="23"/>
        <v>0</v>
      </c>
      <c r="AC32" s="20">
        <f t="shared" si="23"/>
        <v>0</v>
      </c>
      <c r="AD32" s="20">
        <f t="shared" si="24"/>
        <v>0.8747287682761169</v>
      </c>
      <c r="AE32" s="20">
        <f t="shared" si="25"/>
        <v>7.3023725771613783</v>
      </c>
      <c r="AF32" s="20">
        <f t="shared" si="25"/>
        <v>0</v>
      </c>
      <c r="AG32" s="20">
        <f t="shared" si="25"/>
        <v>0</v>
      </c>
      <c r="AH32" s="20">
        <f t="shared" si="25"/>
        <v>0</v>
      </c>
      <c r="AI32" s="20">
        <f t="shared" si="26"/>
        <v>5.8259820373933842</v>
      </c>
      <c r="AJ32" s="20">
        <f t="shared" si="26"/>
        <v>0</v>
      </c>
      <c r="AK32" s="20">
        <f t="shared" si="26"/>
        <v>0</v>
      </c>
      <c r="AL32" s="20">
        <f t="shared" si="26"/>
        <v>0</v>
      </c>
      <c r="AM32" s="20">
        <f t="shared" si="27"/>
        <v>5.8259820373933842</v>
      </c>
      <c r="AO32">
        <f t="shared" si="28"/>
        <v>0.88653760664784453</v>
      </c>
      <c r="AP32">
        <f t="shared" si="28"/>
        <v>0</v>
      </c>
      <c r="AQ32">
        <f t="shared" si="28"/>
        <v>0</v>
      </c>
      <c r="AR32">
        <f t="shared" si="28"/>
        <v>0</v>
      </c>
      <c r="AS32">
        <f t="shared" si="29"/>
        <v>0.88653760664784453</v>
      </c>
      <c r="AU32">
        <f t="shared" si="30"/>
        <v>5.9046327948981956</v>
      </c>
      <c r="AV32">
        <f t="shared" si="30"/>
        <v>0</v>
      </c>
      <c r="AW32">
        <f t="shared" si="30"/>
        <v>0</v>
      </c>
      <c r="AX32">
        <f t="shared" si="30"/>
        <v>0</v>
      </c>
      <c r="AY32">
        <f t="shared" si="31"/>
        <v>5.9046327948981956</v>
      </c>
    </row>
    <row r="33" spans="1:53" ht="15" x14ac:dyDescent="0.25">
      <c r="A33" s="1"/>
      <c r="B33" s="2"/>
      <c r="C33" s="1" t="s">
        <v>11</v>
      </c>
      <c r="D33">
        <v>0</v>
      </c>
      <c r="E33" s="360">
        <v>9.5062999999999995</v>
      </c>
      <c r="F33">
        <v>0</v>
      </c>
      <c r="G33">
        <v>0</v>
      </c>
      <c r="H33">
        <v>0</v>
      </c>
      <c r="J33">
        <v>0</v>
      </c>
      <c r="K33" s="14">
        <v>9.3638368422762763</v>
      </c>
      <c r="L33">
        <v>0</v>
      </c>
      <c r="M33">
        <v>0</v>
      </c>
      <c r="N33">
        <v>0</v>
      </c>
      <c r="O33" s="20"/>
      <c r="P33" s="20"/>
      <c r="Q33" s="436">
        <v>0.26142518355270028</v>
      </c>
      <c r="R33" s="197">
        <v>0.49</v>
      </c>
      <c r="S33" s="197">
        <v>2.42</v>
      </c>
      <c r="T33" s="197">
        <v>0.50078889239507718</v>
      </c>
      <c r="U33" s="197">
        <v>0.75268470790377973</v>
      </c>
      <c r="V33" s="20">
        <f t="shared" si="22"/>
        <v>4.5936491364963015</v>
      </c>
      <c r="W33" s="20">
        <f t="shared" si="22"/>
        <v>0</v>
      </c>
      <c r="X33" s="20">
        <f t="shared" si="22"/>
        <v>0</v>
      </c>
      <c r="Y33" s="20">
        <f t="shared" si="22"/>
        <v>0</v>
      </c>
      <c r="Z33" s="20">
        <f t="shared" si="23"/>
        <v>2.7189639131579746</v>
      </c>
      <c r="AA33" s="20">
        <f t="shared" si="23"/>
        <v>0</v>
      </c>
      <c r="AB33" s="20">
        <f t="shared" si="23"/>
        <v>0</v>
      </c>
      <c r="AC33" s="20">
        <f t="shared" si="23"/>
        <v>0</v>
      </c>
      <c r="AD33" s="20">
        <f t="shared" si="24"/>
        <v>2.7189639131579746</v>
      </c>
      <c r="AE33" s="20">
        <f t="shared" si="25"/>
        <v>35.209089068785218</v>
      </c>
      <c r="AF33" s="20">
        <f t="shared" si="25"/>
        <v>0</v>
      </c>
      <c r="AG33" s="20">
        <f t="shared" si="25"/>
        <v>0</v>
      </c>
      <c r="AH33" s="20">
        <f t="shared" si="25"/>
        <v>0</v>
      </c>
      <c r="AI33" s="20">
        <f t="shared" si="26"/>
        <v>28.090530618675285</v>
      </c>
      <c r="AJ33" s="20">
        <f t="shared" si="26"/>
        <v>0</v>
      </c>
      <c r="AK33" s="20">
        <f t="shared" si="26"/>
        <v>0</v>
      </c>
      <c r="AL33" s="20">
        <f t="shared" si="26"/>
        <v>0</v>
      </c>
      <c r="AM33" s="20">
        <f t="shared" si="27"/>
        <v>28.090530618675285</v>
      </c>
      <c r="AO33">
        <f t="shared" si="28"/>
        <v>2.7556699259856074</v>
      </c>
      <c r="AP33">
        <f t="shared" si="28"/>
        <v>0</v>
      </c>
      <c r="AQ33">
        <f t="shared" si="28"/>
        <v>0</v>
      </c>
      <c r="AR33">
        <f t="shared" si="28"/>
        <v>0</v>
      </c>
      <c r="AS33">
        <f t="shared" si="29"/>
        <v>2.7556699259856074</v>
      </c>
      <c r="AU33">
        <f t="shared" si="30"/>
        <v>28.469752782027403</v>
      </c>
      <c r="AV33">
        <f t="shared" si="30"/>
        <v>0</v>
      </c>
      <c r="AW33">
        <f t="shared" si="30"/>
        <v>0</v>
      </c>
      <c r="AX33">
        <f t="shared" si="30"/>
        <v>0</v>
      </c>
      <c r="AY33">
        <f t="shared" si="31"/>
        <v>28.469752782027403</v>
      </c>
    </row>
    <row r="34" spans="1:53" ht="15" x14ac:dyDescent="0.25">
      <c r="A34" s="1"/>
      <c r="B34" s="2"/>
      <c r="C34" s="1" t="s">
        <v>12</v>
      </c>
      <c r="D34">
        <v>0</v>
      </c>
      <c r="E34" s="360">
        <v>0</v>
      </c>
      <c r="F34">
        <v>0</v>
      </c>
      <c r="G34">
        <v>0</v>
      </c>
      <c r="H34">
        <v>0</v>
      </c>
      <c r="J34">
        <v>0</v>
      </c>
      <c r="K34" s="14">
        <v>0</v>
      </c>
      <c r="L34">
        <v>0</v>
      </c>
      <c r="M34">
        <v>0</v>
      </c>
      <c r="N34">
        <v>0</v>
      </c>
      <c r="O34" s="20"/>
      <c r="P34" s="20"/>
      <c r="Q34" s="436"/>
      <c r="R34" s="197">
        <v>0.49</v>
      </c>
      <c r="S34" s="197">
        <v>2.42</v>
      </c>
      <c r="T34" s="197">
        <v>0.50078889239507718</v>
      </c>
      <c r="U34" s="197">
        <v>0.75268470790377973</v>
      </c>
      <c r="V34" s="20">
        <f t="shared" si="22"/>
        <v>0</v>
      </c>
      <c r="W34" s="20">
        <f t="shared" si="22"/>
        <v>0</v>
      </c>
      <c r="X34" s="20">
        <f t="shared" si="22"/>
        <v>0</v>
      </c>
      <c r="Y34" s="20">
        <f t="shared" si="22"/>
        <v>0</v>
      </c>
      <c r="Z34" s="20">
        <f t="shared" si="23"/>
        <v>0</v>
      </c>
      <c r="AA34" s="20">
        <f t="shared" si="23"/>
        <v>0</v>
      </c>
      <c r="AB34" s="20">
        <f t="shared" si="23"/>
        <v>0</v>
      </c>
      <c r="AC34" s="20">
        <f t="shared" si="23"/>
        <v>0</v>
      </c>
      <c r="AD34" s="20">
        <f t="shared" si="24"/>
        <v>0</v>
      </c>
      <c r="AE34" s="20">
        <f t="shared" si="25"/>
        <v>0</v>
      </c>
      <c r="AF34" s="20">
        <f t="shared" si="25"/>
        <v>0</v>
      </c>
      <c r="AG34" s="20">
        <f t="shared" si="25"/>
        <v>0</v>
      </c>
      <c r="AH34" s="20">
        <f t="shared" si="25"/>
        <v>0</v>
      </c>
      <c r="AI34" s="20">
        <f t="shared" si="26"/>
        <v>0</v>
      </c>
      <c r="AJ34" s="20">
        <f t="shared" si="26"/>
        <v>0</v>
      </c>
      <c r="AK34" s="20">
        <f t="shared" si="26"/>
        <v>0</v>
      </c>
      <c r="AL34" s="20">
        <f t="shared" si="26"/>
        <v>0</v>
      </c>
      <c r="AM34" s="20">
        <f t="shared" si="27"/>
        <v>0</v>
      </c>
      <c r="AO34">
        <f t="shared" si="28"/>
        <v>0</v>
      </c>
      <c r="AP34">
        <f t="shared" si="28"/>
        <v>0</v>
      </c>
      <c r="AQ34">
        <f t="shared" si="28"/>
        <v>0</v>
      </c>
      <c r="AR34">
        <f t="shared" si="28"/>
        <v>0</v>
      </c>
      <c r="AS34">
        <f t="shared" si="29"/>
        <v>0</v>
      </c>
      <c r="AU34">
        <f t="shared" si="30"/>
        <v>0</v>
      </c>
      <c r="AV34">
        <f t="shared" si="30"/>
        <v>0</v>
      </c>
      <c r="AW34">
        <f t="shared" si="30"/>
        <v>0</v>
      </c>
      <c r="AX34">
        <f t="shared" si="30"/>
        <v>0</v>
      </c>
      <c r="AY34">
        <f t="shared" si="31"/>
        <v>0</v>
      </c>
    </row>
    <row r="35" spans="1:53" ht="15" x14ac:dyDescent="0.25">
      <c r="A35" s="1"/>
      <c r="B35" s="2"/>
      <c r="C35" s="1" t="s">
        <v>13</v>
      </c>
      <c r="D35">
        <v>0</v>
      </c>
      <c r="E35" s="360">
        <v>4.8399999999999999E-2</v>
      </c>
      <c r="F35">
        <v>0</v>
      </c>
      <c r="G35">
        <v>0</v>
      </c>
      <c r="H35">
        <v>0</v>
      </c>
      <c r="J35">
        <v>0</v>
      </c>
      <c r="K35" s="14">
        <v>-0.1467011429</v>
      </c>
      <c r="L35">
        <v>0</v>
      </c>
      <c r="M35">
        <v>0</v>
      </c>
      <c r="N35">
        <v>0</v>
      </c>
      <c r="O35" s="20"/>
      <c r="P35" s="20"/>
      <c r="Q35" s="436">
        <v>0.26142518355270028</v>
      </c>
      <c r="R35" s="197">
        <v>0.49</v>
      </c>
      <c r="S35" s="197">
        <v>2.42</v>
      </c>
      <c r="T35" s="197">
        <v>0.50078889239507718</v>
      </c>
      <c r="U35" s="197">
        <v>0.75268470790377973</v>
      </c>
      <c r="V35" s="20">
        <f t="shared" si="22"/>
        <v>6.1999596531358392E-2</v>
      </c>
      <c r="W35" s="20">
        <f t="shared" si="22"/>
        <v>0</v>
      </c>
      <c r="X35" s="20">
        <f t="shared" si="22"/>
        <v>0</v>
      </c>
      <c r="Y35" s="20">
        <f t="shared" si="22"/>
        <v>0</v>
      </c>
      <c r="Z35" s="20">
        <f t="shared" si="23"/>
        <v>3.6697331596312159E-2</v>
      </c>
      <c r="AA35" s="20">
        <f t="shared" si="23"/>
        <v>0</v>
      </c>
      <c r="AB35" s="20">
        <f t="shared" si="23"/>
        <v>0</v>
      </c>
      <c r="AC35" s="20">
        <f t="shared" si="23"/>
        <v>0</v>
      </c>
      <c r="AD35" s="20">
        <f t="shared" si="24"/>
        <v>3.6697331596312159E-2</v>
      </c>
      <c r="AE35" s="20">
        <f t="shared" si="25"/>
        <v>0.30620208899160678</v>
      </c>
      <c r="AF35" s="20">
        <f t="shared" si="25"/>
        <v>0</v>
      </c>
      <c r="AG35" s="20">
        <f t="shared" si="25"/>
        <v>0</v>
      </c>
      <c r="AH35" s="20">
        <f t="shared" si="25"/>
        <v>0</v>
      </c>
      <c r="AI35" s="20">
        <f t="shared" si="26"/>
        <v>0.24429428263586225</v>
      </c>
      <c r="AJ35" s="20">
        <f t="shared" si="26"/>
        <v>0</v>
      </c>
      <c r="AK35" s="20">
        <f t="shared" si="26"/>
        <v>0</v>
      </c>
      <c r="AL35" s="20">
        <f t="shared" si="26"/>
        <v>0</v>
      </c>
      <c r="AM35" s="20">
        <f t="shared" si="27"/>
        <v>0.24429428263586225</v>
      </c>
      <c r="AO35">
        <f t="shared" si="28"/>
        <v>3.7192745572862375E-2</v>
      </c>
      <c r="AP35">
        <f t="shared" si="28"/>
        <v>0</v>
      </c>
      <c r="AQ35">
        <f t="shared" si="28"/>
        <v>0</v>
      </c>
      <c r="AR35">
        <f t="shared" si="28"/>
        <v>0</v>
      </c>
      <c r="AS35">
        <f t="shared" si="29"/>
        <v>3.7192745572862375E-2</v>
      </c>
      <c r="AU35">
        <f t="shared" si="30"/>
        <v>0.24759225545144642</v>
      </c>
      <c r="AV35">
        <f t="shared" si="30"/>
        <v>0</v>
      </c>
      <c r="AW35">
        <f t="shared" si="30"/>
        <v>0</v>
      </c>
      <c r="AX35">
        <f t="shared" si="30"/>
        <v>0</v>
      </c>
      <c r="AY35">
        <f t="shared" si="31"/>
        <v>0.24759225545144642</v>
      </c>
    </row>
    <row r="36" spans="1:53" ht="15" x14ac:dyDescent="0.25">
      <c r="A36" s="7"/>
      <c r="B36" s="8" t="s">
        <v>14</v>
      </c>
      <c r="C36" s="7"/>
      <c r="D36" s="357">
        <f t="shared" ref="D36:H36" si="32">SUM(D30:D35)</f>
        <v>0</v>
      </c>
      <c r="E36" s="363">
        <f>SUM(E30:E35)</f>
        <v>38.101399999999998</v>
      </c>
      <c r="F36" s="357">
        <f t="shared" si="32"/>
        <v>0</v>
      </c>
      <c r="G36" s="357">
        <f t="shared" si="32"/>
        <v>0</v>
      </c>
      <c r="H36" s="357">
        <f t="shared" si="32"/>
        <v>0</v>
      </c>
      <c r="J36">
        <v>0</v>
      </c>
      <c r="K36" s="14">
        <v>16.910007590729276</v>
      </c>
      <c r="L36">
        <v>0</v>
      </c>
      <c r="M36">
        <v>0</v>
      </c>
      <c r="N36">
        <v>0</v>
      </c>
      <c r="O36" s="20"/>
      <c r="P36" s="20"/>
      <c r="Q36" s="436">
        <v>0.24235500620453523</v>
      </c>
      <c r="R36" s="197"/>
      <c r="S36" s="197"/>
      <c r="T36" s="197"/>
      <c r="U36" s="197"/>
      <c r="BA36" s="319">
        <f>(E36*10000*Q36*AU$10)</f>
        <v>93587.249113523998</v>
      </c>
    </row>
    <row r="37" spans="1:53" ht="15" x14ac:dyDescent="0.25">
      <c r="A37" s="5"/>
      <c r="B37" s="9" t="s">
        <v>15</v>
      </c>
      <c r="C37" s="5"/>
      <c r="E37" s="363">
        <f>SUM(E36)</f>
        <v>38.101399999999998</v>
      </c>
      <c r="H37" s="358">
        <f>SUM(D36:H36)</f>
        <v>38.101399999999998</v>
      </c>
      <c r="K37" s="14"/>
      <c r="N37">
        <v>0</v>
      </c>
      <c r="O37" s="20"/>
      <c r="P37" s="20"/>
      <c r="Q37" s="436"/>
      <c r="R37" s="197"/>
      <c r="S37" s="197"/>
      <c r="T37" s="197"/>
      <c r="U37" s="197"/>
    </row>
    <row r="38" spans="1:53" ht="15.75" x14ac:dyDescent="0.25">
      <c r="A38" s="1"/>
      <c r="B38" s="2"/>
      <c r="C38" s="1"/>
      <c r="E38" s="362"/>
      <c r="K38" s="14"/>
      <c r="O38" s="20"/>
      <c r="P38" s="20"/>
      <c r="Q38" s="437"/>
      <c r="R38" s="197"/>
      <c r="S38" s="197"/>
      <c r="T38" s="197"/>
      <c r="U38" s="197"/>
    </row>
    <row r="39" spans="1:53" ht="15" x14ac:dyDescent="0.25">
      <c r="A39" s="1">
        <v>4</v>
      </c>
      <c r="B39" s="2" t="s">
        <v>18</v>
      </c>
      <c r="C39" s="1" t="s">
        <v>8</v>
      </c>
      <c r="D39">
        <v>0</v>
      </c>
      <c r="E39" s="360">
        <v>96.525899999999993</v>
      </c>
      <c r="F39">
        <v>0</v>
      </c>
      <c r="G39">
        <v>0</v>
      </c>
      <c r="H39">
        <v>0</v>
      </c>
      <c r="J39">
        <v>0</v>
      </c>
      <c r="K39" s="14">
        <v>93.906445392392087</v>
      </c>
      <c r="L39">
        <v>0</v>
      </c>
      <c r="M39">
        <v>0</v>
      </c>
      <c r="N39">
        <v>0</v>
      </c>
      <c r="O39" s="20"/>
      <c r="P39" s="20"/>
      <c r="Q39" s="436">
        <v>0.36728503671054008</v>
      </c>
      <c r="R39" s="197">
        <v>0.19500000000000001</v>
      </c>
      <c r="S39" s="197">
        <v>1.22</v>
      </c>
      <c r="T39" s="197">
        <v>0.4144562334217507</v>
      </c>
      <c r="U39" s="197">
        <v>0.6566321730950142</v>
      </c>
      <c r="V39" s="20">
        <f t="shared" ref="V39:Y44" si="33">IF(K39&gt;0,((E39-K39)*$Q39*$R39*10)+(K39*$O$12*$Q39*$R39*10),(E39*$Q39*$R39*10))</f>
        <v>26.609726284121479</v>
      </c>
      <c r="W39" s="20">
        <f t="shared" si="33"/>
        <v>0</v>
      </c>
      <c r="X39" s="20">
        <f t="shared" si="33"/>
        <v>0</v>
      </c>
      <c r="Y39" s="20">
        <f t="shared" si="33"/>
        <v>0</v>
      </c>
      <c r="Z39" s="20">
        <f t="shared" ref="Z39:AC44" si="34">V39*(EXP(1.01-0.34*LN(Z$8))*(1-$T39)+(1*$T39))</f>
        <v>13.872171500407232</v>
      </c>
      <c r="AA39" s="20">
        <f t="shared" si="34"/>
        <v>0</v>
      </c>
      <c r="AB39" s="20">
        <f t="shared" si="34"/>
        <v>0</v>
      </c>
      <c r="AC39" s="20">
        <f t="shared" si="34"/>
        <v>0</v>
      </c>
      <c r="AD39" s="20">
        <f t="shared" ref="AD39:AD44" si="35">SUM(Z39:AC39)</f>
        <v>13.872171500407232</v>
      </c>
      <c r="AE39" s="20">
        <f t="shared" ref="AE39:AH44" si="36">IF(K39&gt;0,((E39-K39)*$Q39*$S39*10)+(K39*$P$12*$Q39*$S39)*10,(E39*$Q39*$S39*10))</f>
        <v>255.42575556846992</v>
      </c>
      <c r="AF39" s="20">
        <f t="shared" si="36"/>
        <v>0</v>
      </c>
      <c r="AG39" s="20">
        <f t="shared" si="36"/>
        <v>0</v>
      </c>
      <c r="AH39" s="20">
        <f t="shared" si="36"/>
        <v>0</v>
      </c>
      <c r="AI39" s="20">
        <f t="shared" ref="AI39:AL44" si="37">AE39*(EXP(1.01-0.34*LN(AI$8))*(1-$U39)+(1*$U39))</f>
        <v>183.72717098846041</v>
      </c>
      <c r="AJ39" s="20">
        <f t="shared" si="37"/>
        <v>0</v>
      </c>
      <c r="AK39" s="20">
        <f t="shared" si="37"/>
        <v>0</v>
      </c>
      <c r="AL39" s="20">
        <f t="shared" si="37"/>
        <v>0</v>
      </c>
      <c r="AM39" s="20">
        <f t="shared" ref="AM39:AM44" si="38">SUM(AI39:AL39)</f>
        <v>183.72717098846041</v>
      </c>
      <c r="AO39">
        <f t="shared" ref="AO39:AR44" si="39">Z39*AO$10</f>
        <v>14.05944581566273</v>
      </c>
      <c r="AP39">
        <f t="shared" si="39"/>
        <v>0</v>
      </c>
      <c r="AQ39">
        <f t="shared" si="39"/>
        <v>0</v>
      </c>
      <c r="AR39">
        <f t="shared" si="39"/>
        <v>0</v>
      </c>
      <c r="AS39">
        <f t="shared" ref="AS39:AS44" si="40">SUM(AO39:AR39)</f>
        <v>14.05944581566273</v>
      </c>
      <c r="AU39">
        <f t="shared" ref="AU39:AX44" si="41">AI39*AU$10</f>
        <v>186.20748779680466</v>
      </c>
      <c r="AV39">
        <f t="shared" si="41"/>
        <v>0</v>
      </c>
      <c r="AW39">
        <f t="shared" si="41"/>
        <v>0</v>
      </c>
      <c r="AX39">
        <f t="shared" si="41"/>
        <v>0</v>
      </c>
      <c r="AY39">
        <f t="shared" ref="AY39:AY44" si="42">SUM(AU39:AX39)</f>
        <v>186.20748779680466</v>
      </c>
    </row>
    <row r="40" spans="1:53" ht="15" x14ac:dyDescent="0.25">
      <c r="A40" s="1"/>
      <c r="B40" s="2"/>
      <c r="C40" s="1" t="s">
        <v>9</v>
      </c>
      <c r="D40">
        <v>0</v>
      </c>
      <c r="E40" s="360">
        <v>29.336099999999998</v>
      </c>
      <c r="F40">
        <v>0</v>
      </c>
      <c r="G40">
        <v>0</v>
      </c>
      <c r="H40">
        <v>0</v>
      </c>
      <c r="J40">
        <v>0</v>
      </c>
      <c r="K40" s="14">
        <v>29.336099999999998</v>
      </c>
      <c r="L40">
        <v>0</v>
      </c>
      <c r="M40">
        <v>0</v>
      </c>
      <c r="N40">
        <v>0</v>
      </c>
      <c r="O40" s="20"/>
      <c r="P40" s="20"/>
      <c r="Q40" s="436">
        <v>0.37457007342108012</v>
      </c>
      <c r="R40" s="197">
        <v>0.19500000000000001</v>
      </c>
      <c r="S40" s="197">
        <v>1.22</v>
      </c>
      <c r="T40" s="197">
        <v>0.4144562334217507</v>
      </c>
      <c r="U40" s="197">
        <v>0.6566321730950142</v>
      </c>
      <c r="V40" s="20">
        <f t="shared" si="33"/>
        <v>7.8799808400604041</v>
      </c>
      <c r="W40" s="20">
        <f t="shared" si="33"/>
        <v>0</v>
      </c>
      <c r="X40" s="20">
        <f t="shared" si="33"/>
        <v>0</v>
      </c>
      <c r="Y40" s="20">
        <f t="shared" si="33"/>
        <v>0</v>
      </c>
      <c r="Z40" s="20">
        <f t="shared" si="34"/>
        <v>4.1079883523067187</v>
      </c>
      <c r="AA40" s="20">
        <f t="shared" si="34"/>
        <v>0</v>
      </c>
      <c r="AB40" s="20">
        <f t="shared" si="34"/>
        <v>0</v>
      </c>
      <c r="AC40" s="20">
        <f t="shared" si="34"/>
        <v>0</v>
      </c>
      <c r="AD40" s="20">
        <f t="shared" si="35"/>
        <v>4.1079883523067187</v>
      </c>
      <c r="AE40" s="20">
        <f t="shared" si="36"/>
        <v>77.637491647979459</v>
      </c>
      <c r="AF40" s="20">
        <f t="shared" si="36"/>
        <v>0</v>
      </c>
      <c r="AG40" s="20">
        <f t="shared" si="36"/>
        <v>0</v>
      </c>
      <c r="AH40" s="20">
        <f t="shared" si="36"/>
        <v>0</v>
      </c>
      <c r="AI40" s="20">
        <f t="shared" si="37"/>
        <v>55.844472971715739</v>
      </c>
      <c r="AJ40" s="20">
        <f t="shared" si="37"/>
        <v>0</v>
      </c>
      <c r="AK40" s="20">
        <f t="shared" si="37"/>
        <v>0</v>
      </c>
      <c r="AL40" s="20">
        <f t="shared" si="37"/>
        <v>0</v>
      </c>
      <c r="AM40" s="20">
        <f t="shared" si="38"/>
        <v>55.844472971715739</v>
      </c>
      <c r="AO40">
        <f t="shared" si="39"/>
        <v>4.1634461950628596</v>
      </c>
      <c r="AP40">
        <f t="shared" si="39"/>
        <v>0</v>
      </c>
      <c r="AQ40">
        <f t="shared" si="39"/>
        <v>0</v>
      </c>
      <c r="AR40">
        <f t="shared" si="39"/>
        <v>0</v>
      </c>
      <c r="AS40">
        <f t="shared" si="40"/>
        <v>4.1634461950628596</v>
      </c>
      <c r="AU40">
        <f t="shared" si="41"/>
        <v>56.598373356833903</v>
      </c>
      <c r="AV40">
        <f t="shared" si="41"/>
        <v>0</v>
      </c>
      <c r="AW40">
        <f t="shared" si="41"/>
        <v>0</v>
      </c>
      <c r="AX40">
        <f t="shared" si="41"/>
        <v>0</v>
      </c>
      <c r="AY40">
        <f t="shared" si="42"/>
        <v>56.598373356833903</v>
      </c>
    </row>
    <row r="41" spans="1:53" ht="15" x14ac:dyDescent="0.25">
      <c r="A41" s="1"/>
      <c r="B41" s="2"/>
      <c r="C41" s="1" t="s">
        <v>10</v>
      </c>
      <c r="D41">
        <v>0</v>
      </c>
      <c r="E41" s="360">
        <v>0</v>
      </c>
      <c r="F41">
        <v>0</v>
      </c>
      <c r="G41">
        <v>0</v>
      </c>
      <c r="H41">
        <v>0</v>
      </c>
      <c r="J41">
        <v>0</v>
      </c>
      <c r="K41" s="14">
        <v>0</v>
      </c>
      <c r="L41">
        <v>0</v>
      </c>
      <c r="M41">
        <v>0</v>
      </c>
      <c r="N41">
        <v>0</v>
      </c>
      <c r="O41" s="20"/>
      <c r="P41" s="20"/>
      <c r="Q41" s="436"/>
      <c r="R41" s="197">
        <v>0.19500000000000001</v>
      </c>
      <c r="S41" s="197">
        <v>1.22</v>
      </c>
      <c r="T41" s="197">
        <v>0.4144562334217507</v>
      </c>
      <c r="U41" s="197">
        <v>0.6566321730950142</v>
      </c>
      <c r="V41" s="20">
        <f t="shared" si="33"/>
        <v>0</v>
      </c>
      <c r="W41" s="20">
        <f t="shared" si="33"/>
        <v>0</v>
      </c>
      <c r="X41" s="20">
        <f t="shared" si="33"/>
        <v>0</v>
      </c>
      <c r="Y41" s="20">
        <f t="shared" si="33"/>
        <v>0</v>
      </c>
      <c r="Z41" s="20">
        <f t="shared" si="34"/>
        <v>0</v>
      </c>
      <c r="AA41" s="20">
        <f t="shared" si="34"/>
        <v>0</v>
      </c>
      <c r="AB41" s="20">
        <f t="shared" si="34"/>
        <v>0</v>
      </c>
      <c r="AC41" s="20">
        <f t="shared" si="34"/>
        <v>0</v>
      </c>
      <c r="AD41" s="20">
        <f t="shared" si="35"/>
        <v>0</v>
      </c>
      <c r="AE41" s="20">
        <f t="shared" si="36"/>
        <v>0</v>
      </c>
      <c r="AF41" s="20">
        <f t="shared" si="36"/>
        <v>0</v>
      </c>
      <c r="AG41" s="20">
        <f t="shared" si="36"/>
        <v>0</v>
      </c>
      <c r="AH41" s="20">
        <f t="shared" si="36"/>
        <v>0</v>
      </c>
      <c r="AI41" s="20">
        <f t="shared" si="37"/>
        <v>0</v>
      </c>
      <c r="AJ41" s="20">
        <f t="shared" si="37"/>
        <v>0</v>
      </c>
      <c r="AK41" s="20">
        <f t="shared" si="37"/>
        <v>0</v>
      </c>
      <c r="AL41" s="20">
        <f t="shared" si="37"/>
        <v>0</v>
      </c>
      <c r="AM41" s="20">
        <f t="shared" si="38"/>
        <v>0</v>
      </c>
      <c r="AO41">
        <f t="shared" si="39"/>
        <v>0</v>
      </c>
      <c r="AP41">
        <f t="shared" si="39"/>
        <v>0</v>
      </c>
      <c r="AQ41">
        <f t="shared" si="39"/>
        <v>0</v>
      </c>
      <c r="AR41">
        <f t="shared" si="39"/>
        <v>0</v>
      </c>
      <c r="AS41">
        <f t="shared" si="40"/>
        <v>0</v>
      </c>
      <c r="AU41">
        <f t="shared" si="41"/>
        <v>0</v>
      </c>
      <c r="AV41">
        <f t="shared" si="41"/>
        <v>0</v>
      </c>
      <c r="AW41">
        <f t="shared" si="41"/>
        <v>0</v>
      </c>
      <c r="AX41">
        <f t="shared" si="41"/>
        <v>0</v>
      </c>
      <c r="AY41">
        <f t="shared" si="42"/>
        <v>0</v>
      </c>
    </row>
    <row r="42" spans="1:53" ht="15" x14ac:dyDescent="0.25">
      <c r="A42" s="1"/>
      <c r="B42" s="2"/>
      <c r="C42" s="1" t="s">
        <v>11</v>
      </c>
      <c r="D42">
        <v>0</v>
      </c>
      <c r="E42" s="360">
        <v>10.3987</v>
      </c>
      <c r="F42">
        <v>0</v>
      </c>
      <c r="G42">
        <v>0</v>
      </c>
      <c r="H42">
        <v>0</v>
      </c>
      <c r="J42">
        <v>0</v>
      </c>
      <c r="K42" s="14">
        <v>10.3946102895907</v>
      </c>
      <c r="L42">
        <v>0</v>
      </c>
      <c r="M42">
        <v>0</v>
      </c>
      <c r="N42">
        <v>0</v>
      </c>
      <c r="O42" s="20"/>
      <c r="P42" s="20"/>
      <c r="Q42" s="436">
        <v>0.38914014684216025</v>
      </c>
      <c r="R42" s="197">
        <v>0.19500000000000001</v>
      </c>
      <c r="S42" s="197">
        <v>1.22</v>
      </c>
      <c r="T42" s="197">
        <v>0.4144562334217507</v>
      </c>
      <c r="U42" s="197">
        <v>0.6566321730950142</v>
      </c>
      <c r="V42" s="20">
        <f t="shared" si="33"/>
        <v>2.9038110024698667</v>
      </c>
      <c r="W42" s="20">
        <f t="shared" si="33"/>
        <v>0</v>
      </c>
      <c r="X42" s="20">
        <f t="shared" si="33"/>
        <v>0</v>
      </c>
      <c r="Y42" s="20">
        <f t="shared" si="33"/>
        <v>0</v>
      </c>
      <c r="Z42" s="20">
        <f t="shared" si="34"/>
        <v>1.5138135507642767</v>
      </c>
      <c r="AA42" s="20">
        <f t="shared" si="34"/>
        <v>0</v>
      </c>
      <c r="AB42" s="20">
        <f t="shared" si="34"/>
        <v>0</v>
      </c>
      <c r="AC42" s="20">
        <f t="shared" si="34"/>
        <v>0</v>
      </c>
      <c r="AD42" s="20">
        <f t="shared" si="35"/>
        <v>1.5138135507642767</v>
      </c>
      <c r="AE42" s="20">
        <f t="shared" si="36"/>
        <v>28.598630706681671</v>
      </c>
      <c r="AF42" s="20">
        <f t="shared" si="36"/>
        <v>0</v>
      </c>
      <c r="AG42" s="20">
        <f t="shared" si="36"/>
        <v>0</v>
      </c>
      <c r="AH42" s="20">
        <f t="shared" si="36"/>
        <v>0</v>
      </c>
      <c r="AI42" s="20">
        <f t="shared" si="37"/>
        <v>20.570930688600228</v>
      </c>
      <c r="AJ42" s="20">
        <f t="shared" si="37"/>
        <v>0</v>
      </c>
      <c r="AK42" s="20">
        <f t="shared" si="37"/>
        <v>0</v>
      </c>
      <c r="AL42" s="20">
        <f t="shared" si="37"/>
        <v>0</v>
      </c>
      <c r="AM42" s="20">
        <f t="shared" si="38"/>
        <v>20.570930688600228</v>
      </c>
      <c r="AO42">
        <f t="shared" si="39"/>
        <v>1.5342500336995946</v>
      </c>
      <c r="AP42">
        <f t="shared" si="39"/>
        <v>0</v>
      </c>
      <c r="AQ42">
        <f t="shared" si="39"/>
        <v>0</v>
      </c>
      <c r="AR42">
        <f t="shared" si="39"/>
        <v>0</v>
      </c>
      <c r="AS42">
        <f t="shared" si="40"/>
        <v>1.5342500336995946</v>
      </c>
      <c r="AU42">
        <f t="shared" si="41"/>
        <v>20.848638252896333</v>
      </c>
      <c r="AV42">
        <f t="shared" si="41"/>
        <v>0</v>
      </c>
      <c r="AW42">
        <f t="shared" si="41"/>
        <v>0</v>
      </c>
      <c r="AX42">
        <f t="shared" si="41"/>
        <v>0</v>
      </c>
      <c r="AY42">
        <f t="shared" si="42"/>
        <v>20.848638252896333</v>
      </c>
    </row>
    <row r="43" spans="1:53" ht="15" x14ac:dyDescent="0.25">
      <c r="A43" s="1"/>
      <c r="B43" s="2"/>
      <c r="C43" s="1" t="s">
        <v>12</v>
      </c>
      <c r="D43">
        <v>0</v>
      </c>
      <c r="E43" s="360">
        <v>0</v>
      </c>
      <c r="F43">
        <v>0</v>
      </c>
      <c r="G43">
        <v>0</v>
      </c>
      <c r="H43">
        <v>0</v>
      </c>
      <c r="J43">
        <v>0</v>
      </c>
      <c r="K43" s="14">
        <v>0</v>
      </c>
      <c r="L43">
        <v>0</v>
      </c>
      <c r="M43">
        <v>0</v>
      </c>
      <c r="N43">
        <v>0</v>
      </c>
      <c r="O43" s="20"/>
      <c r="P43" s="20"/>
      <c r="Q43" s="436"/>
      <c r="R43" s="197">
        <v>0.19500000000000001</v>
      </c>
      <c r="S43" s="197">
        <v>1.22</v>
      </c>
      <c r="T43" s="197">
        <v>0.4144562334217507</v>
      </c>
      <c r="U43" s="197">
        <v>0.6566321730950142</v>
      </c>
      <c r="V43" s="20">
        <f t="shared" si="33"/>
        <v>0</v>
      </c>
      <c r="W43" s="20">
        <f t="shared" si="33"/>
        <v>0</v>
      </c>
      <c r="X43" s="20">
        <f t="shared" si="33"/>
        <v>0</v>
      </c>
      <c r="Y43" s="20">
        <f t="shared" si="33"/>
        <v>0</v>
      </c>
      <c r="Z43" s="20">
        <f t="shared" si="34"/>
        <v>0</v>
      </c>
      <c r="AA43" s="20">
        <f t="shared" si="34"/>
        <v>0</v>
      </c>
      <c r="AB43" s="20">
        <f t="shared" si="34"/>
        <v>0</v>
      </c>
      <c r="AC43" s="20">
        <f t="shared" si="34"/>
        <v>0</v>
      </c>
      <c r="AD43" s="20">
        <f t="shared" si="35"/>
        <v>0</v>
      </c>
      <c r="AE43" s="20">
        <f t="shared" si="36"/>
        <v>0</v>
      </c>
      <c r="AF43" s="20">
        <f t="shared" si="36"/>
        <v>0</v>
      </c>
      <c r="AG43" s="20">
        <f t="shared" si="36"/>
        <v>0</v>
      </c>
      <c r="AH43" s="20">
        <f t="shared" si="36"/>
        <v>0</v>
      </c>
      <c r="AI43" s="20">
        <f t="shared" si="37"/>
        <v>0</v>
      </c>
      <c r="AJ43" s="20">
        <f t="shared" si="37"/>
        <v>0</v>
      </c>
      <c r="AK43" s="20">
        <f t="shared" si="37"/>
        <v>0</v>
      </c>
      <c r="AL43" s="20">
        <f t="shared" si="37"/>
        <v>0</v>
      </c>
      <c r="AM43" s="20">
        <f t="shared" si="38"/>
        <v>0</v>
      </c>
      <c r="AO43">
        <f t="shared" si="39"/>
        <v>0</v>
      </c>
      <c r="AP43">
        <f t="shared" si="39"/>
        <v>0</v>
      </c>
      <c r="AQ43">
        <f t="shared" si="39"/>
        <v>0</v>
      </c>
      <c r="AR43">
        <f t="shared" si="39"/>
        <v>0</v>
      </c>
      <c r="AS43">
        <f t="shared" si="40"/>
        <v>0</v>
      </c>
      <c r="AU43">
        <f t="shared" si="41"/>
        <v>0</v>
      </c>
      <c r="AV43">
        <f t="shared" si="41"/>
        <v>0</v>
      </c>
      <c r="AW43">
        <f t="shared" si="41"/>
        <v>0</v>
      </c>
      <c r="AX43">
        <f t="shared" si="41"/>
        <v>0</v>
      </c>
      <c r="AY43">
        <f t="shared" si="42"/>
        <v>0</v>
      </c>
    </row>
    <row r="44" spans="1:53" ht="15" x14ac:dyDescent="0.25">
      <c r="A44" s="1"/>
      <c r="B44" s="2"/>
      <c r="C44" s="1" t="s">
        <v>13</v>
      </c>
      <c r="D44">
        <v>0</v>
      </c>
      <c r="E44" s="360">
        <v>2.7449999999999999E-2</v>
      </c>
      <c r="F44">
        <v>0</v>
      </c>
      <c r="G44">
        <v>0</v>
      </c>
      <c r="H44">
        <v>0</v>
      </c>
      <c r="J44">
        <v>0</v>
      </c>
      <c r="K44" s="14">
        <v>2.7449999999999999E-2</v>
      </c>
      <c r="L44">
        <v>0</v>
      </c>
      <c r="M44">
        <v>0</v>
      </c>
      <c r="N44">
        <v>0</v>
      </c>
      <c r="O44" s="20"/>
      <c r="P44" s="20"/>
      <c r="Q44" s="436">
        <v>0.3891401468421602</v>
      </c>
      <c r="R44" s="197">
        <v>0.19500000000000001</v>
      </c>
      <c r="S44" s="197">
        <v>1.22</v>
      </c>
      <c r="T44" s="197">
        <v>0.4144562334217507</v>
      </c>
      <c r="U44" s="197">
        <v>0.6566321730950142</v>
      </c>
      <c r="V44" s="20">
        <f t="shared" si="33"/>
        <v>7.6601644854211318E-3</v>
      </c>
      <c r="W44" s="20">
        <f t="shared" si="33"/>
        <v>0</v>
      </c>
      <c r="X44" s="20">
        <f t="shared" si="33"/>
        <v>0</v>
      </c>
      <c r="Y44" s="20">
        <f t="shared" si="33"/>
        <v>0</v>
      </c>
      <c r="Z44" s="20">
        <f t="shared" si="34"/>
        <v>3.993393781224268E-3</v>
      </c>
      <c r="AA44" s="20">
        <f t="shared" si="34"/>
        <v>0</v>
      </c>
      <c r="AB44" s="20">
        <f t="shared" si="34"/>
        <v>0</v>
      </c>
      <c r="AC44" s="20">
        <f t="shared" si="34"/>
        <v>0</v>
      </c>
      <c r="AD44" s="20">
        <f t="shared" si="35"/>
        <v>3.993393781224268E-3</v>
      </c>
      <c r="AE44" s="20">
        <f t="shared" si="36"/>
        <v>7.5471751560054923E-2</v>
      </c>
      <c r="AF44" s="20">
        <f t="shared" si="36"/>
        <v>0</v>
      </c>
      <c r="AG44" s="20">
        <f t="shared" si="36"/>
        <v>0</v>
      </c>
      <c r="AH44" s="20">
        <f t="shared" si="36"/>
        <v>0</v>
      </c>
      <c r="AI44" s="20">
        <f t="shared" si="37"/>
        <v>5.4286661001794752E-2</v>
      </c>
      <c r="AJ44" s="20">
        <f t="shared" si="37"/>
        <v>0</v>
      </c>
      <c r="AK44" s="20">
        <f t="shared" si="37"/>
        <v>0</v>
      </c>
      <c r="AL44" s="20">
        <f t="shared" si="37"/>
        <v>0</v>
      </c>
      <c r="AM44" s="20">
        <f t="shared" si="38"/>
        <v>5.4286661001794752E-2</v>
      </c>
      <c r="AO44">
        <f t="shared" si="39"/>
        <v>4.047304597270796E-3</v>
      </c>
      <c r="AP44">
        <f t="shared" si="39"/>
        <v>0</v>
      </c>
      <c r="AQ44">
        <f t="shared" si="39"/>
        <v>0</v>
      </c>
      <c r="AR44">
        <f t="shared" si="39"/>
        <v>0</v>
      </c>
      <c r="AS44">
        <f t="shared" si="40"/>
        <v>4.047304597270796E-3</v>
      </c>
      <c r="AU44">
        <f t="shared" si="41"/>
        <v>5.5019530925318985E-2</v>
      </c>
      <c r="AV44">
        <f t="shared" si="41"/>
        <v>0</v>
      </c>
      <c r="AW44">
        <f t="shared" si="41"/>
        <v>0</v>
      </c>
      <c r="AX44">
        <f t="shared" si="41"/>
        <v>0</v>
      </c>
      <c r="AY44">
        <f t="shared" si="42"/>
        <v>5.5019530925318985E-2</v>
      </c>
    </row>
    <row r="45" spans="1:53" ht="15" x14ac:dyDescent="0.25">
      <c r="A45" s="7"/>
      <c r="B45" s="8" t="s">
        <v>14</v>
      </c>
      <c r="C45" s="7"/>
      <c r="D45" s="357">
        <f t="shared" ref="D45:H45" si="43">SUM(D39:D44)</f>
        <v>0</v>
      </c>
      <c r="E45" s="363">
        <f>SUM(E39:E44)</f>
        <v>136.28814999999997</v>
      </c>
      <c r="F45" s="357">
        <f t="shared" si="43"/>
        <v>0</v>
      </c>
      <c r="G45" s="357">
        <f t="shared" si="43"/>
        <v>0</v>
      </c>
      <c r="H45" s="357">
        <f t="shared" si="43"/>
        <v>0</v>
      </c>
      <c r="J45">
        <v>0</v>
      </c>
      <c r="K45" s="14">
        <v>133.66460568198278</v>
      </c>
      <c r="L45">
        <v>0</v>
      </c>
      <c r="M45">
        <v>0</v>
      </c>
      <c r="N45">
        <v>0</v>
      </c>
      <c r="O45" s="20"/>
      <c r="P45" s="20"/>
      <c r="Q45" s="436">
        <v>0.37052507791693162</v>
      </c>
      <c r="R45" s="197"/>
      <c r="S45" s="197"/>
      <c r="T45" s="197"/>
      <c r="U45" s="197"/>
      <c r="BA45" s="319">
        <f>(E45*10000*Q45*AU$10)</f>
        <v>511799.02792776172</v>
      </c>
    </row>
    <row r="46" spans="1:53" ht="15" x14ac:dyDescent="0.25">
      <c r="A46" s="10"/>
      <c r="B46" s="9" t="s">
        <v>15</v>
      </c>
      <c r="C46" s="5"/>
      <c r="E46" s="363">
        <f>SUM(E45)</f>
        <v>136.28814999999997</v>
      </c>
      <c r="H46" s="358">
        <f>SUM(D45:H45)</f>
        <v>136.28814999999997</v>
      </c>
      <c r="K46" s="14"/>
      <c r="N46">
        <v>0</v>
      </c>
      <c r="O46" s="20"/>
      <c r="P46" s="20"/>
      <c r="Q46" s="436"/>
      <c r="R46" s="197"/>
      <c r="S46" s="197"/>
      <c r="T46" s="197"/>
      <c r="U46" s="197"/>
    </row>
    <row r="47" spans="1:53" ht="15.75" x14ac:dyDescent="0.25">
      <c r="A47" s="1"/>
      <c r="B47" s="2"/>
      <c r="C47" s="1"/>
      <c r="E47" s="361"/>
      <c r="K47" s="14"/>
      <c r="O47" s="20"/>
      <c r="P47" s="20"/>
      <c r="Q47" s="437"/>
      <c r="R47" s="197"/>
      <c r="S47" s="197"/>
      <c r="T47" s="197"/>
      <c r="U47" s="197"/>
    </row>
    <row r="48" spans="1:53" ht="15" x14ac:dyDescent="0.25">
      <c r="A48" s="1">
        <v>5</v>
      </c>
      <c r="B48" s="2" t="s">
        <v>19</v>
      </c>
      <c r="C48" s="1" t="s">
        <v>8</v>
      </c>
      <c r="D48">
        <v>0</v>
      </c>
      <c r="E48" s="360">
        <v>29.9802</v>
      </c>
      <c r="F48">
        <v>0</v>
      </c>
      <c r="G48">
        <v>0</v>
      </c>
      <c r="H48">
        <v>0</v>
      </c>
      <c r="J48">
        <v>0</v>
      </c>
      <c r="K48" s="14">
        <v>18.336432758681401</v>
      </c>
      <c r="L48">
        <v>0</v>
      </c>
      <c r="M48">
        <v>0</v>
      </c>
      <c r="N48">
        <v>0</v>
      </c>
      <c r="O48" s="20"/>
      <c r="P48" s="20"/>
      <c r="Q48" s="436">
        <v>0.41167795031799503</v>
      </c>
      <c r="R48" s="197">
        <v>0.43</v>
      </c>
      <c r="S48" s="197">
        <v>2.83</v>
      </c>
      <c r="T48" s="197">
        <v>0.76744186046511631</v>
      </c>
      <c r="U48" s="197">
        <v>0.76744186046511631</v>
      </c>
      <c r="V48" s="20">
        <f t="shared" ref="V48:Y53" si="44">IF(K48&gt;0,((E48-K48)*$Q48*$R48*10)+(K48*$O$12*$Q48*$R48*10),(E48*$Q48*$R48*10))</f>
        <v>32.548996003044387</v>
      </c>
      <c r="W48" s="20">
        <f t="shared" si="44"/>
        <v>0</v>
      </c>
      <c r="X48" s="20">
        <f t="shared" si="44"/>
        <v>0</v>
      </c>
      <c r="Y48" s="20">
        <f t="shared" si="44"/>
        <v>0</v>
      </c>
      <c r="Z48" s="20">
        <f t="shared" ref="Z48:AC53" si="45">V48*(EXP(1.01-0.34*LN(Z$8))*(1-$T48)+(1*$T48))</f>
        <v>26.360922880519993</v>
      </c>
      <c r="AA48" s="20">
        <f t="shared" si="45"/>
        <v>0</v>
      </c>
      <c r="AB48" s="20">
        <f t="shared" si="45"/>
        <v>0</v>
      </c>
      <c r="AC48" s="20">
        <f t="shared" si="45"/>
        <v>0</v>
      </c>
      <c r="AD48" s="20">
        <f t="shared" ref="AD48:AD53" si="46">SUM(Z48:AC48)</f>
        <v>26.360922880519993</v>
      </c>
      <c r="AE48" s="20">
        <f t="shared" ref="AE48:AH53" si="47">IF(K48&gt;0,((E48-K48)*$Q48*$S48*10)+(K48*$P$12*$Q48*$S48)*10,(E48*$Q48*$S48*10))</f>
        <v>259.37417758977853</v>
      </c>
      <c r="AF48" s="20">
        <f t="shared" si="47"/>
        <v>0</v>
      </c>
      <c r="AG48" s="20">
        <f t="shared" si="47"/>
        <v>0</v>
      </c>
      <c r="AH48" s="20">
        <f t="shared" si="47"/>
        <v>0</v>
      </c>
      <c r="AI48" s="20">
        <f t="shared" ref="AI48:AL53" si="48">AE48*(EXP(1.01-0.34*LN(AI$8))*(1-$U48)+(1*$U48))</f>
        <v>210.06309048681365</v>
      </c>
      <c r="AJ48" s="20">
        <f t="shared" si="48"/>
        <v>0</v>
      </c>
      <c r="AK48" s="20">
        <f t="shared" si="48"/>
        <v>0</v>
      </c>
      <c r="AL48" s="20">
        <f t="shared" si="48"/>
        <v>0</v>
      </c>
      <c r="AM48" s="20">
        <f t="shared" ref="AM48:AM53" si="49">SUM(AI48:AL48)</f>
        <v>210.06309048681365</v>
      </c>
      <c r="AO48">
        <f t="shared" ref="AO48:AR53" si="50">Z48*AO$10</f>
        <v>26.716795339407014</v>
      </c>
      <c r="AP48">
        <f t="shared" si="50"/>
        <v>0</v>
      </c>
      <c r="AQ48">
        <f t="shared" si="50"/>
        <v>0</v>
      </c>
      <c r="AR48">
        <f t="shared" si="50"/>
        <v>0</v>
      </c>
      <c r="AS48">
        <f t="shared" ref="AS48:AS53" si="51">SUM(AO48:AR48)</f>
        <v>26.716795339407014</v>
      </c>
      <c r="AU48">
        <f t="shared" ref="AU48:AX53" si="52">AI48*AU$10</f>
        <v>212.89894220838565</v>
      </c>
      <c r="AV48">
        <f t="shared" si="52"/>
        <v>0</v>
      </c>
      <c r="AW48">
        <f t="shared" si="52"/>
        <v>0</v>
      </c>
      <c r="AX48">
        <f t="shared" si="52"/>
        <v>0</v>
      </c>
      <c r="AY48">
        <f t="shared" ref="AY48:AY53" si="53">SUM(AU48:AX48)</f>
        <v>212.89894220838565</v>
      </c>
    </row>
    <row r="49" spans="1:53" ht="15" x14ac:dyDescent="0.25">
      <c r="A49" s="1"/>
      <c r="B49" s="2"/>
      <c r="C49" s="1" t="s">
        <v>9</v>
      </c>
      <c r="D49">
        <v>0</v>
      </c>
      <c r="E49" s="360">
        <v>15.0631</v>
      </c>
      <c r="F49">
        <v>0</v>
      </c>
      <c r="G49">
        <v>0</v>
      </c>
      <c r="H49">
        <v>0</v>
      </c>
      <c r="J49">
        <v>0</v>
      </c>
      <c r="K49" s="14">
        <v>3.3047109557028964</v>
      </c>
      <c r="L49">
        <v>0</v>
      </c>
      <c r="M49">
        <v>0</v>
      </c>
      <c r="N49">
        <v>0</v>
      </c>
      <c r="O49" s="20"/>
      <c r="P49" s="20"/>
      <c r="Q49" s="436">
        <v>0.4183559006359901</v>
      </c>
      <c r="R49" s="197">
        <v>0.43</v>
      </c>
      <c r="S49" s="197">
        <v>2.83</v>
      </c>
      <c r="T49" s="197">
        <v>0.76744186046511631</v>
      </c>
      <c r="U49" s="197">
        <v>0.76744186046511631</v>
      </c>
      <c r="V49" s="20">
        <f t="shared" si="44"/>
        <v>23.338788835960511</v>
      </c>
      <c r="W49" s="20">
        <f t="shared" si="44"/>
        <v>0</v>
      </c>
      <c r="X49" s="20">
        <f t="shared" si="44"/>
        <v>0</v>
      </c>
      <c r="Y49" s="20">
        <f t="shared" si="44"/>
        <v>0</v>
      </c>
      <c r="Z49" s="20">
        <f t="shared" si="45"/>
        <v>18.901720119783477</v>
      </c>
      <c r="AA49" s="20">
        <f t="shared" si="45"/>
        <v>0</v>
      </c>
      <c r="AB49" s="20">
        <f t="shared" si="45"/>
        <v>0</v>
      </c>
      <c r="AC49" s="20">
        <f t="shared" si="45"/>
        <v>0</v>
      </c>
      <c r="AD49" s="20">
        <f t="shared" si="46"/>
        <v>18.901720119783477</v>
      </c>
      <c r="AE49" s="20">
        <f t="shared" si="47"/>
        <v>161.87218483626</v>
      </c>
      <c r="AF49" s="20">
        <f t="shared" si="47"/>
        <v>0</v>
      </c>
      <c r="AG49" s="20">
        <f t="shared" si="47"/>
        <v>0</v>
      </c>
      <c r="AH49" s="20">
        <f t="shared" si="47"/>
        <v>0</v>
      </c>
      <c r="AI49" s="20">
        <f t="shared" si="48"/>
        <v>131.09775123542414</v>
      </c>
      <c r="AJ49" s="20">
        <f t="shared" si="48"/>
        <v>0</v>
      </c>
      <c r="AK49" s="20">
        <f t="shared" si="48"/>
        <v>0</v>
      </c>
      <c r="AL49" s="20">
        <f t="shared" si="48"/>
        <v>0</v>
      </c>
      <c r="AM49" s="20">
        <f t="shared" si="49"/>
        <v>131.09775123542414</v>
      </c>
      <c r="AO49">
        <f t="shared" si="50"/>
        <v>19.156893341400554</v>
      </c>
      <c r="AP49">
        <f t="shared" si="50"/>
        <v>0</v>
      </c>
      <c r="AQ49">
        <f t="shared" si="50"/>
        <v>0</v>
      </c>
      <c r="AR49">
        <f t="shared" si="50"/>
        <v>0</v>
      </c>
      <c r="AS49">
        <f t="shared" si="51"/>
        <v>19.156893341400554</v>
      </c>
      <c r="AU49">
        <f t="shared" si="52"/>
        <v>132.86757087710237</v>
      </c>
      <c r="AV49">
        <f t="shared" si="52"/>
        <v>0</v>
      </c>
      <c r="AW49">
        <f t="shared" si="52"/>
        <v>0</v>
      </c>
      <c r="AX49">
        <f t="shared" si="52"/>
        <v>0</v>
      </c>
      <c r="AY49">
        <f t="shared" si="53"/>
        <v>132.86757087710237</v>
      </c>
    </row>
    <row r="50" spans="1:53" ht="15" x14ac:dyDescent="0.25">
      <c r="A50" s="1"/>
      <c r="B50" s="2"/>
      <c r="C50" s="1" t="s">
        <v>10</v>
      </c>
      <c r="D50">
        <v>0</v>
      </c>
      <c r="E50" s="360">
        <v>2.8757000000000001</v>
      </c>
      <c r="F50">
        <v>0</v>
      </c>
      <c r="G50">
        <v>0</v>
      </c>
      <c r="H50">
        <v>0</v>
      </c>
      <c r="J50">
        <v>0</v>
      </c>
      <c r="K50" s="14">
        <v>1.7039795236300002</v>
      </c>
      <c r="L50">
        <v>0</v>
      </c>
      <c r="M50">
        <v>0</v>
      </c>
      <c r="N50">
        <v>0</v>
      </c>
      <c r="O50" s="20"/>
      <c r="P50" s="20"/>
      <c r="Q50" s="436">
        <v>0.42503385095398516</v>
      </c>
      <c r="R50" s="197">
        <v>0.43</v>
      </c>
      <c r="S50" s="197">
        <v>2.83</v>
      </c>
      <c r="T50" s="197">
        <v>0.76744186046511631</v>
      </c>
      <c r="U50" s="197">
        <v>0.76744186046511631</v>
      </c>
      <c r="V50" s="20">
        <f t="shared" si="44"/>
        <v>3.2867691109739852</v>
      </c>
      <c r="W50" s="20">
        <f t="shared" si="44"/>
        <v>0</v>
      </c>
      <c r="X50" s="20">
        <f t="shared" si="44"/>
        <v>0</v>
      </c>
      <c r="Y50" s="20">
        <f t="shared" si="44"/>
        <v>0</v>
      </c>
      <c r="Z50" s="20">
        <f t="shared" si="45"/>
        <v>2.6619029063863175</v>
      </c>
      <c r="AA50" s="20">
        <f t="shared" si="45"/>
        <v>0</v>
      </c>
      <c r="AB50" s="20">
        <f t="shared" si="45"/>
        <v>0</v>
      </c>
      <c r="AC50" s="20">
        <f t="shared" si="45"/>
        <v>0</v>
      </c>
      <c r="AD50" s="20">
        <f t="shared" si="46"/>
        <v>2.6619029063863175</v>
      </c>
      <c r="AE50" s="20">
        <f t="shared" si="47"/>
        <v>25.963985583510507</v>
      </c>
      <c r="AF50" s="20">
        <f t="shared" si="47"/>
        <v>0</v>
      </c>
      <c r="AG50" s="20">
        <f t="shared" si="47"/>
        <v>0</v>
      </c>
      <c r="AH50" s="20">
        <f t="shared" si="47"/>
        <v>0</v>
      </c>
      <c r="AI50" s="20">
        <f t="shared" si="48"/>
        <v>21.027825914318111</v>
      </c>
      <c r="AJ50" s="20">
        <f t="shared" si="48"/>
        <v>0</v>
      </c>
      <c r="AK50" s="20">
        <f t="shared" si="48"/>
        <v>0</v>
      </c>
      <c r="AL50" s="20">
        <f t="shared" si="48"/>
        <v>0</v>
      </c>
      <c r="AM50" s="20">
        <f t="shared" si="49"/>
        <v>21.027825914318111</v>
      </c>
      <c r="AO50">
        <f t="shared" si="50"/>
        <v>2.697838595622533</v>
      </c>
      <c r="AP50">
        <f t="shared" si="50"/>
        <v>0</v>
      </c>
      <c r="AQ50">
        <f t="shared" si="50"/>
        <v>0</v>
      </c>
      <c r="AR50">
        <f t="shared" si="50"/>
        <v>0</v>
      </c>
      <c r="AS50">
        <f t="shared" si="51"/>
        <v>2.697838595622533</v>
      </c>
      <c r="AU50">
        <f t="shared" si="52"/>
        <v>21.311701564161407</v>
      </c>
      <c r="AV50">
        <f t="shared" si="52"/>
        <v>0</v>
      </c>
      <c r="AW50">
        <f t="shared" si="52"/>
        <v>0</v>
      </c>
      <c r="AX50">
        <f t="shared" si="52"/>
        <v>0</v>
      </c>
      <c r="AY50">
        <f t="shared" si="53"/>
        <v>21.311701564161407</v>
      </c>
    </row>
    <row r="51" spans="1:53" ht="15" x14ac:dyDescent="0.25">
      <c r="A51" s="1"/>
      <c r="B51" s="2"/>
      <c r="C51" s="1" t="s">
        <v>11</v>
      </c>
      <c r="D51">
        <v>0</v>
      </c>
      <c r="E51" s="360">
        <v>27.904800000000002</v>
      </c>
      <c r="F51">
        <v>0</v>
      </c>
      <c r="G51">
        <v>0</v>
      </c>
      <c r="H51">
        <v>0</v>
      </c>
      <c r="J51">
        <v>0</v>
      </c>
      <c r="K51" s="14">
        <v>20.401728580574702</v>
      </c>
      <c r="L51">
        <v>0</v>
      </c>
      <c r="M51">
        <v>0</v>
      </c>
      <c r="N51">
        <v>0</v>
      </c>
      <c r="O51" s="20"/>
      <c r="P51" s="20"/>
      <c r="Q51" s="436">
        <v>0.43171180127198028</v>
      </c>
      <c r="R51" s="197">
        <v>0.43</v>
      </c>
      <c r="S51" s="197">
        <v>2.83</v>
      </c>
      <c r="T51" s="197">
        <v>0.76744186046511631</v>
      </c>
      <c r="U51" s="197">
        <v>0.76744186046511631</v>
      </c>
      <c r="V51" s="20">
        <f t="shared" si="44"/>
        <v>27.856268721492128</v>
      </c>
      <c r="W51" s="20">
        <f t="shared" si="44"/>
        <v>0</v>
      </c>
      <c r="X51" s="20">
        <f t="shared" si="44"/>
        <v>0</v>
      </c>
      <c r="Y51" s="20">
        <f t="shared" si="44"/>
        <v>0</v>
      </c>
      <c r="Z51" s="20">
        <f t="shared" si="45"/>
        <v>22.56035643734181</v>
      </c>
      <c r="AA51" s="20">
        <f t="shared" si="45"/>
        <v>0</v>
      </c>
      <c r="AB51" s="20">
        <f t="shared" si="45"/>
        <v>0</v>
      </c>
      <c r="AC51" s="20">
        <f t="shared" si="45"/>
        <v>0</v>
      </c>
      <c r="AD51" s="20">
        <f t="shared" si="46"/>
        <v>22.56035643734181</v>
      </c>
      <c r="AE51" s="20">
        <f t="shared" si="47"/>
        <v>236.02059658947024</v>
      </c>
      <c r="AF51" s="20">
        <f t="shared" si="47"/>
        <v>0</v>
      </c>
      <c r="AG51" s="20">
        <f t="shared" si="47"/>
        <v>0</v>
      </c>
      <c r="AH51" s="20">
        <f t="shared" si="47"/>
        <v>0</v>
      </c>
      <c r="AI51" s="20">
        <f t="shared" si="48"/>
        <v>191.14939042443621</v>
      </c>
      <c r="AJ51" s="20">
        <f t="shared" si="48"/>
        <v>0</v>
      </c>
      <c r="AK51" s="20">
        <f t="shared" si="48"/>
        <v>0</v>
      </c>
      <c r="AL51" s="20">
        <f t="shared" si="48"/>
        <v>0</v>
      </c>
      <c r="AM51" s="20">
        <f t="shared" si="49"/>
        <v>191.14939042443621</v>
      </c>
      <c r="AO51">
        <f t="shared" si="50"/>
        <v>22.864921249245924</v>
      </c>
      <c r="AP51">
        <f t="shared" si="50"/>
        <v>0</v>
      </c>
      <c r="AQ51">
        <f t="shared" si="50"/>
        <v>0</v>
      </c>
      <c r="AR51">
        <f t="shared" si="50"/>
        <v>0</v>
      </c>
      <c r="AS51">
        <f t="shared" si="51"/>
        <v>22.864921249245924</v>
      </c>
      <c r="AU51">
        <f t="shared" si="52"/>
        <v>193.72990719516611</v>
      </c>
      <c r="AV51">
        <f t="shared" si="52"/>
        <v>0</v>
      </c>
      <c r="AW51">
        <f t="shared" si="52"/>
        <v>0</v>
      </c>
      <c r="AX51">
        <f t="shared" si="52"/>
        <v>0</v>
      </c>
      <c r="AY51">
        <f t="shared" si="53"/>
        <v>193.72990719516611</v>
      </c>
    </row>
    <row r="52" spans="1:53" ht="15" x14ac:dyDescent="0.25">
      <c r="A52" s="1"/>
      <c r="B52" s="2"/>
      <c r="C52" s="1" t="s">
        <v>12</v>
      </c>
      <c r="D52">
        <v>0</v>
      </c>
      <c r="E52" s="360">
        <v>0</v>
      </c>
      <c r="F52">
        <v>0</v>
      </c>
      <c r="G52">
        <v>0</v>
      </c>
      <c r="H52">
        <v>0</v>
      </c>
      <c r="J52">
        <v>0</v>
      </c>
      <c r="K52" s="14">
        <v>0</v>
      </c>
      <c r="L52">
        <v>0</v>
      </c>
      <c r="M52">
        <v>0</v>
      </c>
      <c r="N52">
        <v>0</v>
      </c>
      <c r="O52" s="20"/>
      <c r="P52" s="20"/>
      <c r="Q52" s="436"/>
      <c r="R52" s="197">
        <v>0.43</v>
      </c>
      <c r="S52" s="197">
        <v>2.83</v>
      </c>
      <c r="T52" s="197">
        <v>0.76744186046511631</v>
      </c>
      <c r="U52" s="197">
        <v>0.76744186046511631</v>
      </c>
      <c r="V52" s="20">
        <f t="shared" si="44"/>
        <v>0</v>
      </c>
      <c r="W52" s="20">
        <f t="shared" si="44"/>
        <v>0</v>
      </c>
      <c r="X52" s="20">
        <f t="shared" si="44"/>
        <v>0</v>
      </c>
      <c r="Y52" s="20">
        <f t="shared" si="44"/>
        <v>0</v>
      </c>
      <c r="Z52" s="20">
        <f t="shared" si="45"/>
        <v>0</v>
      </c>
      <c r="AA52" s="20">
        <f t="shared" si="45"/>
        <v>0</v>
      </c>
      <c r="AB52" s="20">
        <f t="shared" si="45"/>
        <v>0</v>
      </c>
      <c r="AC52" s="20">
        <f t="shared" si="45"/>
        <v>0</v>
      </c>
      <c r="AD52" s="20">
        <f t="shared" si="46"/>
        <v>0</v>
      </c>
      <c r="AE52" s="20">
        <f t="shared" si="47"/>
        <v>0</v>
      </c>
      <c r="AF52" s="20">
        <f t="shared" si="47"/>
        <v>0</v>
      </c>
      <c r="AG52" s="20">
        <f t="shared" si="47"/>
        <v>0</v>
      </c>
      <c r="AH52" s="20">
        <f t="shared" si="47"/>
        <v>0</v>
      </c>
      <c r="AI52" s="20">
        <f t="shared" si="48"/>
        <v>0</v>
      </c>
      <c r="AJ52" s="20">
        <f t="shared" si="48"/>
        <v>0</v>
      </c>
      <c r="AK52" s="20">
        <f t="shared" si="48"/>
        <v>0</v>
      </c>
      <c r="AL52" s="20">
        <f t="shared" si="48"/>
        <v>0</v>
      </c>
      <c r="AM52" s="20">
        <f t="shared" si="49"/>
        <v>0</v>
      </c>
      <c r="AO52">
        <f t="shared" si="50"/>
        <v>0</v>
      </c>
      <c r="AP52">
        <f t="shared" si="50"/>
        <v>0</v>
      </c>
      <c r="AQ52">
        <f t="shared" si="50"/>
        <v>0</v>
      </c>
      <c r="AR52">
        <f t="shared" si="50"/>
        <v>0</v>
      </c>
      <c r="AS52">
        <f t="shared" si="51"/>
        <v>0</v>
      </c>
      <c r="AU52">
        <f t="shared" si="52"/>
        <v>0</v>
      </c>
      <c r="AV52">
        <f t="shared" si="52"/>
        <v>0</v>
      </c>
      <c r="AW52">
        <f t="shared" si="52"/>
        <v>0</v>
      </c>
      <c r="AX52">
        <f t="shared" si="52"/>
        <v>0</v>
      </c>
      <c r="AY52">
        <f t="shared" si="53"/>
        <v>0</v>
      </c>
    </row>
    <row r="53" spans="1:53" ht="15" x14ac:dyDescent="0.25">
      <c r="A53" s="1"/>
      <c r="B53" s="2"/>
      <c r="C53" s="1" t="s">
        <v>13</v>
      </c>
      <c r="D53">
        <v>0</v>
      </c>
      <c r="E53" s="360">
        <v>7.3499999999999996E-2</v>
      </c>
      <c r="F53">
        <v>0</v>
      </c>
      <c r="G53">
        <v>0</v>
      </c>
      <c r="H53">
        <v>0</v>
      </c>
      <c r="J53">
        <v>0</v>
      </c>
      <c r="K53" s="14">
        <v>5.4110147222699995E-2</v>
      </c>
      <c r="L53">
        <v>0</v>
      </c>
      <c r="M53">
        <v>0</v>
      </c>
      <c r="N53">
        <v>0</v>
      </c>
      <c r="O53" s="20"/>
      <c r="P53" s="20"/>
      <c r="Q53" s="436">
        <v>0.43171180127198028</v>
      </c>
      <c r="R53" s="197">
        <v>0.43</v>
      </c>
      <c r="S53" s="197">
        <v>2.83</v>
      </c>
      <c r="T53" s="197">
        <v>0.76744186046511631</v>
      </c>
      <c r="U53" s="197">
        <v>0.76744186046511631</v>
      </c>
      <c r="V53" s="20">
        <f t="shared" si="44"/>
        <v>7.2934501794871126E-2</v>
      </c>
      <c r="W53" s="20">
        <f t="shared" si="44"/>
        <v>0</v>
      </c>
      <c r="X53" s="20">
        <f t="shared" si="44"/>
        <v>0</v>
      </c>
      <c r="Y53" s="20">
        <f t="shared" si="44"/>
        <v>0</v>
      </c>
      <c r="Z53" s="20">
        <f t="shared" si="45"/>
        <v>5.9068512496173994E-2</v>
      </c>
      <c r="AA53" s="20">
        <f t="shared" si="45"/>
        <v>0</v>
      </c>
      <c r="AB53" s="20">
        <f t="shared" si="45"/>
        <v>0</v>
      </c>
      <c r="AC53" s="20">
        <f t="shared" si="45"/>
        <v>0</v>
      </c>
      <c r="AD53" s="20">
        <f t="shared" si="46"/>
        <v>5.9068512496173994E-2</v>
      </c>
      <c r="AE53" s="20">
        <f t="shared" si="47"/>
        <v>0.61975028621489336</v>
      </c>
      <c r="AF53" s="20">
        <f t="shared" si="47"/>
        <v>0</v>
      </c>
      <c r="AG53" s="20">
        <f t="shared" si="47"/>
        <v>0</v>
      </c>
      <c r="AH53" s="20">
        <f t="shared" si="47"/>
        <v>0</v>
      </c>
      <c r="AI53" s="20">
        <f t="shared" si="48"/>
        <v>0.50192606550945351</v>
      </c>
      <c r="AJ53" s="20">
        <f t="shared" si="48"/>
        <v>0</v>
      </c>
      <c r="AK53" s="20">
        <f t="shared" si="48"/>
        <v>0</v>
      </c>
      <c r="AL53" s="20">
        <f t="shared" si="48"/>
        <v>0</v>
      </c>
      <c r="AM53" s="20">
        <f t="shared" si="49"/>
        <v>0.50192606550945351</v>
      </c>
      <c r="AO53">
        <f t="shared" si="50"/>
        <v>5.9865937414872346E-2</v>
      </c>
      <c r="AP53">
        <f t="shared" si="50"/>
        <v>0</v>
      </c>
      <c r="AQ53">
        <f t="shared" si="50"/>
        <v>0</v>
      </c>
      <c r="AR53">
        <f t="shared" si="50"/>
        <v>0</v>
      </c>
      <c r="AS53">
        <f t="shared" si="51"/>
        <v>5.9865937414872346E-2</v>
      </c>
      <c r="AU53">
        <f t="shared" si="52"/>
        <v>0.50870206739383117</v>
      </c>
      <c r="AV53">
        <f t="shared" si="52"/>
        <v>0</v>
      </c>
      <c r="AW53">
        <f t="shared" si="52"/>
        <v>0</v>
      </c>
      <c r="AX53">
        <f t="shared" si="52"/>
        <v>0</v>
      </c>
      <c r="AY53">
        <f t="shared" si="53"/>
        <v>0.50870206739383117</v>
      </c>
    </row>
    <row r="54" spans="1:53" ht="15" x14ac:dyDescent="0.25">
      <c r="A54" s="7"/>
      <c r="B54" s="8" t="s">
        <v>14</v>
      </c>
      <c r="C54" s="7"/>
      <c r="D54" s="357">
        <f t="shared" ref="D54:H54" si="54">SUM(D48:D53)</f>
        <v>0</v>
      </c>
      <c r="E54" s="363">
        <f>SUM(E48:E53)</f>
        <v>75.897300000000001</v>
      </c>
      <c r="F54" s="357">
        <f t="shared" si="54"/>
        <v>0</v>
      </c>
      <c r="G54" s="357">
        <f t="shared" si="54"/>
        <v>0</v>
      </c>
      <c r="H54" s="357">
        <f t="shared" si="54"/>
        <v>0</v>
      </c>
      <c r="J54">
        <v>0</v>
      </c>
      <c r="K54" s="14">
        <v>43.800961965811702</v>
      </c>
      <c r="L54">
        <v>0</v>
      </c>
      <c r="M54">
        <v>0</v>
      </c>
      <c r="N54">
        <v>0</v>
      </c>
      <c r="O54" s="20"/>
      <c r="P54" s="20"/>
      <c r="Q54" s="436">
        <v>0.42089450069646428</v>
      </c>
      <c r="R54" s="197"/>
      <c r="S54" s="197"/>
      <c r="T54" s="197"/>
      <c r="U54" s="197"/>
      <c r="BA54" s="319">
        <f>(E54*10000*Q54*AU$10)</f>
        <v>323760.10396243841</v>
      </c>
    </row>
    <row r="55" spans="1:53" ht="15" x14ac:dyDescent="0.25">
      <c r="A55" s="10"/>
      <c r="B55" s="9" t="s">
        <v>15</v>
      </c>
      <c r="C55" s="5"/>
      <c r="E55" s="363">
        <f>SUM(E54)</f>
        <v>75.897300000000001</v>
      </c>
      <c r="H55" s="358">
        <f>SUM(D54:H54)</f>
        <v>75.897300000000001</v>
      </c>
      <c r="K55" s="14"/>
      <c r="N55">
        <v>0</v>
      </c>
      <c r="O55" s="20"/>
      <c r="P55" s="20"/>
      <c r="Q55" s="436"/>
      <c r="R55" s="197"/>
      <c r="S55" s="197"/>
      <c r="T55" s="197"/>
      <c r="U55" s="197"/>
    </row>
    <row r="56" spans="1:53" ht="15.75" x14ac:dyDescent="0.25">
      <c r="A56" s="1"/>
      <c r="B56" s="2"/>
      <c r="C56" s="1"/>
      <c r="E56" s="361"/>
      <c r="K56" s="14"/>
      <c r="O56" s="20"/>
      <c r="P56" s="20"/>
      <c r="Q56" s="437"/>
      <c r="R56" s="197"/>
      <c r="S56" s="197"/>
      <c r="T56" s="197"/>
      <c r="U56" s="197"/>
    </row>
    <row r="57" spans="1:53" ht="15" x14ac:dyDescent="0.25">
      <c r="A57" s="1">
        <v>6</v>
      </c>
      <c r="B57" s="2" t="s">
        <v>20</v>
      </c>
      <c r="C57" s="1" t="s">
        <v>8</v>
      </c>
      <c r="D57">
        <v>0</v>
      </c>
      <c r="E57" s="360">
        <v>11.9978</v>
      </c>
      <c r="F57">
        <v>0</v>
      </c>
      <c r="G57">
        <v>0</v>
      </c>
      <c r="H57">
        <v>0</v>
      </c>
      <c r="J57">
        <v>0</v>
      </c>
      <c r="K57" s="14">
        <v>11.908647118760999</v>
      </c>
      <c r="L57">
        <v>0</v>
      </c>
      <c r="M57">
        <v>0</v>
      </c>
      <c r="N57">
        <v>0</v>
      </c>
      <c r="O57" s="20"/>
      <c r="P57" s="20"/>
      <c r="Q57" s="436">
        <v>0.45607086392545004</v>
      </c>
      <c r="R57" s="197">
        <v>0.33900000000000002</v>
      </c>
      <c r="S57" s="197">
        <v>1.9830000000000001</v>
      </c>
      <c r="T57" s="197">
        <v>0.76146788990825687</v>
      </c>
      <c r="U57" s="197">
        <v>0.76146788990825687</v>
      </c>
      <c r="V57" s="20">
        <f t="shared" ref="V57:Y62" si="55">IF(K57&gt;0,((E57-K57)*$Q57*$R57*10)+(K57*$O$12*$Q57*$R57*10),(E57*$Q57*$R57*10))</f>
        <v>6.908786612551987</v>
      </c>
      <c r="W57" s="20">
        <f t="shared" si="55"/>
        <v>0</v>
      </c>
      <c r="X57" s="20">
        <f t="shared" si="55"/>
        <v>0</v>
      </c>
      <c r="Y57" s="20">
        <f t="shared" si="55"/>
        <v>0</v>
      </c>
      <c r="Z57" s="20">
        <f t="shared" ref="Z57:AC62" si="56">V57*(EXP(1.01-0.34*LN(Z$8))*(1-$T57)+(1*$T57))</f>
        <v>5.5615777699960987</v>
      </c>
      <c r="AA57" s="20">
        <f t="shared" si="56"/>
        <v>0</v>
      </c>
      <c r="AB57" s="20">
        <f t="shared" si="56"/>
        <v>0</v>
      </c>
      <c r="AC57" s="20">
        <f t="shared" si="56"/>
        <v>0</v>
      </c>
      <c r="AD57" s="20">
        <f t="shared" ref="AD57:AD62" si="57">SUM(Z57:AC57)</f>
        <v>5.5615777699960987</v>
      </c>
      <c r="AE57" s="20">
        <f t="shared" ref="AE57:AH62" si="58">IF(K57&gt;0,((E57-K57)*$Q57*$S57*10)+(K57*$P$12*$Q57*$S57)*10,(E57*$Q57*$S57*10))</f>
        <v>63.178864315471657</v>
      </c>
      <c r="AF57" s="20">
        <f t="shared" si="58"/>
        <v>0</v>
      </c>
      <c r="AG57" s="20">
        <f t="shared" si="58"/>
        <v>0</v>
      </c>
      <c r="AH57" s="20">
        <f t="shared" si="58"/>
        <v>0</v>
      </c>
      <c r="AI57" s="20">
        <f t="shared" ref="AI57:AL62" si="59">AE57*(EXP(1.01-0.34*LN(AI$8))*(1-$U57)+(1*$U57))</f>
        <v>50.859027353970539</v>
      </c>
      <c r="AJ57" s="20">
        <f t="shared" si="59"/>
        <v>0</v>
      </c>
      <c r="AK57" s="20">
        <f t="shared" si="59"/>
        <v>0</v>
      </c>
      <c r="AL57" s="20">
        <f t="shared" si="59"/>
        <v>0</v>
      </c>
      <c r="AM57" s="20">
        <f t="shared" ref="AM57:AM62" si="60">SUM(AI57:AL57)</f>
        <v>50.859027353970539</v>
      </c>
      <c r="AO57">
        <f t="shared" ref="AO57:AR62" si="61">Z57*AO$10</f>
        <v>5.6366590698910466</v>
      </c>
      <c r="AP57">
        <f t="shared" si="61"/>
        <v>0</v>
      </c>
      <c r="AQ57">
        <f t="shared" si="61"/>
        <v>0</v>
      </c>
      <c r="AR57">
        <f t="shared" si="61"/>
        <v>0</v>
      </c>
      <c r="AS57">
        <f t="shared" ref="AS57:AS62" si="62">SUM(AO57:AR57)</f>
        <v>5.6366590698910466</v>
      </c>
      <c r="AU57">
        <f t="shared" ref="AU57:AX62" si="63">AI57*AU$10</f>
        <v>51.545624223249142</v>
      </c>
      <c r="AV57">
        <f t="shared" si="63"/>
        <v>0</v>
      </c>
      <c r="AW57">
        <f t="shared" si="63"/>
        <v>0</v>
      </c>
      <c r="AX57">
        <f t="shared" si="63"/>
        <v>0</v>
      </c>
      <c r="AY57">
        <f t="shared" ref="AY57:AY62" si="64">SUM(AU57:AX57)</f>
        <v>51.545624223249142</v>
      </c>
    </row>
    <row r="58" spans="1:53" ht="15" x14ac:dyDescent="0.25">
      <c r="A58" s="1"/>
      <c r="B58" s="2"/>
      <c r="C58" s="1" t="s">
        <v>9</v>
      </c>
      <c r="D58">
        <v>0</v>
      </c>
      <c r="E58" s="360">
        <v>3.8092000000000001</v>
      </c>
      <c r="F58">
        <v>0</v>
      </c>
      <c r="G58">
        <v>0</v>
      </c>
      <c r="H58">
        <v>0</v>
      </c>
      <c r="J58">
        <v>0</v>
      </c>
      <c r="K58" s="14">
        <v>2.2897921524700005</v>
      </c>
      <c r="L58">
        <v>0</v>
      </c>
      <c r="M58">
        <v>0</v>
      </c>
      <c r="N58">
        <v>0</v>
      </c>
      <c r="O58" s="20"/>
      <c r="P58" s="20"/>
      <c r="Q58" s="436">
        <v>0.46214172785090013</v>
      </c>
      <c r="R58" s="197">
        <v>0.33900000000000002</v>
      </c>
      <c r="S58" s="197">
        <v>1.9830000000000001</v>
      </c>
      <c r="T58" s="197">
        <v>0.76146788990825687</v>
      </c>
      <c r="U58" s="197">
        <v>0.76146788990825687</v>
      </c>
      <c r="V58" s="20">
        <f t="shared" si="55"/>
        <v>3.6996429686256436</v>
      </c>
      <c r="W58" s="20">
        <f t="shared" si="55"/>
        <v>0</v>
      </c>
      <c r="X58" s="20">
        <f t="shared" si="55"/>
        <v>0</v>
      </c>
      <c r="Y58" s="20">
        <f t="shared" si="55"/>
        <v>0</v>
      </c>
      <c r="Z58" s="20">
        <f t="shared" si="56"/>
        <v>2.9782150245961048</v>
      </c>
      <c r="AA58" s="20">
        <f t="shared" si="56"/>
        <v>0</v>
      </c>
      <c r="AB58" s="20">
        <f t="shared" si="56"/>
        <v>0</v>
      </c>
      <c r="AC58" s="20">
        <f t="shared" si="56"/>
        <v>0</v>
      </c>
      <c r="AD58" s="20">
        <f t="shared" si="57"/>
        <v>2.9782150245961048</v>
      </c>
      <c r="AE58" s="20">
        <f t="shared" si="58"/>
        <v>26.07689156048194</v>
      </c>
      <c r="AF58" s="20">
        <f t="shared" si="58"/>
        <v>0</v>
      </c>
      <c r="AG58" s="20">
        <f t="shared" si="58"/>
        <v>0</v>
      </c>
      <c r="AH58" s="20">
        <f t="shared" si="58"/>
        <v>0</v>
      </c>
      <c r="AI58" s="20">
        <f t="shared" si="59"/>
        <v>20.991914868217957</v>
      </c>
      <c r="AJ58" s="20">
        <f t="shared" si="59"/>
        <v>0</v>
      </c>
      <c r="AK58" s="20">
        <f t="shared" si="59"/>
        <v>0</v>
      </c>
      <c r="AL58" s="20">
        <f t="shared" si="59"/>
        <v>0</v>
      </c>
      <c r="AM58" s="20">
        <f t="shared" si="60"/>
        <v>20.991914868217957</v>
      </c>
      <c r="AO58">
        <f t="shared" si="61"/>
        <v>3.0184209274281524</v>
      </c>
      <c r="AP58">
        <f t="shared" si="61"/>
        <v>0</v>
      </c>
      <c r="AQ58">
        <f t="shared" si="61"/>
        <v>0</v>
      </c>
      <c r="AR58">
        <f t="shared" si="61"/>
        <v>0</v>
      </c>
      <c r="AS58">
        <f t="shared" si="62"/>
        <v>3.0184209274281524</v>
      </c>
      <c r="AU58">
        <f t="shared" si="63"/>
        <v>21.275305718938903</v>
      </c>
      <c r="AV58">
        <f t="shared" si="63"/>
        <v>0</v>
      </c>
      <c r="AW58">
        <f t="shared" si="63"/>
        <v>0</v>
      </c>
      <c r="AX58">
        <f t="shared" si="63"/>
        <v>0</v>
      </c>
      <c r="AY58">
        <f t="shared" si="64"/>
        <v>21.275305718938903</v>
      </c>
    </row>
    <row r="59" spans="1:53" ht="15" x14ac:dyDescent="0.25">
      <c r="A59" s="1"/>
      <c r="B59" s="2"/>
      <c r="C59" s="1" t="s">
        <v>10</v>
      </c>
      <c r="D59">
        <v>0</v>
      </c>
      <c r="E59" s="360">
        <v>0.1384</v>
      </c>
      <c r="F59">
        <v>0</v>
      </c>
      <c r="G59">
        <v>0</v>
      </c>
      <c r="H59">
        <v>0</v>
      </c>
      <c r="J59">
        <v>0</v>
      </c>
      <c r="K59" s="14">
        <v>-8.809080921500001E-2</v>
      </c>
      <c r="L59">
        <v>0</v>
      </c>
      <c r="M59">
        <v>0</v>
      </c>
      <c r="N59">
        <v>0</v>
      </c>
      <c r="O59" s="20"/>
      <c r="P59" s="20"/>
      <c r="Q59" s="436">
        <v>0.46821259177635016</v>
      </c>
      <c r="R59" s="197">
        <v>0.33900000000000002</v>
      </c>
      <c r="S59" s="197">
        <v>1.9830000000000001</v>
      </c>
      <c r="T59" s="197">
        <v>0.76146788990825687</v>
      </c>
      <c r="U59" s="197">
        <v>0.76146788990825687</v>
      </c>
      <c r="V59" s="20">
        <f t="shared" si="55"/>
        <v>0.21967411095926087</v>
      </c>
      <c r="W59" s="20">
        <f t="shared" si="55"/>
        <v>0</v>
      </c>
      <c r="X59" s="20">
        <f t="shared" si="55"/>
        <v>0</v>
      </c>
      <c r="Y59" s="20">
        <f t="shared" si="55"/>
        <v>0</v>
      </c>
      <c r="Z59" s="20">
        <f t="shared" si="56"/>
        <v>0.17683780389670972</v>
      </c>
      <c r="AA59" s="20">
        <f t="shared" si="56"/>
        <v>0</v>
      </c>
      <c r="AB59" s="20">
        <f t="shared" si="56"/>
        <v>0</v>
      </c>
      <c r="AC59" s="20">
        <f t="shared" si="56"/>
        <v>0</v>
      </c>
      <c r="AD59" s="20">
        <f t="shared" si="57"/>
        <v>0.17683780389670972</v>
      </c>
      <c r="AE59" s="20">
        <f t="shared" si="58"/>
        <v>1.2849963481776232</v>
      </c>
      <c r="AF59" s="20">
        <f t="shared" si="58"/>
        <v>0</v>
      </c>
      <c r="AG59" s="20">
        <f t="shared" si="58"/>
        <v>0</v>
      </c>
      <c r="AH59" s="20">
        <f t="shared" si="58"/>
        <v>0</v>
      </c>
      <c r="AI59" s="20">
        <f t="shared" si="59"/>
        <v>1.0344229059798682</v>
      </c>
      <c r="AJ59" s="20">
        <f t="shared" si="59"/>
        <v>0</v>
      </c>
      <c r="AK59" s="20">
        <f t="shared" si="59"/>
        <v>0</v>
      </c>
      <c r="AL59" s="20">
        <f t="shared" si="59"/>
        <v>0</v>
      </c>
      <c r="AM59" s="20">
        <f t="shared" si="60"/>
        <v>1.0344229059798682</v>
      </c>
      <c r="AO59">
        <f t="shared" si="61"/>
        <v>0.17922511424931531</v>
      </c>
      <c r="AP59">
        <f t="shared" si="61"/>
        <v>0</v>
      </c>
      <c r="AQ59">
        <f t="shared" si="61"/>
        <v>0</v>
      </c>
      <c r="AR59">
        <f t="shared" si="61"/>
        <v>0</v>
      </c>
      <c r="AS59">
        <f t="shared" si="62"/>
        <v>0.17922511424931531</v>
      </c>
      <c r="AU59">
        <f t="shared" si="63"/>
        <v>1.0483876152105964</v>
      </c>
      <c r="AV59">
        <f t="shared" si="63"/>
        <v>0</v>
      </c>
      <c r="AW59">
        <f t="shared" si="63"/>
        <v>0</v>
      </c>
      <c r="AX59">
        <f t="shared" si="63"/>
        <v>0</v>
      </c>
      <c r="AY59">
        <f t="shared" si="64"/>
        <v>1.0483876152105964</v>
      </c>
    </row>
    <row r="60" spans="1:53" ht="15" x14ac:dyDescent="0.25">
      <c r="A60" s="1"/>
      <c r="B60" s="2"/>
      <c r="C60" s="1" t="s">
        <v>11</v>
      </c>
      <c r="D60">
        <v>0</v>
      </c>
      <c r="E60" s="360">
        <v>2.6183000000000001</v>
      </c>
      <c r="F60">
        <v>0</v>
      </c>
      <c r="G60">
        <v>0</v>
      </c>
      <c r="H60">
        <v>0</v>
      </c>
      <c r="J60">
        <v>0</v>
      </c>
      <c r="K60" s="14">
        <v>2.1201244640930001</v>
      </c>
      <c r="L60">
        <v>0</v>
      </c>
      <c r="M60">
        <v>0</v>
      </c>
      <c r="N60">
        <v>0</v>
      </c>
      <c r="O60" s="20"/>
      <c r="P60" s="20"/>
      <c r="Q60" s="436">
        <v>0.47428345570180025</v>
      </c>
      <c r="R60" s="197">
        <v>0.33900000000000002</v>
      </c>
      <c r="S60" s="197">
        <v>1.9830000000000001</v>
      </c>
      <c r="T60" s="197">
        <v>0.76146788990825687</v>
      </c>
      <c r="U60" s="197">
        <v>0.76146788990825687</v>
      </c>
      <c r="V60" s="20">
        <f t="shared" si="55"/>
        <v>2.0545630300034921</v>
      </c>
      <c r="W60" s="20">
        <f t="shared" si="55"/>
        <v>0</v>
      </c>
      <c r="X60" s="20">
        <f t="shared" si="55"/>
        <v>0</v>
      </c>
      <c r="Y60" s="20">
        <f t="shared" si="55"/>
        <v>0</v>
      </c>
      <c r="Z60" s="20">
        <f t="shared" si="56"/>
        <v>1.6539245913259515</v>
      </c>
      <c r="AA60" s="20">
        <f t="shared" si="56"/>
        <v>0</v>
      </c>
      <c r="AB60" s="20">
        <f t="shared" si="56"/>
        <v>0</v>
      </c>
      <c r="AC60" s="20">
        <f t="shared" si="56"/>
        <v>0</v>
      </c>
      <c r="AD60" s="20">
        <f t="shared" si="57"/>
        <v>1.6539245913259515</v>
      </c>
      <c r="AE60" s="20">
        <f t="shared" si="58"/>
        <v>16.233134844803789</v>
      </c>
      <c r="AF60" s="20">
        <f t="shared" si="58"/>
        <v>0</v>
      </c>
      <c r="AG60" s="20">
        <f t="shared" si="58"/>
        <v>0</v>
      </c>
      <c r="AH60" s="20">
        <f t="shared" si="58"/>
        <v>0</v>
      </c>
      <c r="AI60" s="20">
        <f t="shared" si="59"/>
        <v>13.06768423360832</v>
      </c>
      <c r="AJ60" s="20">
        <f t="shared" si="59"/>
        <v>0</v>
      </c>
      <c r="AK60" s="20">
        <f t="shared" si="59"/>
        <v>0</v>
      </c>
      <c r="AL60" s="20">
        <f t="shared" si="59"/>
        <v>0</v>
      </c>
      <c r="AM60" s="20">
        <f t="shared" si="60"/>
        <v>13.06768423360832</v>
      </c>
      <c r="AO60">
        <f t="shared" si="61"/>
        <v>1.676252573308852</v>
      </c>
      <c r="AP60">
        <f t="shared" si="61"/>
        <v>0</v>
      </c>
      <c r="AQ60">
        <f t="shared" si="61"/>
        <v>0</v>
      </c>
      <c r="AR60">
        <f t="shared" si="61"/>
        <v>0</v>
      </c>
      <c r="AS60">
        <f t="shared" si="62"/>
        <v>1.676252573308852</v>
      </c>
      <c r="AU60">
        <f t="shared" si="63"/>
        <v>13.244097970762033</v>
      </c>
      <c r="AV60">
        <f t="shared" si="63"/>
        <v>0</v>
      </c>
      <c r="AW60">
        <f t="shared" si="63"/>
        <v>0</v>
      </c>
      <c r="AX60">
        <f t="shared" si="63"/>
        <v>0</v>
      </c>
      <c r="AY60">
        <f t="shared" si="64"/>
        <v>13.244097970762033</v>
      </c>
    </row>
    <row r="61" spans="1:53" ht="15" x14ac:dyDescent="0.25">
      <c r="A61" s="1"/>
      <c r="B61" s="2"/>
      <c r="C61" s="1" t="s">
        <v>12</v>
      </c>
      <c r="D61">
        <v>0</v>
      </c>
      <c r="E61" s="360">
        <v>0</v>
      </c>
      <c r="F61">
        <v>0</v>
      </c>
      <c r="G61">
        <v>0</v>
      </c>
      <c r="H61">
        <v>0</v>
      </c>
      <c r="J61">
        <v>0</v>
      </c>
      <c r="K61" s="14">
        <v>0</v>
      </c>
      <c r="L61">
        <v>0</v>
      </c>
      <c r="M61">
        <v>0</v>
      </c>
      <c r="N61">
        <v>0</v>
      </c>
      <c r="O61" s="20"/>
      <c r="P61" s="20"/>
      <c r="Q61" s="436"/>
      <c r="R61" s="197">
        <v>0.33900000000000002</v>
      </c>
      <c r="S61" s="197">
        <v>1.9830000000000001</v>
      </c>
      <c r="T61" s="197">
        <v>0.76146788990825687</v>
      </c>
      <c r="U61" s="197">
        <v>0.76146788990825687</v>
      </c>
      <c r="V61" s="20">
        <f t="shared" si="55"/>
        <v>0</v>
      </c>
      <c r="W61" s="20">
        <f t="shared" si="55"/>
        <v>0</v>
      </c>
      <c r="X61" s="20">
        <f t="shared" si="55"/>
        <v>0</v>
      </c>
      <c r="Y61" s="20">
        <f t="shared" si="55"/>
        <v>0</v>
      </c>
      <c r="Z61" s="20">
        <f t="shared" si="56"/>
        <v>0</v>
      </c>
      <c r="AA61" s="20">
        <f t="shared" si="56"/>
        <v>0</v>
      </c>
      <c r="AB61" s="20">
        <f t="shared" si="56"/>
        <v>0</v>
      </c>
      <c r="AC61" s="20">
        <f t="shared" si="56"/>
        <v>0</v>
      </c>
      <c r="AD61" s="20">
        <f t="shared" si="57"/>
        <v>0</v>
      </c>
      <c r="AE61" s="20">
        <f t="shared" si="58"/>
        <v>0</v>
      </c>
      <c r="AF61" s="20">
        <f t="shared" si="58"/>
        <v>0</v>
      </c>
      <c r="AG61" s="20">
        <f t="shared" si="58"/>
        <v>0</v>
      </c>
      <c r="AH61" s="20">
        <f t="shared" si="58"/>
        <v>0</v>
      </c>
      <c r="AI61" s="20">
        <f t="shared" si="59"/>
        <v>0</v>
      </c>
      <c r="AJ61" s="20">
        <f t="shared" si="59"/>
        <v>0</v>
      </c>
      <c r="AK61" s="20">
        <f t="shared" si="59"/>
        <v>0</v>
      </c>
      <c r="AL61" s="20">
        <f t="shared" si="59"/>
        <v>0</v>
      </c>
      <c r="AM61" s="20">
        <f t="shared" si="60"/>
        <v>0</v>
      </c>
      <c r="AO61">
        <f t="shared" si="61"/>
        <v>0</v>
      </c>
      <c r="AP61">
        <f t="shared" si="61"/>
        <v>0</v>
      </c>
      <c r="AQ61">
        <f t="shared" si="61"/>
        <v>0</v>
      </c>
      <c r="AR61">
        <f t="shared" si="61"/>
        <v>0</v>
      </c>
      <c r="AS61">
        <f t="shared" si="62"/>
        <v>0</v>
      </c>
      <c r="AU61">
        <f t="shared" si="63"/>
        <v>0</v>
      </c>
      <c r="AV61">
        <f t="shared" si="63"/>
        <v>0</v>
      </c>
      <c r="AW61">
        <f t="shared" si="63"/>
        <v>0</v>
      </c>
      <c r="AX61">
        <f t="shared" si="63"/>
        <v>0</v>
      </c>
      <c r="AY61">
        <f t="shared" si="64"/>
        <v>0</v>
      </c>
    </row>
    <row r="62" spans="1:53" ht="15" x14ac:dyDescent="0.25">
      <c r="A62" s="1"/>
      <c r="B62" s="2"/>
      <c r="C62" s="1" t="s">
        <v>13</v>
      </c>
      <c r="D62">
        <v>0</v>
      </c>
      <c r="E62" s="360">
        <v>1.4E-3</v>
      </c>
      <c r="F62">
        <v>0</v>
      </c>
      <c r="G62">
        <v>0</v>
      </c>
      <c r="H62">
        <v>0</v>
      </c>
      <c r="J62">
        <v>0</v>
      </c>
      <c r="K62" s="14">
        <v>1.4E-3</v>
      </c>
      <c r="L62">
        <v>0</v>
      </c>
      <c r="M62">
        <v>0</v>
      </c>
      <c r="N62">
        <v>0</v>
      </c>
      <c r="O62" s="20"/>
      <c r="P62" s="20"/>
      <c r="Q62" s="436">
        <v>0.47428345570180025</v>
      </c>
      <c r="R62" s="197">
        <v>0.33900000000000002</v>
      </c>
      <c r="S62" s="197">
        <v>1.9830000000000001</v>
      </c>
      <c r="T62" s="197">
        <v>0.76146788990825687</v>
      </c>
      <c r="U62" s="197">
        <v>0.76146788990825687</v>
      </c>
      <c r="V62" s="20">
        <f t="shared" si="55"/>
        <v>8.2779120164213368E-4</v>
      </c>
      <c r="W62" s="20">
        <f t="shared" si="55"/>
        <v>0</v>
      </c>
      <c r="X62" s="20">
        <f t="shared" si="55"/>
        <v>0</v>
      </c>
      <c r="Y62" s="20">
        <f t="shared" si="55"/>
        <v>0</v>
      </c>
      <c r="Z62" s="20">
        <f t="shared" si="56"/>
        <v>6.6637246211758089E-4</v>
      </c>
      <c r="AA62" s="20">
        <f t="shared" si="56"/>
        <v>0</v>
      </c>
      <c r="AB62" s="20">
        <f t="shared" si="56"/>
        <v>0</v>
      </c>
      <c r="AC62" s="20">
        <f t="shared" si="56"/>
        <v>0</v>
      </c>
      <c r="AD62" s="20">
        <f t="shared" si="57"/>
        <v>6.6637246211758089E-4</v>
      </c>
      <c r="AE62" s="20">
        <f t="shared" si="58"/>
        <v>7.6254405018122808E-3</v>
      </c>
      <c r="AF62" s="20">
        <f t="shared" si="58"/>
        <v>0</v>
      </c>
      <c r="AG62" s="20">
        <f t="shared" si="58"/>
        <v>0</v>
      </c>
      <c r="AH62" s="20">
        <f t="shared" si="58"/>
        <v>0</v>
      </c>
      <c r="AI62" s="20">
        <f t="shared" si="59"/>
        <v>6.1384846225033063E-3</v>
      </c>
      <c r="AJ62" s="20">
        <f t="shared" si="59"/>
        <v>0</v>
      </c>
      <c r="AK62" s="20">
        <f t="shared" si="59"/>
        <v>0</v>
      </c>
      <c r="AL62" s="20">
        <f t="shared" si="59"/>
        <v>0</v>
      </c>
      <c r="AM62" s="20">
        <f t="shared" si="60"/>
        <v>6.1384846225033063E-3</v>
      </c>
      <c r="AO62">
        <f t="shared" si="61"/>
        <v>6.753684903561683E-4</v>
      </c>
      <c r="AP62">
        <f t="shared" si="61"/>
        <v>0</v>
      </c>
      <c r="AQ62">
        <f t="shared" si="61"/>
        <v>0</v>
      </c>
      <c r="AR62">
        <f t="shared" si="61"/>
        <v>0</v>
      </c>
      <c r="AS62">
        <f t="shared" si="62"/>
        <v>6.753684903561683E-4</v>
      </c>
      <c r="AU62">
        <f t="shared" si="63"/>
        <v>6.2213541649071011E-3</v>
      </c>
      <c r="AV62">
        <f t="shared" si="63"/>
        <v>0</v>
      </c>
      <c r="AW62">
        <f t="shared" si="63"/>
        <v>0</v>
      </c>
      <c r="AX62">
        <f t="shared" si="63"/>
        <v>0</v>
      </c>
      <c r="AY62">
        <f t="shared" si="64"/>
        <v>6.2213541649071011E-3</v>
      </c>
    </row>
    <row r="63" spans="1:53" ht="15" x14ac:dyDescent="0.25">
      <c r="A63" s="7"/>
      <c r="B63" s="8" t="s">
        <v>14</v>
      </c>
      <c r="C63" s="7"/>
      <c r="D63" s="357">
        <f t="shared" ref="D63:H63" si="65">SUM(D57:D62)</f>
        <v>0</v>
      </c>
      <c r="E63" s="363">
        <f>SUM(E57:E62)</f>
        <v>18.565100000000001</v>
      </c>
      <c r="F63" s="357">
        <f t="shared" si="65"/>
        <v>0</v>
      </c>
      <c r="G63" s="357">
        <f t="shared" si="65"/>
        <v>0</v>
      </c>
      <c r="H63" s="357">
        <f t="shared" si="65"/>
        <v>0</v>
      </c>
      <c r="J63">
        <v>0</v>
      </c>
      <c r="K63" s="14">
        <v>16.231872926109002</v>
      </c>
      <c r="L63">
        <v>0</v>
      </c>
      <c r="M63">
        <v>0</v>
      </c>
      <c r="N63">
        <v>0</v>
      </c>
      <c r="O63" s="20"/>
      <c r="P63" s="20"/>
      <c r="Q63" s="436">
        <v>0.4599769606701965</v>
      </c>
      <c r="R63" s="197"/>
      <c r="S63" s="197"/>
      <c r="T63" s="197"/>
      <c r="U63" s="197"/>
      <c r="BA63" s="319">
        <f>(E63*10000*Q63*AU$10)</f>
        <v>86548.017692175315</v>
      </c>
    </row>
    <row r="64" spans="1:53" ht="15" x14ac:dyDescent="0.25">
      <c r="A64" s="10"/>
      <c r="B64" s="9" t="s">
        <v>15</v>
      </c>
      <c r="C64" s="5"/>
      <c r="E64" s="363">
        <f>SUM(E63)</f>
        <v>18.565100000000001</v>
      </c>
      <c r="H64" s="358">
        <f>SUM(D63:H63)</f>
        <v>18.565100000000001</v>
      </c>
      <c r="K64" s="14"/>
      <c r="N64">
        <v>0</v>
      </c>
      <c r="O64" s="20"/>
      <c r="P64" s="20"/>
      <c r="Q64" s="436"/>
      <c r="R64" s="197"/>
      <c r="S64" s="197"/>
      <c r="T64" s="197"/>
      <c r="U64" s="197"/>
    </row>
    <row r="65" spans="1:53" ht="15.75" x14ac:dyDescent="0.25">
      <c r="A65" s="3"/>
      <c r="B65" s="11"/>
      <c r="C65" s="3"/>
      <c r="E65" s="361"/>
      <c r="K65" s="14"/>
      <c r="O65" s="20"/>
      <c r="P65" s="20"/>
      <c r="Q65" s="437"/>
      <c r="R65" s="197"/>
      <c r="S65" s="197"/>
      <c r="T65" s="197"/>
      <c r="U65" s="197"/>
    </row>
    <row r="66" spans="1:53" ht="15" x14ac:dyDescent="0.25">
      <c r="A66" s="3">
        <v>7</v>
      </c>
      <c r="B66" s="11" t="s">
        <v>21</v>
      </c>
      <c r="C66" s="3" t="s">
        <v>8</v>
      </c>
      <c r="D66">
        <v>0</v>
      </c>
      <c r="E66" s="360">
        <v>6.2215999999999996</v>
      </c>
      <c r="F66">
        <v>0</v>
      </c>
      <c r="G66">
        <v>0</v>
      </c>
      <c r="H66">
        <v>0</v>
      </c>
      <c r="J66">
        <v>0</v>
      </c>
      <c r="K66" s="14">
        <v>3.0276691686005992</v>
      </c>
      <c r="L66">
        <v>0</v>
      </c>
      <c r="M66">
        <v>0</v>
      </c>
      <c r="N66">
        <v>0</v>
      </c>
      <c r="O66" s="20"/>
      <c r="P66" s="20"/>
      <c r="Q66" s="436">
        <v>2.1020310572391093E-2</v>
      </c>
      <c r="R66" s="197">
        <v>0.15</v>
      </c>
      <c r="S66" s="197">
        <v>1.18</v>
      </c>
      <c r="T66" s="197">
        <v>0.46666666666666673</v>
      </c>
      <c r="U66" s="197">
        <v>0.6566321730950142</v>
      </c>
      <c r="V66" s="20">
        <f t="shared" ref="V66:Y71" si="66">IF(K66&gt;0,((E66-K66)*$Q66*$R66*10)+(K66*$O$12*$Q66*$R66*10),(E66*$Q66*$R66*10))</f>
        <v>0.13581314184333929</v>
      </c>
      <c r="W66" s="20">
        <f t="shared" si="66"/>
        <v>0</v>
      </c>
      <c r="X66" s="20">
        <f t="shared" si="66"/>
        <v>0</v>
      </c>
      <c r="Y66" s="20">
        <f t="shared" si="66"/>
        <v>0</v>
      </c>
      <c r="Z66" s="20">
        <f t="shared" ref="Z66:AC71" si="67">V66*(EXP(1.01-0.34*LN(Z$8))*(1-$T66)+(1*$T66))</f>
        <v>7.6598811850728074E-2</v>
      </c>
      <c r="AA66" s="20">
        <f t="shared" si="67"/>
        <v>0</v>
      </c>
      <c r="AB66" s="20">
        <f t="shared" si="67"/>
        <v>0</v>
      </c>
      <c r="AC66" s="20">
        <f t="shared" si="67"/>
        <v>0</v>
      </c>
      <c r="AD66" s="20">
        <f t="shared" ref="AD66:AD71" si="68">SUM(Z66:AC66)</f>
        <v>7.6598811850728074E-2</v>
      </c>
      <c r="AE66" s="20">
        <f t="shared" ref="AE66:AH71" si="69">IF(K66&gt;0,((E66-K66)*$Q66*$S66*10)+(K66*$P$12*$Q66*$S66)*10,(E66*$Q66*$S66*10))</f>
        <v>1.2271379135378755</v>
      </c>
      <c r="AF66" s="20">
        <f t="shared" si="69"/>
        <v>0</v>
      </c>
      <c r="AG66" s="20">
        <f t="shared" si="69"/>
        <v>0</v>
      </c>
      <c r="AH66" s="20">
        <f t="shared" si="69"/>
        <v>0</v>
      </c>
      <c r="AI66" s="20">
        <f t="shared" ref="AI66:AL71" si="70">AE66*(EXP(1.01-0.34*LN(AI$8))*(1-$U66)+(1*$U66))</f>
        <v>0.88267753878311994</v>
      </c>
      <c r="AJ66" s="20">
        <f t="shared" si="70"/>
        <v>0</v>
      </c>
      <c r="AK66" s="20">
        <f t="shared" si="70"/>
        <v>0</v>
      </c>
      <c r="AL66" s="20">
        <f t="shared" si="70"/>
        <v>0</v>
      </c>
      <c r="AM66" s="20">
        <f t="shared" ref="AM66:AM71" si="71">SUM(AI66:AL66)</f>
        <v>0.88267753878311994</v>
      </c>
      <c r="AO66">
        <f t="shared" ref="AO66:AR71" si="72">Z66*AO$10</f>
        <v>7.7632895810712907E-2</v>
      </c>
      <c r="AP66">
        <f t="shared" si="72"/>
        <v>0</v>
      </c>
      <c r="AQ66">
        <f t="shared" si="72"/>
        <v>0</v>
      </c>
      <c r="AR66">
        <f t="shared" si="72"/>
        <v>0</v>
      </c>
      <c r="AS66">
        <f t="shared" ref="AS66:AS71" si="73">SUM(AO66:AR66)</f>
        <v>7.7632895810712907E-2</v>
      </c>
      <c r="AU66">
        <f t="shared" ref="AU66:AX71" si="74">AI66*AU$10</f>
        <v>0.89459368555669216</v>
      </c>
      <c r="AV66">
        <f t="shared" si="74"/>
        <v>0</v>
      </c>
      <c r="AW66">
        <f t="shared" si="74"/>
        <v>0</v>
      </c>
      <c r="AX66">
        <f t="shared" si="74"/>
        <v>0</v>
      </c>
      <c r="AY66">
        <f t="shared" ref="AY66:AY71" si="75">SUM(AU66:AX66)</f>
        <v>0.89459368555669216</v>
      </c>
    </row>
    <row r="67" spans="1:53" ht="15" x14ac:dyDescent="0.25">
      <c r="A67" s="3"/>
      <c r="B67" s="11"/>
      <c r="C67" s="3" t="s">
        <v>9</v>
      </c>
      <c r="D67">
        <v>0</v>
      </c>
      <c r="E67" s="360">
        <v>3.8833000000000002</v>
      </c>
      <c r="F67">
        <v>0</v>
      </c>
      <c r="G67">
        <v>0</v>
      </c>
      <c r="H67">
        <v>0</v>
      </c>
      <c r="J67">
        <v>0</v>
      </c>
      <c r="K67" s="14">
        <v>-24.426011909499998</v>
      </c>
      <c r="L67">
        <v>0</v>
      </c>
      <c r="M67">
        <v>0</v>
      </c>
      <c r="N67">
        <v>0</v>
      </c>
      <c r="O67" s="20"/>
      <c r="P67" s="20"/>
      <c r="Q67" s="436">
        <v>3.3040621144782185E-2</v>
      </c>
      <c r="R67" s="197">
        <v>0.15</v>
      </c>
      <c r="S67" s="197">
        <v>1.18</v>
      </c>
      <c r="T67" s="197">
        <v>0.46666666666666673</v>
      </c>
      <c r="U67" s="197">
        <v>0.6566321730950142</v>
      </c>
      <c r="V67" s="20">
        <f t="shared" si="66"/>
        <v>0.19245996613729899</v>
      </c>
      <c r="W67" s="20">
        <f t="shared" si="66"/>
        <v>0</v>
      </c>
      <c r="X67" s="20">
        <f t="shared" si="66"/>
        <v>0</v>
      </c>
      <c r="Y67" s="20">
        <f t="shared" si="66"/>
        <v>0</v>
      </c>
      <c r="Z67" s="20">
        <f t="shared" si="67"/>
        <v>0.10854770410917687</v>
      </c>
      <c r="AA67" s="20">
        <f t="shared" si="67"/>
        <v>0</v>
      </c>
      <c r="AB67" s="20">
        <f t="shared" si="67"/>
        <v>0</v>
      </c>
      <c r="AC67" s="20">
        <f t="shared" si="67"/>
        <v>0</v>
      </c>
      <c r="AD67" s="20">
        <f t="shared" si="68"/>
        <v>0.10854770410917687</v>
      </c>
      <c r="AE67" s="20">
        <f t="shared" si="69"/>
        <v>1.5140184002800856</v>
      </c>
      <c r="AF67" s="20">
        <f t="shared" si="69"/>
        <v>0</v>
      </c>
      <c r="AG67" s="20">
        <f t="shared" si="69"/>
        <v>0</v>
      </c>
      <c r="AH67" s="20">
        <f t="shared" si="69"/>
        <v>0</v>
      </c>
      <c r="AI67" s="20">
        <f t="shared" si="70"/>
        <v>1.0890300270967341</v>
      </c>
      <c r="AJ67" s="20">
        <f t="shared" si="70"/>
        <v>0</v>
      </c>
      <c r="AK67" s="20">
        <f t="shared" si="70"/>
        <v>0</v>
      </c>
      <c r="AL67" s="20">
        <f t="shared" si="70"/>
        <v>0</v>
      </c>
      <c r="AM67" s="20">
        <f t="shared" si="71"/>
        <v>1.0890300270967341</v>
      </c>
      <c r="AO67">
        <f t="shared" si="72"/>
        <v>0.11001309811465076</v>
      </c>
      <c r="AP67">
        <f t="shared" si="72"/>
        <v>0</v>
      </c>
      <c r="AQ67">
        <f t="shared" si="72"/>
        <v>0</v>
      </c>
      <c r="AR67">
        <f t="shared" si="72"/>
        <v>0</v>
      </c>
      <c r="AS67">
        <f t="shared" si="73"/>
        <v>0.11001309811465076</v>
      </c>
      <c r="AU67">
        <f t="shared" si="74"/>
        <v>1.1037319324625401</v>
      </c>
      <c r="AV67">
        <f t="shared" si="74"/>
        <v>0</v>
      </c>
      <c r="AW67">
        <f t="shared" si="74"/>
        <v>0</v>
      </c>
      <c r="AX67">
        <f t="shared" si="74"/>
        <v>0</v>
      </c>
      <c r="AY67">
        <f t="shared" si="75"/>
        <v>1.1037319324625401</v>
      </c>
    </row>
    <row r="68" spans="1:53" ht="15" x14ac:dyDescent="0.25">
      <c r="A68" s="3"/>
      <c r="B68" s="11"/>
      <c r="C68" s="3" t="s">
        <v>10</v>
      </c>
      <c r="D68">
        <v>0</v>
      </c>
      <c r="E68" s="360">
        <v>0</v>
      </c>
      <c r="F68">
        <v>0</v>
      </c>
      <c r="G68">
        <v>0</v>
      </c>
      <c r="H68">
        <v>0</v>
      </c>
      <c r="J68">
        <v>0</v>
      </c>
      <c r="K68" s="14">
        <v>0</v>
      </c>
      <c r="L68">
        <v>0</v>
      </c>
      <c r="M68">
        <v>0</v>
      </c>
      <c r="N68">
        <v>0</v>
      </c>
      <c r="O68" s="20"/>
      <c r="P68" s="20"/>
      <c r="Q68" s="436"/>
      <c r="R68" s="197">
        <v>0.15</v>
      </c>
      <c r="S68" s="197">
        <v>1.18</v>
      </c>
      <c r="T68" s="197">
        <v>0.46666666666666673</v>
      </c>
      <c r="U68" s="197">
        <v>0.6566321730950142</v>
      </c>
      <c r="V68" s="20">
        <f t="shared" si="66"/>
        <v>0</v>
      </c>
      <c r="W68" s="20">
        <f t="shared" si="66"/>
        <v>0</v>
      </c>
      <c r="X68" s="20">
        <f t="shared" si="66"/>
        <v>0</v>
      </c>
      <c r="Y68" s="20">
        <f t="shared" si="66"/>
        <v>0</v>
      </c>
      <c r="Z68" s="20">
        <f t="shared" si="67"/>
        <v>0</v>
      </c>
      <c r="AA68" s="20">
        <f t="shared" si="67"/>
        <v>0</v>
      </c>
      <c r="AB68" s="20">
        <f t="shared" si="67"/>
        <v>0</v>
      </c>
      <c r="AC68" s="20">
        <f t="shared" si="67"/>
        <v>0</v>
      </c>
      <c r="AD68" s="20">
        <f t="shared" si="68"/>
        <v>0</v>
      </c>
      <c r="AE68" s="20">
        <f t="shared" si="69"/>
        <v>0</v>
      </c>
      <c r="AF68" s="20">
        <f t="shared" si="69"/>
        <v>0</v>
      </c>
      <c r="AG68" s="20">
        <f t="shared" si="69"/>
        <v>0</v>
      </c>
      <c r="AH68" s="20">
        <f t="shared" si="69"/>
        <v>0</v>
      </c>
      <c r="AI68" s="20">
        <f t="shared" si="70"/>
        <v>0</v>
      </c>
      <c r="AJ68" s="20">
        <f t="shared" si="70"/>
        <v>0</v>
      </c>
      <c r="AK68" s="20">
        <f t="shared" si="70"/>
        <v>0</v>
      </c>
      <c r="AL68" s="20">
        <f t="shared" si="70"/>
        <v>0</v>
      </c>
      <c r="AM68" s="20">
        <f t="shared" si="71"/>
        <v>0</v>
      </c>
      <c r="AO68">
        <f t="shared" si="72"/>
        <v>0</v>
      </c>
      <c r="AP68">
        <f t="shared" si="72"/>
        <v>0</v>
      </c>
      <c r="AQ68">
        <f t="shared" si="72"/>
        <v>0</v>
      </c>
      <c r="AR68">
        <f t="shared" si="72"/>
        <v>0</v>
      </c>
      <c r="AS68">
        <f t="shared" si="73"/>
        <v>0</v>
      </c>
      <c r="AU68">
        <f t="shared" si="74"/>
        <v>0</v>
      </c>
      <c r="AV68">
        <f t="shared" si="74"/>
        <v>0</v>
      </c>
      <c r="AW68">
        <f t="shared" si="74"/>
        <v>0</v>
      </c>
      <c r="AX68">
        <f t="shared" si="74"/>
        <v>0</v>
      </c>
      <c r="AY68">
        <f t="shared" si="75"/>
        <v>0</v>
      </c>
    </row>
    <row r="69" spans="1:53" ht="15" x14ac:dyDescent="0.25">
      <c r="A69" s="3"/>
      <c r="B69" s="11"/>
      <c r="C69" s="3" t="s">
        <v>11</v>
      </c>
      <c r="D69">
        <v>0</v>
      </c>
      <c r="E69" s="360">
        <v>0.13730000000000001</v>
      </c>
      <c r="F69">
        <v>0</v>
      </c>
      <c r="G69">
        <v>0</v>
      </c>
      <c r="H69">
        <v>0</v>
      </c>
      <c r="J69">
        <v>0</v>
      </c>
      <c r="K69" s="14">
        <v>-0.29315512371429997</v>
      </c>
      <c r="L69">
        <v>0</v>
      </c>
      <c r="M69">
        <v>0</v>
      </c>
      <c r="N69">
        <v>0</v>
      </c>
      <c r="O69" s="20"/>
      <c r="P69" s="20"/>
      <c r="Q69" s="436">
        <v>5.708124228956437E-2</v>
      </c>
      <c r="R69" s="197">
        <v>0.15</v>
      </c>
      <c r="S69" s="197">
        <v>1.18</v>
      </c>
      <c r="T69" s="197">
        <v>0.46666666666666673</v>
      </c>
      <c r="U69" s="197">
        <v>0.6566321730950142</v>
      </c>
      <c r="V69" s="20">
        <f t="shared" si="66"/>
        <v>1.1755881849535783E-2</v>
      </c>
      <c r="W69" s="20">
        <f t="shared" si="66"/>
        <v>0</v>
      </c>
      <c r="X69" s="20">
        <f t="shared" si="66"/>
        <v>0</v>
      </c>
      <c r="Y69" s="20">
        <f t="shared" si="66"/>
        <v>0</v>
      </c>
      <c r="Z69" s="20">
        <f t="shared" si="67"/>
        <v>6.630334662095466E-3</v>
      </c>
      <c r="AA69" s="20">
        <f t="shared" si="67"/>
        <v>0</v>
      </c>
      <c r="AB69" s="20">
        <f t="shared" si="67"/>
        <v>0</v>
      </c>
      <c r="AC69" s="20">
        <f t="shared" si="67"/>
        <v>0</v>
      </c>
      <c r="AD69" s="20">
        <f t="shared" si="68"/>
        <v>6.630334662095466E-3</v>
      </c>
      <c r="AE69" s="20">
        <f t="shared" si="69"/>
        <v>9.2479603883014821E-2</v>
      </c>
      <c r="AF69" s="20">
        <f t="shared" si="69"/>
        <v>0</v>
      </c>
      <c r="AG69" s="20">
        <f t="shared" si="69"/>
        <v>0</v>
      </c>
      <c r="AH69" s="20">
        <f t="shared" si="69"/>
        <v>0</v>
      </c>
      <c r="AI69" s="20">
        <f t="shared" si="70"/>
        <v>6.6520370891122241E-2</v>
      </c>
      <c r="AJ69" s="20">
        <f t="shared" si="70"/>
        <v>0</v>
      </c>
      <c r="AK69" s="20">
        <f t="shared" si="70"/>
        <v>0</v>
      </c>
      <c r="AL69" s="20">
        <f t="shared" si="70"/>
        <v>0</v>
      </c>
      <c r="AM69" s="20">
        <f t="shared" si="71"/>
        <v>6.6520370891122241E-2</v>
      </c>
      <c r="AO69">
        <f t="shared" si="72"/>
        <v>6.7198441800337553E-3</v>
      </c>
      <c r="AP69">
        <f t="shared" si="72"/>
        <v>0</v>
      </c>
      <c r="AQ69">
        <f t="shared" si="72"/>
        <v>0</v>
      </c>
      <c r="AR69">
        <f t="shared" si="72"/>
        <v>0</v>
      </c>
      <c r="AS69">
        <f t="shared" si="73"/>
        <v>6.7198441800337553E-3</v>
      </c>
      <c r="AU69">
        <f t="shared" si="74"/>
        <v>6.7418395898152392E-2</v>
      </c>
      <c r="AV69">
        <f t="shared" si="74"/>
        <v>0</v>
      </c>
      <c r="AW69">
        <f t="shared" si="74"/>
        <v>0</v>
      </c>
      <c r="AX69">
        <f t="shared" si="74"/>
        <v>0</v>
      </c>
      <c r="AY69">
        <f t="shared" si="75"/>
        <v>6.7418395898152392E-2</v>
      </c>
    </row>
    <row r="70" spans="1:53" ht="15" x14ac:dyDescent="0.25">
      <c r="A70" s="3"/>
      <c r="B70" s="12"/>
      <c r="C70" s="3" t="s">
        <v>12</v>
      </c>
      <c r="D70">
        <v>0</v>
      </c>
      <c r="E70" s="360">
        <v>0</v>
      </c>
      <c r="F70">
        <v>0</v>
      </c>
      <c r="G70">
        <v>0</v>
      </c>
      <c r="H70">
        <v>0</v>
      </c>
      <c r="J70">
        <v>0</v>
      </c>
      <c r="K70" s="14">
        <v>0</v>
      </c>
      <c r="L70">
        <v>0</v>
      </c>
      <c r="M70">
        <v>0</v>
      </c>
      <c r="N70">
        <v>0</v>
      </c>
      <c r="O70" s="20"/>
      <c r="P70" s="20"/>
      <c r="Q70" s="436"/>
      <c r="R70" s="197">
        <v>0.15</v>
      </c>
      <c r="S70" s="197">
        <v>1.18</v>
      </c>
      <c r="T70" s="197">
        <v>0.46666666666666673</v>
      </c>
      <c r="U70" s="197">
        <v>0.6566321730950142</v>
      </c>
      <c r="V70" s="20">
        <f t="shared" si="66"/>
        <v>0</v>
      </c>
      <c r="W70" s="20">
        <f t="shared" si="66"/>
        <v>0</v>
      </c>
      <c r="X70" s="20">
        <f t="shared" si="66"/>
        <v>0</v>
      </c>
      <c r="Y70" s="20">
        <f t="shared" si="66"/>
        <v>0</v>
      </c>
      <c r="Z70" s="20">
        <f t="shared" si="67"/>
        <v>0</v>
      </c>
      <c r="AA70" s="20">
        <f t="shared" si="67"/>
        <v>0</v>
      </c>
      <c r="AB70" s="20">
        <f t="shared" si="67"/>
        <v>0</v>
      </c>
      <c r="AC70" s="20">
        <f t="shared" si="67"/>
        <v>0</v>
      </c>
      <c r="AD70" s="20">
        <f t="shared" si="68"/>
        <v>0</v>
      </c>
      <c r="AE70" s="20">
        <f t="shared" si="69"/>
        <v>0</v>
      </c>
      <c r="AF70" s="20">
        <f t="shared" si="69"/>
        <v>0</v>
      </c>
      <c r="AG70" s="20">
        <f t="shared" si="69"/>
        <v>0</v>
      </c>
      <c r="AH70" s="20">
        <f t="shared" si="69"/>
        <v>0</v>
      </c>
      <c r="AI70" s="20">
        <f t="shared" si="70"/>
        <v>0</v>
      </c>
      <c r="AJ70" s="20">
        <f t="shared" si="70"/>
        <v>0</v>
      </c>
      <c r="AK70" s="20">
        <f t="shared" si="70"/>
        <v>0</v>
      </c>
      <c r="AL70" s="20">
        <f t="shared" si="70"/>
        <v>0</v>
      </c>
      <c r="AM70" s="20">
        <f t="shared" si="71"/>
        <v>0</v>
      </c>
      <c r="AO70">
        <f t="shared" si="72"/>
        <v>0</v>
      </c>
      <c r="AP70">
        <f t="shared" si="72"/>
        <v>0</v>
      </c>
      <c r="AQ70">
        <f t="shared" si="72"/>
        <v>0</v>
      </c>
      <c r="AR70">
        <f t="shared" si="72"/>
        <v>0</v>
      </c>
      <c r="AS70">
        <f t="shared" si="73"/>
        <v>0</v>
      </c>
      <c r="AU70">
        <f t="shared" si="74"/>
        <v>0</v>
      </c>
      <c r="AV70">
        <f t="shared" si="74"/>
        <v>0</v>
      </c>
      <c r="AW70">
        <f t="shared" si="74"/>
        <v>0</v>
      </c>
      <c r="AX70">
        <f t="shared" si="74"/>
        <v>0</v>
      </c>
      <c r="AY70">
        <f t="shared" si="75"/>
        <v>0</v>
      </c>
    </row>
    <row r="71" spans="1:53" ht="15" x14ac:dyDescent="0.25">
      <c r="A71" s="3"/>
      <c r="B71" s="12"/>
      <c r="C71" s="3" t="s">
        <v>13</v>
      </c>
      <c r="D71">
        <v>0</v>
      </c>
      <c r="E71" s="360">
        <v>0</v>
      </c>
      <c r="F71">
        <v>0</v>
      </c>
      <c r="G71">
        <v>0</v>
      </c>
      <c r="H71">
        <v>0</v>
      </c>
      <c r="J71">
        <v>0</v>
      </c>
      <c r="K71" s="14">
        <v>-3.8476341248699999</v>
      </c>
      <c r="L71">
        <v>0</v>
      </c>
      <c r="M71">
        <v>0</v>
      </c>
      <c r="N71">
        <v>0</v>
      </c>
      <c r="O71" s="20"/>
      <c r="P71" s="20"/>
      <c r="Q71" s="436"/>
      <c r="R71" s="197">
        <v>0.15</v>
      </c>
      <c r="S71" s="197">
        <v>1.18</v>
      </c>
      <c r="T71" s="197">
        <v>0.46666666666666673</v>
      </c>
      <c r="U71" s="197">
        <v>0.6566321730950142</v>
      </c>
      <c r="V71" s="20">
        <f t="shared" si="66"/>
        <v>0</v>
      </c>
      <c r="W71" s="20">
        <f t="shared" si="66"/>
        <v>0</v>
      </c>
      <c r="X71" s="20">
        <f t="shared" si="66"/>
        <v>0</v>
      </c>
      <c r="Y71" s="20">
        <f t="shared" si="66"/>
        <v>0</v>
      </c>
      <c r="Z71" s="20">
        <f t="shared" si="67"/>
        <v>0</v>
      </c>
      <c r="AA71" s="20">
        <f t="shared" si="67"/>
        <v>0</v>
      </c>
      <c r="AB71" s="20">
        <f t="shared" si="67"/>
        <v>0</v>
      </c>
      <c r="AC71" s="20">
        <f t="shared" si="67"/>
        <v>0</v>
      </c>
      <c r="AD71" s="20">
        <f t="shared" si="68"/>
        <v>0</v>
      </c>
      <c r="AE71" s="20">
        <f t="shared" si="69"/>
        <v>0</v>
      </c>
      <c r="AF71" s="20">
        <f t="shared" si="69"/>
        <v>0</v>
      </c>
      <c r="AG71" s="20">
        <f t="shared" si="69"/>
        <v>0</v>
      </c>
      <c r="AH71" s="20">
        <f t="shared" si="69"/>
        <v>0</v>
      </c>
      <c r="AI71" s="20">
        <f t="shared" si="70"/>
        <v>0</v>
      </c>
      <c r="AJ71" s="20">
        <f t="shared" si="70"/>
        <v>0</v>
      </c>
      <c r="AK71" s="20">
        <f t="shared" si="70"/>
        <v>0</v>
      </c>
      <c r="AL71" s="20">
        <f t="shared" si="70"/>
        <v>0</v>
      </c>
      <c r="AM71" s="20">
        <f t="shared" si="71"/>
        <v>0</v>
      </c>
      <c r="AO71">
        <f t="shared" si="72"/>
        <v>0</v>
      </c>
      <c r="AP71">
        <f t="shared" si="72"/>
        <v>0</v>
      </c>
      <c r="AQ71">
        <f t="shared" si="72"/>
        <v>0</v>
      </c>
      <c r="AR71">
        <f t="shared" si="72"/>
        <v>0</v>
      </c>
      <c r="AS71">
        <f t="shared" si="73"/>
        <v>0</v>
      </c>
      <c r="AU71">
        <f t="shared" si="74"/>
        <v>0</v>
      </c>
      <c r="AV71">
        <f t="shared" si="74"/>
        <v>0</v>
      </c>
      <c r="AW71">
        <f t="shared" si="74"/>
        <v>0</v>
      </c>
      <c r="AX71">
        <f t="shared" si="74"/>
        <v>0</v>
      </c>
      <c r="AY71">
        <f t="shared" si="75"/>
        <v>0</v>
      </c>
    </row>
    <row r="72" spans="1:53" ht="15" x14ac:dyDescent="0.25">
      <c r="A72" s="7"/>
      <c r="B72" s="8" t="s">
        <v>14</v>
      </c>
      <c r="C72" s="7"/>
      <c r="D72" s="357">
        <f t="shared" ref="D72:H72" si="76">SUM(D66:D71)</f>
        <v>0</v>
      </c>
      <c r="E72" s="363">
        <f>SUM(E66:E71)</f>
        <v>10.2422</v>
      </c>
      <c r="F72" s="357">
        <f t="shared" si="76"/>
        <v>0</v>
      </c>
      <c r="G72" s="357">
        <f t="shared" si="76"/>
        <v>0</v>
      </c>
      <c r="H72" s="357">
        <f t="shared" si="76"/>
        <v>0</v>
      </c>
      <c r="J72">
        <v>0</v>
      </c>
      <c r="K72" s="14">
        <v>-25.539131989483696</v>
      </c>
      <c r="L72">
        <v>0</v>
      </c>
      <c r="M72">
        <v>0</v>
      </c>
      <c r="N72">
        <v>0</v>
      </c>
      <c r="O72" s="20"/>
      <c r="P72" s="20"/>
      <c r="Q72" s="436">
        <v>2.6061184405213558E-2</v>
      </c>
      <c r="R72" s="197"/>
      <c r="S72" s="197"/>
      <c r="T72" s="197"/>
      <c r="U72" s="197"/>
      <c r="BA72" s="319">
        <f>(E72*10000*Q72*AU$10)</f>
        <v>2705.2733506443192</v>
      </c>
    </row>
    <row r="73" spans="1:53" ht="15" x14ac:dyDescent="0.25">
      <c r="A73" s="10"/>
      <c r="B73" s="9" t="s">
        <v>15</v>
      </c>
      <c r="C73" s="5"/>
      <c r="E73" s="363">
        <f>SUM(E72)</f>
        <v>10.2422</v>
      </c>
      <c r="H73" s="358">
        <f>SUM(D72:H72)</f>
        <v>10.2422</v>
      </c>
      <c r="K73" s="14"/>
      <c r="N73">
        <v>0</v>
      </c>
      <c r="O73" s="20"/>
      <c r="P73" s="20"/>
      <c r="Q73" s="436"/>
      <c r="R73" s="197"/>
      <c r="S73" s="197"/>
      <c r="T73" s="197"/>
      <c r="U73" s="197"/>
    </row>
    <row r="74" spans="1:53" ht="15.75" x14ac:dyDescent="0.25">
      <c r="A74" s="1"/>
      <c r="B74" s="2"/>
      <c r="C74" s="1"/>
      <c r="E74" s="361"/>
      <c r="K74" s="14"/>
      <c r="O74" s="20"/>
      <c r="P74" s="20"/>
      <c r="Q74" s="437"/>
      <c r="R74" s="197"/>
      <c r="S74" s="197"/>
      <c r="T74" s="197"/>
      <c r="U74" s="197"/>
    </row>
    <row r="75" spans="1:53" ht="15" x14ac:dyDescent="0.25">
      <c r="A75" s="1">
        <v>8</v>
      </c>
      <c r="B75" s="2" t="s">
        <v>22</v>
      </c>
      <c r="C75" s="1" t="s">
        <v>8</v>
      </c>
      <c r="D75">
        <v>0</v>
      </c>
      <c r="E75" s="360">
        <v>7.4356</v>
      </c>
      <c r="F75">
        <v>0</v>
      </c>
      <c r="G75">
        <v>0</v>
      </c>
      <c r="H75">
        <v>0</v>
      </c>
      <c r="J75">
        <v>0</v>
      </c>
      <c r="K75">
        <v>0</v>
      </c>
      <c r="L75">
        <v>0</v>
      </c>
      <c r="M75">
        <v>0</v>
      </c>
      <c r="N75">
        <v>0</v>
      </c>
      <c r="O75" s="20"/>
      <c r="P75" s="20"/>
      <c r="Q75" s="436">
        <v>2.1020310572391097E-2</v>
      </c>
      <c r="R75" s="197">
        <v>5.6499999999999995E-2</v>
      </c>
      <c r="S75" s="197">
        <v>1.25</v>
      </c>
      <c r="T75" s="197">
        <v>0.50078889239507718</v>
      </c>
      <c r="U75" s="197">
        <v>0.75268470790377973</v>
      </c>
      <c r="V75" s="20">
        <f t="shared" ref="V75:Y80" si="77">IF(K75&gt;0,((E75-K75)*$Q75*$R75*10)+(K75*$O$12*$Q75*$R75*10),(E75*$Q75*$R75*10))</f>
        <v>8.8308721030020243E-2</v>
      </c>
      <c r="W75" s="20">
        <f t="shared" si="77"/>
        <v>0</v>
      </c>
      <c r="X75" s="20">
        <f t="shared" si="77"/>
        <v>0</v>
      </c>
      <c r="Y75" s="20">
        <f t="shared" si="77"/>
        <v>0</v>
      </c>
      <c r="Z75" s="20">
        <f t="shared" ref="Z75:AC80" si="78">V75*(EXP(1.01-0.34*LN(Z$8))*(1-$T75)+(1*$T75))</f>
        <v>5.2269604961796605E-2</v>
      </c>
      <c r="AA75" s="20">
        <f t="shared" si="78"/>
        <v>0</v>
      </c>
      <c r="AB75" s="20">
        <f t="shared" si="78"/>
        <v>0</v>
      </c>
      <c r="AC75" s="20">
        <f t="shared" si="78"/>
        <v>0</v>
      </c>
      <c r="AD75" s="20">
        <f t="shared" ref="AD75:AD80" si="79">SUM(Z75:AC75)</f>
        <v>5.2269604961796605E-2</v>
      </c>
      <c r="AE75" s="20">
        <f t="shared" ref="AE75:AH80" si="80">IF(K75&gt;0,((E75-K75)*$Q75*$S75*10)+(K75*$P$12*$Q75*$S75)*10,(E75*$Q75*$S75*10))</f>
        <v>1.9537327661508903</v>
      </c>
      <c r="AF75" s="20">
        <f t="shared" si="80"/>
        <v>0</v>
      </c>
      <c r="AG75" s="20">
        <f t="shared" si="80"/>
        <v>0</v>
      </c>
      <c r="AH75" s="20">
        <f t="shared" si="80"/>
        <v>0</v>
      </c>
      <c r="AI75" s="20">
        <f t="shared" ref="AI75:AL80" si="81">AE75*(EXP(1.01-0.34*LN(AI$8))*(1-$U75)+(1*$U75))</f>
        <v>1.5587279176991289</v>
      </c>
      <c r="AJ75" s="20">
        <f t="shared" si="81"/>
        <v>0</v>
      </c>
      <c r="AK75" s="20">
        <f t="shared" si="81"/>
        <v>0</v>
      </c>
      <c r="AL75" s="20">
        <f t="shared" si="81"/>
        <v>0</v>
      </c>
      <c r="AM75" s="20">
        <f t="shared" ref="AM75:AM80" si="82">SUM(AI75:AL75)</f>
        <v>1.5587279176991289</v>
      </c>
      <c r="AO75">
        <f t="shared" ref="AO75:AR80" si="83">Z75*AO$10</f>
        <v>5.2975244628780865E-2</v>
      </c>
      <c r="AP75">
        <f t="shared" si="83"/>
        <v>0</v>
      </c>
      <c r="AQ75">
        <f t="shared" si="83"/>
        <v>0</v>
      </c>
      <c r="AR75">
        <f t="shared" si="83"/>
        <v>0</v>
      </c>
      <c r="AS75">
        <f t="shared" ref="AS75:AS80" si="84">SUM(AO75:AR75)</f>
        <v>5.2975244628780865E-2</v>
      </c>
      <c r="AU75">
        <f t="shared" ref="AU75:AX80" si="85">AI75*AU$10</f>
        <v>1.5797707445880673</v>
      </c>
      <c r="AV75">
        <f t="shared" si="85"/>
        <v>0</v>
      </c>
      <c r="AW75">
        <f t="shared" si="85"/>
        <v>0</v>
      </c>
      <c r="AX75">
        <f t="shared" si="85"/>
        <v>0</v>
      </c>
      <c r="AY75">
        <f t="shared" ref="AY75:AY80" si="86">SUM(AU75:AX75)</f>
        <v>1.5797707445880673</v>
      </c>
    </row>
    <row r="76" spans="1:53" ht="15" x14ac:dyDescent="0.25">
      <c r="A76" s="1"/>
      <c r="B76" s="2"/>
      <c r="C76" s="1" t="s">
        <v>9</v>
      </c>
      <c r="D76">
        <v>0</v>
      </c>
      <c r="E76" s="360">
        <v>0</v>
      </c>
      <c r="F76">
        <v>0</v>
      </c>
      <c r="G76">
        <v>0</v>
      </c>
      <c r="H76">
        <v>0</v>
      </c>
      <c r="J76">
        <v>0</v>
      </c>
      <c r="K76">
        <v>0</v>
      </c>
      <c r="L76">
        <v>0</v>
      </c>
      <c r="M76">
        <v>0</v>
      </c>
      <c r="N76">
        <v>0</v>
      </c>
      <c r="O76" s="20"/>
      <c r="P76" s="20"/>
      <c r="Q76" s="436"/>
      <c r="R76" s="197">
        <v>5.6499999999999995E-2</v>
      </c>
      <c r="S76" s="197">
        <v>1.25</v>
      </c>
      <c r="T76" s="197">
        <v>0.50078889239507718</v>
      </c>
      <c r="U76" s="197">
        <v>0.75268470790377973</v>
      </c>
      <c r="V76" s="20">
        <f t="shared" si="77"/>
        <v>0</v>
      </c>
      <c r="W76" s="20">
        <f t="shared" si="77"/>
        <v>0</v>
      </c>
      <c r="X76" s="20">
        <f t="shared" si="77"/>
        <v>0</v>
      </c>
      <c r="Y76" s="20">
        <f t="shared" si="77"/>
        <v>0</v>
      </c>
      <c r="Z76" s="20">
        <f t="shared" si="78"/>
        <v>0</v>
      </c>
      <c r="AA76" s="20">
        <f t="shared" si="78"/>
        <v>0</v>
      </c>
      <c r="AB76" s="20">
        <f t="shared" si="78"/>
        <v>0</v>
      </c>
      <c r="AC76" s="20">
        <f t="shared" si="78"/>
        <v>0</v>
      </c>
      <c r="AD76" s="20">
        <f t="shared" si="79"/>
        <v>0</v>
      </c>
      <c r="AE76" s="20">
        <f t="shared" si="80"/>
        <v>0</v>
      </c>
      <c r="AF76" s="20">
        <f t="shared" si="80"/>
        <v>0</v>
      </c>
      <c r="AG76" s="20">
        <f t="shared" si="80"/>
        <v>0</v>
      </c>
      <c r="AH76" s="20">
        <f t="shared" si="80"/>
        <v>0</v>
      </c>
      <c r="AI76" s="20">
        <f t="shared" si="81"/>
        <v>0</v>
      </c>
      <c r="AJ76" s="20">
        <f t="shared" si="81"/>
        <v>0</v>
      </c>
      <c r="AK76" s="20">
        <f t="shared" si="81"/>
        <v>0</v>
      </c>
      <c r="AL76" s="20">
        <f t="shared" si="81"/>
        <v>0</v>
      </c>
      <c r="AM76" s="20">
        <f t="shared" si="82"/>
        <v>0</v>
      </c>
      <c r="AO76">
        <f t="shared" si="83"/>
        <v>0</v>
      </c>
      <c r="AP76">
        <f t="shared" si="83"/>
        <v>0</v>
      </c>
      <c r="AQ76">
        <f t="shared" si="83"/>
        <v>0</v>
      </c>
      <c r="AR76">
        <f t="shared" si="83"/>
        <v>0</v>
      </c>
      <c r="AS76">
        <f t="shared" si="84"/>
        <v>0</v>
      </c>
      <c r="AU76">
        <f t="shared" si="85"/>
        <v>0</v>
      </c>
      <c r="AV76">
        <f t="shared" si="85"/>
        <v>0</v>
      </c>
      <c r="AW76">
        <f t="shared" si="85"/>
        <v>0</v>
      </c>
      <c r="AX76">
        <f t="shared" si="85"/>
        <v>0</v>
      </c>
      <c r="AY76">
        <f t="shared" si="86"/>
        <v>0</v>
      </c>
    </row>
    <row r="77" spans="1:53" ht="15" x14ac:dyDescent="0.25">
      <c r="A77" s="1"/>
      <c r="B77" s="2"/>
      <c r="C77" s="1" t="s">
        <v>10</v>
      </c>
      <c r="D77">
        <v>0</v>
      </c>
      <c r="E77" s="360">
        <v>0</v>
      </c>
      <c r="F77">
        <v>0</v>
      </c>
      <c r="G77">
        <v>0</v>
      </c>
      <c r="H77">
        <v>0</v>
      </c>
      <c r="J77">
        <v>0</v>
      </c>
      <c r="K77">
        <v>0</v>
      </c>
      <c r="L77">
        <v>0</v>
      </c>
      <c r="M77">
        <v>0</v>
      </c>
      <c r="N77">
        <v>0</v>
      </c>
      <c r="O77" s="20"/>
      <c r="P77" s="20"/>
      <c r="Q77" s="436"/>
      <c r="R77" s="197">
        <v>5.6499999999999995E-2</v>
      </c>
      <c r="S77" s="197">
        <v>1.25</v>
      </c>
      <c r="T77" s="197">
        <v>0.50078889239507718</v>
      </c>
      <c r="U77" s="197">
        <v>0.75268470790377973</v>
      </c>
      <c r="V77" s="20">
        <f t="shared" si="77"/>
        <v>0</v>
      </c>
      <c r="W77" s="20">
        <f t="shared" si="77"/>
        <v>0</v>
      </c>
      <c r="X77" s="20">
        <f t="shared" si="77"/>
        <v>0</v>
      </c>
      <c r="Y77" s="20">
        <f t="shared" si="77"/>
        <v>0</v>
      </c>
      <c r="Z77" s="20">
        <f t="shared" si="78"/>
        <v>0</v>
      </c>
      <c r="AA77" s="20">
        <f t="shared" si="78"/>
        <v>0</v>
      </c>
      <c r="AB77" s="20">
        <f t="shared" si="78"/>
        <v>0</v>
      </c>
      <c r="AC77" s="20">
        <f t="shared" si="78"/>
        <v>0</v>
      </c>
      <c r="AD77" s="20">
        <f t="shared" si="79"/>
        <v>0</v>
      </c>
      <c r="AE77" s="20">
        <f t="shared" si="80"/>
        <v>0</v>
      </c>
      <c r="AF77" s="20">
        <f t="shared" si="80"/>
        <v>0</v>
      </c>
      <c r="AG77" s="20">
        <f t="shared" si="80"/>
        <v>0</v>
      </c>
      <c r="AH77" s="20">
        <f t="shared" si="80"/>
        <v>0</v>
      </c>
      <c r="AI77" s="20">
        <f t="shared" si="81"/>
        <v>0</v>
      </c>
      <c r="AJ77" s="20">
        <f t="shared" si="81"/>
        <v>0</v>
      </c>
      <c r="AK77" s="20">
        <f t="shared" si="81"/>
        <v>0</v>
      </c>
      <c r="AL77" s="20">
        <f t="shared" si="81"/>
        <v>0</v>
      </c>
      <c r="AM77" s="20">
        <f t="shared" si="82"/>
        <v>0</v>
      </c>
      <c r="AO77">
        <f t="shared" si="83"/>
        <v>0</v>
      </c>
      <c r="AP77">
        <f t="shared" si="83"/>
        <v>0</v>
      </c>
      <c r="AQ77">
        <f t="shared" si="83"/>
        <v>0</v>
      </c>
      <c r="AR77">
        <f t="shared" si="83"/>
        <v>0</v>
      </c>
      <c r="AS77">
        <f t="shared" si="84"/>
        <v>0</v>
      </c>
      <c r="AU77">
        <f t="shared" si="85"/>
        <v>0</v>
      </c>
      <c r="AV77">
        <f t="shared" si="85"/>
        <v>0</v>
      </c>
      <c r="AW77">
        <f t="shared" si="85"/>
        <v>0</v>
      </c>
      <c r="AX77">
        <f t="shared" si="85"/>
        <v>0</v>
      </c>
      <c r="AY77">
        <f t="shared" si="86"/>
        <v>0</v>
      </c>
    </row>
    <row r="78" spans="1:53" ht="15" x14ac:dyDescent="0.25">
      <c r="A78" s="1"/>
      <c r="B78" s="2"/>
      <c r="C78" s="1" t="s">
        <v>11</v>
      </c>
      <c r="D78">
        <v>0</v>
      </c>
      <c r="E78" s="360">
        <v>0.4214</v>
      </c>
      <c r="F78">
        <v>0</v>
      </c>
      <c r="G78">
        <v>0</v>
      </c>
      <c r="H78">
        <v>0</v>
      </c>
      <c r="J78">
        <v>0</v>
      </c>
      <c r="K78">
        <v>0</v>
      </c>
      <c r="L78">
        <v>0</v>
      </c>
      <c r="M78">
        <v>0</v>
      </c>
      <c r="N78">
        <v>0</v>
      </c>
      <c r="O78" s="20"/>
      <c r="P78" s="20"/>
      <c r="Q78" s="436">
        <v>5.708124228956437E-2</v>
      </c>
      <c r="R78" s="197">
        <v>5.6499999999999995E-2</v>
      </c>
      <c r="S78" s="197">
        <v>1.25</v>
      </c>
      <c r="T78" s="197">
        <v>0.50078889239507718</v>
      </c>
      <c r="U78" s="197">
        <v>0.75268470790377973</v>
      </c>
      <c r="V78" s="20">
        <f t="shared" si="77"/>
        <v>1.3590530057964671E-2</v>
      </c>
      <c r="W78" s="20">
        <f t="shared" si="77"/>
        <v>0</v>
      </c>
      <c r="X78" s="20">
        <f t="shared" si="77"/>
        <v>0</v>
      </c>
      <c r="Y78" s="20">
        <f t="shared" si="77"/>
        <v>0</v>
      </c>
      <c r="Z78" s="20">
        <f t="shared" si="78"/>
        <v>8.0441844142408962E-3</v>
      </c>
      <c r="AA78" s="20">
        <f t="shared" si="78"/>
        <v>0</v>
      </c>
      <c r="AB78" s="20">
        <f t="shared" si="78"/>
        <v>0</v>
      </c>
      <c r="AC78" s="20">
        <f t="shared" si="78"/>
        <v>0</v>
      </c>
      <c r="AD78" s="20">
        <f t="shared" si="79"/>
        <v>8.0441844142408962E-3</v>
      </c>
      <c r="AE78" s="20">
        <f t="shared" si="80"/>
        <v>0.30067544376028033</v>
      </c>
      <c r="AF78" s="20">
        <f t="shared" si="80"/>
        <v>0</v>
      </c>
      <c r="AG78" s="20">
        <f t="shared" si="80"/>
        <v>0</v>
      </c>
      <c r="AH78" s="20">
        <f t="shared" si="80"/>
        <v>0</v>
      </c>
      <c r="AI78" s="20">
        <f t="shared" si="81"/>
        <v>0.23988501215499752</v>
      </c>
      <c r="AJ78" s="20">
        <f t="shared" si="81"/>
        <v>0</v>
      </c>
      <c r="AK78" s="20">
        <f t="shared" si="81"/>
        <v>0</v>
      </c>
      <c r="AL78" s="20">
        <f t="shared" si="81"/>
        <v>0</v>
      </c>
      <c r="AM78" s="20">
        <f t="shared" si="82"/>
        <v>0.23988501215499752</v>
      </c>
      <c r="AO78">
        <f t="shared" si="83"/>
        <v>8.152780903833149E-3</v>
      </c>
      <c r="AP78">
        <f t="shared" si="83"/>
        <v>0</v>
      </c>
      <c r="AQ78">
        <f t="shared" si="83"/>
        <v>0</v>
      </c>
      <c r="AR78">
        <f t="shared" si="83"/>
        <v>0</v>
      </c>
      <c r="AS78">
        <f t="shared" si="84"/>
        <v>8.152780903833149E-3</v>
      </c>
      <c r="AU78">
        <f t="shared" si="85"/>
        <v>0.24312345981909</v>
      </c>
      <c r="AV78">
        <f t="shared" si="85"/>
        <v>0</v>
      </c>
      <c r="AW78">
        <f t="shared" si="85"/>
        <v>0</v>
      </c>
      <c r="AX78">
        <f t="shared" si="85"/>
        <v>0</v>
      </c>
      <c r="AY78">
        <f t="shared" si="86"/>
        <v>0.24312345981909</v>
      </c>
    </row>
    <row r="79" spans="1:53" ht="15" x14ac:dyDescent="0.25">
      <c r="A79" s="1"/>
      <c r="B79" s="13"/>
      <c r="C79" s="1" t="s">
        <v>12</v>
      </c>
      <c r="D79">
        <v>0</v>
      </c>
      <c r="E79" s="360">
        <v>0</v>
      </c>
      <c r="F79">
        <v>0</v>
      </c>
      <c r="G79">
        <v>0</v>
      </c>
      <c r="H79">
        <v>0</v>
      </c>
      <c r="J79">
        <v>0</v>
      </c>
      <c r="K79">
        <v>0</v>
      </c>
      <c r="L79">
        <v>0</v>
      </c>
      <c r="M79">
        <v>0</v>
      </c>
      <c r="N79">
        <v>0</v>
      </c>
      <c r="O79" s="20"/>
      <c r="P79" s="20"/>
      <c r="Q79" s="436"/>
      <c r="R79" s="197">
        <v>5.6499999999999995E-2</v>
      </c>
      <c r="S79" s="197">
        <v>1.25</v>
      </c>
      <c r="T79" s="197">
        <v>0.50078889239507718</v>
      </c>
      <c r="U79" s="197">
        <v>0.75268470790377973</v>
      </c>
      <c r="V79" s="20">
        <f t="shared" si="77"/>
        <v>0</v>
      </c>
      <c r="W79" s="20">
        <f t="shared" si="77"/>
        <v>0</v>
      </c>
      <c r="X79" s="20">
        <f t="shared" si="77"/>
        <v>0</v>
      </c>
      <c r="Y79" s="20">
        <f t="shared" si="77"/>
        <v>0</v>
      </c>
      <c r="Z79" s="20">
        <f t="shared" si="78"/>
        <v>0</v>
      </c>
      <c r="AA79" s="20">
        <f t="shared" si="78"/>
        <v>0</v>
      </c>
      <c r="AB79" s="20">
        <f t="shared" si="78"/>
        <v>0</v>
      </c>
      <c r="AC79" s="20">
        <f t="shared" si="78"/>
        <v>0</v>
      </c>
      <c r="AD79" s="20">
        <f t="shared" si="79"/>
        <v>0</v>
      </c>
      <c r="AE79" s="20">
        <f t="shared" si="80"/>
        <v>0</v>
      </c>
      <c r="AF79" s="20">
        <f t="shared" si="80"/>
        <v>0</v>
      </c>
      <c r="AG79" s="20">
        <f t="shared" si="80"/>
        <v>0</v>
      </c>
      <c r="AH79" s="20">
        <f t="shared" si="80"/>
        <v>0</v>
      </c>
      <c r="AI79" s="20">
        <f t="shared" si="81"/>
        <v>0</v>
      </c>
      <c r="AJ79" s="20">
        <f t="shared" si="81"/>
        <v>0</v>
      </c>
      <c r="AK79" s="20">
        <f t="shared" si="81"/>
        <v>0</v>
      </c>
      <c r="AL79" s="20">
        <f t="shared" si="81"/>
        <v>0</v>
      </c>
      <c r="AM79" s="20">
        <f t="shared" si="82"/>
        <v>0</v>
      </c>
      <c r="AO79">
        <f t="shared" si="83"/>
        <v>0</v>
      </c>
      <c r="AP79">
        <f t="shared" si="83"/>
        <v>0</v>
      </c>
      <c r="AQ79">
        <f t="shared" si="83"/>
        <v>0</v>
      </c>
      <c r="AR79">
        <f t="shared" si="83"/>
        <v>0</v>
      </c>
      <c r="AS79">
        <f t="shared" si="84"/>
        <v>0</v>
      </c>
      <c r="AU79">
        <f t="shared" si="85"/>
        <v>0</v>
      </c>
      <c r="AV79">
        <f t="shared" si="85"/>
        <v>0</v>
      </c>
      <c r="AW79">
        <f t="shared" si="85"/>
        <v>0</v>
      </c>
      <c r="AX79">
        <f t="shared" si="85"/>
        <v>0</v>
      </c>
      <c r="AY79">
        <f t="shared" si="86"/>
        <v>0</v>
      </c>
    </row>
    <row r="80" spans="1:53" ht="15" x14ac:dyDescent="0.25">
      <c r="A80" s="1"/>
      <c r="B80" s="13"/>
      <c r="C80" s="1" t="s">
        <v>13</v>
      </c>
      <c r="D80">
        <v>0</v>
      </c>
      <c r="E80" s="360">
        <v>0</v>
      </c>
      <c r="F80">
        <v>0</v>
      </c>
      <c r="G80">
        <v>0</v>
      </c>
      <c r="H80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20"/>
      <c r="P80" s="20"/>
      <c r="Q80" s="436"/>
      <c r="R80" s="197">
        <v>5.6499999999999995E-2</v>
      </c>
      <c r="S80" s="197">
        <v>1.25</v>
      </c>
      <c r="T80" s="197">
        <v>0.50078889239507718</v>
      </c>
      <c r="U80" s="197">
        <v>0.75268470790377973</v>
      </c>
      <c r="V80" s="20">
        <f t="shared" si="77"/>
        <v>0</v>
      </c>
      <c r="W80" s="20">
        <f t="shared" si="77"/>
        <v>0</v>
      </c>
      <c r="X80" s="20">
        <f t="shared" si="77"/>
        <v>0</v>
      </c>
      <c r="Y80" s="20">
        <f t="shared" si="77"/>
        <v>0</v>
      </c>
      <c r="Z80" s="20">
        <f t="shared" si="78"/>
        <v>0</v>
      </c>
      <c r="AA80" s="20">
        <f t="shared" si="78"/>
        <v>0</v>
      </c>
      <c r="AB80" s="20">
        <f t="shared" si="78"/>
        <v>0</v>
      </c>
      <c r="AC80" s="20">
        <f t="shared" si="78"/>
        <v>0</v>
      </c>
      <c r="AD80" s="20">
        <f t="shared" si="79"/>
        <v>0</v>
      </c>
      <c r="AE80" s="20">
        <f t="shared" si="80"/>
        <v>0</v>
      </c>
      <c r="AF80" s="20">
        <f t="shared" si="80"/>
        <v>0</v>
      </c>
      <c r="AG80" s="20">
        <f t="shared" si="80"/>
        <v>0</v>
      </c>
      <c r="AH80" s="20">
        <f t="shared" si="80"/>
        <v>0</v>
      </c>
      <c r="AI80" s="20">
        <f t="shared" si="81"/>
        <v>0</v>
      </c>
      <c r="AJ80" s="20">
        <f t="shared" si="81"/>
        <v>0</v>
      </c>
      <c r="AK80" s="20">
        <f t="shared" si="81"/>
        <v>0</v>
      </c>
      <c r="AL80" s="20">
        <f t="shared" si="81"/>
        <v>0</v>
      </c>
      <c r="AM80" s="20">
        <f t="shared" si="82"/>
        <v>0</v>
      </c>
      <c r="AO80">
        <f t="shared" si="83"/>
        <v>0</v>
      </c>
      <c r="AP80">
        <f t="shared" si="83"/>
        <v>0</v>
      </c>
      <c r="AQ80">
        <f t="shared" si="83"/>
        <v>0</v>
      </c>
      <c r="AR80">
        <f t="shared" si="83"/>
        <v>0</v>
      </c>
      <c r="AS80">
        <f t="shared" si="84"/>
        <v>0</v>
      </c>
      <c r="AU80">
        <f t="shared" si="85"/>
        <v>0</v>
      </c>
      <c r="AV80">
        <f t="shared" si="85"/>
        <v>0</v>
      </c>
      <c r="AW80">
        <f t="shared" si="85"/>
        <v>0</v>
      </c>
      <c r="AX80">
        <f t="shared" si="85"/>
        <v>0</v>
      </c>
      <c r="AY80">
        <f t="shared" si="86"/>
        <v>0</v>
      </c>
    </row>
    <row r="81" spans="1:53" ht="15" x14ac:dyDescent="0.25">
      <c r="A81" s="7"/>
      <c r="B81" s="8" t="s">
        <v>14</v>
      </c>
      <c r="C81" s="7"/>
      <c r="D81" s="357">
        <f t="shared" ref="D81:H81" si="87">SUM(D75:D80)</f>
        <v>0</v>
      </c>
      <c r="E81" s="363">
        <f>SUM(E75:E80)</f>
        <v>7.8570000000000002</v>
      </c>
      <c r="F81" s="357">
        <f t="shared" si="87"/>
        <v>0</v>
      </c>
      <c r="G81" s="357">
        <f t="shared" si="87"/>
        <v>0</v>
      </c>
      <c r="H81" s="357">
        <f t="shared" si="87"/>
        <v>0</v>
      </c>
      <c r="J81">
        <v>0</v>
      </c>
      <c r="K81">
        <v>0</v>
      </c>
      <c r="L81">
        <v>0</v>
      </c>
      <c r="M81">
        <v>0</v>
      </c>
      <c r="N81">
        <v>0</v>
      </c>
      <c r="O81" s="20"/>
      <c r="P81" s="20"/>
      <c r="Q81" s="436">
        <v>2.2954391853492889E-2</v>
      </c>
      <c r="R81" s="197"/>
      <c r="S81" s="197"/>
      <c r="T81" s="197"/>
      <c r="U81" s="197"/>
      <c r="BA81" s="319">
        <f>(E81*10000*Q81*AU$10)</f>
        <v>1827.8741765959769</v>
      </c>
    </row>
    <row r="82" spans="1:53" ht="15" x14ac:dyDescent="0.25">
      <c r="A82" s="10"/>
      <c r="B82" s="9" t="s">
        <v>15</v>
      </c>
      <c r="C82" s="5"/>
      <c r="E82" s="363">
        <f>SUM(E81)</f>
        <v>7.8570000000000002</v>
      </c>
      <c r="H82" s="358">
        <f>SUM(D81:H81)</f>
        <v>7.8570000000000002</v>
      </c>
      <c r="K82" s="14"/>
      <c r="N82">
        <v>0</v>
      </c>
      <c r="O82" s="20"/>
      <c r="P82" s="20"/>
      <c r="Q82" s="436"/>
      <c r="R82" s="197"/>
      <c r="S82" s="197"/>
      <c r="T82" s="197"/>
      <c r="U82" s="197"/>
    </row>
    <row r="83" spans="1:53" ht="15.75" x14ac:dyDescent="0.25">
      <c r="A83" s="1"/>
      <c r="B83" s="2"/>
      <c r="C83" s="1"/>
      <c r="E83" s="361"/>
      <c r="K83" s="14"/>
      <c r="O83" s="20"/>
      <c r="P83" s="20"/>
      <c r="Q83" s="437"/>
      <c r="R83" s="197"/>
      <c r="S83" s="197"/>
      <c r="T83" s="197"/>
      <c r="U83" s="197"/>
    </row>
    <row r="84" spans="1:53" ht="15" x14ac:dyDescent="0.25">
      <c r="A84" s="1">
        <v>9</v>
      </c>
      <c r="B84" s="2" t="s">
        <v>23</v>
      </c>
      <c r="C84" s="1" t="s">
        <v>8</v>
      </c>
      <c r="D84">
        <v>0</v>
      </c>
      <c r="E84" s="360">
        <v>112.6026</v>
      </c>
      <c r="F84">
        <v>0</v>
      </c>
      <c r="G84">
        <v>0</v>
      </c>
      <c r="H84">
        <v>0</v>
      </c>
      <c r="J84">
        <v>0</v>
      </c>
      <c r="K84">
        <v>0</v>
      </c>
      <c r="L84">
        <v>0</v>
      </c>
      <c r="M84">
        <v>0</v>
      </c>
      <c r="N84">
        <v>0</v>
      </c>
      <c r="O84" s="20"/>
      <c r="P84" s="20"/>
      <c r="Q84" s="436">
        <v>2.1020310572391093E-2</v>
      </c>
      <c r="R84" s="197">
        <v>0.38700000000000001</v>
      </c>
      <c r="S84" s="197">
        <v>2.48</v>
      </c>
      <c r="T84" s="197">
        <v>0.72182006204756977</v>
      </c>
      <c r="U84" s="197">
        <v>0.90789473684210531</v>
      </c>
      <c r="V84" s="20">
        <f t="shared" ref="V84:Y89" si="88">IF(K84&gt;0,((E84-K84)*$Q84*$R84*10)+(K84*$O$12*$Q84*$R84*10),(E84*$Q84*$R84*10))</f>
        <v>9.1600640820112673</v>
      </c>
      <c r="W84" s="20">
        <f t="shared" si="88"/>
        <v>0</v>
      </c>
      <c r="X84" s="20">
        <f t="shared" si="88"/>
        <v>0</v>
      </c>
      <c r="Y84" s="20">
        <f t="shared" si="88"/>
        <v>0</v>
      </c>
      <c r="Z84" s="20">
        <f t="shared" ref="Z84:AC89" si="89">V84*(EXP(1.01-0.34*LN(Z$8))*(1-$T84)+(1*$T84))</f>
        <v>7.0769617101836015</v>
      </c>
      <c r="AA84" s="20">
        <f t="shared" si="89"/>
        <v>0</v>
      </c>
      <c r="AB84" s="20">
        <f t="shared" si="89"/>
        <v>0</v>
      </c>
      <c r="AC84" s="20">
        <f t="shared" si="89"/>
        <v>0</v>
      </c>
      <c r="AD84" s="20">
        <f t="shared" ref="AD84:AD89" si="90">SUM(Z84:AC84)</f>
        <v>7.0769617101836015</v>
      </c>
      <c r="AE84" s="20">
        <f t="shared" ref="AE84:AH89" si="91">IF(K84&gt;0,((E84-K84)*$Q84*$S84*10)+(K84*$P$12*$Q84*$S84)*10,(E84*$Q84*$S84*10))</f>
        <v>58.700152256816381</v>
      </c>
      <c r="AF84" s="20">
        <f t="shared" si="91"/>
        <v>0</v>
      </c>
      <c r="AG84" s="20">
        <f t="shared" si="91"/>
        <v>0</v>
      </c>
      <c r="AH84" s="20">
        <f t="shared" si="91"/>
        <v>0</v>
      </c>
      <c r="AI84" s="20">
        <f t="shared" ref="AI84:AL89" si="92">AE84*(EXP(1.01-0.34*LN(AI$8))*(1-$U84)+(1*$U84))</f>
        <v>54.280277420286112</v>
      </c>
      <c r="AJ84" s="20">
        <f t="shared" si="92"/>
        <v>0</v>
      </c>
      <c r="AK84" s="20">
        <f t="shared" si="92"/>
        <v>0</v>
      </c>
      <c r="AL84" s="20">
        <f t="shared" si="92"/>
        <v>0</v>
      </c>
      <c r="AM84" s="20">
        <f t="shared" ref="AM84:AM89" si="93">SUM(AI84:AL84)</f>
        <v>54.280277420286112</v>
      </c>
      <c r="AO84">
        <f t="shared" ref="AO84:AR89" si="94">Z84*AO$10</f>
        <v>7.1725006932710809</v>
      </c>
      <c r="AP84">
        <f t="shared" si="94"/>
        <v>0</v>
      </c>
      <c r="AQ84">
        <f t="shared" si="94"/>
        <v>0</v>
      </c>
      <c r="AR84">
        <f t="shared" si="94"/>
        <v>0</v>
      </c>
      <c r="AS84">
        <f t="shared" ref="AS84:AS89" si="95">SUM(AO84:AR84)</f>
        <v>7.1725006932710809</v>
      </c>
      <c r="AU84">
        <f t="shared" ref="AU84:AX89" si="96">AI84*AU$10</f>
        <v>55.01306116545998</v>
      </c>
      <c r="AV84">
        <f t="shared" si="96"/>
        <v>0</v>
      </c>
      <c r="AW84">
        <f t="shared" si="96"/>
        <v>0</v>
      </c>
      <c r="AX84">
        <f t="shared" si="96"/>
        <v>0</v>
      </c>
      <c r="AY84">
        <f t="shared" ref="AY84:AY89" si="97">SUM(AU84:AX84)</f>
        <v>55.01306116545998</v>
      </c>
    </row>
    <row r="85" spans="1:53" ht="15" x14ac:dyDescent="0.25">
      <c r="A85" s="1"/>
      <c r="B85" s="2"/>
      <c r="C85" s="1" t="s">
        <v>9</v>
      </c>
      <c r="D85">
        <v>0</v>
      </c>
      <c r="E85" s="360">
        <v>16.2562</v>
      </c>
      <c r="F85">
        <v>0</v>
      </c>
      <c r="G85">
        <v>0</v>
      </c>
      <c r="H85">
        <v>0</v>
      </c>
      <c r="J85">
        <v>0</v>
      </c>
      <c r="K85">
        <v>0</v>
      </c>
      <c r="L85">
        <v>0</v>
      </c>
      <c r="M85">
        <v>0</v>
      </c>
      <c r="N85">
        <v>0</v>
      </c>
      <c r="O85" s="20"/>
      <c r="P85" s="20"/>
      <c r="Q85" s="436">
        <v>3.3040621144782185E-2</v>
      </c>
      <c r="R85" s="197">
        <v>0.38700000000000001</v>
      </c>
      <c r="S85" s="197">
        <v>2.48</v>
      </c>
      <c r="T85" s="197">
        <v>0.72182006204756977</v>
      </c>
      <c r="U85" s="197">
        <v>0.90789473684210531</v>
      </c>
      <c r="V85" s="20">
        <f t="shared" si="88"/>
        <v>2.0786348389062375</v>
      </c>
      <c r="W85" s="20">
        <f t="shared" si="88"/>
        <v>0</v>
      </c>
      <c r="X85" s="20">
        <f t="shared" si="88"/>
        <v>0</v>
      </c>
      <c r="Y85" s="20">
        <f t="shared" si="88"/>
        <v>0</v>
      </c>
      <c r="Z85" s="20">
        <f t="shared" si="89"/>
        <v>1.6059297219635988</v>
      </c>
      <c r="AA85" s="20">
        <f t="shared" si="89"/>
        <v>0</v>
      </c>
      <c r="AB85" s="20">
        <f t="shared" si="89"/>
        <v>0</v>
      </c>
      <c r="AC85" s="20">
        <f t="shared" si="89"/>
        <v>0</v>
      </c>
      <c r="AD85" s="20">
        <f t="shared" si="90"/>
        <v>1.6059297219635988</v>
      </c>
      <c r="AE85" s="20">
        <f t="shared" si="91"/>
        <v>13.32045064725444</v>
      </c>
      <c r="AF85" s="20">
        <f t="shared" si="91"/>
        <v>0</v>
      </c>
      <c r="AG85" s="20">
        <f t="shared" si="91"/>
        <v>0</v>
      </c>
      <c r="AH85" s="20">
        <f t="shared" si="91"/>
        <v>0</v>
      </c>
      <c r="AI85" s="20">
        <f t="shared" si="92"/>
        <v>12.317476679325649</v>
      </c>
      <c r="AJ85" s="20">
        <f t="shared" si="92"/>
        <v>0</v>
      </c>
      <c r="AK85" s="20">
        <f t="shared" si="92"/>
        <v>0</v>
      </c>
      <c r="AL85" s="20">
        <f t="shared" si="92"/>
        <v>0</v>
      </c>
      <c r="AM85" s="20">
        <f t="shared" si="93"/>
        <v>12.317476679325649</v>
      </c>
      <c r="AO85">
        <f t="shared" si="94"/>
        <v>1.6276097732101076</v>
      </c>
      <c r="AP85">
        <f t="shared" si="94"/>
        <v>0</v>
      </c>
      <c r="AQ85">
        <f t="shared" si="94"/>
        <v>0</v>
      </c>
      <c r="AR85">
        <f t="shared" si="94"/>
        <v>0</v>
      </c>
      <c r="AS85">
        <f t="shared" si="95"/>
        <v>1.6276097732101076</v>
      </c>
      <c r="AU85">
        <f t="shared" si="96"/>
        <v>12.483762614496547</v>
      </c>
      <c r="AV85">
        <f t="shared" si="96"/>
        <v>0</v>
      </c>
      <c r="AW85">
        <f t="shared" si="96"/>
        <v>0</v>
      </c>
      <c r="AX85">
        <f t="shared" si="96"/>
        <v>0</v>
      </c>
      <c r="AY85">
        <f t="shared" si="97"/>
        <v>12.483762614496547</v>
      </c>
    </row>
    <row r="86" spans="1:53" ht="15" x14ac:dyDescent="0.25">
      <c r="A86" s="1"/>
      <c r="B86" s="2"/>
      <c r="C86" s="1" t="s">
        <v>10</v>
      </c>
      <c r="D86">
        <v>0</v>
      </c>
      <c r="E86" s="360">
        <v>0.92589999999999995</v>
      </c>
      <c r="F86">
        <v>0</v>
      </c>
      <c r="G86">
        <v>0</v>
      </c>
      <c r="H86">
        <v>0</v>
      </c>
      <c r="J86">
        <v>0</v>
      </c>
      <c r="K86">
        <v>0</v>
      </c>
      <c r="L86">
        <v>0</v>
      </c>
      <c r="M86">
        <v>0</v>
      </c>
      <c r="N86">
        <v>0</v>
      </c>
      <c r="O86" s="20"/>
      <c r="P86" s="20"/>
      <c r="Q86" s="436">
        <v>4.5060931717173271E-2</v>
      </c>
      <c r="R86" s="197">
        <v>0.38700000000000001</v>
      </c>
      <c r="S86" s="197">
        <v>2.48</v>
      </c>
      <c r="T86" s="197">
        <v>0.72182006204756977</v>
      </c>
      <c r="U86" s="197">
        <v>0.90789473684210531</v>
      </c>
      <c r="V86" s="20">
        <f t="shared" si="88"/>
        <v>0.16146381753972194</v>
      </c>
      <c r="W86" s="20">
        <f t="shared" si="88"/>
        <v>0</v>
      </c>
      <c r="X86" s="20">
        <f t="shared" si="88"/>
        <v>0</v>
      </c>
      <c r="Y86" s="20">
        <f t="shared" si="88"/>
        <v>0</v>
      </c>
      <c r="Z86" s="20">
        <f t="shared" si="89"/>
        <v>0.12474511576318448</v>
      </c>
      <c r="AA86" s="20">
        <f t="shared" si="89"/>
        <v>0</v>
      </c>
      <c r="AB86" s="20">
        <f t="shared" si="89"/>
        <v>0</v>
      </c>
      <c r="AC86" s="20">
        <f t="shared" si="89"/>
        <v>0</v>
      </c>
      <c r="AD86" s="20">
        <f t="shared" si="90"/>
        <v>0.12474511576318448</v>
      </c>
      <c r="AE86" s="20">
        <f t="shared" si="91"/>
        <v>1.034703533587882</v>
      </c>
      <c r="AF86" s="20">
        <f t="shared" si="91"/>
        <v>0</v>
      </c>
      <c r="AG86" s="20">
        <f t="shared" si="91"/>
        <v>0</v>
      </c>
      <c r="AH86" s="20">
        <f t="shared" si="91"/>
        <v>0</v>
      </c>
      <c r="AI86" s="20">
        <f t="shared" si="92"/>
        <v>0.95679470481064532</v>
      </c>
      <c r="AJ86" s="20">
        <f t="shared" si="92"/>
        <v>0</v>
      </c>
      <c r="AK86" s="20">
        <f t="shared" si="92"/>
        <v>0</v>
      </c>
      <c r="AL86" s="20">
        <f t="shared" si="92"/>
        <v>0</v>
      </c>
      <c r="AM86" s="20">
        <f t="shared" si="93"/>
        <v>0.95679470481064532</v>
      </c>
      <c r="AO86">
        <f t="shared" si="94"/>
        <v>0.12642917482598748</v>
      </c>
      <c r="AP86">
        <f t="shared" si="94"/>
        <v>0</v>
      </c>
      <c r="AQ86">
        <f t="shared" si="94"/>
        <v>0</v>
      </c>
      <c r="AR86">
        <f t="shared" si="94"/>
        <v>0</v>
      </c>
      <c r="AS86">
        <f t="shared" si="95"/>
        <v>0.12642917482598748</v>
      </c>
      <c r="AU86">
        <f t="shared" si="96"/>
        <v>0.96971143332558907</v>
      </c>
      <c r="AV86">
        <f t="shared" si="96"/>
        <v>0</v>
      </c>
      <c r="AW86">
        <f t="shared" si="96"/>
        <v>0</v>
      </c>
      <c r="AX86">
        <f t="shared" si="96"/>
        <v>0</v>
      </c>
      <c r="AY86">
        <f t="shared" si="97"/>
        <v>0.96971143332558907</v>
      </c>
    </row>
    <row r="87" spans="1:53" ht="15" x14ac:dyDescent="0.25">
      <c r="A87" s="1"/>
      <c r="B87" s="2"/>
      <c r="C87" s="1" t="s">
        <v>11</v>
      </c>
      <c r="D87">
        <v>0</v>
      </c>
      <c r="E87" s="360">
        <v>101.6451</v>
      </c>
      <c r="F87">
        <v>0</v>
      </c>
      <c r="G87">
        <v>0</v>
      </c>
      <c r="H87">
        <v>0</v>
      </c>
      <c r="J87">
        <v>0</v>
      </c>
      <c r="K87">
        <v>0</v>
      </c>
      <c r="L87">
        <v>0</v>
      </c>
      <c r="M87">
        <v>0</v>
      </c>
      <c r="N87">
        <v>0</v>
      </c>
      <c r="O87" s="20"/>
      <c r="P87" s="20"/>
      <c r="Q87" s="436">
        <v>5.7081242289564363E-2</v>
      </c>
      <c r="R87" s="197">
        <v>0.38700000000000001</v>
      </c>
      <c r="S87" s="197">
        <v>2.48</v>
      </c>
      <c r="T87" s="197">
        <v>0.72182006204756977</v>
      </c>
      <c r="U87" s="197">
        <v>0.90789473684210531</v>
      </c>
      <c r="V87" s="20">
        <f t="shared" si="88"/>
        <v>22.453850607103885</v>
      </c>
      <c r="W87" s="20">
        <f t="shared" si="88"/>
        <v>0</v>
      </c>
      <c r="X87" s="20">
        <f t="shared" si="88"/>
        <v>0</v>
      </c>
      <c r="Y87" s="20">
        <f t="shared" si="88"/>
        <v>0</v>
      </c>
      <c r="Z87" s="20">
        <f t="shared" si="89"/>
        <v>17.347590537572568</v>
      </c>
      <c r="AA87" s="20">
        <f t="shared" si="89"/>
        <v>0</v>
      </c>
      <c r="AB87" s="20">
        <f t="shared" si="89"/>
        <v>0</v>
      </c>
      <c r="AC87" s="20">
        <f t="shared" si="89"/>
        <v>0</v>
      </c>
      <c r="AD87" s="20">
        <f t="shared" si="90"/>
        <v>17.347590537572568</v>
      </c>
      <c r="AE87" s="20">
        <f t="shared" si="91"/>
        <v>143.89030880004557</v>
      </c>
      <c r="AF87" s="20">
        <f t="shared" si="91"/>
        <v>0</v>
      </c>
      <c r="AG87" s="20">
        <f t="shared" si="91"/>
        <v>0</v>
      </c>
      <c r="AH87" s="20">
        <f t="shared" si="91"/>
        <v>0</v>
      </c>
      <c r="AI87" s="20">
        <f t="shared" si="92"/>
        <v>133.05597310184402</v>
      </c>
      <c r="AJ87" s="20">
        <f t="shared" si="92"/>
        <v>0</v>
      </c>
      <c r="AK87" s="20">
        <f t="shared" si="92"/>
        <v>0</v>
      </c>
      <c r="AL87" s="20">
        <f t="shared" si="92"/>
        <v>0</v>
      </c>
      <c r="AM87" s="20">
        <f t="shared" si="93"/>
        <v>133.05597310184402</v>
      </c>
      <c r="AO87">
        <f t="shared" si="94"/>
        <v>17.581783009829799</v>
      </c>
      <c r="AP87">
        <f t="shared" si="94"/>
        <v>0</v>
      </c>
      <c r="AQ87">
        <f t="shared" si="94"/>
        <v>0</v>
      </c>
      <c r="AR87">
        <f t="shared" si="94"/>
        <v>0</v>
      </c>
      <c r="AS87">
        <f t="shared" si="95"/>
        <v>17.581783009829799</v>
      </c>
      <c r="AU87">
        <f t="shared" si="96"/>
        <v>134.85222873871891</v>
      </c>
      <c r="AV87">
        <f t="shared" si="96"/>
        <v>0</v>
      </c>
      <c r="AW87">
        <f t="shared" si="96"/>
        <v>0</v>
      </c>
      <c r="AX87">
        <f t="shared" si="96"/>
        <v>0</v>
      </c>
      <c r="AY87">
        <f t="shared" si="97"/>
        <v>134.85222873871891</v>
      </c>
    </row>
    <row r="88" spans="1:53" ht="15" x14ac:dyDescent="0.25">
      <c r="A88" s="1"/>
      <c r="B88" s="2"/>
      <c r="C88" s="1" t="s">
        <v>12</v>
      </c>
      <c r="D88">
        <v>0</v>
      </c>
      <c r="E88" s="360">
        <v>0</v>
      </c>
      <c r="F88">
        <v>0</v>
      </c>
      <c r="G88">
        <v>0</v>
      </c>
      <c r="H88">
        <v>0</v>
      </c>
      <c r="J88">
        <v>0</v>
      </c>
      <c r="K88">
        <v>0</v>
      </c>
      <c r="L88">
        <v>0</v>
      </c>
      <c r="M88">
        <v>0</v>
      </c>
      <c r="N88">
        <v>0</v>
      </c>
      <c r="O88" s="20"/>
      <c r="P88" s="20"/>
      <c r="Q88" s="436"/>
      <c r="R88" s="197">
        <v>0.38700000000000001</v>
      </c>
      <c r="S88" s="197">
        <v>2.48</v>
      </c>
      <c r="T88" s="197">
        <v>0.72182006204756977</v>
      </c>
      <c r="U88" s="197">
        <v>0.90789473684210531</v>
      </c>
      <c r="V88" s="20">
        <f t="shared" si="88"/>
        <v>0</v>
      </c>
      <c r="W88" s="20">
        <f t="shared" si="88"/>
        <v>0</v>
      </c>
      <c r="X88" s="20">
        <f t="shared" si="88"/>
        <v>0</v>
      </c>
      <c r="Y88" s="20">
        <f t="shared" si="88"/>
        <v>0</v>
      </c>
      <c r="Z88" s="20">
        <f t="shared" si="89"/>
        <v>0</v>
      </c>
      <c r="AA88" s="20">
        <f t="shared" si="89"/>
        <v>0</v>
      </c>
      <c r="AB88" s="20">
        <f t="shared" si="89"/>
        <v>0</v>
      </c>
      <c r="AC88" s="20">
        <f t="shared" si="89"/>
        <v>0</v>
      </c>
      <c r="AD88" s="20">
        <f t="shared" si="90"/>
        <v>0</v>
      </c>
      <c r="AE88" s="20">
        <f t="shared" si="91"/>
        <v>0</v>
      </c>
      <c r="AF88" s="20">
        <f t="shared" si="91"/>
        <v>0</v>
      </c>
      <c r="AG88" s="20">
        <f t="shared" si="91"/>
        <v>0</v>
      </c>
      <c r="AH88" s="20">
        <f t="shared" si="91"/>
        <v>0</v>
      </c>
      <c r="AI88" s="20">
        <f t="shared" si="92"/>
        <v>0</v>
      </c>
      <c r="AJ88" s="20">
        <f t="shared" si="92"/>
        <v>0</v>
      </c>
      <c r="AK88" s="20">
        <f t="shared" si="92"/>
        <v>0</v>
      </c>
      <c r="AL88" s="20">
        <f t="shared" si="92"/>
        <v>0</v>
      </c>
      <c r="AM88" s="20">
        <f t="shared" si="93"/>
        <v>0</v>
      </c>
      <c r="AO88">
        <f t="shared" si="94"/>
        <v>0</v>
      </c>
      <c r="AP88">
        <f t="shared" si="94"/>
        <v>0</v>
      </c>
      <c r="AQ88">
        <f t="shared" si="94"/>
        <v>0</v>
      </c>
      <c r="AR88">
        <f t="shared" si="94"/>
        <v>0</v>
      </c>
      <c r="AS88">
        <f t="shared" si="95"/>
        <v>0</v>
      </c>
      <c r="AU88">
        <f t="shared" si="96"/>
        <v>0</v>
      </c>
      <c r="AV88">
        <f t="shared" si="96"/>
        <v>0</v>
      </c>
      <c r="AW88">
        <f t="shared" si="96"/>
        <v>0</v>
      </c>
      <c r="AX88">
        <f t="shared" si="96"/>
        <v>0</v>
      </c>
      <c r="AY88">
        <f t="shared" si="97"/>
        <v>0</v>
      </c>
    </row>
    <row r="89" spans="1:53" ht="15" x14ac:dyDescent="0.25">
      <c r="A89" s="1"/>
      <c r="B89" s="2"/>
      <c r="C89" s="1" t="s">
        <v>13</v>
      </c>
      <c r="D89">
        <v>0</v>
      </c>
      <c r="E89" s="360">
        <v>0.3357</v>
      </c>
      <c r="F89">
        <v>0</v>
      </c>
      <c r="G89">
        <v>0</v>
      </c>
      <c r="H89">
        <v>0</v>
      </c>
      <c r="J89">
        <v>0</v>
      </c>
      <c r="K89">
        <v>0</v>
      </c>
      <c r="L89">
        <v>0</v>
      </c>
      <c r="M89">
        <v>0</v>
      </c>
      <c r="N89">
        <v>0</v>
      </c>
      <c r="O89" s="20"/>
      <c r="P89" s="20"/>
      <c r="Q89" s="436">
        <v>5.7081242289564377E-2</v>
      </c>
      <c r="R89" s="197">
        <v>0.38700000000000001</v>
      </c>
      <c r="S89" s="197">
        <v>2.48</v>
      </c>
      <c r="T89" s="197">
        <v>0.72182006204756977</v>
      </c>
      <c r="U89" s="197">
        <v>0.90789473684210531</v>
      </c>
      <c r="V89" s="20">
        <f t="shared" si="88"/>
        <v>7.4157609651668163E-2</v>
      </c>
      <c r="W89" s="20">
        <f t="shared" si="88"/>
        <v>0</v>
      </c>
      <c r="X89" s="20">
        <f t="shared" si="88"/>
        <v>0</v>
      </c>
      <c r="Y89" s="20">
        <f t="shared" si="88"/>
        <v>0</v>
      </c>
      <c r="Z89" s="20">
        <f t="shared" si="89"/>
        <v>5.7293328881206397E-2</v>
      </c>
      <c r="AA89" s="20">
        <f t="shared" si="89"/>
        <v>0</v>
      </c>
      <c r="AB89" s="20">
        <f t="shared" si="89"/>
        <v>0</v>
      </c>
      <c r="AC89" s="20">
        <f t="shared" si="89"/>
        <v>0</v>
      </c>
      <c r="AD89" s="20">
        <f t="shared" si="90"/>
        <v>5.7293328881206397E-2</v>
      </c>
      <c r="AE89" s="20">
        <f t="shared" si="91"/>
        <v>0.47522189130784764</v>
      </c>
      <c r="AF89" s="20">
        <f t="shared" si="91"/>
        <v>0</v>
      </c>
      <c r="AG89" s="20">
        <f t="shared" si="91"/>
        <v>0</v>
      </c>
      <c r="AH89" s="20">
        <f t="shared" si="91"/>
        <v>0</v>
      </c>
      <c r="AI89" s="20">
        <f t="shared" si="92"/>
        <v>0.4394396795348624</v>
      </c>
      <c r="AJ89" s="20">
        <f t="shared" si="92"/>
        <v>0</v>
      </c>
      <c r="AK89" s="20">
        <f t="shared" si="92"/>
        <v>0</v>
      </c>
      <c r="AL89" s="20">
        <f t="shared" si="92"/>
        <v>0</v>
      </c>
      <c r="AM89" s="20">
        <f t="shared" si="93"/>
        <v>0.4394396795348624</v>
      </c>
      <c r="AO89">
        <f t="shared" si="94"/>
        <v>5.8066788821102687E-2</v>
      </c>
      <c r="AP89">
        <f t="shared" si="94"/>
        <v>0</v>
      </c>
      <c r="AQ89">
        <f t="shared" si="94"/>
        <v>0</v>
      </c>
      <c r="AR89">
        <f t="shared" si="94"/>
        <v>0</v>
      </c>
      <c r="AS89">
        <f t="shared" si="95"/>
        <v>5.8066788821102687E-2</v>
      </c>
      <c r="AU89">
        <f t="shared" si="96"/>
        <v>0.44537211520858305</v>
      </c>
      <c r="AV89">
        <f t="shared" si="96"/>
        <v>0</v>
      </c>
      <c r="AW89">
        <f t="shared" si="96"/>
        <v>0</v>
      </c>
      <c r="AX89">
        <f t="shared" si="96"/>
        <v>0</v>
      </c>
      <c r="AY89">
        <f t="shared" si="97"/>
        <v>0.44537211520858305</v>
      </c>
    </row>
    <row r="90" spans="1:53" ht="15" x14ac:dyDescent="0.25">
      <c r="A90" s="7"/>
      <c r="B90" s="8" t="s">
        <v>14</v>
      </c>
      <c r="C90" s="7"/>
      <c r="D90" s="357">
        <f t="shared" ref="D90:H90" si="98">SUM(D84:D89)</f>
        <v>0</v>
      </c>
      <c r="E90" s="363">
        <f>SUM(E84:E89)</f>
        <v>231.7655</v>
      </c>
      <c r="F90" s="357">
        <f t="shared" si="98"/>
        <v>0</v>
      </c>
      <c r="G90" s="357">
        <f t="shared" si="98"/>
        <v>0</v>
      </c>
      <c r="H90" s="357">
        <f t="shared" si="98"/>
        <v>0</v>
      </c>
      <c r="J90">
        <v>0</v>
      </c>
      <c r="K90">
        <v>0</v>
      </c>
      <c r="L90">
        <v>0</v>
      </c>
      <c r="M90">
        <v>0</v>
      </c>
      <c r="N90">
        <v>0</v>
      </c>
      <c r="O90" s="20"/>
      <c r="P90" s="20"/>
      <c r="Q90" s="436">
        <v>3.7826895025674961E-2</v>
      </c>
      <c r="R90" s="197"/>
      <c r="S90" s="197"/>
      <c r="T90" s="197"/>
      <c r="U90" s="197"/>
      <c r="BA90" s="319">
        <f>(E90*10000*Q90*AU$10)</f>
        <v>88853.233238005574</v>
      </c>
    </row>
    <row r="91" spans="1:53" ht="15" x14ac:dyDescent="0.25">
      <c r="A91" s="10"/>
      <c r="B91" s="9" t="s">
        <v>15</v>
      </c>
      <c r="C91" s="5"/>
      <c r="E91" s="363">
        <f>SUM(E90)</f>
        <v>231.7655</v>
      </c>
      <c r="H91" s="358">
        <f>SUM(D90:H90)</f>
        <v>231.7655</v>
      </c>
      <c r="K91" s="14"/>
      <c r="N91">
        <v>0</v>
      </c>
      <c r="O91" s="20"/>
      <c r="P91" s="20"/>
      <c r="Q91" s="436"/>
      <c r="R91" s="197"/>
      <c r="S91" s="197"/>
      <c r="T91" s="197"/>
      <c r="U91" s="197"/>
    </row>
    <row r="92" spans="1:53" ht="15.75" x14ac:dyDescent="0.25">
      <c r="A92" s="1"/>
      <c r="B92" s="2"/>
      <c r="C92" s="1"/>
      <c r="E92" s="361"/>
      <c r="K92" s="14"/>
      <c r="O92" s="20"/>
      <c r="P92" s="20"/>
      <c r="Q92" s="437"/>
      <c r="R92" s="197"/>
      <c r="S92" s="197"/>
      <c r="T92" s="197"/>
      <c r="U92" s="197"/>
    </row>
    <row r="93" spans="1:53" ht="15" x14ac:dyDescent="0.25">
      <c r="A93" s="1">
        <v>10</v>
      </c>
      <c r="B93" s="2" t="s">
        <v>24</v>
      </c>
      <c r="C93" s="1" t="s">
        <v>8</v>
      </c>
      <c r="D93">
        <v>0</v>
      </c>
      <c r="E93" s="360">
        <v>125.95440000000001</v>
      </c>
      <c r="F93">
        <v>0</v>
      </c>
      <c r="G93">
        <v>0</v>
      </c>
      <c r="H93">
        <v>0</v>
      </c>
      <c r="J93">
        <v>0</v>
      </c>
      <c r="K93">
        <v>0</v>
      </c>
      <c r="L93">
        <v>0</v>
      </c>
      <c r="M93">
        <v>0</v>
      </c>
      <c r="N93">
        <v>0</v>
      </c>
      <c r="O93" s="20"/>
      <c r="P93" s="20"/>
      <c r="Q93" s="436">
        <v>2.1020310572391093E-2</v>
      </c>
      <c r="R93" s="197">
        <v>0.66599999999999993</v>
      </c>
      <c r="S93" s="197">
        <v>4.5549999999999997</v>
      </c>
      <c r="T93" s="197">
        <v>0.60039794540960334</v>
      </c>
      <c r="U93" s="197">
        <v>0.90789473684210531</v>
      </c>
      <c r="V93" s="20">
        <f t="shared" ref="V93:Y98" si="99">IF(K93&gt;0,((E93-K93)*$Q93*$R93*10)+(K93*$O$12*$Q93*$R93*10),(E93*$Q93*$R93*10))</f>
        <v>17.633020035688116</v>
      </c>
      <c r="W93" s="20">
        <f t="shared" si="99"/>
        <v>0</v>
      </c>
      <c r="X93" s="20">
        <f t="shared" si="99"/>
        <v>0</v>
      </c>
      <c r="Y93" s="20">
        <f t="shared" si="99"/>
        <v>0</v>
      </c>
      <c r="Z93" s="20">
        <f t="shared" ref="Z93:AC98" si="100">V93*(EXP(1.01-0.34*LN(Z$8))*(1-$T93)+(1*$T93))</f>
        <v>11.87277830574231</v>
      </c>
      <c r="AA93" s="20">
        <f t="shared" si="100"/>
        <v>0</v>
      </c>
      <c r="AB93" s="20">
        <f t="shared" si="100"/>
        <v>0</v>
      </c>
      <c r="AC93" s="20">
        <f t="shared" si="100"/>
        <v>0</v>
      </c>
      <c r="AD93" s="20">
        <f t="shared" ref="AD93:AD98" si="101">SUM(Z93:AC93)</f>
        <v>11.87277830574231</v>
      </c>
      <c r="AE93" s="20">
        <f t="shared" ref="AE93:AH98" si="102">IF(K93&gt;0,((E93-K93)*$Q93*$S93*10)+(K93*$P$12*$Q93*$S93)*10,(E93*$Q93*$S93*10))</f>
        <v>120.59820760144049</v>
      </c>
      <c r="AF93" s="20">
        <f t="shared" si="102"/>
        <v>0</v>
      </c>
      <c r="AG93" s="20">
        <f t="shared" si="102"/>
        <v>0</v>
      </c>
      <c r="AH93" s="20">
        <f t="shared" si="102"/>
        <v>0</v>
      </c>
      <c r="AI93" s="20">
        <f t="shared" ref="AI93:AL98" si="103">AE93*(EXP(1.01-0.34*LN(AI$8))*(1-$U93)+(1*$U93))</f>
        <v>111.5176692618425</v>
      </c>
      <c r="AJ93" s="20">
        <f t="shared" si="103"/>
        <v>0</v>
      </c>
      <c r="AK93" s="20">
        <f t="shared" si="103"/>
        <v>0</v>
      </c>
      <c r="AL93" s="20">
        <f t="shared" si="103"/>
        <v>0</v>
      </c>
      <c r="AM93" s="20">
        <f t="shared" ref="AM93:AM98" si="104">SUM(AI93:AL93)</f>
        <v>111.5176692618425</v>
      </c>
      <c r="AO93">
        <f t="shared" ref="AO93:AR98" si="105">Z93*AO$10</f>
        <v>12.033060812869833</v>
      </c>
      <c r="AP93">
        <f t="shared" si="105"/>
        <v>0</v>
      </c>
      <c r="AQ93">
        <f t="shared" si="105"/>
        <v>0</v>
      </c>
      <c r="AR93">
        <f t="shared" si="105"/>
        <v>0</v>
      </c>
      <c r="AS93">
        <f t="shared" ref="AS93:AS98" si="106">SUM(AO93:AR93)</f>
        <v>12.033060812869833</v>
      </c>
      <c r="AU93">
        <f t="shared" ref="AU93:AX98" si="107">AI93*AU$10</f>
        <v>113.02315779687738</v>
      </c>
      <c r="AV93">
        <f t="shared" si="107"/>
        <v>0</v>
      </c>
      <c r="AW93">
        <f t="shared" si="107"/>
        <v>0</v>
      </c>
      <c r="AX93">
        <f t="shared" si="107"/>
        <v>0</v>
      </c>
      <c r="AY93">
        <f t="shared" ref="AY93:AY98" si="108">SUM(AU93:AX93)</f>
        <v>113.02315779687738</v>
      </c>
    </row>
    <row r="94" spans="1:53" ht="15" x14ac:dyDescent="0.25">
      <c r="A94" s="1"/>
      <c r="B94" s="2"/>
      <c r="C94" s="1" t="s">
        <v>9</v>
      </c>
      <c r="D94">
        <v>0</v>
      </c>
      <c r="E94" s="360">
        <v>5.7535999999999996</v>
      </c>
      <c r="F94">
        <v>0</v>
      </c>
      <c r="G94">
        <v>0</v>
      </c>
      <c r="H94">
        <v>0</v>
      </c>
      <c r="J94">
        <v>0</v>
      </c>
      <c r="K94">
        <v>0</v>
      </c>
      <c r="L94">
        <v>0</v>
      </c>
      <c r="M94">
        <v>0</v>
      </c>
      <c r="N94">
        <v>0</v>
      </c>
      <c r="O94" s="20"/>
      <c r="P94" s="20"/>
      <c r="Q94" s="436">
        <v>3.3040621144782185E-2</v>
      </c>
      <c r="R94" s="197">
        <v>0.66599999999999993</v>
      </c>
      <c r="S94" s="197">
        <v>4.5549999999999997</v>
      </c>
      <c r="T94" s="197">
        <v>0.60039794540960334</v>
      </c>
      <c r="U94" s="197">
        <v>0.90789473684210531</v>
      </c>
      <c r="V94" s="20">
        <f t="shared" si="99"/>
        <v>1.2660827686720009</v>
      </c>
      <c r="W94" s="20">
        <f t="shared" si="99"/>
        <v>0</v>
      </c>
      <c r="X94" s="20">
        <f t="shared" si="99"/>
        <v>0</v>
      </c>
      <c r="Y94" s="20">
        <f t="shared" si="99"/>
        <v>0</v>
      </c>
      <c r="Z94" s="20">
        <f t="shared" si="100"/>
        <v>0.85248698173877402</v>
      </c>
      <c r="AA94" s="20">
        <f t="shared" si="100"/>
        <v>0</v>
      </c>
      <c r="AB94" s="20">
        <f t="shared" si="100"/>
        <v>0</v>
      </c>
      <c r="AC94" s="20">
        <f t="shared" si="100"/>
        <v>0</v>
      </c>
      <c r="AD94" s="20">
        <f t="shared" si="101"/>
        <v>0.85248698173877402</v>
      </c>
      <c r="AE94" s="20">
        <f t="shared" si="102"/>
        <v>8.6591696866380854</v>
      </c>
      <c r="AF94" s="20">
        <f t="shared" si="102"/>
        <v>0</v>
      </c>
      <c r="AG94" s="20">
        <f t="shared" si="102"/>
        <v>0</v>
      </c>
      <c r="AH94" s="20">
        <f t="shared" si="102"/>
        <v>0</v>
      </c>
      <c r="AI94" s="20">
        <f t="shared" si="103"/>
        <v>8.0071705906941197</v>
      </c>
      <c r="AJ94" s="20">
        <f t="shared" si="103"/>
        <v>0</v>
      </c>
      <c r="AK94" s="20">
        <f t="shared" si="103"/>
        <v>0</v>
      </c>
      <c r="AL94" s="20">
        <f t="shared" si="103"/>
        <v>0</v>
      </c>
      <c r="AM94" s="20">
        <f t="shared" si="104"/>
        <v>8.0071705906941197</v>
      </c>
      <c r="AO94">
        <f t="shared" si="105"/>
        <v>0.86399555599224753</v>
      </c>
      <c r="AP94">
        <f t="shared" si="105"/>
        <v>0</v>
      </c>
      <c r="AQ94">
        <f t="shared" si="105"/>
        <v>0</v>
      </c>
      <c r="AR94">
        <f t="shared" si="105"/>
        <v>0</v>
      </c>
      <c r="AS94">
        <f t="shared" si="106"/>
        <v>0.86399555599224753</v>
      </c>
      <c r="AU94">
        <f t="shared" si="107"/>
        <v>8.1152673936684909</v>
      </c>
      <c r="AV94">
        <f t="shared" si="107"/>
        <v>0</v>
      </c>
      <c r="AW94">
        <f t="shared" si="107"/>
        <v>0</v>
      </c>
      <c r="AX94">
        <f t="shared" si="107"/>
        <v>0</v>
      </c>
      <c r="AY94">
        <f t="shared" si="108"/>
        <v>8.1152673936684909</v>
      </c>
    </row>
    <row r="95" spans="1:53" ht="15" x14ac:dyDescent="0.25">
      <c r="A95" s="1"/>
      <c r="B95" s="2"/>
      <c r="C95" s="1" t="s">
        <v>10</v>
      </c>
      <c r="D95">
        <v>0</v>
      </c>
      <c r="E95" s="360"/>
      <c r="F95">
        <v>0</v>
      </c>
      <c r="G95">
        <v>0</v>
      </c>
      <c r="H95">
        <v>0</v>
      </c>
      <c r="J95">
        <v>0</v>
      </c>
      <c r="K95">
        <v>0</v>
      </c>
      <c r="L95">
        <v>0</v>
      </c>
      <c r="M95">
        <v>0</v>
      </c>
      <c r="N95">
        <v>0</v>
      </c>
      <c r="O95" s="20"/>
      <c r="P95" s="20"/>
      <c r="Q95" s="436"/>
      <c r="R95" s="197">
        <v>0.66599999999999993</v>
      </c>
      <c r="S95" s="197">
        <v>4.5549999999999997</v>
      </c>
      <c r="T95" s="197">
        <v>0.60039794540960334</v>
      </c>
      <c r="U95" s="197">
        <v>0.90789473684210531</v>
      </c>
      <c r="V95" s="20">
        <f t="shared" si="99"/>
        <v>0</v>
      </c>
      <c r="W95" s="20">
        <f t="shared" si="99"/>
        <v>0</v>
      </c>
      <c r="X95" s="20">
        <f t="shared" si="99"/>
        <v>0</v>
      </c>
      <c r="Y95" s="20">
        <f t="shared" si="99"/>
        <v>0</v>
      </c>
      <c r="Z95" s="20">
        <f t="shared" si="100"/>
        <v>0</v>
      </c>
      <c r="AA95" s="20">
        <f t="shared" si="100"/>
        <v>0</v>
      </c>
      <c r="AB95" s="20">
        <f t="shared" si="100"/>
        <v>0</v>
      </c>
      <c r="AC95" s="20">
        <f t="shared" si="100"/>
        <v>0</v>
      </c>
      <c r="AD95" s="20">
        <f t="shared" si="101"/>
        <v>0</v>
      </c>
      <c r="AE95" s="20">
        <f t="shared" si="102"/>
        <v>0</v>
      </c>
      <c r="AF95" s="20">
        <f t="shared" si="102"/>
        <v>0</v>
      </c>
      <c r="AG95" s="20">
        <f t="shared" si="102"/>
        <v>0</v>
      </c>
      <c r="AH95" s="20">
        <f t="shared" si="102"/>
        <v>0</v>
      </c>
      <c r="AI95" s="20">
        <f t="shared" si="103"/>
        <v>0</v>
      </c>
      <c r="AJ95" s="20">
        <f t="shared" si="103"/>
        <v>0</v>
      </c>
      <c r="AK95" s="20">
        <f t="shared" si="103"/>
        <v>0</v>
      </c>
      <c r="AL95" s="20">
        <f t="shared" si="103"/>
        <v>0</v>
      </c>
      <c r="AM95" s="20">
        <f t="shared" si="104"/>
        <v>0</v>
      </c>
      <c r="AO95">
        <f t="shared" si="105"/>
        <v>0</v>
      </c>
      <c r="AP95">
        <f t="shared" si="105"/>
        <v>0</v>
      </c>
      <c r="AQ95">
        <f t="shared" si="105"/>
        <v>0</v>
      </c>
      <c r="AR95">
        <f t="shared" si="105"/>
        <v>0</v>
      </c>
      <c r="AS95">
        <f t="shared" si="106"/>
        <v>0</v>
      </c>
      <c r="AU95">
        <f t="shared" si="107"/>
        <v>0</v>
      </c>
      <c r="AV95">
        <f t="shared" si="107"/>
        <v>0</v>
      </c>
      <c r="AW95">
        <f t="shared" si="107"/>
        <v>0</v>
      </c>
      <c r="AX95">
        <f t="shared" si="107"/>
        <v>0</v>
      </c>
      <c r="AY95">
        <f t="shared" si="108"/>
        <v>0</v>
      </c>
    </row>
    <row r="96" spans="1:53" ht="15" x14ac:dyDescent="0.25">
      <c r="A96" s="1"/>
      <c r="B96" s="2"/>
      <c r="C96" s="1" t="s">
        <v>11</v>
      </c>
      <c r="D96">
        <v>0</v>
      </c>
      <c r="E96" s="360">
        <v>55.817700000000002</v>
      </c>
      <c r="F96">
        <v>0</v>
      </c>
      <c r="G96">
        <v>0</v>
      </c>
      <c r="H96">
        <v>0</v>
      </c>
      <c r="J96">
        <v>0</v>
      </c>
      <c r="K96">
        <v>0</v>
      </c>
      <c r="L96">
        <v>0</v>
      </c>
      <c r="M96">
        <v>0</v>
      </c>
      <c r="N96">
        <v>0</v>
      </c>
      <c r="O96" s="20"/>
      <c r="P96" s="20"/>
      <c r="Q96" s="436">
        <v>5.7081242289564377E-2</v>
      </c>
      <c r="R96" s="197">
        <v>0.66599999999999993</v>
      </c>
      <c r="S96" s="197">
        <v>4.5549999999999997</v>
      </c>
      <c r="T96" s="197">
        <v>0.60039794540960334</v>
      </c>
      <c r="U96" s="197">
        <v>0.90789473684210531</v>
      </c>
      <c r="V96" s="20">
        <f t="shared" si="99"/>
        <v>21.219716760589804</v>
      </c>
      <c r="W96" s="20">
        <f t="shared" si="99"/>
        <v>0</v>
      </c>
      <c r="X96" s="20">
        <f t="shared" si="99"/>
        <v>0</v>
      </c>
      <c r="Y96" s="20">
        <f t="shared" si="99"/>
        <v>0</v>
      </c>
      <c r="Z96" s="20">
        <f t="shared" si="100"/>
        <v>14.287795981585832</v>
      </c>
      <c r="AA96" s="20">
        <f t="shared" si="100"/>
        <v>0</v>
      </c>
      <c r="AB96" s="20">
        <f t="shared" si="100"/>
        <v>0</v>
      </c>
      <c r="AC96" s="20">
        <f t="shared" si="100"/>
        <v>0</v>
      </c>
      <c r="AD96" s="20">
        <f t="shared" si="101"/>
        <v>14.287795981585832</v>
      </c>
      <c r="AE96" s="20">
        <f t="shared" si="102"/>
        <v>145.1288436103402</v>
      </c>
      <c r="AF96" s="20">
        <f t="shared" si="102"/>
        <v>0</v>
      </c>
      <c r="AG96" s="20">
        <f t="shared" si="102"/>
        <v>0</v>
      </c>
      <c r="AH96" s="20">
        <f t="shared" si="102"/>
        <v>0</v>
      </c>
      <c r="AI96" s="20">
        <f t="shared" si="103"/>
        <v>134.20125144462153</v>
      </c>
      <c r="AJ96" s="20">
        <f t="shared" si="103"/>
        <v>0</v>
      </c>
      <c r="AK96" s="20">
        <f t="shared" si="103"/>
        <v>0</v>
      </c>
      <c r="AL96" s="20">
        <f t="shared" si="103"/>
        <v>0</v>
      </c>
      <c r="AM96" s="20">
        <f t="shared" si="104"/>
        <v>134.20125144462153</v>
      </c>
      <c r="AO96">
        <f t="shared" si="105"/>
        <v>14.480681227337241</v>
      </c>
      <c r="AP96">
        <f t="shared" si="105"/>
        <v>0</v>
      </c>
      <c r="AQ96">
        <f t="shared" si="105"/>
        <v>0</v>
      </c>
      <c r="AR96">
        <f t="shared" si="105"/>
        <v>0</v>
      </c>
      <c r="AS96">
        <f t="shared" si="106"/>
        <v>14.480681227337241</v>
      </c>
      <c r="AU96">
        <f t="shared" si="107"/>
        <v>136.01296833912394</v>
      </c>
      <c r="AV96">
        <f t="shared" si="107"/>
        <v>0</v>
      </c>
      <c r="AW96">
        <f t="shared" si="107"/>
        <v>0</v>
      </c>
      <c r="AX96">
        <f t="shared" si="107"/>
        <v>0</v>
      </c>
      <c r="AY96">
        <f t="shared" si="108"/>
        <v>136.01296833912394</v>
      </c>
    </row>
    <row r="97" spans="1:53" ht="15" x14ac:dyDescent="0.25">
      <c r="A97" s="1"/>
      <c r="B97" s="2"/>
      <c r="C97" s="1" t="s">
        <v>12</v>
      </c>
      <c r="D97">
        <v>0</v>
      </c>
      <c r="E97" s="360">
        <v>0</v>
      </c>
      <c r="F97">
        <v>0</v>
      </c>
      <c r="G97">
        <v>0</v>
      </c>
      <c r="H9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20"/>
      <c r="P97" s="20"/>
      <c r="Q97" s="436"/>
      <c r="R97" s="197">
        <v>0.66599999999999993</v>
      </c>
      <c r="S97" s="197">
        <v>4.5549999999999997</v>
      </c>
      <c r="T97" s="197">
        <v>0.60039794540960334</v>
      </c>
      <c r="U97" s="197">
        <v>0.90789473684210531</v>
      </c>
      <c r="V97" s="20">
        <f t="shared" si="99"/>
        <v>0</v>
      </c>
      <c r="W97" s="20">
        <f t="shared" si="99"/>
        <v>0</v>
      </c>
      <c r="X97" s="20">
        <f t="shared" si="99"/>
        <v>0</v>
      </c>
      <c r="Y97" s="20">
        <f t="shared" si="99"/>
        <v>0</v>
      </c>
      <c r="Z97" s="20">
        <f t="shared" si="100"/>
        <v>0</v>
      </c>
      <c r="AA97" s="20">
        <f t="shared" si="100"/>
        <v>0</v>
      </c>
      <c r="AB97" s="20">
        <f t="shared" si="100"/>
        <v>0</v>
      </c>
      <c r="AC97" s="20">
        <f t="shared" si="100"/>
        <v>0</v>
      </c>
      <c r="AD97" s="20">
        <f t="shared" si="101"/>
        <v>0</v>
      </c>
      <c r="AE97" s="20">
        <f t="shared" si="102"/>
        <v>0</v>
      </c>
      <c r="AF97" s="20">
        <f t="shared" si="102"/>
        <v>0</v>
      </c>
      <c r="AG97" s="20">
        <f t="shared" si="102"/>
        <v>0</v>
      </c>
      <c r="AH97" s="20">
        <f t="shared" si="102"/>
        <v>0</v>
      </c>
      <c r="AI97" s="20">
        <f t="shared" si="103"/>
        <v>0</v>
      </c>
      <c r="AJ97" s="20">
        <f t="shared" si="103"/>
        <v>0</v>
      </c>
      <c r="AK97" s="20">
        <f t="shared" si="103"/>
        <v>0</v>
      </c>
      <c r="AL97" s="20">
        <f t="shared" si="103"/>
        <v>0</v>
      </c>
      <c r="AM97" s="20">
        <f t="shared" si="104"/>
        <v>0</v>
      </c>
      <c r="AO97">
        <f t="shared" si="105"/>
        <v>0</v>
      </c>
      <c r="AP97">
        <f t="shared" si="105"/>
        <v>0</v>
      </c>
      <c r="AQ97">
        <f t="shared" si="105"/>
        <v>0</v>
      </c>
      <c r="AR97">
        <f t="shared" si="105"/>
        <v>0</v>
      </c>
      <c r="AS97">
        <f t="shared" si="106"/>
        <v>0</v>
      </c>
      <c r="AU97">
        <f t="shared" si="107"/>
        <v>0</v>
      </c>
      <c r="AV97">
        <f t="shared" si="107"/>
        <v>0</v>
      </c>
      <c r="AW97">
        <f t="shared" si="107"/>
        <v>0</v>
      </c>
      <c r="AX97">
        <f t="shared" si="107"/>
        <v>0</v>
      </c>
      <c r="AY97">
        <f t="shared" si="108"/>
        <v>0</v>
      </c>
    </row>
    <row r="98" spans="1:53" ht="15" x14ac:dyDescent="0.25">
      <c r="A98" s="1"/>
      <c r="B98" s="2"/>
      <c r="C98" s="1" t="s">
        <v>13</v>
      </c>
      <c r="D98">
        <v>0</v>
      </c>
      <c r="E98" s="360">
        <v>0.22670000000000001</v>
      </c>
      <c r="F98">
        <v>0</v>
      </c>
      <c r="G98">
        <v>0</v>
      </c>
      <c r="H98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20"/>
      <c r="P98" s="20"/>
      <c r="Q98" s="436">
        <v>5.7081242289564377E-2</v>
      </c>
      <c r="R98" s="197">
        <v>0.66599999999999993</v>
      </c>
      <c r="S98" s="197">
        <v>4.5549999999999997</v>
      </c>
      <c r="T98" s="197">
        <v>0.60039794540960334</v>
      </c>
      <c r="U98" s="197">
        <v>0.90789473684210531</v>
      </c>
      <c r="V98" s="20">
        <f t="shared" si="99"/>
        <v>8.6182515396114656E-2</v>
      </c>
      <c r="W98" s="20">
        <f t="shared" si="99"/>
        <v>0</v>
      </c>
      <c r="X98" s="20">
        <f t="shared" si="99"/>
        <v>0</v>
      </c>
      <c r="Y98" s="20">
        <f t="shared" si="99"/>
        <v>0</v>
      </c>
      <c r="Z98" s="20">
        <f t="shared" si="100"/>
        <v>5.8028964809110878E-2</v>
      </c>
      <c r="AA98" s="20">
        <f t="shared" si="100"/>
        <v>0</v>
      </c>
      <c r="AB98" s="20">
        <f t="shared" si="100"/>
        <v>0</v>
      </c>
      <c r="AC98" s="20">
        <f t="shared" si="100"/>
        <v>0</v>
      </c>
      <c r="AD98" s="20">
        <f t="shared" si="101"/>
        <v>5.8028964809110878E-2</v>
      </c>
      <c r="AE98" s="20">
        <f t="shared" si="102"/>
        <v>0.58943146791186529</v>
      </c>
      <c r="AF98" s="20">
        <f t="shared" si="102"/>
        <v>0</v>
      </c>
      <c r="AG98" s="20">
        <f t="shared" si="102"/>
        <v>0</v>
      </c>
      <c r="AH98" s="20">
        <f t="shared" si="102"/>
        <v>0</v>
      </c>
      <c r="AI98" s="20">
        <f t="shared" si="103"/>
        <v>0.54504975487158558</v>
      </c>
      <c r="AJ98" s="20">
        <f t="shared" si="103"/>
        <v>0</v>
      </c>
      <c r="AK98" s="20">
        <f t="shared" si="103"/>
        <v>0</v>
      </c>
      <c r="AL98" s="20">
        <f t="shared" si="103"/>
        <v>0</v>
      </c>
      <c r="AM98" s="20">
        <f t="shared" si="104"/>
        <v>0.54504975487158558</v>
      </c>
      <c r="AO98">
        <f t="shared" si="105"/>
        <v>5.881235583403388E-2</v>
      </c>
      <c r="AP98">
        <f t="shared" si="105"/>
        <v>0</v>
      </c>
      <c r="AQ98">
        <f t="shared" si="105"/>
        <v>0</v>
      </c>
      <c r="AR98">
        <f t="shared" si="105"/>
        <v>0</v>
      </c>
      <c r="AS98">
        <f t="shared" si="106"/>
        <v>5.881235583403388E-2</v>
      </c>
      <c r="AU98">
        <f t="shared" si="107"/>
        <v>0.55240792656235205</v>
      </c>
      <c r="AV98">
        <f t="shared" si="107"/>
        <v>0</v>
      </c>
      <c r="AW98">
        <f t="shared" si="107"/>
        <v>0</v>
      </c>
      <c r="AX98">
        <f t="shared" si="107"/>
        <v>0</v>
      </c>
      <c r="AY98">
        <f t="shared" si="108"/>
        <v>0.55240792656235205</v>
      </c>
    </row>
    <row r="99" spans="1:53" ht="15" x14ac:dyDescent="0.25">
      <c r="A99" s="7"/>
      <c r="B99" s="8" t="s">
        <v>14</v>
      </c>
      <c r="C99" s="7"/>
      <c r="D99" s="357">
        <f t="shared" ref="D99:H99" si="109">SUM(D93:D98)</f>
        <v>0</v>
      </c>
      <c r="E99" s="363">
        <f>SUM(E93:E98)</f>
        <v>187.75239999999999</v>
      </c>
      <c r="F99" s="357">
        <f t="shared" si="109"/>
        <v>0</v>
      </c>
      <c r="G99" s="357">
        <f t="shared" si="109"/>
        <v>0</v>
      </c>
      <c r="H99" s="357">
        <f t="shared" si="109"/>
        <v>0</v>
      </c>
      <c r="J99">
        <v>0</v>
      </c>
      <c r="K99">
        <v>0</v>
      </c>
      <c r="L99">
        <v>0</v>
      </c>
      <c r="M99">
        <v>0</v>
      </c>
      <c r="N99">
        <v>0</v>
      </c>
      <c r="O99" s="20"/>
      <c r="P99" s="20"/>
      <c r="Q99" s="436">
        <v>3.2152915750483388E-2</v>
      </c>
      <c r="R99" s="197"/>
      <c r="S99" s="197"/>
      <c r="T99" s="197"/>
      <c r="U99" s="197"/>
      <c r="BA99" s="319">
        <f>(E99*10000*Q99*AU$10)</f>
        <v>61182.837249895965</v>
      </c>
    </row>
    <row r="100" spans="1:53" ht="15" x14ac:dyDescent="0.25">
      <c r="A100" s="10"/>
      <c r="B100" s="9" t="s">
        <v>15</v>
      </c>
      <c r="C100" s="5"/>
      <c r="E100" s="363">
        <f>SUM(E99)</f>
        <v>187.75239999999999</v>
      </c>
      <c r="H100" s="358">
        <f>SUM(D99:H99)</f>
        <v>187.75239999999999</v>
      </c>
      <c r="K100" s="14"/>
      <c r="N100">
        <v>0</v>
      </c>
      <c r="O100" s="20"/>
      <c r="P100" s="20"/>
      <c r="Q100" s="436"/>
      <c r="R100" s="197"/>
      <c r="S100" s="197"/>
      <c r="T100" s="197"/>
      <c r="U100" s="197"/>
    </row>
    <row r="101" spans="1:53" ht="15.75" x14ac:dyDescent="0.25">
      <c r="A101" s="1"/>
      <c r="B101" s="2"/>
      <c r="C101" s="1"/>
      <c r="E101" s="361"/>
      <c r="K101" s="14"/>
      <c r="O101" s="20"/>
      <c r="P101" s="20"/>
      <c r="Q101" s="437"/>
      <c r="R101" s="197"/>
      <c r="S101" s="197"/>
      <c r="T101" s="197"/>
      <c r="U101" s="197"/>
    </row>
    <row r="102" spans="1:53" ht="15" x14ac:dyDescent="0.25">
      <c r="A102" s="1">
        <v>11</v>
      </c>
      <c r="B102" s="2" t="s">
        <v>25</v>
      </c>
      <c r="C102" s="1" t="s">
        <v>8</v>
      </c>
      <c r="D102">
        <v>0</v>
      </c>
      <c r="E102" s="360">
        <v>9.1846999999999994</v>
      </c>
      <c r="F102">
        <v>0</v>
      </c>
      <c r="G102">
        <v>0</v>
      </c>
      <c r="H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 s="20"/>
      <c r="P102" s="20"/>
      <c r="Q102" s="436">
        <v>2.1020310572391093E-2</v>
      </c>
      <c r="R102" s="197">
        <v>0.14000000000000001</v>
      </c>
      <c r="S102" s="197">
        <v>2.0499999999999998</v>
      </c>
      <c r="T102" s="197">
        <v>0.62857142857142845</v>
      </c>
      <c r="U102" s="197">
        <v>0.90789473684210531</v>
      </c>
      <c r="V102" s="20">
        <f t="shared" ref="V102:Y107" si="110">IF(K102&gt;0,((E102-K102)*$Q102*$R102*10)+(K102*$O$12*$Q102*$R102*10),(E102*$Q102*$R102*10))</f>
        <v>0.27029134511993669</v>
      </c>
      <c r="W102" s="20">
        <f t="shared" si="110"/>
        <v>0</v>
      </c>
      <c r="X102" s="20">
        <f t="shared" si="110"/>
        <v>0</v>
      </c>
      <c r="Y102" s="20">
        <f t="shared" si="110"/>
        <v>0</v>
      </c>
      <c r="Z102" s="20">
        <f t="shared" ref="Z102:AC107" si="111">V102*(EXP(1.01-0.34*LN(Z$8))*(1-$T102)+(1*$T102))</f>
        <v>0.18821958582269196</v>
      </c>
      <c r="AA102" s="20">
        <f t="shared" si="111"/>
        <v>0</v>
      </c>
      <c r="AB102" s="20">
        <f t="shared" si="111"/>
        <v>0</v>
      </c>
      <c r="AC102" s="20">
        <f t="shared" si="111"/>
        <v>0</v>
      </c>
      <c r="AD102" s="20">
        <f t="shared" ref="AD102:AD107" si="112">SUM(Z102:AC102)</f>
        <v>0.18821958582269196</v>
      </c>
      <c r="AE102" s="20">
        <f t="shared" ref="AE102:AH107" si="113">IF(K102&gt;0,((E102-K102)*$Q102*$S102*10)+(K102*$P$12*$Q102*$S102)*10,(E102*$Q102*$S102*10))</f>
        <v>3.9578375535419292</v>
      </c>
      <c r="AF102" s="20">
        <f t="shared" si="113"/>
        <v>0</v>
      </c>
      <c r="AG102" s="20">
        <f t="shared" si="113"/>
        <v>0</v>
      </c>
      <c r="AH102" s="20">
        <f t="shared" si="113"/>
        <v>0</v>
      </c>
      <c r="AI102" s="20">
        <f t="shared" ref="AI102:AL107" si="114">AE102*(EXP(1.01-0.34*LN(AI$8))*(1-$U102)+(1*$U102))</f>
        <v>3.6598290145957093</v>
      </c>
      <c r="AJ102" s="20">
        <f t="shared" si="114"/>
        <v>0</v>
      </c>
      <c r="AK102" s="20">
        <f t="shared" si="114"/>
        <v>0</v>
      </c>
      <c r="AL102" s="20">
        <f t="shared" si="114"/>
        <v>0</v>
      </c>
      <c r="AM102" s="20">
        <f t="shared" ref="AM102:AM107" si="115">SUM(AI102:AL102)</f>
        <v>3.6598290145957093</v>
      </c>
      <c r="AO102">
        <f t="shared" ref="AO102:AR107" si="116">Z102*AO$10</f>
        <v>0.19076055023129831</v>
      </c>
      <c r="AP102">
        <f t="shared" si="116"/>
        <v>0</v>
      </c>
      <c r="AQ102">
        <f t="shared" si="116"/>
        <v>0</v>
      </c>
      <c r="AR102">
        <f t="shared" si="116"/>
        <v>0</v>
      </c>
      <c r="AS102">
        <f t="shared" ref="AS102:AS107" si="117">SUM(AO102:AR102)</f>
        <v>0.19076055023129831</v>
      </c>
      <c r="AU102">
        <f t="shared" ref="AU102:AX107" si="118">AI102*AU$10</f>
        <v>3.7092367062927516</v>
      </c>
      <c r="AV102">
        <f t="shared" si="118"/>
        <v>0</v>
      </c>
      <c r="AW102">
        <f t="shared" si="118"/>
        <v>0</v>
      </c>
      <c r="AX102">
        <f t="shared" si="118"/>
        <v>0</v>
      </c>
      <c r="AY102">
        <f t="shared" ref="AY102:AY107" si="119">SUM(AU102:AX102)</f>
        <v>3.7092367062927516</v>
      </c>
    </row>
    <row r="103" spans="1:53" ht="15" x14ac:dyDescent="0.25">
      <c r="A103" s="1"/>
      <c r="B103" s="2"/>
      <c r="C103" s="1" t="s">
        <v>9</v>
      </c>
      <c r="D103">
        <v>0</v>
      </c>
      <c r="E103" s="360">
        <v>0</v>
      </c>
      <c r="F103">
        <v>0</v>
      </c>
      <c r="G103">
        <v>0</v>
      </c>
      <c r="H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 s="20"/>
      <c r="P103" s="20"/>
      <c r="Q103" s="436"/>
      <c r="R103" s="197">
        <v>0.14000000000000001</v>
      </c>
      <c r="S103" s="197">
        <v>2.0499999999999998</v>
      </c>
      <c r="T103" s="197">
        <v>0.62857142857142845</v>
      </c>
      <c r="U103" s="197">
        <v>0.90789473684210531</v>
      </c>
      <c r="V103" s="20">
        <f t="shared" si="110"/>
        <v>0</v>
      </c>
      <c r="W103" s="20">
        <f t="shared" si="110"/>
        <v>0</v>
      </c>
      <c r="X103" s="20">
        <f t="shared" si="110"/>
        <v>0</v>
      </c>
      <c r="Y103" s="20">
        <f t="shared" si="110"/>
        <v>0</v>
      </c>
      <c r="Z103" s="20">
        <f t="shared" si="111"/>
        <v>0</v>
      </c>
      <c r="AA103" s="20">
        <f t="shared" si="111"/>
        <v>0</v>
      </c>
      <c r="AB103" s="20">
        <f t="shared" si="111"/>
        <v>0</v>
      </c>
      <c r="AC103" s="20">
        <f t="shared" si="111"/>
        <v>0</v>
      </c>
      <c r="AD103" s="20">
        <f t="shared" si="112"/>
        <v>0</v>
      </c>
      <c r="AE103" s="20">
        <f t="shared" si="113"/>
        <v>0</v>
      </c>
      <c r="AF103" s="20">
        <f t="shared" si="113"/>
        <v>0</v>
      </c>
      <c r="AG103" s="20">
        <f t="shared" si="113"/>
        <v>0</v>
      </c>
      <c r="AH103" s="20">
        <f t="shared" si="113"/>
        <v>0</v>
      </c>
      <c r="AI103" s="20">
        <f t="shared" si="114"/>
        <v>0</v>
      </c>
      <c r="AJ103" s="20">
        <f t="shared" si="114"/>
        <v>0</v>
      </c>
      <c r="AK103" s="20">
        <f t="shared" si="114"/>
        <v>0</v>
      </c>
      <c r="AL103" s="20">
        <f t="shared" si="114"/>
        <v>0</v>
      </c>
      <c r="AM103" s="20">
        <f t="shared" si="115"/>
        <v>0</v>
      </c>
      <c r="AO103">
        <f t="shared" si="116"/>
        <v>0</v>
      </c>
      <c r="AP103">
        <f t="shared" si="116"/>
        <v>0</v>
      </c>
      <c r="AQ103">
        <f t="shared" si="116"/>
        <v>0</v>
      </c>
      <c r="AR103">
        <f t="shared" si="116"/>
        <v>0</v>
      </c>
      <c r="AS103">
        <f t="shared" si="117"/>
        <v>0</v>
      </c>
      <c r="AU103">
        <f t="shared" si="118"/>
        <v>0</v>
      </c>
      <c r="AV103">
        <f t="shared" si="118"/>
        <v>0</v>
      </c>
      <c r="AW103">
        <f t="shared" si="118"/>
        <v>0</v>
      </c>
      <c r="AX103">
        <f t="shared" si="118"/>
        <v>0</v>
      </c>
      <c r="AY103">
        <f t="shared" si="119"/>
        <v>0</v>
      </c>
    </row>
    <row r="104" spans="1:53" ht="15" x14ac:dyDescent="0.25">
      <c r="A104" s="1"/>
      <c r="B104" s="2"/>
      <c r="C104" s="1" t="s">
        <v>10</v>
      </c>
      <c r="D104">
        <v>0</v>
      </c>
      <c r="E104" s="360">
        <v>0</v>
      </c>
      <c r="F104">
        <v>0</v>
      </c>
      <c r="G104">
        <v>0</v>
      </c>
      <c r="H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 s="20"/>
      <c r="P104" s="20"/>
      <c r="Q104" s="436"/>
      <c r="R104" s="197">
        <v>0.14000000000000001</v>
      </c>
      <c r="S104" s="197">
        <v>2.0499999999999998</v>
      </c>
      <c r="T104" s="197">
        <v>0.62857142857142845</v>
      </c>
      <c r="U104" s="197">
        <v>0.90789473684210531</v>
      </c>
      <c r="V104" s="20">
        <f t="shared" si="110"/>
        <v>0</v>
      </c>
      <c r="W104" s="20">
        <f t="shared" si="110"/>
        <v>0</v>
      </c>
      <c r="X104" s="20">
        <f t="shared" si="110"/>
        <v>0</v>
      </c>
      <c r="Y104" s="20">
        <f t="shared" si="110"/>
        <v>0</v>
      </c>
      <c r="Z104" s="20">
        <f t="shared" si="111"/>
        <v>0</v>
      </c>
      <c r="AA104" s="20">
        <f t="shared" si="111"/>
        <v>0</v>
      </c>
      <c r="AB104" s="20">
        <f t="shared" si="111"/>
        <v>0</v>
      </c>
      <c r="AC104" s="20">
        <f t="shared" si="111"/>
        <v>0</v>
      </c>
      <c r="AD104" s="20">
        <f t="shared" si="112"/>
        <v>0</v>
      </c>
      <c r="AE104" s="20">
        <f t="shared" si="113"/>
        <v>0</v>
      </c>
      <c r="AF104" s="20">
        <f t="shared" si="113"/>
        <v>0</v>
      </c>
      <c r="AG104" s="20">
        <f t="shared" si="113"/>
        <v>0</v>
      </c>
      <c r="AH104" s="20">
        <f t="shared" si="113"/>
        <v>0</v>
      </c>
      <c r="AI104" s="20">
        <f t="shared" si="114"/>
        <v>0</v>
      </c>
      <c r="AJ104" s="20">
        <f t="shared" si="114"/>
        <v>0</v>
      </c>
      <c r="AK104" s="20">
        <f t="shared" si="114"/>
        <v>0</v>
      </c>
      <c r="AL104" s="20">
        <f t="shared" si="114"/>
        <v>0</v>
      </c>
      <c r="AM104" s="20">
        <f t="shared" si="115"/>
        <v>0</v>
      </c>
      <c r="AO104">
        <f t="shared" si="116"/>
        <v>0</v>
      </c>
      <c r="AP104">
        <f t="shared" si="116"/>
        <v>0</v>
      </c>
      <c r="AQ104">
        <f t="shared" si="116"/>
        <v>0</v>
      </c>
      <c r="AR104">
        <f t="shared" si="116"/>
        <v>0</v>
      </c>
      <c r="AS104">
        <f t="shared" si="117"/>
        <v>0</v>
      </c>
      <c r="AU104">
        <f t="shared" si="118"/>
        <v>0</v>
      </c>
      <c r="AV104">
        <f t="shared" si="118"/>
        <v>0</v>
      </c>
      <c r="AW104">
        <f t="shared" si="118"/>
        <v>0</v>
      </c>
      <c r="AX104">
        <f t="shared" si="118"/>
        <v>0</v>
      </c>
      <c r="AY104">
        <f t="shared" si="119"/>
        <v>0</v>
      </c>
    </row>
    <row r="105" spans="1:53" ht="15" x14ac:dyDescent="0.25">
      <c r="A105" s="1"/>
      <c r="B105" s="2"/>
      <c r="C105" s="1" t="s">
        <v>11</v>
      </c>
      <c r="D105">
        <v>0</v>
      </c>
      <c r="E105" s="360">
        <v>6.8199999999999997E-2</v>
      </c>
      <c r="F105">
        <v>0</v>
      </c>
      <c r="G105">
        <v>0</v>
      </c>
      <c r="H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 s="20"/>
      <c r="P105" s="20"/>
      <c r="Q105" s="436">
        <v>5.708124228956437E-2</v>
      </c>
      <c r="R105" s="197">
        <v>0.14000000000000001</v>
      </c>
      <c r="S105" s="197">
        <v>2.0499999999999998</v>
      </c>
      <c r="T105" s="197">
        <v>0.62857142857142845</v>
      </c>
      <c r="U105" s="197">
        <v>0.90789473684210531</v>
      </c>
      <c r="V105" s="20">
        <f t="shared" si="110"/>
        <v>5.4501170138076061E-3</v>
      </c>
      <c r="W105" s="20">
        <f t="shared" si="110"/>
        <v>0</v>
      </c>
      <c r="X105" s="20">
        <f t="shared" si="110"/>
        <v>0</v>
      </c>
      <c r="Y105" s="20">
        <f t="shared" si="110"/>
        <v>0</v>
      </c>
      <c r="Z105" s="20">
        <f t="shared" si="111"/>
        <v>3.7952334972800798E-3</v>
      </c>
      <c r="AA105" s="20">
        <f t="shared" si="111"/>
        <v>0</v>
      </c>
      <c r="AB105" s="20">
        <f t="shared" si="111"/>
        <v>0</v>
      </c>
      <c r="AC105" s="20">
        <f t="shared" si="111"/>
        <v>0</v>
      </c>
      <c r="AD105" s="20">
        <f t="shared" si="112"/>
        <v>3.7952334972800798E-3</v>
      </c>
      <c r="AE105" s="20">
        <f t="shared" si="113"/>
        <v>7.9805284845039931E-2</v>
      </c>
      <c r="AF105" s="20">
        <f t="shared" si="113"/>
        <v>0</v>
      </c>
      <c r="AG105" s="20">
        <f t="shared" si="113"/>
        <v>0</v>
      </c>
      <c r="AH105" s="20">
        <f t="shared" si="113"/>
        <v>0</v>
      </c>
      <c r="AI105" s="20">
        <f t="shared" si="114"/>
        <v>7.3796282197729712E-2</v>
      </c>
      <c r="AJ105" s="20">
        <f t="shared" si="114"/>
        <v>0</v>
      </c>
      <c r="AK105" s="20">
        <f t="shared" si="114"/>
        <v>0</v>
      </c>
      <c r="AL105" s="20">
        <f t="shared" si="114"/>
        <v>0</v>
      </c>
      <c r="AM105" s="20">
        <f t="shared" si="115"/>
        <v>7.3796282197729712E-2</v>
      </c>
      <c r="AO105">
        <f t="shared" si="116"/>
        <v>3.8464691494933612E-3</v>
      </c>
      <c r="AP105">
        <f t="shared" si="116"/>
        <v>0</v>
      </c>
      <c r="AQ105">
        <f t="shared" si="116"/>
        <v>0</v>
      </c>
      <c r="AR105">
        <f t="shared" si="116"/>
        <v>0</v>
      </c>
      <c r="AS105">
        <f t="shared" si="117"/>
        <v>3.8464691494933612E-3</v>
      </c>
      <c r="AU105">
        <f t="shared" si="118"/>
        <v>7.4792532007399062E-2</v>
      </c>
      <c r="AV105">
        <f t="shared" si="118"/>
        <v>0</v>
      </c>
      <c r="AW105">
        <f t="shared" si="118"/>
        <v>0</v>
      </c>
      <c r="AX105">
        <f t="shared" si="118"/>
        <v>0</v>
      </c>
      <c r="AY105">
        <f t="shared" si="119"/>
        <v>7.4792532007399062E-2</v>
      </c>
    </row>
    <row r="106" spans="1:53" ht="15" x14ac:dyDescent="0.25">
      <c r="A106" s="1"/>
      <c r="B106" s="2"/>
      <c r="C106" s="1" t="s">
        <v>12</v>
      </c>
      <c r="D106">
        <v>0</v>
      </c>
      <c r="E106" s="360">
        <v>0</v>
      </c>
      <c r="F106">
        <v>0</v>
      </c>
      <c r="G106">
        <v>0</v>
      </c>
      <c r="H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 s="20"/>
      <c r="P106" s="20"/>
      <c r="Q106" s="436"/>
      <c r="R106" s="197">
        <v>0.14000000000000001</v>
      </c>
      <c r="S106" s="197">
        <v>2.0499999999999998</v>
      </c>
      <c r="T106" s="197">
        <v>0.62857142857142845</v>
      </c>
      <c r="U106" s="197">
        <v>0.90789473684210531</v>
      </c>
      <c r="V106" s="20">
        <f t="shared" si="110"/>
        <v>0</v>
      </c>
      <c r="W106" s="20">
        <f t="shared" si="110"/>
        <v>0</v>
      </c>
      <c r="X106" s="20">
        <f t="shared" si="110"/>
        <v>0</v>
      </c>
      <c r="Y106" s="20">
        <f t="shared" si="110"/>
        <v>0</v>
      </c>
      <c r="Z106" s="20">
        <f t="shared" si="111"/>
        <v>0</v>
      </c>
      <c r="AA106" s="20">
        <f t="shared" si="111"/>
        <v>0</v>
      </c>
      <c r="AB106" s="20">
        <f t="shared" si="111"/>
        <v>0</v>
      </c>
      <c r="AC106" s="20">
        <f t="shared" si="111"/>
        <v>0</v>
      </c>
      <c r="AD106" s="20">
        <f t="shared" si="112"/>
        <v>0</v>
      </c>
      <c r="AE106" s="20">
        <f t="shared" si="113"/>
        <v>0</v>
      </c>
      <c r="AF106" s="20">
        <f t="shared" si="113"/>
        <v>0</v>
      </c>
      <c r="AG106" s="20">
        <f t="shared" si="113"/>
        <v>0</v>
      </c>
      <c r="AH106" s="20">
        <f t="shared" si="113"/>
        <v>0</v>
      </c>
      <c r="AI106" s="20">
        <f t="shared" si="114"/>
        <v>0</v>
      </c>
      <c r="AJ106" s="20">
        <f t="shared" si="114"/>
        <v>0</v>
      </c>
      <c r="AK106" s="20">
        <f t="shared" si="114"/>
        <v>0</v>
      </c>
      <c r="AL106" s="20">
        <f t="shared" si="114"/>
        <v>0</v>
      </c>
      <c r="AM106" s="20">
        <f t="shared" si="115"/>
        <v>0</v>
      </c>
      <c r="AO106">
        <f t="shared" si="116"/>
        <v>0</v>
      </c>
      <c r="AP106">
        <f t="shared" si="116"/>
        <v>0</v>
      </c>
      <c r="AQ106">
        <f t="shared" si="116"/>
        <v>0</v>
      </c>
      <c r="AR106">
        <f t="shared" si="116"/>
        <v>0</v>
      </c>
      <c r="AS106">
        <f t="shared" si="117"/>
        <v>0</v>
      </c>
      <c r="AU106">
        <f t="shared" si="118"/>
        <v>0</v>
      </c>
      <c r="AV106">
        <f t="shared" si="118"/>
        <v>0</v>
      </c>
      <c r="AW106">
        <f t="shared" si="118"/>
        <v>0</v>
      </c>
      <c r="AX106">
        <f t="shared" si="118"/>
        <v>0</v>
      </c>
      <c r="AY106">
        <f t="shared" si="119"/>
        <v>0</v>
      </c>
    </row>
    <row r="107" spans="1:53" ht="15" x14ac:dyDescent="0.25">
      <c r="A107" s="1"/>
      <c r="B107" s="2"/>
      <c r="C107" s="1" t="s">
        <v>13</v>
      </c>
      <c r="D107">
        <v>0</v>
      </c>
      <c r="E107" s="360">
        <v>2.5700000000000001E-2</v>
      </c>
      <c r="F107">
        <v>0</v>
      </c>
      <c r="G107">
        <v>0</v>
      </c>
      <c r="H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0"/>
      <c r="P107" s="20"/>
      <c r="Q107" s="436">
        <v>5.708124228956437E-2</v>
      </c>
      <c r="R107" s="197">
        <v>0.14000000000000001</v>
      </c>
      <c r="S107" s="197">
        <v>2.0499999999999998</v>
      </c>
      <c r="T107" s="197">
        <v>0.62857142857142845</v>
      </c>
      <c r="U107" s="197">
        <v>0.90789473684210531</v>
      </c>
      <c r="V107" s="20">
        <f t="shared" si="110"/>
        <v>2.0537830975785264E-3</v>
      </c>
      <c r="W107" s="20">
        <f t="shared" si="110"/>
        <v>0</v>
      </c>
      <c r="X107" s="20">
        <f t="shared" si="110"/>
        <v>0</v>
      </c>
      <c r="Y107" s="20">
        <f t="shared" si="110"/>
        <v>0</v>
      </c>
      <c r="Z107" s="20">
        <f t="shared" si="111"/>
        <v>1.4301686346055436E-3</v>
      </c>
      <c r="AA107" s="20">
        <f t="shared" si="111"/>
        <v>0</v>
      </c>
      <c r="AB107" s="20">
        <f t="shared" si="111"/>
        <v>0</v>
      </c>
      <c r="AC107" s="20">
        <f t="shared" si="111"/>
        <v>0</v>
      </c>
      <c r="AD107" s="20">
        <f t="shared" si="112"/>
        <v>1.4301686346055436E-3</v>
      </c>
      <c r="AE107" s="20">
        <f t="shared" si="113"/>
        <v>3.007325250025699E-2</v>
      </c>
      <c r="AF107" s="20">
        <f t="shared" si="113"/>
        <v>0</v>
      </c>
      <c r="AG107" s="20">
        <f t="shared" si="113"/>
        <v>0</v>
      </c>
      <c r="AH107" s="20">
        <f t="shared" si="113"/>
        <v>0</v>
      </c>
      <c r="AI107" s="20">
        <f t="shared" si="114"/>
        <v>2.7808862939613696E-2</v>
      </c>
      <c r="AJ107" s="20">
        <f t="shared" si="114"/>
        <v>0</v>
      </c>
      <c r="AK107" s="20">
        <f t="shared" si="114"/>
        <v>0</v>
      </c>
      <c r="AL107" s="20">
        <f t="shared" si="114"/>
        <v>0</v>
      </c>
      <c r="AM107" s="20">
        <f t="shared" si="115"/>
        <v>2.7808862939613696E-2</v>
      </c>
      <c r="AO107">
        <f t="shared" si="116"/>
        <v>1.4494759111727184E-3</v>
      </c>
      <c r="AP107">
        <f t="shared" si="116"/>
        <v>0</v>
      </c>
      <c r="AQ107">
        <f t="shared" si="116"/>
        <v>0</v>
      </c>
      <c r="AR107">
        <f t="shared" si="116"/>
        <v>0</v>
      </c>
      <c r="AS107">
        <f t="shared" si="117"/>
        <v>1.4494759111727184E-3</v>
      </c>
      <c r="AU107">
        <f t="shared" si="118"/>
        <v>2.8184282589298483E-2</v>
      </c>
      <c r="AV107">
        <f t="shared" si="118"/>
        <v>0</v>
      </c>
      <c r="AW107">
        <f t="shared" si="118"/>
        <v>0</v>
      </c>
      <c r="AX107">
        <f t="shared" si="118"/>
        <v>0</v>
      </c>
      <c r="AY107">
        <f t="shared" si="119"/>
        <v>2.8184282589298483E-2</v>
      </c>
    </row>
    <row r="108" spans="1:53" ht="15" x14ac:dyDescent="0.25">
      <c r="A108" s="7"/>
      <c r="B108" s="8" t="s">
        <v>14</v>
      </c>
      <c r="C108" s="7"/>
      <c r="D108" s="357">
        <f t="shared" ref="D108:H108" si="120">SUM(D102:D107)</f>
        <v>0</v>
      </c>
      <c r="E108" s="363">
        <f>SUM(E102:E107)</f>
        <v>9.2785999999999991</v>
      </c>
      <c r="F108" s="357">
        <f t="shared" si="120"/>
        <v>0</v>
      </c>
      <c r="G108" s="357">
        <f t="shared" si="120"/>
        <v>0</v>
      </c>
      <c r="H108" s="357">
        <f t="shared" si="120"/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 s="20"/>
      <c r="P108" s="20"/>
      <c r="Q108" s="436">
        <v>2.1385249408879634E-2</v>
      </c>
      <c r="R108" s="197"/>
      <c r="S108" s="197"/>
      <c r="T108" s="197"/>
      <c r="U108" s="197"/>
      <c r="BA108" s="319">
        <f>(E108*10000*Q108*AU$10)</f>
        <v>2011.0391502996115</v>
      </c>
    </row>
    <row r="109" spans="1:53" ht="15" x14ac:dyDescent="0.25">
      <c r="A109" s="10"/>
      <c r="B109" s="9" t="s">
        <v>15</v>
      </c>
      <c r="C109" s="5"/>
      <c r="E109" s="363">
        <f>SUM(E108)</f>
        <v>9.2785999999999991</v>
      </c>
      <c r="H109" s="358">
        <f>SUM(D108:H108)</f>
        <v>9.2785999999999991</v>
      </c>
      <c r="K109" s="14"/>
      <c r="N109">
        <v>0</v>
      </c>
      <c r="O109" s="20"/>
      <c r="P109" s="20"/>
      <c r="Q109" s="436"/>
      <c r="R109" s="197"/>
      <c r="S109" s="197"/>
      <c r="T109" s="197"/>
      <c r="U109" s="197"/>
    </row>
    <row r="110" spans="1:53" ht="15.75" x14ac:dyDescent="0.25">
      <c r="A110" s="1"/>
      <c r="B110" s="2"/>
      <c r="C110" s="1"/>
      <c r="E110" s="361"/>
      <c r="K110" s="14"/>
      <c r="O110" s="20"/>
      <c r="P110" s="20"/>
      <c r="Q110" s="437"/>
      <c r="R110" s="197"/>
      <c r="S110" s="197"/>
      <c r="T110" s="197"/>
      <c r="U110" s="197"/>
    </row>
    <row r="111" spans="1:53" ht="15" x14ac:dyDescent="0.25">
      <c r="A111" s="1">
        <v>12</v>
      </c>
      <c r="B111" s="2" t="s">
        <v>26</v>
      </c>
      <c r="C111" s="1" t="s">
        <v>8</v>
      </c>
      <c r="D111">
        <v>0</v>
      </c>
      <c r="E111" s="360"/>
      <c r="F111">
        <v>0</v>
      </c>
      <c r="G111">
        <v>0</v>
      </c>
      <c r="H111">
        <v>0</v>
      </c>
      <c r="J111">
        <v>0</v>
      </c>
      <c r="K111" s="14">
        <v>0</v>
      </c>
      <c r="L111">
        <v>0</v>
      </c>
      <c r="M111">
        <v>0</v>
      </c>
      <c r="N111">
        <v>0</v>
      </c>
      <c r="O111" s="20"/>
      <c r="P111" s="20"/>
      <c r="Q111" s="436"/>
      <c r="R111" s="197">
        <v>6.531704360902256</v>
      </c>
      <c r="S111" s="197">
        <v>78.227142857142866</v>
      </c>
      <c r="T111" s="197">
        <v>0.5825685654008439</v>
      </c>
      <c r="U111" s="197">
        <v>0.90789473684210531</v>
      </c>
      <c r="V111" s="20">
        <f t="shared" ref="V111:Y116" si="121">IF(K111&gt;0,((E111-K111)*$Q111*$R111*10)+(K111*$O$12*$Q111*$R111*10),(E111*$Q111*$R111*10))</f>
        <v>0</v>
      </c>
      <c r="W111" s="20">
        <f t="shared" si="121"/>
        <v>0</v>
      </c>
      <c r="X111" s="20">
        <f t="shared" si="121"/>
        <v>0</v>
      </c>
      <c r="Y111" s="20">
        <f t="shared" si="121"/>
        <v>0</v>
      </c>
      <c r="Z111" s="20">
        <f t="shared" ref="Z111:AC116" si="122">V111*(EXP(1.01-0.34*LN(Z$8))*(1-$T111)+(1*$T111))</f>
        <v>0</v>
      </c>
      <c r="AA111" s="20">
        <f t="shared" si="122"/>
        <v>0</v>
      </c>
      <c r="AB111" s="20">
        <f t="shared" si="122"/>
        <v>0</v>
      </c>
      <c r="AC111" s="20">
        <f t="shared" si="122"/>
        <v>0</v>
      </c>
      <c r="AD111" s="20">
        <f t="shared" ref="AD111:AD116" si="123">SUM(Z111:AC111)</f>
        <v>0</v>
      </c>
      <c r="AE111" s="20">
        <f t="shared" ref="AE111:AH116" si="124">IF(K111&gt;0,((E111-K111)*$Q111*$S111*10)+(K111*$P$12*$Q111*$S111)*10,(E111*$Q111*$S111*10))</f>
        <v>0</v>
      </c>
      <c r="AF111" s="20">
        <f t="shared" si="124"/>
        <v>0</v>
      </c>
      <c r="AG111" s="20">
        <f t="shared" si="124"/>
        <v>0</v>
      </c>
      <c r="AH111" s="20">
        <f t="shared" si="124"/>
        <v>0</v>
      </c>
      <c r="AI111" s="20">
        <f t="shared" ref="AI111:AL116" si="125">AE111*(EXP(1.01-0.34*LN(AI$8))*(1-$U111)+(1*$U111))</f>
        <v>0</v>
      </c>
      <c r="AJ111" s="20">
        <f t="shared" si="125"/>
        <v>0</v>
      </c>
      <c r="AK111" s="20">
        <f t="shared" si="125"/>
        <v>0</v>
      </c>
      <c r="AL111" s="20">
        <f t="shared" si="125"/>
        <v>0</v>
      </c>
      <c r="AM111" s="20">
        <f t="shared" ref="AM111:AM116" si="126">SUM(AI111:AL111)</f>
        <v>0</v>
      </c>
      <c r="AO111">
        <f t="shared" ref="AO111:AR116" si="127">Z111*AO$10</f>
        <v>0</v>
      </c>
      <c r="AP111">
        <f t="shared" si="127"/>
        <v>0</v>
      </c>
      <c r="AQ111">
        <f t="shared" si="127"/>
        <v>0</v>
      </c>
      <c r="AR111">
        <f t="shared" si="127"/>
        <v>0</v>
      </c>
      <c r="AS111">
        <f t="shared" ref="AS111:AS116" si="128">SUM(AO111:AR111)</f>
        <v>0</v>
      </c>
      <c r="AU111">
        <f t="shared" ref="AU111:AX116" si="129">AI111*AU$10</f>
        <v>0</v>
      </c>
      <c r="AV111">
        <f t="shared" si="129"/>
        <v>0</v>
      </c>
      <c r="AW111">
        <f t="shared" si="129"/>
        <v>0</v>
      </c>
      <c r="AX111">
        <f t="shared" si="129"/>
        <v>0</v>
      </c>
      <c r="AY111">
        <f t="shared" ref="AY111:AY116" si="130">SUM(AU111:AX111)</f>
        <v>0</v>
      </c>
    </row>
    <row r="112" spans="1:53" ht="15" x14ac:dyDescent="0.25">
      <c r="A112" s="1"/>
      <c r="B112" s="2"/>
      <c r="C112" s="1" t="s">
        <v>9</v>
      </c>
      <c r="D112">
        <v>0</v>
      </c>
      <c r="E112" s="360"/>
      <c r="F112">
        <v>0</v>
      </c>
      <c r="G112">
        <v>0</v>
      </c>
      <c r="H112">
        <v>0</v>
      </c>
      <c r="J112">
        <v>0</v>
      </c>
      <c r="K112" s="14">
        <v>0</v>
      </c>
      <c r="L112">
        <v>0</v>
      </c>
      <c r="M112">
        <v>0</v>
      </c>
      <c r="N112">
        <v>0</v>
      </c>
      <c r="O112" s="20"/>
      <c r="P112" s="20"/>
      <c r="Q112" s="436"/>
      <c r="R112" s="197">
        <v>6.531704360902256</v>
      </c>
      <c r="S112" s="197">
        <v>78.227142857142866</v>
      </c>
      <c r="T112" s="197">
        <v>0.5825685654008439</v>
      </c>
      <c r="U112" s="197">
        <v>0.90789473684210531</v>
      </c>
      <c r="V112" s="20">
        <f t="shared" si="121"/>
        <v>0</v>
      </c>
      <c r="W112" s="20">
        <f t="shared" si="121"/>
        <v>0</v>
      </c>
      <c r="X112" s="20">
        <f t="shared" si="121"/>
        <v>0</v>
      </c>
      <c r="Y112" s="20">
        <f t="shared" si="121"/>
        <v>0</v>
      </c>
      <c r="Z112" s="20">
        <f t="shared" si="122"/>
        <v>0</v>
      </c>
      <c r="AA112" s="20">
        <f t="shared" si="122"/>
        <v>0</v>
      </c>
      <c r="AB112" s="20">
        <f t="shared" si="122"/>
        <v>0</v>
      </c>
      <c r="AC112" s="20">
        <f t="shared" si="122"/>
        <v>0</v>
      </c>
      <c r="AD112" s="20">
        <f t="shared" si="123"/>
        <v>0</v>
      </c>
      <c r="AE112" s="20">
        <f t="shared" si="124"/>
        <v>0</v>
      </c>
      <c r="AF112" s="20">
        <f t="shared" si="124"/>
        <v>0</v>
      </c>
      <c r="AG112" s="20">
        <f t="shared" si="124"/>
        <v>0</v>
      </c>
      <c r="AH112" s="20">
        <f t="shared" si="124"/>
        <v>0</v>
      </c>
      <c r="AI112" s="20">
        <f t="shared" si="125"/>
        <v>0</v>
      </c>
      <c r="AJ112" s="20">
        <f t="shared" si="125"/>
        <v>0</v>
      </c>
      <c r="AK112" s="20">
        <f t="shared" si="125"/>
        <v>0</v>
      </c>
      <c r="AL112" s="20">
        <f t="shared" si="125"/>
        <v>0</v>
      </c>
      <c r="AM112" s="20">
        <f t="shared" si="126"/>
        <v>0</v>
      </c>
      <c r="AO112">
        <f t="shared" si="127"/>
        <v>0</v>
      </c>
      <c r="AP112">
        <f t="shared" si="127"/>
        <v>0</v>
      </c>
      <c r="AQ112">
        <f t="shared" si="127"/>
        <v>0</v>
      </c>
      <c r="AR112">
        <f t="shared" si="127"/>
        <v>0</v>
      </c>
      <c r="AS112">
        <f t="shared" si="128"/>
        <v>0</v>
      </c>
      <c r="AU112">
        <f t="shared" si="129"/>
        <v>0</v>
      </c>
      <c r="AV112">
        <f t="shared" si="129"/>
        <v>0</v>
      </c>
      <c r="AW112">
        <f t="shared" si="129"/>
        <v>0</v>
      </c>
      <c r="AX112">
        <f t="shared" si="129"/>
        <v>0</v>
      </c>
      <c r="AY112">
        <f t="shared" si="130"/>
        <v>0</v>
      </c>
    </row>
    <row r="113" spans="1:53" ht="15" x14ac:dyDescent="0.25">
      <c r="A113" s="1"/>
      <c r="B113" s="2"/>
      <c r="C113" s="1" t="s">
        <v>10</v>
      </c>
      <c r="D113">
        <v>0</v>
      </c>
      <c r="E113" s="360"/>
      <c r="F113">
        <v>0</v>
      </c>
      <c r="G113">
        <v>0</v>
      </c>
      <c r="H113">
        <v>0</v>
      </c>
      <c r="J113">
        <v>0</v>
      </c>
      <c r="K113" s="14">
        <v>0</v>
      </c>
      <c r="L113">
        <v>0</v>
      </c>
      <c r="M113">
        <v>0</v>
      </c>
      <c r="N113">
        <v>0</v>
      </c>
      <c r="O113" s="20"/>
      <c r="P113" s="20"/>
      <c r="Q113" s="436"/>
      <c r="R113" s="197">
        <v>6.531704360902256</v>
      </c>
      <c r="S113" s="197">
        <v>78.227142857142866</v>
      </c>
      <c r="T113" s="197">
        <v>0.5825685654008439</v>
      </c>
      <c r="U113" s="197">
        <v>0.90789473684210531</v>
      </c>
      <c r="V113" s="20">
        <f t="shared" si="121"/>
        <v>0</v>
      </c>
      <c r="W113" s="20">
        <f t="shared" si="121"/>
        <v>0</v>
      </c>
      <c r="X113" s="20">
        <f t="shared" si="121"/>
        <v>0</v>
      </c>
      <c r="Y113" s="20">
        <f t="shared" si="121"/>
        <v>0</v>
      </c>
      <c r="Z113" s="20">
        <f t="shared" si="122"/>
        <v>0</v>
      </c>
      <c r="AA113" s="20">
        <f t="shared" si="122"/>
        <v>0</v>
      </c>
      <c r="AB113" s="20">
        <f t="shared" si="122"/>
        <v>0</v>
      </c>
      <c r="AC113" s="20">
        <f t="shared" si="122"/>
        <v>0</v>
      </c>
      <c r="AD113" s="20">
        <f t="shared" si="123"/>
        <v>0</v>
      </c>
      <c r="AE113" s="20">
        <f t="shared" si="124"/>
        <v>0</v>
      </c>
      <c r="AF113" s="20">
        <f t="shared" si="124"/>
        <v>0</v>
      </c>
      <c r="AG113" s="20">
        <f t="shared" si="124"/>
        <v>0</v>
      </c>
      <c r="AH113" s="20">
        <f t="shared" si="124"/>
        <v>0</v>
      </c>
      <c r="AI113" s="20">
        <f t="shared" si="125"/>
        <v>0</v>
      </c>
      <c r="AJ113" s="20">
        <f t="shared" si="125"/>
        <v>0</v>
      </c>
      <c r="AK113" s="20">
        <f t="shared" si="125"/>
        <v>0</v>
      </c>
      <c r="AL113" s="20">
        <f t="shared" si="125"/>
        <v>0</v>
      </c>
      <c r="AM113" s="20">
        <f t="shared" si="126"/>
        <v>0</v>
      </c>
      <c r="AO113">
        <f t="shared" si="127"/>
        <v>0</v>
      </c>
      <c r="AP113">
        <f t="shared" si="127"/>
        <v>0</v>
      </c>
      <c r="AQ113">
        <f t="shared" si="127"/>
        <v>0</v>
      </c>
      <c r="AR113">
        <f t="shared" si="127"/>
        <v>0</v>
      </c>
      <c r="AS113">
        <f t="shared" si="128"/>
        <v>0</v>
      </c>
      <c r="AU113">
        <f t="shared" si="129"/>
        <v>0</v>
      </c>
      <c r="AV113">
        <f t="shared" si="129"/>
        <v>0</v>
      </c>
      <c r="AW113">
        <f t="shared" si="129"/>
        <v>0</v>
      </c>
      <c r="AX113">
        <f t="shared" si="129"/>
        <v>0</v>
      </c>
      <c r="AY113">
        <f t="shared" si="130"/>
        <v>0</v>
      </c>
    </row>
    <row r="114" spans="1:53" ht="15" x14ac:dyDescent="0.25">
      <c r="A114" s="1"/>
      <c r="B114" s="2"/>
      <c r="C114" s="1" t="s">
        <v>11</v>
      </c>
      <c r="D114">
        <v>0</v>
      </c>
      <c r="E114" s="360"/>
      <c r="F114">
        <v>0</v>
      </c>
      <c r="G114">
        <v>0</v>
      </c>
      <c r="H114">
        <v>0</v>
      </c>
      <c r="J114">
        <v>0</v>
      </c>
      <c r="K114" s="14">
        <v>0</v>
      </c>
      <c r="L114">
        <v>0</v>
      </c>
      <c r="M114">
        <v>0</v>
      </c>
      <c r="N114">
        <v>0</v>
      </c>
      <c r="O114" s="20"/>
      <c r="P114" s="20"/>
      <c r="Q114" s="436"/>
      <c r="R114" s="197">
        <v>6.531704360902256</v>
      </c>
      <c r="S114" s="197">
        <v>78.227142857142866</v>
      </c>
      <c r="T114" s="197">
        <v>0.5825685654008439</v>
      </c>
      <c r="U114" s="197">
        <v>0.90789473684210531</v>
      </c>
      <c r="V114" s="20">
        <f t="shared" si="121"/>
        <v>0</v>
      </c>
      <c r="W114" s="20">
        <f t="shared" si="121"/>
        <v>0</v>
      </c>
      <c r="X114" s="20">
        <f t="shared" si="121"/>
        <v>0</v>
      </c>
      <c r="Y114" s="20">
        <f t="shared" si="121"/>
        <v>0</v>
      </c>
      <c r="Z114" s="20">
        <f t="shared" si="122"/>
        <v>0</v>
      </c>
      <c r="AA114" s="20">
        <f t="shared" si="122"/>
        <v>0</v>
      </c>
      <c r="AB114" s="20">
        <f t="shared" si="122"/>
        <v>0</v>
      </c>
      <c r="AC114" s="20">
        <f t="shared" si="122"/>
        <v>0</v>
      </c>
      <c r="AD114" s="20">
        <f t="shared" si="123"/>
        <v>0</v>
      </c>
      <c r="AE114" s="20">
        <f t="shared" si="124"/>
        <v>0</v>
      </c>
      <c r="AF114" s="20">
        <f t="shared" si="124"/>
        <v>0</v>
      </c>
      <c r="AG114" s="20">
        <f t="shared" si="124"/>
        <v>0</v>
      </c>
      <c r="AH114" s="20">
        <f t="shared" si="124"/>
        <v>0</v>
      </c>
      <c r="AI114" s="20">
        <f t="shared" si="125"/>
        <v>0</v>
      </c>
      <c r="AJ114" s="20">
        <f t="shared" si="125"/>
        <v>0</v>
      </c>
      <c r="AK114" s="20">
        <f t="shared" si="125"/>
        <v>0</v>
      </c>
      <c r="AL114" s="20">
        <f t="shared" si="125"/>
        <v>0</v>
      </c>
      <c r="AM114" s="20">
        <f t="shared" si="126"/>
        <v>0</v>
      </c>
      <c r="AO114">
        <f t="shared" si="127"/>
        <v>0</v>
      </c>
      <c r="AP114">
        <f t="shared" si="127"/>
        <v>0</v>
      </c>
      <c r="AQ114">
        <f t="shared" si="127"/>
        <v>0</v>
      </c>
      <c r="AR114">
        <f t="shared" si="127"/>
        <v>0</v>
      </c>
      <c r="AS114">
        <f t="shared" si="128"/>
        <v>0</v>
      </c>
      <c r="AU114">
        <f t="shared" si="129"/>
        <v>0</v>
      </c>
      <c r="AV114">
        <f t="shared" si="129"/>
        <v>0</v>
      </c>
      <c r="AW114">
        <f t="shared" si="129"/>
        <v>0</v>
      </c>
      <c r="AX114">
        <f t="shared" si="129"/>
        <v>0</v>
      </c>
      <c r="AY114">
        <f t="shared" si="130"/>
        <v>0</v>
      </c>
    </row>
    <row r="115" spans="1:53" ht="15" x14ac:dyDescent="0.25">
      <c r="A115" s="1"/>
      <c r="B115" s="2"/>
      <c r="C115" s="1" t="s">
        <v>12</v>
      </c>
      <c r="D115">
        <v>0</v>
      </c>
      <c r="E115" s="360"/>
      <c r="F115">
        <v>0</v>
      </c>
      <c r="G115">
        <v>0</v>
      </c>
      <c r="H115">
        <v>0</v>
      </c>
      <c r="J115">
        <v>0</v>
      </c>
      <c r="K115" s="14">
        <v>0</v>
      </c>
      <c r="L115">
        <v>0</v>
      </c>
      <c r="M115">
        <v>0</v>
      </c>
      <c r="N115">
        <v>0</v>
      </c>
      <c r="O115" s="20"/>
      <c r="P115" s="20"/>
      <c r="Q115" s="436"/>
      <c r="R115" s="197">
        <v>6.531704360902256</v>
      </c>
      <c r="S115" s="197">
        <v>78.227142857142866</v>
      </c>
      <c r="T115" s="197">
        <v>0.5825685654008439</v>
      </c>
      <c r="U115" s="197">
        <v>0.90789473684210531</v>
      </c>
      <c r="V115" s="20">
        <f t="shared" si="121"/>
        <v>0</v>
      </c>
      <c r="W115" s="20">
        <f t="shared" si="121"/>
        <v>0</v>
      </c>
      <c r="X115" s="20">
        <f t="shared" si="121"/>
        <v>0</v>
      </c>
      <c r="Y115" s="20">
        <f t="shared" si="121"/>
        <v>0</v>
      </c>
      <c r="Z115" s="20">
        <f t="shared" si="122"/>
        <v>0</v>
      </c>
      <c r="AA115" s="20">
        <f t="shared" si="122"/>
        <v>0</v>
      </c>
      <c r="AB115" s="20">
        <f t="shared" si="122"/>
        <v>0</v>
      </c>
      <c r="AC115" s="20">
        <f t="shared" si="122"/>
        <v>0</v>
      </c>
      <c r="AD115" s="20">
        <f t="shared" si="123"/>
        <v>0</v>
      </c>
      <c r="AE115" s="20">
        <f t="shared" si="124"/>
        <v>0</v>
      </c>
      <c r="AF115" s="20">
        <f t="shared" si="124"/>
        <v>0</v>
      </c>
      <c r="AG115" s="20">
        <f t="shared" si="124"/>
        <v>0</v>
      </c>
      <c r="AH115" s="20">
        <f t="shared" si="124"/>
        <v>0</v>
      </c>
      <c r="AI115" s="20">
        <f t="shared" si="125"/>
        <v>0</v>
      </c>
      <c r="AJ115" s="20">
        <f t="shared" si="125"/>
        <v>0</v>
      </c>
      <c r="AK115" s="20">
        <f t="shared" si="125"/>
        <v>0</v>
      </c>
      <c r="AL115" s="20">
        <f t="shared" si="125"/>
        <v>0</v>
      </c>
      <c r="AM115" s="20">
        <f t="shared" si="126"/>
        <v>0</v>
      </c>
      <c r="AO115">
        <f t="shared" si="127"/>
        <v>0</v>
      </c>
      <c r="AP115">
        <f t="shared" si="127"/>
        <v>0</v>
      </c>
      <c r="AQ115">
        <f t="shared" si="127"/>
        <v>0</v>
      </c>
      <c r="AR115">
        <f t="shared" si="127"/>
        <v>0</v>
      </c>
      <c r="AS115">
        <f t="shared" si="128"/>
        <v>0</v>
      </c>
      <c r="AU115">
        <f t="shared" si="129"/>
        <v>0</v>
      </c>
      <c r="AV115">
        <f t="shared" si="129"/>
        <v>0</v>
      </c>
      <c r="AW115">
        <f t="shared" si="129"/>
        <v>0</v>
      </c>
      <c r="AX115">
        <f t="shared" si="129"/>
        <v>0</v>
      </c>
      <c r="AY115">
        <f t="shared" si="130"/>
        <v>0</v>
      </c>
    </row>
    <row r="116" spans="1:53" ht="15" x14ac:dyDescent="0.25">
      <c r="A116" s="1"/>
      <c r="B116" s="2"/>
      <c r="C116" s="1" t="s">
        <v>13</v>
      </c>
      <c r="D116">
        <v>0</v>
      </c>
      <c r="E116" s="360"/>
      <c r="F116">
        <v>0</v>
      </c>
      <c r="G116">
        <v>0</v>
      </c>
      <c r="H116">
        <v>0</v>
      </c>
      <c r="J116">
        <v>0</v>
      </c>
      <c r="K116" s="14">
        <v>0</v>
      </c>
      <c r="L116">
        <v>0</v>
      </c>
      <c r="M116">
        <v>0</v>
      </c>
      <c r="N116">
        <v>0</v>
      </c>
      <c r="O116" s="20"/>
      <c r="P116" s="20"/>
      <c r="Q116" s="436"/>
      <c r="R116" s="197">
        <v>6.531704360902256</v>
      </c>
      <c r="S116" s="197">
        <v>78.227142857142866</v>
      </c>
      <c r="T116" s="197">
        <v>0.5825685654008439</v>
      </c>
      <c r="U116" s="197">
        <v>0.90789473684210531</v>
      </c>
      <c r="V116" s="20">
        <f t="shared" si="121"/>
        <v>0</v>
      </c>
      <c r="W116" s="20">
        <f t="shared" si="121"/>
        <v>0</v>
      </c>
      <c r="X116" s="20">
        <f t="shared" si="121"/>
        <v>0</v>
      </c>
      <c r="Y116" s="20">
        <f t="shared" si="121"/>
        <v>0</v>
      </c>
      <c r="Z116" s="20">
        <f t="shared" si="122"/>
        <v>0</v>
      </c>
      <c r="AA116" s="20">
        <f t="shared" si="122"/>
        <v>0</v>
      </c>
      <c r="AB116" s="20">
        <f t="shared" si="122"/>
        <v>0</v>
      </c>
      <c r="AC116" s="20">
        <f t="shared" si="122"/>
        <v>0</v>
      </c>
      <c r="AD116" s="20">
        <f t="shared" si="123"/>
        <v>0</v>
      </c>
      <c r="AE116" s="20">
        <f t="shared" si="124"/>
        <v>0</v>
      </c>
      <c r="AF116" s="20">
        <f t="shared" si="124"/>
        <v>0</v>
      </c>
      <c r="AG116" s="20">
        <f t="shared" si="124"/>
        <v>0</v>
      </c>
      <c r="AH116" s="20">
        <f t="shared" si="124"/>
        <v>0</v>
      </c>
      <c r="AI116" s="20">
        <f t="shared" si="125"/>
        <v>0</v>
      </c>
      <c r="AJ116" s="20">
        <f t="shared" si="125"/>
        <v>0</v>
      </c>
      <c r="AK116" s="20">
        <f t="shared" si="125"/>
        <v>0</v>
      </c>
      <c r="AL116" s="20">
        <f t="shared" si="125"/>
        <v>0</v>
      </c>
      <c r="AM116" s="20">
        <f t="shared" si="126"/>
        <v>0</v>
      </c>
      <c r="AO116">
        <f t="shared" si="127"/>
        <v>0</v>
      </c>
      <c r="AP116">
        <f t="shared" si="127"/>
        <v>0</v>
      </c>
      <c r="AQ116">
        <f t="shared" si="127"/>
        <v>0</v>
      </c>
      <c r="AR116">
        <f t="shared" si="127"/>
        <v>0</v>
      </c>
      <c r="AS116">
        <f t="shared" si="128"/>
        <v>0</v>
      </c>
      <c r="AU116">
        <f t="shared" si="129"/>
        <v>0</v>
      </c>
      <c r="AV116">
        <f t="shared" si="129"/>
        <v>0</v>
      </c>
      <c r="AW116">
        <f t="shared" si="129"/>
        <v>0</v>
      </c>
      <c r="AX116">
        <f t="shared" si="129"/>
        <v>0</v>
      </c>
      <c r="AY116">
        <f t="shared" si="130"/>
        <v>0</v>
      </c>
    </row>
    <row r="117" spans="1:53" ht="15" x14ac:dyDescent="0.25">
      <c r="A117" s="7"/>
      <c r="B117" s="8" t="s">
        <v>14</v>
      </c>
      <c r="C117" s="7"/>
      <c r="D117" s="357">
        <f t="shared" ref="D117:H117" si="131">SUM(D111:D116)</f>
        <v>0</v>
      </c>
      <c r="E117" s="363">
        <f>SUM(E111:E116)</f>
        <v>0</v>
      </c>
      <c r="F117" s="357">
        <f t="shared" si="131"/>
        <v>0</v>
      </c>
      <c r="G117" s="357">
        <f t="shared" si="131"/>
        <v>0</v>
      </c>
      <c r="H117" s="357">
        <f t="shared" si="131"/>
        <v>0</v>
      </c>
      <c r="J117">
        <v>0</v>
      </c>
      <c r="K117" s="14">
        <v>0</v>
      </c>
      <c r="L117">
        <v>0</v>
      </c>
      <c r="M117">
        <v>0</v>
      </c>
      <c r="N117">
        <v>0</v>
      </c>
      <c r="O117" s="20"/>
      <c r="P117" s="20"/>
      <c r="Q117" s="436"/>
      <c r="R117" s="197"/>
      <c r="S117" s="197"/>
      <c r="T117" s="197"/>
      <c r="U117" s="197"/>
      <c r="BA117" s="319">
        <f>(E117*10000*Q117*AU$10)</f>
        <v>0</v>
      </c>
    </row>
    <row r="118" spans="1:53" ht="15" x14ac:dyDescent="0.25">
      <c r="A118" s="10"/>
      <c r="B118" s="9" t="s">
        <v>15</v>
      </c>
      <c r="C118" s="5"/>
      <c r="E118" s="363">
        <f>SUM(E117)</f>
        <v>0</v>
      </c>
      <c r="H118" s="358">
        <f>SUM(D117:H117)</f>
        <v>0</v>
      </c>
      <c r="K118" s="14"/>
      <c r="N118">
        <v>0</v>
      </c>
      <c r="O118" s="20"/>
      <c r="P118" s="20"/>
      <c r="Q118" s="436"/>
      <c r="R118" s="197"/>
      <c r="S118" s="197"/>
      <c r="T118" s="197"/>
      <c r="U118" s="197"/>
    </row>
    <row r="119" spans="1:53" ht="15.75" x14ac:dyDescent="0.25">
      <c r="A119" s="1"/>
      <c r="B119" s="2"/>
      <c r="C119" s="1"/>
      <c r="E119" s="361"/>
      <c r="K119" s="14"/>
      <c r="O119" s="20"/>
      <c r="P119" s="20"/>
      <c r="Q119" s="437"/>
      <c r="R119" s="197"/>
      <c r="S119" s="197"/>
      <c r="T119" s="197"/>
      <c r="U119" s="197"/>
    </row>
    <row r="120" spans="1:53" ht="15" x14ac:dyDescent="0.25">
      <c r="A120" s="1">
        <v>13</v>
      </c>
      <c r="B120" s="2" t="s">
        <v>27</v>
      </c>
      <c r="C120" s="1" t="s">
        <v>8</v>
      </c>
      <c r="D120">
        <v>0</v>
      </c>
      <c r="E120" s="360">
        <v>6.2455999999999996</v>
      </c>
      <c r="F120">
        <v>0</v>
      </c>
      <c r="G120">
        <v>0</v>
      </c>
      <c r="H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 s="20"/>
      <c r="P120" s="20"/>
      <c r="Q120" s="436">
        <v>2.102031057239109E-2</v>
      </c>
      <c r="R120" s="197">
        <v>0.49226666666666663</v>
      </c>
      <c r="S120" s="197">
        <v>2.8337500000000002</v>
      </c>
      <c r="T120" s="197">
        <v>0.68718466195761863</v>
      </c>
      <c r="U120" s="197">
        <v>0.90789473684210531</v>
      </c>
      <c r="V120" s="20">
        <f t="shared" ref="V120:Y125" si="132">IF(K120&gt;0,((E120-K120)*$Q120*$R120*10)+(K120*$O$12*$Q120*$R120*10),(E120*$Q120*$R120*10))</f>
        <v>0.64626959428898401</v>
      </c>
      <c r="W120" s="20">
        <f t="shared" si="132"/>
        <v>0</v>
      </c>
      <c r="X120" s="20">
        <f t="shared" si="132"/>
        <v>0</v>
      </c>
      <c r="Y120" s="20">
        <f t="shared" si="132"/>
        <v>0</v>
      </c>
      <c r="Z120" s="20">
        <f t="shared" ref="Z120:AC125" si="133">V120*(EXP(1.01-0.34*LN(Z$8))*(1-$T120)+(1*$T120))</f>
        <v>0.48100186556387536</v>
      </c>
      <c r="AA120" s="20">
        <f t="shared" si="133"/>
        <v>0</v>
      </c>
      <c r="AB120" s="20">
        <f t="shared" si="133"/>
        <v>0</v>
      </c>
      <c r="AC120" s="20">
        <f t="shared" si="133"/>
        <v>0</v>
      </c>
      <c r="AD120" s="20">
        <f t="shared" ref="AD120:AD125" si="134">SUM(Z120:AC120)</f>
        <v>0.48100186556387536</v>
      </c>
      <c r="AE120" s="20">
        <f t="shared" ref="AE120:AH125" si="135">IF(K120&gt;0,((E120-K120)*$Q120*$S120*10)+(K120*$P$12*$Q120*$S120)*10,(E120*$Q120*$S120*10))</f>
        <v>3.7202731503583597</v>
      </c>
      <c r="AF120" s="20">
        <f t="shared" si="135"/>
        <v>0</v>
      </c>
      <c r="AG120" s="20">
        <f t="shared" si="135"/>
        <v>0</v>
      </c>
      <c r="AH120" s="20">
        <f t="shared" si="135"/>
        <v>0</v>
      </c>
      <c r="AI120" s="20">
        <f t="shared" ref="AI120:AL125" si="136">AE120*(EXP(1.01-0.34*LN(AI$8))*(1-$U120)+(1*$U120))</f>
        <v>3.4401522128461628</v>
      </c>
      <c r="AJ120" s="20">
        <f t="shared" si="136"/>
        <v>0</v>
      </c>
      <c r="AK120" s="20">
        <f t="shared" si="136"/>
        <v>0</v>
      </c>
      <c r="AL120" s="20">
        <f t="shared" si="136"/>
        <v>0</v>
      </c>
      <c r="AM120" s="20">
        <f t="shared" ref="AM120:AM125" si="137">SUM(AI120:AL120)</f>
        <v>3.4401522128461628</v>
      </c>
      <c r="AO120">
        <f t="shared" ref="AO120:AR125" si="138">Z120*AO$10</f>
        <v>0.48749539074898773</v>
      </c>
      <c r="AP120">
        <f t="shared" si="138"/>
        <v>0</v>
      </c>
      <c r="AQ120">
        <f t="shared" si="138"/>
        <v>0</v>
      </c>
      <c r="AR120">
        <f t="shared" si="138"/>
        <v>0</v>
      </c>
      <c r="AS120">
        <f t="shared" ref="AS120:AS125" si="139">SUM(AO120:AR120)</f>
        <v>0.48749539074898773</v>
      </c>
      <c r="AU120">
        <f t="shared" ref="AU120:AX125" si="140">AI120*AU$10</f>
        <v>3.4865942677195862</v>
      </c>
      <c r="AV120">
        <f t="shared" si="140"/>
        <v>0</v>
      </c>
      <c r="AW120">
        <f t="shared" si="140"/>
        <v>0</v>
      </c>
      <c r="AX120">
        <f t="shared" si="140"/>
        <v>0</v>
      </c>
      <c r="AY120">
        <f t="shared" ref="AY120:AY125" si="141">SUM(AU120:AX120)</f>
        <v>3.4865942677195862</v>
      </c>
    </row>
    <row r="121" spans="1:53" ht="15" x14ac:dyDescent="0.25">
      <c r="A121" s="1"/>
      <c r="B121" s="2"/>
      <c r="C121" s="1" t="s">
        <v>9</v>
      </c>
      <c r="D121">
        <v>0</v>
      </c>
      <c r="E121" s="360">
        <v>0.30580000000000002</v>
      </c>
      <c r="F121">
        <v>0</v>
      </c>
      <c r="G121">
        <v>0</v>
      </c>
      <c r="H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20"/>
      <c r="P121" s="20"/>
      <c r="Q121" s="436">
        <v>3.3040621144782185E-2</v>
      </c>
      <c r="R121" s="197">
        <v>0.49226666666666663</v>
      </c>
      <c r="S121" s="197">
        <v>2.8337500000000002</v>
      </c>
      <c r="T121" s="197">
        <v>0.68718466195761863</v>
      </c>
      <c r="U121" s="197">
        <v>0.90789473684210531</v>
      </c>
      <c r="V121" s="20">
        <f t="shared" si="132"/>
        <v>4.9737747499875543E-2</v>
      </c>
      <c r="W121" s="20">
        <f t="shared" si="132"/>
        <v>0</v>
      </c>
      <c r="X121" s="20">
        <f t="shared" si="132"/>
        <v>0</v>
      </c>
      <c r="Y121" s="20">
        <f t="shared" si="132"/>
        <v>0</v>
      </c>
      <c r="Z121" s="20">
        <f t="shared" si="133"/>
        <v>3.7018528409503593E-2</v>
      </c>
      <c r="AA121" s="20">
        <f t="shared" si="133"/>
        <v>0</v>
      </c>
      <c r="AB121" s="20">
        <f t="shared" si="133"/>
        <v>0</v>
      </c>
      <c r="AC121" s="20">
        <f t="shared" si="133"/>
        <v>0</v>
      </c>
      <c r="AD121" s="20">
        <f t="shared" si="134"/>
        <v>3.7018528409503593E-2</v>
      </c>
      <c r="AE121" s="20">
        <f t="shared" si="135"/>
        <v>0.28631705439688315</v>
      </c>
      <c r="AF121" s="20">
        <f t="shared" si="135"/>
        <v>0</v>
      </c>
      <c r="AG121" s="20">
        <f t="shared" si="135"/>
        <v>0</v>
      </c>
      <c r="AH121" s="20">
        <f t="shared" si="135"/>
        <v>0</v>
      </c>
      <c r="AI121" s="20">
        <f t="shared" si="136"/>
        <v>0.26475858316052786</v>
      </c>
      <c r="AJ121" s="20">
        <f t="shared" si="136"/>
        <v>0</v>
      </c>
      <c r="AK121" s="20">
        <f t="shared" si="136"/>
        <v>0</v>
      </c>
      <c r="AL121" s="20">
        <f t="shared" si="136"/>
        <v>0</v>
      </c>
      <c r="AM121" s="20">
        <f t="shared" si="137"/>
        <v>0.26475858316052786</v>
      </c>
      <c r="AO121">
        <f t="shared" si="138"/>
        <v>3.7518278543031892E-2</v>
      </c>
      <c r="AP121">
        <f t="shared" si="138"/>
        <v>0</v>
      </c>
      <c r="AQ121">
        <f t="shared" si="138"/>
        <v>0</v>
      </c>
      <c r="AR121">
        <f t="shared" si="138"/>
        <v>0</v>
      </c>
      <c r="AS121">
        <f t="shared" si="139"/>
        <v>3.7518278543031892E-2</v>
      </c>
      <c r="AU121">
        <f t="shared" si="140"/>
        <v>0.26833282403319503</v>
      </c>
      <c r="AV121">
        <f t="shared" si="140"/>
        <v>0</v>
      </c>
      <c r="AW121">
        <f t="shared" si="140"/>
        <v>0</v>
      </c>
      <c r="AX121">
        <f t="shared" si="140"/>
        <v>0</v>
      </c>
      <c r="AY121">
        <f t="shared" si="141"/>
        <v>0.26833282403319503</v>
      </c>
    </row>
    <row r="122" spans="1:53" ht="15" x14ac:dyDescent="0.25">
      <c r="A122" s="1"/>
      <c r="B122" s="2"/>
      <c r="C122" s="1" t="s">
        <v>10</v>
      </c>
      <c r="D122">
        <v>0</v>
      </c>
      <c r="E122" s="360"/>
      <c r="F122">
        <v>0</v>
      </c>
      <c r="G122">
        <v>0</v>
      </c>
      <c r="H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s="20"/>
      <c r="P122" s="20"/>
      <c r="Q122" s="436"/>
      <c r="R122" s="197">
        <v>0.49226666666666663</v>
      </c>
      <c r="S122" s="197">
        <v>2.8337500000000002</v>
      </c>
      <c r="T122" s="197">
        <v>0.68718466195761863</v>
      </c>
      <c r="U122" s="197">
        <v>0.90789473684210531</v>
      </c>
      <c r="V122" s="20">
        <f t="shared" si="132"/>
        <v>0</v>
      </c>
      <c r="W122" s="20">
        <f t="shared" si="132"/>
        <v>0</v>
      </c>
      <c r="X122" s="20">
        <f t="shared" si="132"/>
        <v>0</v>
      </c>
      <c r="Y122" s="20">
        <f t="shared" si="132"/>
        <v>0</v>
      </c>
      <c r="Z122" s="20">
        <f t="shared" si="133"/>
        <v>0</v>
      </c>
      <c r="AA122" s="20">
        <f t="shared" si="133"/>
        <v>0</v>
      </c>
      <c r="AB122" s="20">
        <f t="shared" si="133"/>
        <v>0</v>
      </c>
      <c r="AC122" s="20">
        <f t="shared" si="133"/>
        <v>0</v>
      </c>
      <c r="AD122" s="20">
        <f t="shared" si="134"/>
        <v>0</v>
      </c>
      <c r="AE122" s="20">
        <f t="shared" si="135"/>
        <v>0</v>
      </c>
      <c r="AF122" s="20">
        <f t="shared" si="135"/>
        <v>0</v>
      </c>
      <c r="AG122" s="20">
        <f t="shared" si="135"/>
        <v>0</v>
      </c>
      <c r="AH122" s="20">
        <f t="shared" si="135"/>
        <v>0</v>
      </c>
      <c r="AI122" s="20">
        <f t="shared" si="136"/>
        <v>0</v>
      </c>
      <c r="AJ122" s="20">
        <f t="shared" si="136"/>
        <v>0</v>
      </c>
      <c r="AK122" s="20">
        <f t="shared" si="136"/>
        <v>0</v>
      </c>
      <c r="AL122" s="20">
        <f t="shared" si="136"/>
        <v>0</v>
      </c>
      <c r="AM122" s="20">
        <f t="shared" si="137"/>
        <v>0</v>
      </c>
      <c r="AO122">
        <f t="shared" si="138"/>
        <v>0</v>
      </c>
      <c r="AP122">
        <f t="shared" si="138"/>
        <v>0</v>
      </c>
      <c r="AQ122">
        <f t="shared" si="138"/>
        <v>0</v>
      </c>
      <c r="AR122">
        <f t="shared" si="138"/>
        <v>0</v>
      </c>
      <c r="AS122">
        <f t="shared" si="139"/>
        <v>0</v>
      </c>
      <c r="AU122">
        <f t="shared" si="140"/>
        <v>0</v>
      </c>
      <c r="AV122">
        <f t="shared" si="140"/>
        <v>0</v>
      </c>
      <c r="AW122">
        <f t="shared" si="140"/>
        <v>0</v>
      </c>
      <c r="AX122">
        <f t="shared" si="140"/>
        <v>0</v>
      </c>
      <c r="AY122">
        <f t="shared" si="141"/>
        <v>0</v>
      </c>
    </row>
    <row r="123" spans="1:53" ht="15" x14ac:dyDescent="0.25">
      <c r="A123" s="1"/>
      <c r="B123" s="2"/>
      <c r="C123" s="1" t="s">
        <v>11</v>
      </c>
      <c r="D123">
        <v>0</v>
      </c>
      <c r="E123" s="360">
        <v>1.7323999999999999</v>
      </c>
      <c r="F123">
        <v>0</v>
      </c>
      <c r="G123">
        <v>0</v>
      </c>
      <c r="H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 s="20"/>
      <c r="P123" s="20"/>
      <c r="Q123" s="436">
        <v>5.7081242289564363E-2</v>
      </c>
      <c r="R123" s="197">
        <v>0.49226666666666663</v>
      </c>
      <c r="S123" s="197">
        <v>2.8337500000000002</v>
      </c>
      <c r="T123" s="197">
        <v>0.68718466195761863</v>
      </c>
      <c r="U123" s="197">
        <v>0.90789473684210531</v>
      </c>
      <c r="V123" s="20">
        <f t="shared" si="132"/>
        <v>0.48679041729852435</v>
      </c>
      <c r="W123" s="20">
        <f t="shared" si="132"/>
        <v>0</v>
      </c>
      <c r="X123" s="20">
        <f t="shared" si="132"/>
        <v>0</v>
      </c>
      <c r="Y123" s="20">
        <f t="shared" si="132"/>
        <v>0</v>
      </c>
      <c r="Z123" s="20">
        <f t="shared" si="133"/>
        <v>0.36230560887954616</v>
      </c>
      <c r="AA123" s="20">
        <f t="shared" si="133"/>
        <v>0</v>
      </c>
      <c r="AB123" s="20">
        <f t="shared" si="133"/>
        <v>0</v>
      </c>
      <c r="AC123" s="20">
        <f t="shared" si="133"/>
        <v>0</v>
      </c>
      <c r="AD123" s="20">
        <f t="shared" si="134"/>
        <v>0.36230560887954616</v>
      </c>
      <c r="AE123" s="20">
        <f t="shared" si="135"/>
        <v>2.8022257821364303</v>
      </c>
      <c r="AF123" s="20">
        <f t="shared" si="135"/>
        <v>0</v>
      </c>
      <c r="AG123" s="20">
        <f t="shared" si="135"/>
        <v>0</v>
      </c>
      <c r="AH123" s="20">
        <f t="shared" si="135"/>
        <v>0</v>
      </c>
      <c r="AI123" s="20">
        <f t="shared" si="136"/>
        <v>2.5912299542797328</v>
      </c>
      <c r="AJ123" s="20">
        <f t="shared" si="136"/>
        <v>0</v>
      </c>
      <c r="AK123" s="20">
        <f t="shared" si="136"/>
        <v>0</v>
      </c>
      <c r="AL123" s="20">
        <f t="shared" si="136"/>
        <v>0</v>
      </c>
      <c r="AM123" s="20">
        <f t="shared" si="137"/>
        <v>2.5912299542797328</v>
      </c>
      <c r="AO123">
        <f t="shared" si="138"/>
        <v>0.36719673459942004</v>
      </c>
      <c r="AP123">
        <f t="shared" si="138"/>
        <v>0</v>
      </c>
      <c r="AQ123">
        <f t="shared" si="138"/>
        <v>0</v>
      </c>
      <c r="AR123">
        <f t="shared" si="138"/>
        <v>0</v>
      </c>
      <c r="AS123">
        <f t="shared" si="139"/>
        <v>0.36719673459942004</v>
      </c>
      <c r="AU123">
        <f t="shared" si="140"/>
        <v>2.6262115586625092</v>
      </c>
      <c r="AV123">
        <f t="shared" si="140"/>
        <v>0</v>
      </c>
      <c r="AW123">
        <f t="shared" si="140"/>
        <v>0</v>
      </c>
      <c r="AX123">
        <f t="shared" si="140"/>
        <v>0</v>
      </c>
      <c r="AY123">
        <f t="shared" si="141"/>
        <v>2.6262115586625092</v>
      </c>
    </row>
    <row r="124" spans="1:53" ht="15" x14ac:dyDescent="0.25">
      <c r="A124" s="1"/>
      <c r="B124" s="2"/>
      <c r="C124" s="1" t="s">
        <v>12</v>
      </c>
      <c r="D124">
        <v>0</v>
      </c>
      <c r="E124" s="360"/>
      <c r="F124">
        <v>0</v>
      </c>
      <c r="G124">
        <v>0</v>
      </c>
      <c r="H124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 s="20"/>
      <c r="P124" s="20"/>
      <c r="Q124" s="436"/>
      <c r="R124" s="197">
        <v>0.49226666666666663</v>
      </c>
      <c r="S124" s="197">
        <v>2.8337500000000002</v>
      </c>
      <c r="T124" s="197">
        <v>0.68718466195761863</v>
      </c>
      <c r="U124" s="197">
        <v>0.90789473684210531</v>
      </c>
      <c r="V124" s="20">
        <f t="shared" si="132"/>
        <v>0</v>
      </c>
      <c r="W124" s="20">
        <f t="shared" si="132"/>
        <v>0</v>
      </c>
      <c r="X124" s="20">
        <f t="shared" si="132"/>
        <v>0</v>
      </c>
      <c r="Y124" s="20">
        <f t="shared" si="132"/>
        <v>0</v>
      </c>
      <c r="Z124" s="20">
        <f t="shared" si="133"/>
        <v>0</v>
      </c>
      <c r="AA124" s="20">
        <f t="shared" si="133"/>
        <v>0</v>
      </c>
      <c r="AB124" s="20">
        <f t="shared" si="133"/>
        <v>0</v>
      </c>
      <c r="AC124" s="20">
        <f t="shared" si="133"/>
        <v>0</v>
      </c>
      <c r="AD124" s="20">
        <f t="shared" si="134"/>
        <v>0</v>
      </c>
      <c r="AE124" s="20">
        <f t="shared" si="135"/>
        <v>0</v>
      </c>
      <c r="AF124" s="20">
        <f t="shared" si="135"/>
        <v>0</v>
      </c>
      <c r="AG124" s="20">
        <f t="shared" si="135"/>
        <v>0</v>
      </c>
      <c r="AH124" s="20">
        <f t="shared" si="135"/>
        <v>0</v>
      </c>
      <c r="AI124" s="20">
        <f t="shared" si="136"/>
        <v>0</v>
      </c>
      <c r="AJ124" s="20">
        <f t="shared" si="136"/>
        <v>0</v>
      </c>
      <c r="AK124" s="20">
        <f t="shared" si="136"/>
        <v>0</v>
      </c>
      <c r="AL124" s="20">
        <f t="shared" si="136"/>
        <v>0</v>
      </c>
      <c r="AM124" s="20">
        <f t="shared" si="137"/>
        <v>0</v>
      </c>
      <c r="AO124">
        <f t="shared" si="138"/>
        <v>0</v>
      </c>
      <c r="AP124">
        <f t="shared" si="138"/>
        <v>0</v>
      </c>
      <c r="AQ124">
        <f t="shared" si="138"/>
        <v>0</v>
      </c>
      <c r="AR124">
        <f t="shared" si="138"/>
        <v>0</v>
      </c>
      <c r="AS124">
        <f t="shared" si="139"/>
        <v>0</v>
      </c>
      <c r="AU124">
        <f t="shared" si="140"/>
        <v>0</v>
      </c>
      <c r="AV124">
        <f t="shared" si="140"/>
        <v>0</v>
      </c>
      <c r="AW124">
        <f t="shared" si="140"/>
        <v>0</v>
      </c>
      <c r="AX124">
        <f t="shared" si="140"/>
        <v>0</v>
      </c>
      <c r="AY124">
        <f t="shared" si="141"/>
        <v>0</v>
      </c>
    </row>
    <row r="125" spans="1:53" ht="15" x14ac:dyDescent="0.25">
      <c r="A125" s="1"/>
      <c r="B125" s="2"/>
      <c r="C125" s="1" t="s">
        <v>13</v>
      </c>
      <c r="D125">
        <v>0</v>
      </c>
      <c r="E125" s="360"/>
      <c r="F125">
        <v>0</v>
      </c>
      <c r="G125">
        <v>0</v>
      </c>
      <c r="H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20"/>
      <c r="P125" s="20"/>
      <c r="Q125" s="436"/>
      <c r="R125" s="197">
        <v>0.49226666666666663</v>
      </c>
      <c r="S125" s="197">
        <v>2.8337500000000002</v>
      </c>
      <c r="T125" s="197">
        <v>0.68718466195761863</v>
      </c>
      <c r="U125" s="197">
        <v>0.90789473684210531</v>
      </c>
      <c r="V125" s="20">
        <f t="shared" si="132"/>
        <v>0</v>
      </c>
      <c r="W125" s="20">
        <f t="shared" si="132"/>
        <v>0</v>
      </c>
      <c r="X125" s="20">
        <f t="shared" si="132"/>
        <v>0</v>
      </c>
      <c r="Y125" s="20">
        <f t="shared" si="132"/>
        <v>0</v>
      </c>
      <c r="Z125" s="20">
        <f t="shared" si="133"/>
        <v>0</v>
      </c>
      <c r="AA125" s="20">
        <f t="shared" si="133"/>
        <v>0</v>
      </c>
      <c r="AB125" s="20">
        <f t="shared" si="133"/>
        <v>0</v>
      </c>
      <c r="AC125" s="20">
        <f t="shared" si="133"/>
        <v>0</v>
      </c>
      <c r="AD125" s="20">
        <f t="shared" si="134"/>
        <v>0</v>
      </c>
      <c r="AE125" s="20">
        <f t="shared" si="135"/>
        <v>0</v>
      </c>
      <c r="AF125" s="20">
        <f t="shared" si="135"/>
        <v>0</v>
      </c>
      <c r="AG125" s="20">
        <f t="shared" si="135"/>
        <v>0</v>
      </c>
      <c r="AH125" s="20">
        <f t="shared" si="135"/>
        <v>0</v>
      </c>
      <c r="AI125" s="20">
        <f t="shared" si="136"/>
        <v>0</v>
      </c>
      <c r="AJ125" s="20">
        <f t="shared" si="136"/>
        <v>0</v>
      </c>
      <c r="AK125" s="20">
        <f t="shared" si="136"/>
        <v>0</v>
      </c>
      <c r="AL125" s="20">
        <f t="shared" si="136"/>
        <v>0</v>
      </c>
      <c r="AM125" s="20">
        <f t="shared" si="137"/>
        <v>0</v>
      </c>
      <c r="AO125">
        <f t="shared" si="138"/>
        <v>0</v>
      </c>
      <c r="AP125">
        <f t="shared" si="138"/>
        <v>0</v>
      </c>
      <c r="AQ125">
        <f t="shared" si="138"/>
        <v>0</v>
      </c>
      <c r="AR125">
        <f t="shared" si="138"/>
        <v>0</v>
      </c>
      <c r="AS125">
        <f t="shared" si="139"/>
        <v>0</v>
      </c>
      <c r="AU125">
        <f t="shared" si="140"/>
        <v>0</v>
      </c>
      <c r="AV125">
        <f t="shared" si="140"/>
        <v>0</v>
      </c>
      <c r="AW125">
        <f t="shared" si="140"/>
        <v>0</v>
      </c>
      <c r="AX125">
        <f t="shared" si="140"/>
        <v>0</v>
      </c>
      <c r="AY125">
        <f t="shared" si="141"/>
        <v>0</v>
      </c>
    </row>
    <row r="126" spans="1:53" ht="15" x14ac:dyDescent="0.25">
      <c r="A126" s="7"/>
      <c r="B126" s="8" t="s">
        <v>14</v>
      </c>
      <c r="C126" s="7"/>
      <c r="D126" s="357">
        <f t="shared" ref="D126:H126" si="142">SUM(D120:D125)</f>
        <v>0</v>
      </c>
      <c r="E126" s="363">
        <f>SUM(E120:E125)</f>
        <v>8.2837999999999994</v>
      </c>
      <c r="F126" s="357">
        <f t="shared" si="142"/>
        <v>0</v>
      </c>
      <c r="G126" s="357">
        <f t="shared" si="142"/>
        <v>0</v>
      </c>
      <c r="H126" s="357">
        <f t="shared" si="142"/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 s="20"/>
      <c r="P126" s="20"/>
      <c r="Q126" s="436">
        <v>2.90055068687609E-2</v>
      </c>
      <c r="R126" s="197"/>
      <c r="S126" s="197"/>
      <c r="T126" s="197"/>
      <c r="U126" s="197"/>
      <c r="BA126" s="319">
        <f>(E126*10000*Q126*AU$10)</f>
        <v>2435.19541339734</v>
      </c>
    </row>
    <row r="127" spans="1:53" ht="15" x14ac:dyDescent="0.25">
      <c r="A127" s="10"/>
      <c r="B127" s="9" t="s">
        <v>15</v>
      </c>
      <c r="C127" s="5"/>
      <c r="E127" s="363">
        <f>SUM(E126)</f>
        <v>8.2837999999999994</v>
      </c>
      <c r="H127" s="358">
        <f>SUM(D126:H126)</f>
        <v>8.2837999999999994</v>
      </c>
      <c r="K127" s="14"/>
      <c r="N127">
        <v>0</v>
      </c>
      <c r="O127" s="20"/>
      <c r="P127" s="20"/>
      <c r="Q127" s="436"/>
      <c r="R127" s="197"/>
      <c r="S127" s="197"/>
      <c r="T127" s="197"/>
      <c r="U127" s="197"/>
    </row>
    <row r="128" spans="1:53" ht="15.75" x14ac:dyDescent="0.25">
      <c r="A128" s="1"/>
      <c r="B128" s="2"/>
      <c r="C128" s="1"/>
      <c r="E128" s="361"/>
      <c r="K128" s="14"/>
      <c r="O128" s="20"/>
      <c r="P128" s="20"/>
      <c r="Q128" s="437"/>
      <c r="R128" s="197"/>
      <c r="S128" s="197"/>
      <c r="T128" s="197"/>
      <c r="U128" s="197"/>
    </row>
    <row r="129" spans="1:53" ht="15" x14ac:dyDescent="0.25">
      <c r="A129" s="1">
        <v>14</v>
      </c>
      <c r="B129" s="2" t="s">
        <v>28</v>
      </c>
      <c r="C129" s="1" t="s">
        <v>8</v>
      </c>
      <c r="D129">
        <v>0</v>
      </c>
      <c r="E129" s="360">
        <v>216.33430000000001</v>
      </c>
      <c r="F129">
        <v>0</v>
      </c>
      <c r="G129">
        <v>0</v>
      </c>
      <c r="H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 s="20"/>
      <c r="P129" s="20"/>
      <c r="Q129" s="436">
        <v>2.1020310572391093E-2</v>
      </c>
      <c r="R129" s="197">
        <v>5.6499999999999995E-2</v>
      </c>
      <c r="S129" s="197">
        <v>1.25</v>
      </c>
      <c r="T129" s="197">
        <v>0.50078889239507718</v>
      </c>
      <c r="U129" s="197">
        <v>0.75268470790377973</v>
      </c>
      <c r="V129" s="20">
        <f t="shared" ref="V129:Y134" si="143">E129*$Q129*$R129*10</f>
        <v>2.569289008005367</v>
      </c>
      <c r="W129" s="20">
        <f t="shared" si="143"/>
        <v>0</v>
      </c>
      <c r="X129" s="20">
        <f t="shared" si="143"/>
        <v>0</v>
      </c>
      <c r="Y129" s="20">
        <f t="shared" si="143"/>
        <v>0</v>
      </c>
      <c r="Z129" s="20">
        <f t="shared" ref="Z129:AC134" si="144">V129*(EXP(1.01-0.34*LN(Z$8))*(1-$T129)+(1*$T129))</f>
        <v>1.5207526495086872</v>
      </c>
      <c r="AA129" s="20">
        <f t="shared" si="144"/>
        <v>0</v>
      </c>
      <c r="AB129" s="20">
        <f t="shared" si="144"/>
        <v>0</v>
      </c>
      <c r="AC129" s="20">
        <f t="shared" si="144"/>
        <v>0</v>
      </c>
      <c r="AD129" s="20">
        <f t="shared" ref="AD129:AD134" si="145">SUM(Z129:AC129)</f>
        <v>1.5207526495086872</v>
      </c>
      <c r="AE129" s="20">
        <f t="shared" ref="AE129:AH134" si="146">E129*$Q129*$S129*10</f>
        <v>56.842677168260337</v>
      </c>
      <c r="AF129" s="20">
        <f t="shared" si="146"/>
        <v>0</v>
      </c>
      <c r="AG129" s="20">
        <f t="shared" si="146"/>
        <v>0</v>
      </c>
      <c r="AH129" s="20">
        <f t="shared" si="146"/>
        <v>0</v>
      </c>
      <c r="AI129" s="20">
        <f t="shared" ref="AI129:AL134" si="147">AE129*(EXP(1.01-0.34*LN(AI$8))*(1-$U129)+(1*$U129))</f>
        <v>45.350249201933757</v>
      </c>
      <c r="AJ129" s="20">
        <f t="shared" si="147"/>
        <v>0</v>
      </c>
      <c r="AK129" s="20">
        <f t="shared" si="147"/>
        <v>0</v>
      </c>
      <c r="AL129" s="20">
        <f t="shared" si="147"/>
        <v>0</v>
      </c>
      <c r="AM129" s="20">
        <f t="shared" ref="AM129:AM134" si="148">SUM(AI129:AL129)</f>
        <v>45.350249201933757</v>
      </c>
      <c r="AO129">
        <f t="shared" ref="AO129:AR134" si="149">Z129*AO$10</f>
        <v>1.5412828102770546</v>
      </c>
      <c r="AP129">
        <f t="shared" si="149"/>
        <v>0</v>
      </c>
      <c r="AQ129">
        <f t="shared" si="149"/>
        <v>0</v>
      </c>
      <c r="AR129">
        <f t="shared" si="149"/>
        <v>0</v>
      </c>
      <c r="AS129">
        <f t="shared" ref="AS129:AS134" si="150">SUM(AO129:AR129)</f>
        <v>1.5412828102770546</v>
      </c>
      <c r="AU129">
        <f t="shared" ref="AU129:AX134" si="151">AI129*AU$10</f>
        <v>45.962477566159862</v>
      </c>
      <c r="AV129">
        <f t="shared" si="151"/>
        <v>0</v>
      </c>
      <c r="AW129">
        <f t="shared" si="151"/>
        <v>0</v>
      </c>
      <c r="AX129">
        <f t="shared" si="151"/>
        <v>0</v>
      </c>
      <c r="AY129">
        <f t="shared" ref="AY129:AY134" si="152">SUM(AU129:AX129)</f>
        <v>45.962477566159862</v>
      </c>
    </row>
    <row r="130" spans="1:53" ht="15" x14ac:dyDescent="0.25">
      <c r="A130" s="1"/>
      <c r="B130" s="2"/>
      <c r="C130" s="1" t="s">
        <v>9</v>
      </c>
      <c r="D130">
        <v>0</v>
      </c>
      <c r="E130" s="360">
        <v>4.1064999999999996</v>
      </c>
      <c r="F130">
        <v>0</v>
      </c>
      <c r="G130">
        <v>0</v>
      </c>
      <c r="H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 s="20"/>
      <c r="P130" s="20"/>
      <c r="Q130" s="436">
        <v>3.3040621144782185E-2</v>
      </c>
      <c r="R130" s="197">
        <v>5.6499999999999995E-2</v>
      </c>
      <c r="S130" s="197">
        <v>1.25</v>
      </c>
      <c r="T130" s="197">
        <v>0.50078889239507718</v>
      </c>
      <c r="U130" s="197">
        <v>0.75268470790377973</v>
      </c>
      <c r="V130" s="20">
        <f t="shared" si="143"/>
        <v>7.6659940563042123E-2</v>
      </c>
      <c r="W130" s="20">
        <f t="shared" si="143"/>
        <v>0</v>
      </c>
      <c r="X130" s="20">
        <f t="shared" si="143"/>
        <v>0</v>
      </c>
      <c r="Y130" s="20">
        <f t="shared" si="143"/>
        <v>0</v>
      </c>
      <c r="Z130" s="20">
        <f t="shared" si="144"/>
        <v>4.5374734939971087E-2</v>
      </c>
      <c r="AA130" s="20">
        <f t="shared" si="144"/>
        <v>0</v>
      </c>
      <c r="AB130" s="20">
        <f t="shared" si="144"/>
        <v>0</v>
      </c>
      <c r="AC130" s="20">
        <f t="shared" si="144"/>
        <v>0</v>
      </c>
      <c r="AD130" s="20">
        <f t="shared" si="145"/>
        <v>4.5374734939971087E-2</v>
      </c>
      <c r="AE130" s="20">
        <f t="shared" si="146"/>
        <v>1.6960163841381004</v>
      </c>
      <c r="AF130" s="20">
        <f t="shared" si="146"/>
        <v>0</v>
      </c>
      <c r="AG130" s="20">
        <f t="shared" si="146"/>
        <v>0</v>
      </c>
      <c r="AH130" s="20">
        <f t="shared" si="146"/>
        <v>0</v>
      </c>
      <c r="AI130" s="20">
        <f t="shared" si="147"/>
        <v>1.3531165227061637</v>
      </c>
      <c r="AJ130" s="20">
        <f t="shared" si="147"/>
        <v>0</v>
      </c>
      <c r="AK130" s="20">
        <f t="shared" si="147"/>
        <v>0</v>
      </c>
      <c r="AL130" s="20">
        <f t="shared" si="147"/>
        <v>0</v>
      </c>
      <c r="AM130" s="20">
        <f t="shared" si="148"/>
        <v>1.3531165227061637</v>
      </c>
      <c r="AO130">
        <f t="shared" si="149"/>
        <v>4.59872938616607E-2</v>
      </c>
      <c r="AP130">
        <f t="shared" si="149"/>
        <v>0</v>
      </c>
      <c r="AQ130">
        <f t="shared" si="149"/>
        <v>0</v>
      </c>
      <c r="AR130">
        <f t="shared" si="149"/>
        <v>0</v>
      </c>
      <c r="AS130">
        <f t="shared" si="150"/>
        <v>4.59872938616607E-2</v>
      </c>
      <c r="AU130">
        <f t="shared" si="151"/>
        <v>1.371383595762697</v>
      </c>
      <c r="AV130">
        <f t="shared" si="151"/>
        <v>0</v>
      </c>
      <c r="AW130">
        <f t="shared" si="151"/>
        <v>0</v>
      </c>
      <c r="AX130">
        <f t="shared" si="151"/>
        <v>0</v>
      </c>
      <c r="AY130">
        <f t="shared" si="152"/>
        <v>1.371383595762697</v>
      </c>
    </row>
    <row r="131" spans="1:53" ht="15" x14ac:dyDescent="0.25">
      <c r="A131" s="1"/>
      <c r="B131" s="2"/>
      <c r="C131" s="1" t="s">
        <v>10</v>
      </c>
      <c r="D131">
        <v>0</v>
      </c>
      <c r="E131" s="360">
        <v>9.0899999999999995E-2</v>
      </c>
      <c r="F131">
        <v>0</v>
      </c>
      <c r="G131">
        <v>0</v>
      </c>
      <c r="H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 s="20"/>
      <c r="P131" s="20"/>
      <c r="Q131" s="436">
        <v>4.5060931717173278E-2</v>
      </c>
      <c r="R131" s="197">
        <v>5.6499999999999995E-2</v>
      </c>
      <c r="S131" s="197">
        <v>1.25</v>
      </c>
      <c r="T131" s="197">
        <v>0.50078889239507718</v>
      </c>
      <c r="U131" s="197">
        <v>0.75268470790377973</v>
      </c>
      <c r="V131" s="20">
        <f t="shared" si="143"/>
        <v>2.3142618615964432E-3</v>
      </c>
      <c r="W131" s="20">
        <f t="shared" si="143"/>
        <v>0</v>
      </c>
      <c r="X131" s="20">
        <f t="shared" si="143"/>
        <v>0</v>
      </c>
      <c r="Y131" s="20">
        <f t="shared" si="143"/>
        <v>0</v>
      </c>
      <c r="Z131" s="20">
        <f t="shared" si="144"/>
        <v>1.3698030259398307E-3</v>
      </c>
      <c r="AA131" s="20">
        <f t="shared" si="144"/>
        <v>0</v>
      </c>
      <c r="AB131" s="20">
        <f t="shared" si="144"/>
        <v>0</v>
      </c>
      <c r="AC131" s="20">
        <f t="shared" si="144"/>
        <v>0</v>
      </c>
      <c r="AD131" s="20">
        <f t="shared" si="145"/>
        <v>1.3698030259398307E-3</v>
      </c>
      <c r="AE131" s="20">
        <f t="shared" si="146"/>
        <v>5.1200483663638129E-2</v>
      </c>
      <c r="AF131" s="20">
        <f t="shared" si="146"/>
        <v>0</v>
      </c>
      <c r="AG131" s="20">
        <f t="shared" si="146"/>
        <v>0</v>
      </c>
      <c r="AH131" s="20">
        <f t="shared" si="146"/>
        <v>0</v>
      </c>
      <c r="AI131" s="20">
        <f t="shared" si="147"/>
        <v>4.0848791947858051E-2</v>
      </c>
      <c r="AJ131" s="20">
        <f t="shared" si="147"/>
        <v>0</v>
      </c>
      <c r="AK131" s="20">
        <f t="shared" si="147"/>
        <v>0</v>
      </c>
      <c r="AL131" s="20">
        <f t="shared" si="147"/>
        <v>0</v>
      </c>
      <c r="AM131" s="20">
        <f t="shared" si="148"/>
        <v>4.0848791947858051E-2</v>
      </c>
      <c r="AO131">
        <f t="shared" si="149"/>
        <v>1.3882953667900186E-3</v>
      </c>
      <c r="AP131">
        <f t="shared" si="149"/>
        <v>0</v>
      </c>
      <c r="AQ131">
        <f t="shared" si="149"/>
        <v>0</v>
      </c>
      <c r="AR131">
        <f t="shared" si="149"/>
        <v>0</v>
      </c>
      <c r="AS131">
        <f t="shared" si="150"/>
        <v>1.3882953667900186E-3</v>
      </c>
      <c r="AU131">
        <f t="shared" si="151"/>
        <v>4.1400250639154139E-2</v>
      </c>
      <c r="AV131">
        <f t="shared" si="151"/>
        <v>0</v>
      </c>
      <c r="AW131">
        <f t="shared" si="151"/>
        <v>0</v>
      </c>
      <c r="AX131">
        <f t="shared" si="151"/>
        <v>0</v>
      </c>
      <c r="AY131">
        <f t="shared" si="152"/>
        <v>4.1400250639154139E-2</v>
      </c>
    </row>
    <row r="132" spans="1:53" ht="15" x14ac:dyDescent="0.25">
      <c r="A132" s="1"/>
      <c r="B132" s="2"/>
      <c r="C132" s="1" t="s">
        <v>11</v>
      </c>
      <c r="D132">
        <v>0</v>
      </c>
      <c r="E132" s="360">
        <v>98.100099999999998</v>
      </c>
      <c r="F132">
        <v>0</v>
      </c>
      <c r="G132">
        <v>0</v>
      </c>
      <c r="H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 s="20"/>
      <c r="P132" s="20"/>
      <c r="Q132" s="436">
        <v>5.7081242289564363E-2</v>
      </c>
      <c r="R132" s="197">
        <v>5.6499999999999995E-2</v>
      </c>
      <c r="S132" s="197">
        <v>1.25</v>
      </c>
      <c r="T132" s="197">
        <v>0.50078889239507718</v>
      </c>
      <c r="U132" s="197">
        <v>0.75268470790377973</v>
      </c>
      <c r="V132" s="20">
        <f t="shared" si="143"/>
        <v>3.1638167008527285</v>
      </c>
      <c r="W132" s="20">
        <f t="shared" si="143"/>
        <v>0</v>
      </c>
      <c r="X132" s="20">
        <f t="shared" si="143"/>
        <v>0</v>
      </c>
      <c r="Y132" s="20">
        <f t="shared" si="143"/>
        <v>0</v>
      </c>
      <c r="Z132" s="20">
        <f t="shared" si="144"/>
        <v>1.8726513893105674</v>
      </c>
      <c r="AA132" s="20">
        <f t="shared" si="144"/>
        <v>0</v>
      </c>
      <c r="AB132" s="20">
        <f t="shared" si="144"/>
        <v>0</v>
      </c>
      <c r="AC132" s="20">
        <f t="shared" si="144"/>
        <v>0</v>
      </c>
      <c r="AD132" s="20">
        <f t="shared" si="145"/>
        <v>1.8726513893105674</v>
      </c>
      <c r="AE132" s="20">
        <f t="shared" si="146"/>
        <v>69.995944709131166</v>
      </c>
      <c r="AF132" s="20">
        <f t="shared" si="146"/>
        <v>0</v>
      </c>
      <c r="AG132" s="20">
        <f t="shared" si="146"/>
        <v>0</v>
      </c>
      <c r="AH132" s="20">
        <f t="shared" si="146"/>
        <v>0</v>
      </c>
      <c r="AI132" s="20">
        <f t="shared" si="147"/>
        <v>55.844194781458164</v>
      </c>
      <c r="AJ132" s="20">
        <f t="shared" si="147"/>
        <v>0</v>
      </c>
      <c r="AK132" s="20">
        <f t="shared" si="147"/>
        <v>0</v>
      </c>
      <c r="AL132" s="20">
        <f t="shared" si="147"/>
        <v>0</v>
      </c>
      <c r="AM132" s="20">
        <f t="shared" si="148"/>
        <v>55.844194781458164</v>
      </c>
      <c r="AO132">
        <f t="shared" si="149"/>
        <v>1.8979321830662601</v>
      </c>
      <c r="AP132">
        <f t="shared" si="149"/>
        <v>0</v>
      </c>
      <c r="AQ132">
        <f t="shared" si="149"/>
        <v>0</v>
      </c>
      <c r="AR132">
        <f t="shared" si="149"/>
        <v>0</v>
      </c>
      <c r="AS132">
        <f t="shared" si="150"/>
        <v>1.8979321830662601</v>
      </c>
      <c r="AU132">
        <f t="shared" si="151"/>
        <v>56.59809141100785</v>
      </c>
      <c r="AV132">
        <f t="shared" si="151"/>
        <v>0</v>
      </c>
      <c r="AW132">
        <f t="shared" si="151"/>
        <v>0</v>
      </c>
      <c r="AX132">
        <f t="shared" si="151"/>
        <v>0</v>
      </c>
      <c r="AY132">
        <f t="shared" si="152"/>
        <v>56.59809141100785</v>
      </c>
    </row>
    <row r="133" spans="1:53" ht="15" x14ac:dyDescent="0.25">
      <c r="A133" s="1"/>
      <c r="B133" s="2"/>
      <c r="C133" s="1" t="s">
        <v>12</v>
      </c>
      <c r="D133">
        <v>0</v>
      </c>
      <c r="E133" s="360">
        <v>0</v>
      </c>
      <c r="F133">
        <v>0</v>
      </c>
      <c r="G133">
        <v>0</v>
      </c>
      <c r="H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 s="20"/>
      <c r="P133" s="20"/>
      <c r="Q133" s="436"/>
      <c r="R133" s="197">
        <v>5.6499999999999995E-2</v>
      </c>
      <c r="S133" s="197">
        <v>1.25</v>
      </c>
      <c r="T133" s="197">
        <v>0.50078889239507718</v>
      </c>
      <c r="U133" s="197">
        <v>0.75268470790377973</v>
      </c>
      <c r="V133" s="20">
        <f t="shared" si="143"/>
        <v>0</v>
      </c>
      <c r="W133" s="20">
        <f t="shared" si="143"/>
        <v>0</v>
      </c>
      <c r="X133" s="20">
        <f t="shared" si="143"/>
        <v>0</v>
      </c>
      <c r="Y133" s="20">
        <f t="shared" si="143"/>
        <v>0</v>
      </c>
      <c r="Z133" s="20">
        <f t="shared" si="144"/>
        <v>0</v>
      </c>
      <c r="AA133" s="20">
        <f t="shared" si="144"/>
        <v>0</v>
      </c>
      <c r="AB133" s="20">
        <f t="shared" si="144"/>
        <v>0</v>
      </c>
      <c r="AC133" s="20">
        <f t="shared" si="144"/>
        <v>0</v>
      </c>
      <c r="AD133" s="20">
        <f t="shared" si="145"/>
        <v>0</v>
      </c>
      <c r="AE133" s="20">
        <f t="shared" si="146"/>
        <v>0</v>
      </c>
      <c r="AF133" s="20">
        <f t="shared" si="146"/>
        <v>0</v>
      </c>
      <c r="AG133" s="20">
        <f t="shared" si="146"/>
        <v>0</v>
      </c>
      <c r="AH133" s="20">
        <f t="shared" si="146"/>
        <v>0</v>
      </c>
      <c r="AI133" s="20">
        <f t="shared" si="147"/>
        <v>0</v>
      </c>
      <c r="AJ133" s="20">
        <f t="shared" si="147"/>
        <v>0</v>
      </c>
      <c r="AK133" s="20">
        <f t="shared" si="147"/>
        <v>0</v>
      </c>
      <c r="AL133" s="20">
        <f t="shared" si="147"/>
        <v>0</v>
      </c>
      <c r="AM133" s="20">
        <f t="shared" si="148"/>
        <v>0</v>
      </c>
      <c r="AO133">
        <f t="shared" si="149"/>
        <v>0</v>
      </c>
      <c r="AP133">
        <f t="shared" si="149"/>
        <v>0</v>
      </c>
      <c r="AQ133">
        <f t="shared" si="149"/>
        <v>0</v>
      </c>
      <c r="AR133">
        <f t="shared" si="149"/>
        <v>0</v>
      </c>
      <c r="AS133">
        <f t="shared" si="150"/>
        <v>0</v>
      </c>
      <c r="AU133">
        <f t="shared" si="151"/>
        <v>0</v>
      </c>
      <c r="AV133">
        <f t="shared" si="151"/>
        <v>0</v>
      </c>
      <c r="AW133">
        <f t="shared" si="151"/>
        <v>0</v>
      </c>
      <c r="AX133">
        <f t="shared" si="151"/>
        <v>0</v>
      </c>
      <c r="AY133">
        <f t="shared" si="152"/>
        <v>0</v>
      </c>
    </row>
    <row r="134" spans="1:53" ht="15" x14ac:dyDescent="0.25">
      <c r="A134" s="1"/>
      <c r="B134" s="2"/>
      <c r="C134" s="1" t="s">
        <v>13</v>
      </c>
      <c r="D134">
        <v>0</v>
      </c>
      <c r="E134" s="360">
        <v>0.71750000000000003</v>
      </c>
      <c r="F134">
        <v>0</v>
      </c>
      <c r="G134">
        <v>0</v>
      </c>
      <c r="H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20"/>
      <c r="P134" s="20"/>
      <c r="Q134" s="436">
        <v>5.708124228956437E-2</v>
      </c>
      <c r="R134" s="197">
        <v>5.6499999999999995E-2</v>
      </c>
      <c r="S134" s="197">
        <v>1.25</v>
      </c>
      <c r="T134" s="197">
        <v>0.50078889239507718</v>
      </c>
      <c r="U134" s="197">
        <v>0.75268470790377973</v>
      </c>
      <c r="V134" s="20">
        <f t="shared" si="143"/>
        <v>2.3140022108660774E-2</v>
      </c>
      <c r="W134" s="20">
        <f t="shared" si="143"/>
        <v>0</v>
      </c>
      <c r="X134" s="20">
        <f t="shared" si="143"/>
        <v>0</v>
      </c>
      <c r="Y134" s="20">
        <f t="shared" si="143"/>
        <v>0</v>
      </c>
      <c r="Z134" s="20">
        <f t="shared" si="144"/>
        <v>1.3696493396340393E-2</v>
      </c>
      <c r="AA134" s="20">
        <f t="shared" si="144"/>
        <v>0</v>
      </c>
      <c r="AB134" s="20">
        <f t="shared" si="144"/>
        <v>0</v>
      </c>
      <c r="AC134" s="20">
        <f t="shared" si="144"/>
        <v>0</v>
      </c>
      <c r="AD134" s="20">
        <f t="shared" si="145"/>
        <v>1.3696493396340393E-2</v>
      </c>
      <c r="AE134" s="20">
        <f t="shared" si="146"/>
        <v>0.51194739178453053</v>
      </c>
      <c r="AF134" s="20">
        <f t="shared" si="146"/>
        <v>0</v>
      </c>
      <c r="AG134" s="20">
        <f t="shared" si="146"/>
        <v>0</v>
      </c>
      <c r="AH134" s="20">
        <f t="shared" si="146"/>
        <v>0</v>
      </c>
      <c r="AI134" s="20">
        <f t="shared" si="147"/>
        <v>0.4084420888021138</v>
      </c>
      <c r="AJ134" s="20">
        <f t="shared" si="147"/>
        <v>0</v>
      </c>
      <c r="AK134" s="20">
        <f t="shared" si="147"/>
        <v>0</v>
      </c>
      <c r="AL134" s="20">
        <f t="shared" si="147"/>
        <v>0</v>
      </c>
      <c r="AM134" s="20">
        <f t="shared" si="148"/>
        <v>0.4084420888021138</v>
      </c>
      <c r="AO134">
        <f t="shared" si="149"/>
        <v>1.3881396057190989E-2</v>
      </c>
      <c r="AP134">
        <f t="shared" si="149"/>
        <v>0</v>
      </c>
      <c r="AQ134">
        <f t="shared" si="149"/>
        <v>0</v>
      </c>
      <c r="AR134">
        <f t="shared" si="149"/>
        <v>0</v>
      </c>
      <c r="AS134">
        <f t="shared" si="150"/>
        <v>1.3881396057190989E-2</v>
      </c>
      <c r="AU134">
        <f t="shared" si="151"/>
        <v>0.41395605700094235</v>
      </c>
      <c r="AV134">
        <f t="shared" si="151"/>
        <v>0</v>
      </c>
      <c r="AW134">
        <f t="shared" si="151"/>
        <v>0</v>
      </c>
      <c r="AX134">
        <f t="shared" si="151"/>
        <v>0</v>
      </c>
      <c r="AY134">
        <f t="shared" si="152"/>
        <v>0.41395605700094235</v>
      </c>
    </row>
    <row r="135" spans="1:53" ht="15" x14ac:dyDescent="0.25">
      <c r="A135" s="7"/>
      <c r="B135" s="8" t="s">
        <v>14</v>
      </c>
      <c r="C135" s="7"/>
      <c r="D135" s="357">
        <f t="shared" ref="D135:H135" si="153">SUM(D129:D134)</f>
        <v>0</v>
      </c>
      <c r="E135" s="363">
        <f>SUM(E129:E134)</f>
        <v>319.34929999999997</v>
      </c>
      <c r="F135" s="357">
        <f t="shared" si="153"/>
        <v>0</v>
      </c>
      <c r="G135" s="357">
        <f t="shared" si="153"/>
        <v>0</v>
      </c>
      <c r="H135" s="357">
        <f t="shared" si="153"/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 s="20"/>
      <c r="P135" s="20"/>
      <c r="Q135" s="436">
        <v>3.2340208326613593E-2</v>
      </c>
      <c r="R135" s="197"/>
      <c r="S135" s="197"/>
      <c r="T135" s="197"/>
      <c r="U135" s="197"/>
      <c r="BA135" s="319">
        <f>(E135*10000*Q135*AU$10)</f>
        <v>104672.48499986157</v>
      </c>
    </row>
    <row r="136" spans="1:53" ht="15" x14ac:dyDescent="0.25">
      <c r="A136" s="10"/>
      <c r="B136" s="9" t="s">
        <v>15</v>
      </c>
      <c r="C136" s="5"/>
      <c r="E136" s="363">
        <f>SUM(E135)</f>
        <v>319.34929999999997</v>
      </c>
      <c r="H136" s="358">
        <f>SUM(D135:H135)</f>
        <v>319.34929999999997</v>
      </c>
      <c r="K136" s="14"/>
      <c r="N136">
        <v>0</v>
      </c>
      <c r="O136" s="20"/>
      <c r="P136" s="20"/>
      <c r="Q136" s="436"/>
      <c r="R136" s="197"/>
      <c r="S136" s="197"/>
      <c r="T136" s="197"/>
      <c r="U136" s="197"/>
    </row>
    <row r="137" spans="1:53" ht="15.75" x14ac:dyDescent="0.25">
      <c r="A137" s="1"/>
      <c r="B137" s="2"/>
      <c r="C137" s="1"/>
      <c r="E137" s="361"/>
      <c r="K137" s="14"/>
      <c r="O137" s="20"/>
      <c r="P137" s="20"/>
      <c r="Q137" s="437"/>
      <c r="R137" s="197"/>
      <c r="S137" s="197"/>
      <c r="T137" s="197"/>
      <c r="U137" s="197"/>
    </row>
    <row r="138" spans="1:53" ht="15" x14ac:dyDescent="0.25">
      <c r="A138" s="1">
        <v>15</v>
      </c>
      <c r="B138" s="2" t="s">
        <v>29</v>
      </c>
      <c r="C138" s="1" t="s">
        <v>8</v>
      </c>
      <c r="D138">
        <v>0</v>
      </c>
      <c r="E138" s="360">
        <v>2.8900999999999999</v>
      </c>
      <c r="F138">
        <v>0</v>
      </c>
      <c r="G138">
        <v>0</v>
      </c>
      <c r="H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 s="20"/>
      <c r="P138" s="20"/>
      <c r="Q138" s="436">
        <v>0.76682125917763511</v>
      </c>
      <c r="R138" s="197">
        <v>2.5000000000000001E-2</v>
      </c>
      <c r="S138" s="197">
        <v>0.71599999999999997</v>
      </c>
      <c r="T138" s="197">
        <v>0.11808671869809276</v>
      </c>
      <c r="U138" s="197">
        <v>0.41263016220713056</v>
      </c>
      <c r="V138" s="20">
        <f t="shared" ref="V138:Y143" si="154">E138*$Q138*$R138*10</f>
        <v>0.55404753028732079</v>
      </c>
      <c r="W138" s="20">
        <f t="shared" si="154"/>
        <v>0</v>
      </c>
      <c r="X138" s="20">
        <f t="shared" si="154"/>
        <v>0</v>
      </c>
      <c r="Y138" s="20">
        <f t="shared" si="154"/>
        <v>0</v>
      </c>
      <c r="Z138" s="20">
        <f t="shared" ref="Z138:AC143" si="155">V138*(EXP(1.01-0.34*LN(Z$8))*(1-$T138)+(1*$T138))</f>
        <v>0.15460049527301609</v>
      </c>
      <c r="AA138" s="20">
        <f t="shared" si="155"/>
        <v>0</v>
      </c>
      <c r="AB138" s="20">
        <f t="shared" si="155"/>
        <v>0</v>
      </c>
      <c r="AC138" s="20">
        <f t="shared" si="155"/>
        <v>0</v>
      </c>
      <c r="AD138" s="20">
        <f t="shared" ref="AD138:AD143" si="156">SUM(Z138:AC138)</f>
        <v>0.15460049527301609</v>
      </c>
      <c r="AE138" s="20">
        <f t="shared" ref="AE138:AH143" si="157">E138*$Q138*$S138*10</f>
        <v>15.867921267428866</v>
      </c>
      <c r="AF138" s="20">
        <f t="shared" si="157"/>
        <v>0</v>
      </c>
      <c r="AG138" s="20">
        <f t="shared" si="157"/>
        <v>0</v>
      </c>
      <c r="AH138" s="20">
        <f t="shared" si="157"/>
        <v>0</v>
      </c>
      <c r="AI138" s="20">
        <f t="shared" ref="AI138:AL143" si="158">AE138*(EXP(1.01-0.34*LN(AI$8))*(1-$U138)+(1*$U138))</f>
        <v>8.2485703893536311</v>
      </c>
      <c r="AJ138" s="20">
        <f t="shared" si="158"/>
        <v>0</v>
      </c>
      <c r="AK138" s="20">
        <f t="shared" si="158"/>
        <v>0</v>
      </c>
      <c r="AL138" s="20">
        <f t="shared" si="158"/>
        <v>0</v>
      </c>
      <c r="AM138" s="20">
        <f t="shared" ref="AM138:AM143" si="159">SUM(AI138:AL138)</f>
        <v>8.2485703893536311</v>
      </c>
      <c r="AO138">
        <f t="shared" ref="AO138:AR143" si="160">Z138*AO$10</f>
        <v>0.15668760195920181</v>
      </c>
      <c r="AP138">
        <f t="shared" si="160"/>
        <v>0</v>
      </c>
      <c r="AQ138">
        <f t="shared" si="160"/>
        <v>0</v>
      </c>
      <c r="AR138">
        <f t="shared" si="160"/>
        <v>0</v>
      </c>
      <c r="AS138">
        <f t="shared" ref="AS138:AS143" si="161">SUM(AO138:AR138)</f>
        <v>0.15668760195920181</v>
      </c>
      <c r="AU138">
        <f t="shared" ref="AU138:AX143" si="162">AI138*AU$10</f>
        <v>8.359926089609905</v>
      </c>
      <c r="AV138">
        <f t="shared" si="162"/>
        <v>0</v>
      </c>
      <c r="AW138">
        <f t="shared" si="162"/>
        <v>0</v>
      </c>
      <c r="AX138">
        <f t="shared" si="162"/>
        <v>0</v>
      </c>
      <c r="AY138">
        <f t="shared" ref="AY138:AY143" si="163">SUM(AU138:AX138)</f>
        <v>8.359926089609905</v>
      </c>
    </row>
    <row r="139" spans="1:53" ht="15" x14ac:dyDescent="0.25">
      <c r="A139" s="1"/>
      <c r="B139" s="2"/>
      <c r="C139" s="1" t="s">
        <v>9</v>
      </c>
      <c r="D139">
        <v>0</v>
      </c>
      <c r="E139" s="360">
        <v>0.32750000000000001</v>
      </c>
      <c r="F139">
        <v>0</v>
      </c>
      <c r="G139">
        <v>0</v>
      </c>
      <c r="H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 s="20"/>
      <c r="P139" s="20"/>
      <c r="Q139" s="436">
        <v>0.76864251835526987</v>
      </c>
      <c r="R139" s="197">
        <v>2.5000000000000001E-2</v>
      </c>
      <c r="S139" s="197">
        <v>0.71599999999999997</v>
      </c>
      <c r="T139" s="197">
        <v>0.11808671869809276</v>
      </c>
      <c r="U139" s="197">
        <v>0.41263016220713056</v>
      </c>
      <c r="V139" s="20">
        <f t="shared" si="154"/>
        <v>6.293260619033772E-2</v>
      </c>
      <c r="W139" s="20">
        <f t="shared" si="154"/>
        <v>0</v>
      </c>
      <c r="X139" s="20">
        <f t="shared" si="154"/>
        <v>0</v>
      </c>
      <c r="Y139" s="20">
        <f t="shared" si="154"/>
        <v>0</v>
      </c>
      <c r="Z139" s="20">
        <f t="shared" si="155"/>
        <v>1.7560609070493213E-2</v>
      </c>
      <c r="AA139" s="20">
        <f t="shared" si="155"/>
        <v>0</v>
      </c>
      <c r="AB139" s="20">
        <f t="shared" si="155"/>
        <v>0</v>
      </c>
      <c r="AC139" s="20">
        <f t="shared" si="155"/>
        <v>0</v>
      </c>
      <c r="AD139" s="20">
        <f t="shared" si="156"/>
        <v>1.7560609070493213E-2</v>
      </c>
      <c r="AE139" s="20">
        <f t="shared" si="157"/>
        <v>1.8023898412912722</v>
      </c>
      <c r="AF139" s="20">
        <f t="shared" si="157"/>
        <v>0</v>
      </c>
      <c r="AG139" s="20">
        <f t="shared" si="157"/>
        <v>0</v>
      </c>
      <c r="AH139" s="20">
        <f t="shared" si="157"/>
        <v>0</v>
      </c>
      <c r="AI139" s="20">
        <f t="shared" si="158"/>
        <v>0.93693050427870905</v>
      </c>
      <c r="AJ139" s="20">
        <f t="shared" si="158"/>
        <v>0</v>
      </c>
      <c r="AK139" s="20">
        <f t="shared" si="158"/>
        <v>0</v>
      </c>
      <c r="AL139" s="20">
        <f t="shared" si="158"/>
        <v>0</v>
      </c>
      <c r="AM139" s="20">
        <f t="shared" si="159"/>
        <v>0.93693050427870905</v>
      </c>
      <c r="AO139">
        <f t="shared" si="160"/>
        <v>1.7797677292944875E-2</v>
      </c>
      <c r="AP139">
        <f t="shared" si="160"/>
        <v>0</v>
      </c>
      <c r="AQ139">
        <f t="shared" si="160"/>
        <v>0</v>
      </c>
      <c r="AR139">
        <f t="shared" si="160"/>
        <v>0</v>
      </c>
      <c r="AS139">
        <f t="shared" si="161"/>
        <v>1.7797677292944875E-2</v>
      </c>
      <c r="AU139">
        <f t="shared" si="162"/>
        <v>0.94957906608647169</v>
      </c>
      <c r="AV139">
        <f t="shared" si="162"/>
        <v>0</v>
      </c>
      <c r="AW139">
        <f t="shared" si="162"/>
        <v>0</v>
      </c>
      <c r="AX139">
        <f t="shared" si="162"/>
        <v>0</v>
      </c>
      <c r="AY139">
        <f t="shared" si="163"/>
        <v>0.94957906608647169</v>
      </c>
    </row>
    <row r="140" spans="1:53" ht="15" x14ac:dyDescent="0.25">
      <c r="A140" s="1"/>
      <c r="B140" s="2"/>
      <c r="C140" s="1" t="s">
        <v>10</v>
      </c>
      <c r="D140">
        <v>0</v>
      </c>
      <c r="E140" s="360">
        <v>0</v>
      </c>
      <c r="F140">
        <v>0</v>
      </c>
      <c r="G140">
        <v>0</v>
      </c>
      <c r="H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 s="20"/>
      <c r="P140" s="20"/>
      <c r="Q140" s="436"/>
      <c r="R140" s="197">
        <v>2.5000000000000001E-2</v>
      </c>
      <c r="S140" s="197">
        <v>0.71599999999999997</v>
      </c>
      <c r="T140" s="197">
        <v>0.11808671869809276</v>
      </c>
      <c r="U140" s="197">
        <v>0.41263016220713056</v>
      </c>
      <c r="V140" s="20">
        <f t="shared" si="154"/>
        <v>0</v>
      </c>
      <c r="W140" s="20">
        <f t="shared" si="154"/>
        <v>0</v>
      </c>
      <c r="X140" s="20">
        <f t="shared" si="154"/>
        <v>0</v>
      </c>
      <c r="Y140" s="20">
        <f t="shared" si="154"/>
        <v>0</v>
      </c>
      <c r="Z140" s="20">
        <f t="shared" si="155"/>
        <v>0</v>
      </c>
      <c r="AA140" s="20">
        <f t="shared" si="155"/>
        <v>0</v>
      </c>
      <c r="AB140" s="20">
        <f t="shared" si="155"/>
        <v>0</v>
      </c>
      <c r="AC140" s="20">
        <f t="shared" si="155"/>
        <v>0</v>
      </c>
      <c r="AD140" s="20">
        <f t="shared" si="156"/>
        <v>0</v>
      </c>
      <c r="AE140" s="20">
        <f t="shared" si="157"/>
        <v>0</v>
      </c>
      <c r="AF140" s="20">
        <f t="shared" si="157"/>
        <v>0</v>
      </c>
      <c r="AG140" s="20">
        <f t="shared" si="157"/>
        <v>0</v>
      </c>
      <c r="AH140" s="20">
        <f t="shared" si="157"/>
        <v>0</v>
      </c>
      <c r="AI140" s="20">
        <f t="shared" si="158"/>
        <v>0</v>
      </c>
      <c r="AJ140" s="20">
        <f t="shared" si="158"/>
        <v>0</v>
      </c>
      <c r="AK140" s="20">
        <f t="shared" si="158"/>
        <v>0</v>
      </c>
      <c r="AL140" s="20">
        <f t="shared" si="158"/>
        <v>0</v>
      </c>
      <c r="AM140" s="20">
        <f t="shared" si="159"/>
        <v>0</v>
      </c>
      <c r="AO140">
        <f t="shared" si="160"/>
        <v>0</v>
      </c>
      <c r="AP140">
        <f t="shared" si="160"/>
        <v>0</v>
      </c>
      <c r="AQ140">
        <f t="shared" si="160"/>
        <v>0</v>
      </c>
      <c r="AR140">
        <f t="shared" si="160"/>
        <v>0</v>
      </c>
      <c r="AS140">
        <f t="shared" si="161"/>
        <v>0</v>
      </c>
      <c r="AU140">
        <f t="shared" si="162"/>
        <v>0</v>
      </c>
      <c r="AV140">
        <f t="shared" si="162"/>
        <v>0</v>
      </c>
      <c r="AW140">
        <f t="shared" si="162"/>
        <v>0</v>
      </c>
      <c r="AX140">
        <f t="shared" si="162"/>
        <v>0</v>
      </c>
      <c r="AY140">
        <f t="shared" si="163"/>
        <v>0</v>
      </c>
    </row>
    <row r="141" spans="1:53" ht="15" x14ac:dyDescent="0.25">
      <c r="A141" s="1"/>
      <c r="B141" s="2"/>
      <c r="C141" s="1" t="s">
        <v>11</v>
      </c>
      <c r="D141">
        <v>0</v>
      </c>
      <c r="E141" s="360">
        <v>10.4046</v>
      </c>
      <c r="F141">
        <v>0</v>
      </c>
      <c r="G141">
        <v>0</v>
      </c>
      <c r="H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 s="20"/>
      <c r="P141" s="20"/>
      <c r="Q141" s="436">
        <v>0.77228503671053994</v>
      </c>
      <c r="R141" s="197">
        <v>2.5000000000000001E-2</v>
      </c>
      <c r="S141" s="197">
        <v>0.71599999999999997</v>
      </c>
      <c r="T141" s="197">
        <v>0.11808671869809276</v>
      </c>
      <c r="U141" s="197">
        <v>0.41263016220713056</v>
      </c>
      <c r="V141" s="20">
        <f t="shared" si="154"/>
        <v>2.008829223239621</v>
      </c>
      <c r="W141" s="20">
        <f t="shared" si="154"/>
        <v>0</v>
      </c>
      <c r="X141" s="20">
        <f t="shared" si="154"/>
        <v>0</v>
      </c>
      <c r="Y141" s="20">
        <f t="shared" si="154"/>
        <v>0</v>
      </c>
      <c r="Z141" s="20">
        <f t="shared" si="155"/>
        <v>0.56054034329996683</v>
      </c>
      <c r="AA141" s="20">
        <f t="shared" si="155"/>
        <v>0</v>
      </c>
      <c r="AB141" s="20">
        <f t="shared" si="155"/>
        <v>0</v>
      </c>
      <c r="AC141" s="20">
        <f t="shared" si="155"/>
        <v>0</v>
      </c>
      <c r="AD141" s="20">
        <f t="shared" si="156"/>
        <v>0.56054034329996683</v>
      </c>
      <c r="AE141" s="20">
        <f t="shared" si="157"/>
        <v>57.532868953582735</v>
      </c>
      <c r="AF141" s="20">
        <f t="shared" si="157"/>
        <v>0</v>
      </c>
      <c r="AG141" s="20">
        <f t="shared" si="157"/>
        <v>0</v>
      </c>
      <c r="AH141" s="20">
        <f t="shared" si="157"/>
        <v>0</v>
      </c>
      <c r="AI141" s="20">
        <f t="shared" si="158"/>
        <v>29.907125909377584</v>
      </c>
      <c r="AJ141" s="20">
        <f t="shared" si="158"/>
        <v>0</v>
      </c>
      <c r="AK141" s="20">
        <f t="shared" si="158"/>
        <v>0</v>
      </c>
      <c r="AL141" s="20">
        <f t="shared" si="158"/>
        <v>0</v>
      </c>
      <c r="AM141" s="20">
        <f t="shared" si="159"/>
        <v>29.907125909377584</v>
      </c>
      <c r="AO141">
        <f t="shared" si="160"/>
        <v>0.56810763793451646</v>
      </c>
      <c r="AP141">
        <f t="shared" si="160"/>
        <v>0</v>
      </c>
      <c r="AQ141">
        <f t="shared" si="160"/>
        <v>0</v>
      </c>
      <c r="AR141">
        <f t="shared" si="160"/>
        <v>0</v>
      </c>
      <c r="AS141">
        <f t="shared" si="161"/>
        <v>0.56810763793451646</v>
      </c>
      <c r="AU141">
        <f t="shared" si="162"/>
        <v>30.310872109154182</v>
      </c>
      <c r="AV141">
        <f t="shared" si="162"/>
        <v>0</v>
      </c>
      <c r="AW141">
        <f t="shared" si="162"/>
        <v>0</v>
      </c>
      <c r="AX141">
        <f t="shared" si="162"/>
        <v>0</v>
      </c>
      <c r="AY141">
        <f t="shared" si="163"/>
        <v>30.310872109154182</v>
      </c>
    </row>
    <row r="142" spans="1:53" ht="15" x14ac:dyDescent="0.25">
      <c r="A142" s="1"/>
      <c r="B142" s="2"/>
      <c r="C142" s="1" t="s">
        <v>12</v>
      </c>
      <c r="D142">
        <v>0</v>
      </c>
      <c r="E142" s="360">
        <v>0</v>
      </c>
      <c r="F142">
        <v>0</v>
      </c>
      <c r="G142">
        <v>0</v>
      </c>
      <c r="H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 s="20"/>
      <c r="P142" s="20"/>
      <c r="Q142" s="436"/>
      <c r="R142" s="197">
        <v>2.5000000000000001E-2</v>
      </c>
      <c r="S142" s="197">
        <v>0.71599999999999997</v>
      </c>
      <c r="T142" s="197">
        <v>0.11808671869809276</v>
      </c>
      <c r="U142" s="197">
        <v>0.41263016220713056</v>
      </c>
      <c r="V142" s="20">
        <f t="shared" si="154"/>
        <v>0</v>
      </c>
      <c r="W142" s="20">
        <f t="shared" si="154"/>
        <v>0</v>
      </c>
      <c r="X142" s="20">
        <f t="shared" si="154"/>
        <v>0</v>
      </c>
      <c r="Y142" s="20">
        <f t="shared" si="154"/>
        <v>0</v>
      </c>
      <c r="Z142" s="20">
        <f t="shared" si="155"/>
        <v>0</v>
      </c>
      <c r="AA142" s="20">
        <f t="shared" si="155"/>
        <v>0</v>
      </c>
      <c r="AB142" s="20">
        <f t="shared" si="155"/>
        <v>0</v>
      </c>
      <c r="AC142" s="20">
        <f t="shared" si="155"/>
        <v>0</v>
      </c>
      <c r="AD142" s="20">
        <f t="shared" si="156"/>
        <v>0</v>
      </c>
      <c r="AE142" s="20">
        <f t="shared" si="157"/>
        <v>0</v>
      </c>
      <c r="AF142" s="20">
        <f t="shared" si="157"/>
        <v>0</v>
      </c>
      <c r="AG142" s="20">
        <f t="shared" si="157"/>
        <v>0</v>
      </c>
      <c r="AH142" s="20">
        <f t="shared" si="157"/>
        <v>0</v>
      </c>
      <c r="AI142" s="20">
        <f t="shared" si="158"/>
        <v>0</v>
      </c>
      <c r="AJ142" s="20">
        <f t="shared" si="158"/>
        <v>0</v>
      </c>
      <c r="AK142" s="20">
        <f t="shared" si="158"/>
        <v>0</v>
      </c>
      <c r="AL142" s="20">
        <f t="shared" si="158"/>
        <v>0</v>
      </c>
      <c r="AM142" s="20">
        <f t="shared" si="159"/>
        <v>0</v>
      </c>
      <c r="AO142">
        <f t="shared" si="160"/>
        <v>0</v>
      </c>
      <c r="AP142">
        <f t="shared" si="160"/>
        <v>0</v>
      </c>
      <c r="AQ142">
        <f t="shared" si="160"/>
        <v>0</v>
      </c>
      <c r="AR142">
        <f t="shared" si="160"/>
        <v>0</v>
      </c>
      <c r="AS142">
        <f t="shared" si="161"/>
        <v>0</v>
      </c>
      <c r="AU142">
        <f t="shared" si="162"/>
        <v>0</v>
      </c>
      <c r="AV142">
        <f t="shared" si="162"/>
        <v>0</v>
      </c>
      <c r="AW142">
        <f t="shared" si="162"/>
        <v>0</v>
      </c>
      <c r="AX142">
        <f t="shared" si="162"/>
        <v>0</v>
      </c>
      <c r="AY142">
        <f t="shared" si="163"/>
        <v>0</v>
      </c>
    </row>
    <row r="143" spans="1:53" ht="15" x14ac:dyDescent="0.25">
      <c r="A143" s="1"/>
      <c r="B143" s="2"/>
      <c r="C143" s="1" t="s">
        <v>13</v>
      </c>
      <c r="D143">
        <v>0</v>
      </c>
      <c r="E143" s="360">
        <v>9.9110999999999994</v>
      </c>
      <c r="F143">
        <v>0</v>
      </c>
      <c r="G143">
        <v>0</v>
      </c>
      <c r="H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20"/>
      <c r="P143" s="20"/>
      <c r="Q143" s="436">
        <v>0.77228503671054005</v>
      </c>
      <c r="R143" s="197">
        <v>2.5000000000000001E-2</v>
      </c>
      <c r="S143" s="197">
        <v>0.71599999999999997</v>
      </c>
      <c r="T143" s="197">
        <v>0.11808671869809276</v>
      </c>
      <c r="U143" s="197">
        <v>0.41263016220713056</v>
      </c>
      <c r="V143" s="20">
        <f t="shared" si="154"/>
        <v>1.9135485568354582</v>
      </c>
      <c r="W143" s="20">
        <f t="shared" si="154"/>
        <v>0</v>
      </c>
      <c r="X143" s="20">
        <f t="shared" si="154"/>
        <v>0</v>
      </c>
      <c r="Y143" s="20">
        <f t="shared" si="154"/>
        <v>0</v>
      </c>
      <c r="Z143" s="20">
        <f t="shared" si="155"/>
        <v>0.53395338566406225</v>
      </c>
      <c r="AA143" s="20">
        <f t="shared" si="155"/>
        <v>0</v>
      </c>
      <c r="AB143" s="20">
        <f t="shared" si="155"/>
        <v>0</v>
      </c>
      <c r="AC143" s="20">
        <f t="shared" si="155"/>
        <v>0</v>
      </c>
      <c r="AD143" s="20">
        <f t="shared" si="156"/>
        <v>0.53395338566406225</v>
      </c>
      <c r="AE143" s="20">
        <f t="shared" si="157"/>
        <v>54.80403066776752</v>
      </c>
      <c r="AF143" s="20">
        <f t="shared" si="157"/>
        <v>0</v>
      </c>
      <c r="AG143" s="20">
        <f t="shared" si="157"/>
        <v>0</v>
      </c>
      <c r="AH143" s="20">
        <f t="shared" si="157"/>
        <v>0</v>
      </c>
      <c r="AI143" s="20">
        <f t="shared" si="158"/>
        <v>28.488602695003383</v>
      </c>
      <c r="AJ143" s="20">
        <f t="shared" si="158"/>
        <v>0</v>
      </c>
      <c r="AK143" s="20">
        <f t="shared" si="158"/>
        <v>0</v>
      </c>
      <c r="AL143" s="20">
        <f t="shared" si="158"/>
        <v>0</v>
      </c>
      <c r="AM143" s="20">
        <f t="shared" si="159"/>
        <v>28.488602695003383</v>
      </c>
      <c r="AO143">
        <f t="shared" si="160"/>
        <v>0.5411617563705271</v>
      </c>
      <c r="AP143">
        <f t="shared" si="160"/>
        <v>0</v>
      </c>
      <c r="AQ143">
        <f t="shared" si="160"/>
        <v>0</v>
      </c>
      <c r="AR143">
        <f t="shared" si="160"/>
        <v>0</v>
      </c>
      <c r="AS143">
        <f t="shared" si="161"/>
        <v>0.5411617563705271</v>
      </c>
      <c r="AU143">
        <f t="shared" si="162"/>
        <v>28.873198831385931</v>
      </c>
      <c r="AV143">
        <f t="shared" si="162"/>
        <v>0</v>
      </c>
      <c r="AW143">
        <f t="shared" si="162"/>
        <v>0</v>
      </c>
      <c r="AX143">
        <f t="shared" si="162"/>
        <v>0</v>
      </c>
      <c r="AY143">
        <f t="shared" si="163"/>
        <v>28.873198831385931</v>
      </c>
    </row>
    <row r="144" spans="1:53" ht="15" x14ac:dyDescent="0.25">
      <c r="A144" s="7"/>
      <c r="B144" s="8" t="s">
        <v>14</v>
      </c>
      <c r="C144" s="7"/>
      <c r="D144" s="357">
        <f t="shared" ref="D144:H144" si="164">SUM(D138:D143)</f>
        <v>0</v>
      </c>
      <c r="E144" s="363">
        <f>SUM(E138:E143)</f>
        <v>23.533299999999997</v>
      </c>
      <c r="F144" s="357">
        <f t="shared" si="164"/>
        <v>0</v>
      </c>
      <c r="G144" s="357">
        <f t="shared" si="164"/>
        <v>0</v>
      </c>
      <c r="H144" s="357">
        <f t="shared" si="164"/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 s="20"/>
      <c r="P144" s="20"/>
      <c r="Q144" s="436">
        <v>0.77156334497120915</v>
      </c>
      <c r="R144" s="197"/>
      <c r="S144" s="197"/>
      <c r="T144" s="197"/>
      <c r="U144" s="197"/>
      <c r="BA144" s="319">
        <f>(E144*10000*Q144*AU$10)</f>
        <v>184025.56993704804</v>
      </c>
    </row>
    <row r="145" spans="1:53" ht="15" x14ac:dyDescent="0.25">
      <c r="A145" s="10"/>
      <c r="B145" s="9" t="s">
        <v>15</v>
      </c>
      <c r="C145" s="5"/>
      <c r="E145" s="363">
        <f>SUM(E144)</f>
        <v>23.533299999999997</v>
      </c>
      <c r="H145" s="358">
        <f>SUM(D144:H144)</f>
        <v>23.533299999999997</v>
      </c>
      <c r="K145" s="14"/>
      <c r="N145">
        <v>0</v>
      </c>
      <c r="O145" s="20"/>
      <c r="P145" s="20"/>
      <c r="Q145" s="436"/>
      <c r="R145" s="197"/>
      <c r="S145" s="197"/>
      <c r="T145" s="197"/>
      <c r="U145" s="197"/>
    </row>
    <row r="146" spans="1:53" ht="15.75" x14ac:dyDescent="0.25">
      <c r="A146" s="1"/>
      <c r="B146" s="2"/>
      <c r="C146" s="1"/>
      <c r="E146" s="361"/>
      <c r="K146" s="14"/>
      <c r="O146" s="20"/>
      <c r="P146" s="20"/>
      <c r="Q146" s="437"/>
      <c r="R146" s="197"/>
      <c r="S146" s="197"/>
      <c r="T146" s="197"/>
      <c r="U146" s="197"/>
    </row>
    <row r="147" spans="1:53" ht="15" x14ac:dyDescent="0.25">
      <c r="A147" s="1">
        <v>16</v>
      </c>
      <c r="B147" s="2" t="s">
        <v>30</v>
      </c>
      <c r="C147" s="1" t="s">
        <v>8</v>
      </c>
      <c r="D147">
        <v>0</v>
      </c>
      <c r="E147" s="360">
        <v>72.439700000000002</v>
      </c>
      <c r="F147">
        <v>0</v>
      </c>
      <c r="G147">
        <v>0</v>
      </c>
      <c r="H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 s="20"/>
      <c r="P147" s="20"/>
      <c r="Q147" s="436">
        <v>0.67803543196272498</v>
      </c>
      <c r="R147" s="197">
        <v>5.6499999999999995E-2</v>
      </c>
      <c r="S147" s="197">
        <v>1.25</v>
      </c>
      <c r="T147" s="197">
        <v>0.50650413159351704</v>
      </c>
      <c r="U147" s="197">
        <v>0.77519673403474398</v>
      </c>
      <c r="V147" s="20">
        <f t="shared" ref="V147:Y152" si="165">E147*$Q147*$R147*10</f>
        <v>27.750926053623864</v>
      </c>
      <c r="W147" s="20">
        <f t="shared" si="165"/>
        <v>0</v>
      </c>
      <c r="X147" s="20">
        <f t="shared" si="165"/>
        <v>0</v>
      </c>
      <c r="Y147" s="20">
        <f t="shared" si="165"/>
        <v>0</v>
      </c>
      <c r="Z147" s="20">
        <f t="shared" ref="Z147:AC152" si="166">V147*(EXP(1.01-0.34*LN(Z$8))*(1-$T147)+(1*$T147))</f>
        <v>16.555328029089338</v>
      </c>
      <c r="AA147" s="20">
        <f t="shared" si="166"/>
        <v>0</v>
      </c>
      <c r="AB147" s="20">
        <f t="shared" si="166"/>
        <v>0</v>
      </c>
      <c r="AC147" s="20">
        <f t="shared" si="166"/>
        <v>0</v>
      </c>
      <c r="AD147" s="20">
        <f t="shared" ref="AD147:AD152" si="167">SUM(Z147:AC147)</f>
        <v>16.555328029089338</v>
      </c>
      <c r="AE147" s="20">
        <f t="shared" ref="AE147:AH152" si="168">E147*$Q147*$S147*10</f>
        <v>613.95854100937765</v>
      </c>
      <c r="AF147" s="20">
        <f t="shared" si="168"/>
        <v>0</v>
      </c>
      <c r="AG147" s="20">
        <f t="shared" si="168"/>
        <v>0</v>
      </c>
      <c r="AH147" s="20">
        <f t="shared" si="168"/>
        <v>0</v>
      </c>
      <c r="AI147" s="20">
        <f t="shared" ref="AI147:AL152" si="169">AE147*(EXP(1.01-0.34*LN(AI$8))*(1-$U147)+(1*$U147))</f>
        <v>501.12766567907124</v>
      </c>
      <c r="AJ147" s="20">
        <f t="shared" si="169"/>
        <v>0</v>
      </c>
      <c r="AK147" s="20">
        <f t="shared" si="169"/>
        <v>0</v>
      </c>
      <c r="AL147" s="20">
        <f t="shared" si="169"/>
        <v>0</v>
      </c>
      <c r="AM147" s="20">
        <f t="shared" ref="AM147:AM152" si="170">SUM(AI147:AL147)</f>
        <v>501.12766567907124</v>
      </c>
      <c r="AO147">
        <f t="shared" ref="AO147:AR152" si="171">Z147*AO$10</f>
        <v>16.778824957482044</v>
      </c>
      <c r="AP147">
        <f t="shared" si="171"/>
        <v>0</v>
      </c>
      <c r="AQ147">
        <f t="shared" si="171"/>
        <v>0</v>
      </c>
      <c r="AR147">
        <f t="shared" si="171"/>
        <v>0</v>
      </c>
      <c r="AS147">
        <f t="shared" ref="AS147:AS152" si="172">SUM(AO147:AR147)</f>
        <v>16.778824957482044</v>
      </c>
      <c r="AU147">
        <f t="shared" ref="AU147:AX152" si="173">AI147*AU$10</f>
        <v>507.89288916573872</v>
      </c>
      <c r="AV147">
        <f t="shared" si="173"/>
        <v>0</v>
      </c>
      <c r="AW147">
        <f t="shared" si="173"/>
        <v>0</v>
      </c>
      <c r="AX147">
        <f t="shared" si="173"/>
        <v>0</v>
      </c>
      <c r="AY147">
        <f t="shared" ref="AY147:AY152" si="174">SUM(AU147:AX147)</f>
        <v>507.89288916573872</v>
      </c>
    </row>
    <row r="148" spans="1:53" ht="15" x14ac:dyDescent="0.25">
      <c r="A148" s="1"/>
      <c r="B148" s="2"/>
      <c r="C148" s="1" t="s">
        <v>9</v>
      </c>
      <c r="D148">
        <v>0</v>
      </c>
      <c r="E148" s="360">
        <v>6.3832000000000004</v>
      </c>
      <c r="F148">
        <v>0</v>
      </c>
      <c r="G148">
        <v>0</v>
      </c>
      <c r="H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 s="20"/>
      <c r="P148" s="20"/>
      <c r="Q148" s="436">
        <v>0.68107086392545002</v>
      </c>
      <c r="R148" s="197">
        <v>5.6499999999999995E-2</v>
      </c>
      <c r="S148" s="197">
        <v>1.25</v>
      </c>
      <c r="T148" s="197">
        <v>0.50650413159351704</v>
      </c>
      <c r="U148" s="197">
        <v>0.77519673403474398</v>
      </c>
      <c r="V148" s="20">
        <f t="shared" si="165"/>
        <v>2.456287519314047</v>
      </c>
      <c r="W148" s="20">
        <f t="shared" si="165"/>
        <v>0</v>
      </c>
      <c r="X148" s="20">
        <f t="shared" si="165"/>
        <v>0</v>
      </c>
      <c r="Y148" s="20">
        <f t="shared" si="165"/>
        <v>0</v>
      </c>
      <c r="Z148" s="20">
        <f t="shared" si="166"/>
        <v>1.4653437343829452</v>
      </c>
      <c r="AA148" s="20">
        <f t="shared" si="166"/>
        <v>0</v>
      </c>
      <c r="AB148" s="20">
        <f t="shared" si="166"/>
        <v>0</v>
      </c>
      <c r="AC148" s="20">
        <f t="shared" si="166"/>
        <v>0</v>
      </c>
      <c r="AD148" s="20">
        <f t="shared" si="167"/>
        <v>1.4653437343829452</v>
      </c>
      <c r="AE148" s="20">
        <f t="shared" si="168"/>
        <v>54.342644232611654</v>
      </c>
      <c r="AF148" s="20">
        <f t="shared" si="168"/>
        <v>0</v>
      </c>
      <c r="AG148" s="20">
        <f t="shared" si="168"/>
        <v>0</v>
      </c>
      <c r="AH148" s="20">
        <f t="shared" si="168"/>
        <v>0</v>
      </c>
      <c r="AI148" s="20">
        <f t="shared" si="169"/>
        <v>44.355767746703549</v>
      </c>
      <c r="AJ148" s="20">
        <f t="shared" si="169"/>
        <v>0</v>
      </c>
      <c r="AK148" s="20">
        <f t="shared" si="169"/>
        <v>0</v>
      </c>
      <c r="AL148" s="20">
        <f t="shared" si="169"/>
        <v>0</v>
      </c>
      <c r="AM148" s="20">
        <f t="shared" si="170"/>
        <v>44.355767746703549</v>
      </c>
      <c r="AO148">
        <f t="shared" si="171"/>
        <v>1.485125874797115</v>
      </c>
      <c r="AP148">
        <f t="shared" si="171"/>
        <v>0</v>
      </c>
      <c r="AQ148">
        <f t="shared" si="171"/>
        <v>0</v>
      </c>
      <c r="AR148">
        <f t="shared" si="171"/>
        <v>0</v>
      </c>
      <c r="AS148">
        <f t="shared" si="172"/>
        <v>1.485125874797115</v>
      </c>
      <c r="AU148">
        <f t="shared" si="173"/>
        <v>44.954570611284048</v>
      </c>
      <c r="AV148">
        <f t="shared" si="173"/>
        <v>0</v>
      </c>
      <c r="AW148">
        <f t="shared" si="173"/>
        <v>0</v>
      </c>
      <c r="AX148">
        <f t="shared" si="173"/>
        <v>0</v>
      </c>
      <c r="AY148">
        <f t="shared" si="174"/>
        <v>44.954570611284048</v>
      </c>
    </row>
    <row r="149" spans="1:53" ht="15" x14ac:dyDescent="0.25">
      <c r="A149" s="1"/>
      <c r="B149" s="2"/>
      <c r="C149" s="1" t="s">
        <v>10</v>
      </c>
      <c r="D149">
        <v>0</v>
      </c>
      <c r="E149" s="360">
        <v>0</v>
      </c>
      <c r="F149">
        <v>0</v>
      </c>
      <c r="G149">
        <v>0</v>
      </c>
      <c r="H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 s="20"/>
      <c r="P149" s="20"/>
      <c r="Q149" s="436"/>
      <c r="R149" s="197">
        <v>5.6499999999999995E-2</v>
      </c>
      <c r="S149" s="197">
        <v>1.25</v>
      </c>
      <c r="T149" s="197">
        <v>0.50650413159351704</v>
      </c>
      <c r="U149" s="197">
        <v>0.77519673403474398</v>
      </c>
      <c r="V149" s="20">
        <f t="shared" si="165"/>
        <v>0</v>
      </c>
      <c r="W149" s="20">
        <f t="shared" si="165"/>
        <v>0</v>
      </c>
      <c r="X149" s="20">
        <f t="shared" si="165"/>
        <v>0</v>
      </c>
      <c r="Y149" s="20">
        <f t="shared" si="165"/>
        <v>0</v>
      </c>
      <c r="Z149" s="20">
        <f t="shared" si="166"/>
        <v>0</v>
      </c>
      <c r="AA149" s="20">
        <f t="shared" si="166"/>
        <v>0</v>
      </c>
      <c r="AB149" s="20">
        <f t="shared" si="166"/>
        <v>0</v>
      </c>
      <c r="AC149" s="20">
        <f t="shared" si="166"/>
        <v>0</v>
      </c>
      <c r="AD149" s="20">
        <f t="shared" si="167"/>
        <v>0</v>
      </c>
      <c r="AE149" s="20">
        <f t="shared" si="168"/>
        <v>0</v>
      </c>
      <c r="AF149" s="20">
        <f t="shared" si="168"/>
        <v>0</v>
      </c>
      <c r="AG149" s="20">
        <f t="shared" si="168"/>
        <v>0</v>
      </c>
      <c r="AH149" s="20">
        <f t="shared" si="168"/>
        <v>0</v>
      </c>
      <c r="AI149" s="20">
        <f t="shared" si="169"/>
        <v>0</v>
      </c>
      <c r="AJ149" s="20">
        <f t="shared" si="169"/>
        <v>0</v>
      </c>
      <c r="AK149" s="20">
        <f t="shared" si="169"/>
        <v>0</v>
      </c>
      <c r="AL149" s="20">
        <f t="shared" si="169"/>
        <v>0</v>
      </c>
      <c r="AM149" s="20">
        <f t="shared" si="170"/>
        <v>0</v>
      </c>
      <c r="AO149">
        <f t="shared" si="171"/>
        <v>0</v>
      </c>
      <c r="AP149">
        <f t="shared" si="171"/>
        <v>0</v>
      </c>
      <c r="AQ149">
        <f t="shared" si="171"/>
        <v>0</v>
      </c>
      <c r="AR149">
        <f t="shared" si="171"/>
        <v>0</v>
      </c>
      <c r="AS149">
        <f t="shared" si="172"/>
        <v>0</v>
      </c>
      <c r="AU149">
        <f t="shared" si="173"/>
        <v>0</v>
      </c>
      <c r="AV149">
        <f t="shared" si="173"/>
        <v>0</v>
      </c>
      <c r="AW149">
        <f t="shared" si="173"/>
        <v>0</v>
      </c>
      <c r="AX149">
        <f t="shared" si="173"/>
        <v>0</v>
      </c>
      <c r="AY149">
        <f t="shared" si="174"/>
        <v>0</v>
      </c>
    </row>
    <row r="150" spans="1:53" ht="15" x14ac:dyDescent="0.25">
      <c r="A150" s="1"/>
      <c r="B150" s="2"/>
      <c r="C150" s="1" t="s">
        <v>11</v>
      </c>
      <c r="D150">
        <v>0</v>
      </c>
      <c r="E150" s="360">
        <v>1282.5646999999999</v>
      </c>
      <c r="F150">
        <v>0</v>
      </c>
      <c r="G150">
        <v>0</v>
      </c>
      <c r="H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s="20"/>
      <c r="P150" s="20"/>
      <c r="Q150" s="436">
        <v>0.68714172785090011</v>
      </c>
      <c r="R150" s="197">
        <v>5.6499999999999995E-2</v>
      </c>
      <c r="S150" s="197">
        <v>1.25</v>
      </c>
      <c r="T150" s="197">
        <v>0.50650413159351704</v>
      </c>
      <c r="U150" s="197">
        <v>0.77519673403474398</v>
      </c>
      <c r="V150" s="20">
        <f t="shared" si="165"/>
        <v>497.93660408179278</v>
      </c>
      <c r="W150" s="20">
        <f t="shared" si="165"/>
        <v>0</v>
      </c>
      <c r="X150" s="20">
        <f t="shared" si="165"/>
        <v>0</v>
      </c>
      <c r="Y150" s="20">
        <f t="shared" si="165"/>
        <v>0</v>
      </c>
      <c r="Z150" s="20">
        <f t="shared" si="166"/>
        <v>297.05328760329365</v>
      </c>
      <c r="AA150" s="20">
        <f t="shared" si="166"/>
        <v>0</v>
      </c>
      <c r="AB150" s="20">
        <f t="shared" si="166"/>
        <v>0</v>
      </c>
      <c r="AC150" s="20">
        <f t="shared" si="166"/>
        <v>0</v>
      </c>
      <c r="AD150" s="20">
        <f t="shared" si="167"/>
        <v>297.05328760329365</v>
      </c>
      <c r="AE150" s="20">
        <f t="shared" si="168"/>
        <v>11016.29655048214</v>
      </c>
      <c r="AF150" s="20">
        <f t="shared" si="168"/>
        <v>0</v>
      </c>
      <c r="AG150" s="20">
        <f t="shared" si="168"/>
        <v>0</v>
      </c>
      <c r="AH150" s="20">
        <f t="shared" si="168"/>
        <v>0</v>
      </c>
      <c r="AI150" s="20">
        <f t="shared" si="169"/>
        <v>8991.7650883973911</v>
      </c>
      <c r="AJ150" s="20">
        <f t="shared" si="169"/>
        <v>0</v>
      </c>
      <c r="AK150" s="20">
        <f t="shared" si="169"/>
        <v>0</v>
      </c>
      <c r="AL150" s="20">
        <f t="shared" si="169"/>
        <v>0</v>
      </c>
      <c r="AM150" s="20">
        <f t="shared" si="170"/>
        <v>8991.7650883973911</v>
      </c>
      <c r="AO150">
        <f t="shared" si="171"/>
        <v>301.06350698593815</v>
      </c>
      <c r="AP150">
        <f t="shared" si="171"/>
        <v>0</v>
      </c>
      <c r="AQ150">
        <f t="shared" si="171"/>
        <v>0</v>
      </c>
      <c r="AR150">
        <f t="shared" si="171"/>
        <v>0</v>
      </c>
      <c r="AS150">
        <f t="shared" si="172"/>
        <v>301.06350698593815</v>
      </c>
      <c r="AU150">
        <f t="shared" si="173"/>
        <v>9113.1539170907563</v>
      </c>
      <c r="AV150">
        <f t="shared" si="173"/>
        <v>0</v>
      </c>
      <c r="AW150">
        <f t="shared" si="173"/>
        <v>0</v>
      </c>
      <c r="AX150">
        <f t="shared" si="173"/>
        <v>0</v>
      </c>
      <c r="AY150">
        <f t="shared" si="174"/>
        <v>9113.1539170907563</v>
      </c>
    </row>
    <row r="151" spans="1:53" ht="15" x14ac:dyDescent="0.25">
      <c r="A151" s="1"/>
      <c r="B151" s="2"/>
      <c r="C151" s="1" t="s">
        <v>12</v>
      </c>
      <c r="D151">
        <v>0</v>
      </c>
      <c r="E151" s="360">
        <v>0</v>
      </c>
      <c r="F151">
        <v>0</v>
      </c>
      <c r="G151">
        <v>0</v>
      </c>
      <c r="H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 s="20"/>
      <c r="P151" s="20"/>
      <c r="Q151" s="436"/>
      <c r="R151" s="197">
        <v>5.6499999999999995E-2</v>
      </c>
      <c r="S151" s="197">
        <v>1.25</v>
      </c>
      <c r="T151" s="197">
        <v>0.50650413159351704</v>
      </c>
      <c r="U151" s="197">
        <v>0.77519673403474398</v>
      </c>
      <c r="V151" s="20">
        <f t="shared" si="165"/>
        <v>0</v>
      </c>
      <c r="W151" s="20">
        <f t="shared" si="165"/>
        <v>0</v>
      </c>
      <c r="X151" s="20">
        <f t="shared" si="165"/>
        <v>0</v>
      </c>
      <c r="Y151" s="20">
        <f t="shared" si="165"/>
        <v>0</v>
      </c>
      <c r="Z151" s="20">
        <f t="shared" si="166"/>
        <v>0</v>
      </c>
      <c r="AA151" s="20">
        <f t="shared" si="166"/>
        <v>0</v>
      </c>
      <c r="AB151" s="20">
        <f t="shared" si="166"/>
        <v>0</v>
      </c>
      <c r="AC151" s="20">
        <f t="shared" si="166"/>
        <v>0</v>
      </c>
      <c r="AD151" s="20">
        <f t="shared" si="167"/>
        <v>0</v>
      </c>
      <c r="AE151" s="20">
        <f t="shared" si="168"/>
        <v>0</v>
      </c>
      <c r="AF151" s="20">
        <f t="shared" si="168"/>
        <v>0</v>
      </c>
      <c r="AG151" s="20">
        <f t="shared" si="168"/>
        <v>0</v>
      </c>
      <c r="AH151" s="20">
        <f t="shared" si="168"/>
        <v>0</v>
      </c>
      <c r="AI151" s="20">
        <f t="shared" si="169"/>
        <v>0</v>
      </c>
      <c r="AJ151" s="20">
        <f t="shared" si="169"/>
        <v>0</v>
      </c>
      <c r="AK151" s="20">
        <f t="shared" si="169"/>
        <v>0</v>
      </c>
      <c r="AL151" s="20">
        <f t="shared" si="169"/>
        <v>0</v>
      </c>
      <c r="AM151" s="20">
        <f t="shared" si="170"/>
        <v>0</v>
      </c>
      <c r="AO151">
        <f t="shared" si="171"/>
        <v>0</v>
      </c>
      <c r="AP151">
        <f t="shared" si="171"/>
        <v>0</v>
      </c>
      <c r="AQ151">
        <f t="shared" si="171"/>
        <v>0</v>
      </c>
      <c r="AR151">
        <f t="shared" si="171"/>
        <v>0</v>
      </c>
      <c r="AS151">
        <f t="shared" si="172"/>
        <v>0</v>
      </c>
      <c r="AU151">
        <f t="shared" si="173"/>
        <v>0</v>
      </c>
      <c r="AV151">
        <f t="shared" si="173"/>
        <v>0</v>
      </c>
      <c r="AW151">
        <f t="shared" si="173"/>
        <v>0</v>
      </c>
      <c r="AX151">
        <f t="shared" si="173"/>
        <v>0</v>
      </c>
      <c r="AY151">
        <f t="shared" si="174"/>
        <v>0</v>
      </c>
    </row>
    <row r="152" spans="1:53" ht="15" x14ac:dyDescent="0.25">
      <c r="A152" s="1"/>
      <c r="B152" s="2"/>
      <c r="C152" s="1" t="s">
        <v>13</v>
      </c>
      <c r="D152">
        <v>0</v>
      </c>
      <c r="E152" s="360">
        <v>29.971499999999999</v>
      </c>
      <c r="F152">
        <v>0</v>
      </c>
      <c r="G152">
        <v>0</v>
      </c>
      <c r="H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20"/>
      <c r="P152" s="20"/>
      <c r="Q152" s="436">
        <v>0.68714172785090011</v>
      </c>
      <c r="R152" s="197"/>
      <c r="S152" s="197">
        <v>1.25</v>
      </c>
      <c r="T152" s="197">
        <v>0.50650413159351704</v>
      </c>
      <c r="U152" s="197">
        <v>0.77519673403474398</v>
      </c>
      <c r="V152" s="20">
        <f t="shared" si="165"/>
        <v>0</v>
      </c>
      <c r="W152" s="20">
        <f t="shared" si="165"/>
        <v>0</v>
      </c>
      <c r="X152" s="20">
        <f t="shared" si="165"/>
        <v>0</v>
      </c>
      <c r="Y152" s="20">
        <f t="shared" si="165"/>
        <v>0</v>
      </c>
      <c r="Z152" s="20">
        <f t="shared" si="166"/>
        <v>0</v>
      </c>
      <c r="AA152" s="20">
        <f t="shared" si="166"/>
        <v>0</v>
      </c>
      <c r="AB152" s="20">
        <f t="shared" si="166"/>
        <v>0</v>
      </c>
      <c r="AC152" s="20">
        <f t="shared" si="166"/>
        <v>0</v>
      </c>
      <c r="AD152" s="20">
        <f t="shared" si="167"/>
        <v>0</v>
      </c>
      <c r="AE152" s="20">
        <f t="shared" si="168"/>
        <v>257.43335370354066</v>
      </c>
      <c r="AF152" s="20">
        <f t="shared" si="168"/>
        <v>0</v>
      </c>
      <c r="AG152" s="20">
        <f t="shared" si="168"/>
        <v>0</v>
      </c>
      <c r="AH152" s="20">
        <f t="shared" si="168"/>
        <v>0</v>
      </c>
      <c r="AI152" s="20">
        <f t="shared" si="169"/>
        <v>210.12326890557839</v>
      </c>
      <c r="AJ152" s="20">
        <f t="shared" si="169"/>
        <v>0</v>
      </c>
      <c r="AK152" s="20">
        <f t="shared" si="169"/>
        <v>0</v>
      </c>
      <c r="AL152" s="20">
        <f t="shared" si="169"/>
        <v>0</v>
      </c>
      <c r="AM152" s="20">
        <f t="shared" si="170"/>
        <v>210.12326890557839</v>
      </c>
      <c r="AO152">
        <f t="shared" si="171"/>
        <v>0</v>
      </c>
      <c r="AP152">
        <f t="shared" si="171"/>
        <v>0</v>
      </c>
      <c r="AQ152">
        <f t="shared" si="171"/>
        <v>0</v>
      </c>
      <c r="AR152">
        <f t="shared" si="171"/>
        <v>0</v>
      </c>
      <c r="AS152">
        <f t="shared" si="172"/>
        <v>0</v>
      </c>
      <c r="AU152">
        <f t="shared" si="173"/>
        <v>212.95993303580372</v>
      </c>
      <c r="AV152">
        <f t="shared" si="173"/>
        <v>0</v>
      </c>
      <c r="AW152">
        <f t="shared" si="173"/>
        <v>0</v>
      </c>
      <c r="AX152">
        <f t="shared" si="173"/>
        <v>0</v>
      </c>
      <c r="AY152">
        <f t="shared" si="174"/>
        <v>212.95993303580372</v>
      </c>
    </row>
    <row r="153" spans="1:53" ht="15" x14ac:dyDescent="0.25">
      <c r="A153" s="7"/>
      <c r="B153" s="8" t="s">
        <v>14</v>
      </c>
      <c r="C153" s="7"/>
      <c r="D153" s="357">
        <f t="shared" ref="D153:H153" si="175">SUM(D147:D152)</f>
        <v>0</v>
      </c>
      <c r="E153" s="363">
        <f>SUM(E147:E152)</f>
        <v>1391.3591000000001</v>
      </c>
      <c r="F153" s="357">
        <f t="shared" si="175"/>
        <v>0</v>
      </c>
      <c r="G153" s="357">
        <f t="shared" si="175"/>
        <v>0</v>
      </c>
      <c r="H153" s="357">
        <f t="shared" si="175"/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 s="20"/>
      <c r="P153" s="20"/>
      <c r="Q153" s="436">
        <v>0.68663976622154088</v>
      </c>
      <c r="R153" s="197"/>
      <c r="S153" s="197"/>
      <c r="T153" s="197"/>
      <c r="U153" s="197"/>
      <c r="BA153" s="319">
        <f>(E153*10000*Q153*AU$10)</f>
        <v>9682598.8073079567</v>
      </c>
    </row>
    <row r="154" spans="1:53" ht="15" x14ac:dyDescent="0.25">
      <c r="A154" s="10"/>
      <c r="B154" s="9" t="s">
        <v>15</v>
      </c>
      <c r="C154" s="5"/>
      <c r="E154" s="363">
        <f>SUM(E153)</f>
        <v>1391.3591000000001</v>
      </c>
      <c r="H154" s="358">
        <f>SUM(D153:H153)</f>
        <v>1391.3591000000001</v>
      </c>
      <c r="K154" s="14"/>
      <c r="N154">
        <v>0</v>
      </c>
      <c r="O154" s="20"/>
      <c r="P154" s="20"/>
      <c r="Q154" s="436"/>
      <c r="R154" s="197"/>
      <c r="S154" s="197"/>
      <c r="T154" s="197"/>
      <c r="U154" s="197"/>
    </row>
    <row r="155" spans="1:53" ht="15.75" x14ac:dyDescent="0.25">
      <c r="A155" s="1"/>
      <c r="B155" s="2"/>
      <c r="C155" s="1"/>
      <c r="E155" s="361"/>
      <c r="K155" s="14"/>
      <c r="O155" s="20"/>
      <c r="P155" s="20"/>
      <c r="Q155" s="437"/>
      <c r="R155" s="197"/>
      <c r="S155" s="197"/>
      <c r="T155" s="197"/>
      <c r="U155" s="197"/>
    </row>
    <row r="156" spans="1:53" ht="15" x14ac:dyDescent="0.25">
      <c r="A156" s="1">
        <v>17</v>
      </c>
      <c r="B156" s="2" t="s">
        <v>31</v>
      </c>
      <c r="C156" s="1" t="s">
        <v>8</v>
      </c>
      <c r="D156">
        <v>0</v>
      </c>
      <c r="E156" s="360"/>
      <c r="F156">
        <v>0</v>
      </c>
      <c r="G156">
        <v>0</v>
      </c>
      <c r="H156">
        <v>0</v>
      </c>
      <c r="J156">
        <v>0</v>
      </c>
      <c r="K156" s="14">
        <v>0</v>
      </c>
      <c r="L156">
        <v>0</v>
      </c>
      <c r="M156">
        <v>0</v>
      </c>
      <c r="N156">
        <v>0</v>
      </c>
      <c r="O156" s="20"/>
      <c r="P156" s="20"/>
      <c r="Q156" s="436"/>
      <c r="R156" s="197"/>
      <c r="S156" s="197"/>
      <c r="T156" s="197"/>
      <c r="U156" s="197"/>
      <c r="V156" s="20">
        <f t="shared" ref="V156:Y161" si="176">IF(K156&gt;0,((E156-K156)*$Q156*$R156*10)+(K156*$O$12*$Q156*$R156*10),(E156*$Q156*$R156*10))</f>
        <v>0</v>
      </c>
      <c r="W156" s="20">
        <f t="shared" si="176"/>
        <v>0</v>
      </c>
      <c r="X156" s="20">
        <f t="shared" si="176"/>
        <v>0</v>
      </c>
      <c r="Y156" s="20">
        <f t="shared" si="176"/>
        <v>0</v>
      </c>
      <c r="Z156" s="20">
        <f t="shared" ref="Z156:AC161" si="177">V156*(EXP(1.01-0.34*LN(Z$8))*(1-$T156)+(1*$T156))</f>
        <v>0</v>
      </c>
      <c r="AA156" s="20">
        <f t="shared" si="177"/>
        <v>0</v>
      </c>
      <c r="AB156" s="20">
        <f t="shared" si="177"/>
        <v>0</v>
      </c>
      <c r="AC156" s="20">
        <f t="shared" si="177"/>
        <v>0</v>
      </c>
      <c r="AD156" s="20">
        <f t="shared" ref="AD156:AD161" si="178">SUM(Z156:AC156)</f>
        <v>0</v>
      </c>
      <c r="AE156" s="20">
        <f t="shared" ref="AE156:AH161" si="179">IF(K156&gt;0,((E156-K156)*$Q156*$S156*10)+(K156*$P$12*$Q156*$S156)*10,(E156*$Q156*$S156*10))</f>
        <v>0</v>
      </c>
      <c r="AF156" s="20">
        <f t="shared" si="179"/>
        <v>0</v>
      </c>
      <c r="AG156" s="20">
        <f t="shared" si="179"/>
        <v>0</v>
      </c>
      <c r="AH156" s="20">
        <f t="shared" si="179"/>
        <v>0</v>
      </c>
      <c r="AI156" s="20">
        <f t="shared" ref="AI156:AL161" si="180">AE156*(EXP(1.01-0.34*LN(AI$8))*(1-$U156)+(1*$U156))</f>
        <v>0</v>
      </c>
      <c r="AJ156" s="20">
        <f t="shared" si="180"/>
        <v>0</v>
      </c>
      <c r="AK156" s="20">
        <f t="shared" si="180"/>
        <v>0</v>
      </c>
      <c r="AL156" s="20">
        <f t="shared" si="180"/>
        <v>0</v>
      </c>
      <c r="AM156" s="20">
        <f t="shared" ref="AM156:AM161" si="181">SUM(AI156:AL156)</f>
        <v>0</v>
      </c>
      <c r="AO156">
        <f t="shared" ref="AO156:AR161" si="182">Z156*AO$10</f>
        <v>0</v>
      </c>
      <c r="AP156">
        <f t="shared" si="182"/>
        <v>0</v>
      </c>
      <c r="AQ156">
        <f t="shared" si="182"/>
        <v>0</v>
      </c>
      <c r="AR156">
        <f t="shared" si="182"/>
        <v>0</v>
      </c>
      <c r="AS156">
        <f t="shared" ref="AS156:AS161" si="183">SUM(AO156:AR156)</f>
        <v>0</v>
      </c>
      <c r="AU156">
        <f t="shared" ref="AU156:AX161" si="184">AI156*AU$10</f>
        <v>0</v>
      </c>
      <c r="AV156">
        <f t="shared" si="184"/>
        <v>0</v>
      </c>
      <c r="AW156">
        <f t="shared" si="184"/>
        <v>0</v>
      </c>
      <c r="AX156">
        <f t="shared" si="184"/>
        <v>0</v>
      </c>
      <c r="AY156">
        <f t="shared" ref="AY156:AY161" si="185">SUM(AU156:AX156)</f>
        <v>0</v>
      </c>
    </row>
    <row r="157" spans="1:53" ht="15" x14ac:dyDescent="0.25">
      <c r="A157" s="1"/>
      <c r="B157" s="2"/>
      <c r="C157" s="1" t="s">
        <v>9</v>
      </c>
      <c r="D157">
        <v>0</v>
      </c>
      <c r="E157" s="360"/>
      <c r="F157">
        <v>0</v>
      </c>
      <c r="G157">
        <v>0</v>
      </c>
      <c r="H157">
        <v>0</v>
      </c>
      <c r="J157">
        <v>0</v>
      </c>
      <c r="K157" s="14">
        <v>0</v>
      </c>
      <c r="L157">
        <v>0</v>
      </c>
      <c r="M157">
        <v>0</v>
      </c>
      <c r="N157">
        <v>0</v>
      </c>
      <c r="O157" s="20"/>
      <c r="P157" s="20"/>
      <c r="Q157" s="436"/>
      <c r="R157" s="197"/>
      <c r="S157" s="197"/>
      <c r="T157" s="197"/>
      <c r="U157" s="197"/>
      <c r="V157" s="20">
        <f t="shared" si="176"/>
        <v>0</v>
      </c>
      <c r="W157" s="20">
        <f t="shared" si="176"/>
        <v>0</v>
      </c>
      <c r="X157" s="20">
        <f t="shared" si="176"/>
        <v>0</v>
      </c>
      <c r="Y157" s="20">
        <f t="shared" si="176"/>
        <v>0</v>
      </c>
      <c r="Z157" s="20">
        <f t="shared" si="177"/>
        <v>0</v>
      </c>
      <c r="AA157" s="20">
        <f t="shared" si="177"/>
        <v>0</v>
      </c>
      <c r="AB157" s="20">
        <f t="shared" si="177"/>
        <v>0</v>
      </c>
      <c r="AC157" s="20">
        <f t="shared" si="177"/>
        <v>0</v>
      </c>
      <c r="AD157" s="20">
        <f t="shared" si="178"/>
        <v>0</v>
      </c>
      <c r="AE157" s="20">
        <f t="shared" si="179"/>
        <v>0</v>
      </c>
      <c r="AF157" s="20">
        <f t="shared" si="179"/>
        <v>0</v>
      </c>
      <c r="AG157" s="20">
        <f t="shared" si="179"/>
        <v>0</v>
      </c>
      <c r="AH157" s="20">
        <f t="shared" si="179"/>
        <v>0</v>
      </c>
      <c r="AI157" s="20">
        <f t="shared" si="180"/>
        <v>0</v>
      </c>
      <c r="AJ157" s="20">
        <f t="shared" si="180"/>
        <v>0</v>
      </c>
      <c r="AK157" s="20">
        <f t="shared" si="180"/>
        <v>0</v>
      </c>
      <c r="AL157" s="20">
        <f t="shared" si="180"/>
        <v>0</v>
      </c>
      <c r="AM157" s="20">
        <f t="shared" si="181"/>
        <v>0</v>
      </c>
      <c r="AO157">
        <f t="shared" si="182"/>
        <v>0</v>
      </c>
      <c r="AP157">
        <f t="shared" si="182"/>
        <v>0</v>
      </c>
      <c r="AQ157">
        <f t="shared" si="182"/>
        <v>0</v>
      </c>
      <c r="AR157">
        <f t="shared" si="182"/>
        <v>0</v>
      </c>
      <c r="AS157">
        <f t="shared" si="183"/>
        <v>0</v>
      </c>
      <c r="AU157">
        <f t="shared" si="184"/>
        <v>0</v>
      </c>
      <c r="AV157">
        <f t="shared" si="184"/>
        <v>0</v>
      </c>
      <c r="AW157">
        <f t="shared" si="184"/>
        <v>0</v>
      </c>
      <c r="AX157">
        <f t="shared" si="184"/>
        <v>0</v>
      </c>
      <c r="AY157">
        <f t="shared" si="185"/>
        <v>0</v>
      </c>
    </row>
    <row r="158" spans="1:53" ht="15" x14ac:dyDescent="0.25">
      <c r="A158" s="1"/>
      <c r="B158" s="2"/>
      <c r="C158" s="1" t="s">
        <v>10</v>
      </c>
      <c r="D158">
        <v>0</v>
      </c>
      <c r="E158" s="360"/>
      <c r="F158">
        <v>0</v>
      </c>
      <c r="G158">
        <v>0</v>
      </c>
      <c r="H158">
        <v>0</v>
      </c>
      <c r="J158">
        <v>0</v>
      </c>
      <c r="K158" s="14">
        <v>0</v>
      </c>
      <c r="L158">
        <v>0</v>
      </c>
      <c r="M158">
        <v>0</v>
      </c>
      <c r="N158">
        <v>0</v>
      </c>
      <c r="O158" s="20"/>
      <c r="P158" s="20"/>
      <c r="Q158" s="436"/>
      <c r="R158" s="197"/>
      <c r="S158" s="197"/>
      <c r="T158" s="197"/>
      <c r="U158" s="197"/>
      <c r="V158" s="20">
        <f t="shared" si="176"/>
        <v>0</v>
      </c>
      <c r="W158" s="20">
        <f t="shared" si="176"/>
        <v>0</v>
      </c>
      <c r="X158" s="20">
        <f t="shared" si="176"/>
        <v>0</v>
      </c>
      <c r="Y158" s="20">
        <f t="shared" si="176"/>
        <v>0</v>
      </c>
      <c r="Z158" s="20">
        <f t="shared" si="177"/>
        <v>0</v>
      </c>
      <c r="AA158" s="20">
        <f t="shared" si="177"/>
        <v>0</v>
      </c>
      <c r="AB158" s="20">
        <f t="shared" si="177"/>
        <v>0</v>
      </c>
      <c r="AC158" s="20">
        <f t="shared" si="177"/>
        <v>0</v>
      </c>
      <c r="AD158" s="20">
        <f t="shared" si="178"/>
        <v>0</v>
      </c>
      <c r="AE158" s="20">
        <f t="shared" si="179"/>
        <v>0</v>
      </c>
      <c r="AF158" s="20">
        <f t="shared" si="179"/>
        <v>0</v>
      </c>
      <c r="AG158" s="20">
        <f t="shared" si="179"/>
        <v>0</v>
      </c>
      <c r="AH158" s="20">
        <f t="shared" si="179"/>
        <v>0</v>
      </c>
      <c r="AI158" s="20">
        <f t="shared" si="180"/>
        <v>0</v>
      </c>
      <c r="AJ158" s="20">
        <f t="shared" si="180"/>
        <v>0</v>
      </c>
      <c r="AK158" s="20">
        <f t="shared" si="180"/>
        <v>0</v>
      </c>
      <c r="AL158" s="20">
        <f t="shared" si="180"/>
        <v>0</v>
      </c>
      <c r="AM158" s="20">
        <f t="shared" si="181"/>
        <v>0</v>
      </c>
      <c r="AO158">
        <f t="shared" si="182"/>
        <v>0</v>
      </c>
      <c r="AP158">
        <f t="shared" si="182"/>
        <v>0</v>
      </c>
      <c r="AQ158">
        <f t="shared" si="182"/>
        <v>0</v>
      </c>
      <c r="AR158">
        <f t="shared" si="182"/>
        <v>0</v>
      </c>
      <c r="AS158">
        <f t="shared" si="183"/>
        <v>0</v>
      </c>
      <c r="AU158">
        <f t="shared" si="184"/>
        <v>0</v>
      </c>
      <c r="AV158">
        <f t="shared" si="184"/>
        <v>0</v>
      </c>
      <c r="AW158">
        <f t="shared" si="184"/>
        <v>0</v>
      </c>
      <c r="AX158">
        <f t="shared" si="184"/>
        <v>0</v>
      </c>
      <c r="AY158">
        <f t="shared" si="185"/>
        <v>0</v>
      </c>
    </row>
    <row r="159" spans="1:53" ht="15" x14ac:dyDescent="0.25">
      <c r="A159" s="1"/>
      <c r="B159" s="2"/>
      <c r="C159" s="1" t="s">
        <v>11</v>
      </c>
      <c r="D159">
        <v>0</v>
      </c>
      <c r="E159" s="360"/>
      <c r="F159">
        <v>0</v>
      </c>
      <c r="G159">
        <v>0</v>
      </c>
      <c r="H159">
        <v>0</v>
      </c>
      <c r="J159">
        <v>0</v>
      </c>
      <c r="K159" s="14">
        <v>0</v>
      </c>
      <c r="L159">
        <v>0</v>
      </c>
      <c r="M159">
        <v>0</v>
      </c>
      <c r="N159">
        <v>0</v>
      </c>
      <c r="O159" s="20"/>
      <c r="P159" s="20"/>
      <c r="Q159" s="436"/>
      <c r="R159" s="197"/>
      <c r="S159" s="197"/>
      <c r="T159" s="197"/>
      <c r="U159" s="197"/>
      <c r="V159" s="20">
        <f t="shared" si="176"/>
        <v>0</v>
      </c>
      <c r="W159" s="20">
        <f t="shared" si="176"/>
        <v>0</v>
      </c>
      <c r="X159" s="20">
        <f t="shared" si="176"/>
        <v>0</v>
      </c>
      <c r="Y159" s="20">
        <f t="shared" si="176"/>
        <v>0</v>
      </c>
      <c r="Z159" s="20">
        <f t="shared" si="177"/>
        <v>0</v>
      </c>
      <c r="AA159" s="20">
        <f t="shared" si="177"/>
        <v>0</v>
      </c>
      <c r="AB159" s="20">
        <f t="shared" si="177"/>
        <v>0</v>
      </c>
      <c r="AC159" s="20">
        <f t="shared" si="177"/>
        <v>0</v>
      </c>
      <c r="AD159" s="20">
        <f t="shared" si="178"/>
        <v>0</v>
      </c>
      <c r="AE159" s="20">
        <f t="shared" si="179"/>
        <v>0</v>
      </c>
      <c r="AF159" s="20">
        <f t="shared" si="179"/>
        <v>0</v>
      </c>
      <c r="AG159" s="20">
        <f t="shared" si="179"/>
        <v>0</v>
      </c>
      <c r="AH159" s="20">
        <f t="shared" si="179"/>
        <v>0</v>
      </c>
      <c r="AI159" s="20">
        <f t="shared" si="180"/>
        <v>0</v>
      </c>
      <c r="AJ159" s="20">
        <f t="shared" si="180"/>
        <v>0</v>
      </c>
      <c r="AK159" s="20">
        <f t="shared" si="180"/>
        <v>0</v>
      </c>
      <c r="AL159" s="20">
        <f t="shared" si="180"/>
        <v>0</v>
      </c>
      <c r="AM159" s="20">
        <f t="shared" si="181"/>
        <v>0</v>
      </c>
      <c r="AO159">
        <f t="shared" si="182"/>
        <v>0</v>
      </c>
      <c r="AP159">
        <f t="shared" si="182"/>
        <v>0</v>
      </c>
      <c r="AQ159">
        <f t="shared" si="182"/>
        <v>0</v>
      </c>
      <c r="AR159">
        <f t="shared" si="182"/>
        <v>0</v>
      </c>
      <c r="AS159">
        <f t="shared" si="183"/>
        <v>0</v>
      </c>
      <c r="AU159">
        <f t="shared" si="184"/>
        <v>0</v>
      </c>
      <c r="AV159">
        <f t="shared" si="184"/>
        <v>0</v>
      </c>
      <c r="AW159">
        <f t="shared" si="184"/>
        <v>0</v>
      </c>
      <c r="AX159">
        <f t="shared" si="184"/>
        <v>0</v>
      </c>
      <c r="AY159">
        <f t="shared" si="185"/>
        <v>0</v>
      </c>
    </row>
    <row r="160" spans="1:53" ht="15" x14ac:dyDescent="0.25">
      <c r="A160" s="1"/>
      <c r="B160" s="2"/>
      <c r="C160" s="1" t="s">
        <v>12</v>
      </c>
      <c r="D160">
        <v>0</v>
      </c>
      <c r="E160" s="360"/>
      <c r="F160">
        <v>0</v>
      </c>
      <c r="G160">
        <v>0</v>
      </c>
      <c r="H160">
        <v>0</v>
      </c>
      <c r="J160">
        <v>0</v>
      </c>
      <c r="K160" s="14">
        <v>0</v>
      </c>
      <c r="L160">
        <v>0</v>
      </c>
      <c r="M160">
        <v>0</v>
      </c>
      <c r="N160">
        <v>0</v>
      </c>
      <c r="O160" s="20"/>
      <c r="P160" s="20"/>
      <c r="Q160" s="436"/>
      <c r="R160" s="197"/>
      <c r="S160" s="197"/>
      <c r="T160" s="197"/>
      <c r="U160" s="197"/>
      <c r="V160" s="20">
        <f t="shared" si="176"/>
        <v>0</v>
      </c>
      <c r="W160" s="20">
        <f t="shared" si="176"/>
        <v>0</v>
      </c>
      <c r="X160" s="20">
        <f t="shared" si="176"/>
        <v>0</v>
      </c>
      <c r="Y160" s="20">
        <f t="shared" si="176"/>
        <v>0</v>
      </c>
      <c r="Z160" s="20">
        <f t="shared" si="177"/>
        <v>0</v>
      </c>
      <c r="AA160" s="20">
        <f t="shared" si="177"/>
        <v>0</v>
      </c>
      <c r="AB160" s="20">
        <f t="shared" si="177"/>
        <v>0</v>
      </c>
      <c r="AC160" s="20">
        <f t="shared" si="177"/>
        <v>0</v>
      </c>
      <c r="AD160" s="20">
        <f t="shared" si="178"/>
        <v>0</v>
      </c>
      <c r="AE160" s="20">
        <f t="shared" si="179"/>
        <v>0</v>
      </c>
      <c r="AF160" s="20">
        <f t="shared" si="179"/>
        <v>0</v>
      </c>
      <c r="AG160" s="20">
        <f t="shared" si="179"/>
        <v>0</v>
      </c>
      <c r="AH160" s="20">
        <f t="shared" si="179"/>
        <v>0</v>
      </c>
      <c r="AI160" s="20">
        <f t="shared" si="180"/>
        <v>0</v>
      </c>
      <c r="AJ160" s="20">
        <f t="shared" si="180"/>
        <v>0</v>
      </c>
      <c r="AK160" s="20">
        <f t="shared" si="180"/>
        <v>0</v>
      </c>
      <c r="AL160" s="20">
        <f t="shared" si="180"/>
        <v>0</v>
      </c>
      <c r="AM160" s="20">
        <f t="shared" si="181"/>
        <v>0</v>
      </c>
      <c r="AO160">
        <f t="shared" si="182"/>
        <v>0</v>
      </c>
      <c r="AP160">
        <f t="shared" si="182"/>
        <v>0</v>
      </c>
      <c r="AQ160">
        <f t="shared" si="182"/>
        <v>0</v>
      </c>
      <c r="AR160">
        <f t="shared" si="182"/>
        <v>0</v>
      </c>
      <c r="AS160">
        <f t="shared" si="183"/>
        <v>0</v>
      </c>
      <c r="AU160">
        <f t="shared" si="184"/>
        <v>0</v>
      </c>
      <c r="AV160">
        <f t="shared" si="184"/>
        <v>0</v>
      </c>
      <c r="AW160">
        <f t="shared" si="184"/>
        <v>0</v>
      </c>
      <c r="AX160">
        <f t="shared" si="184"/>
        <v>0</v>
      </c>
      <c r="AY160">
        <f t="shared" si="185"/>
        <v>0</v>
      </c>
    </row>
    <row r="161" spans="1:53" ht="15" x14ac:dyDescent="0.25">
      <c r="A161" s="1"/>
      <c r="B161" s="2"/>
      <c r="C161" s="1" t="s">
        <v>13</v>
      </c>
      <c r="D161">
        <v>0</v>
      </c>
      <c r="E161" s="360"/>
      <c r="F161">
        <v>0</v>
      </c>
      <c r="G161">
        <v>0</v>
      </c>
      <c r="H161">
        <v>0</v>
      </c>
      <c r="J161">
        <v>0</v>
      </c>
      <c r="K161" s="14">
        <v>0</v>
      </c>
      <c r="L161">
        <v>0</v>
      </c>
      <c r="M161">
        <v>0</v>
      </c>
      <c r="N161">
        <v>0</v>
      </c>
      <c r="O161" s="20"/>
      <c r="P161" s="20"/>
      <c r="Q161" s="436"/>
      <c r="R161" s="197"/>
      <c r="S161" s="197"/>
      <c r="T161" s="197"/>
      <c r="U161" s="197"/>
      <c r="V161" s="20">
        <f t="shared" si="176"/>
        <v>0</v>
      </c>
      <c r="W161" s="20">
        <f t="shared" si="176"/>
        <v>0</v>
      </c>
      <c r="X161" s="20">
        <f t="shared" si="176"/>
        <v>0</v>
      </c>
      <c r="Y161" s="20">
        <f t="shared" si="176"/>
        <v>0</v>
      </c>
      <c r="Z161" s="20">
        <f t="shared" si="177"/>
        <v>0</v>
      </c>
      <c r="AA161" s="20">
        <f t="shared" si="177"/>
        <v>0</v>
      </c>
      <c r="AB161" s="20">
        <f t="shared" si="177"/>
        <v>0</v>
      </c>
      <c r="AC161" s="20">
        <f t="shared" si="177"/>
        <v>0</v>
      </c>
      <c r="AD161" s="20">
        <f t="shared" si="178"/>
        <v>0</v>
      </c>
      <c r="AE161" s="20">
        <f t="shared" si="179"/>
        <v>0</v>
      </c>
      <c r="AF161" s="20">
        <f t="shared" si="179"/>
        <v>0</v>
      </c>
      <c r="AG161" s="20">
        <f t="shared" si="179"/>
        <v>0</v>
      </c>
      <c r="AH161" s="20">
        <f t="shared" si="179"/>
        <v>0</v>
      </c>
      <c r="AI161" s="20">
        <f t="shared" si="180"/>
        <v>0</v>
      </c>
      <c r="AJ161" s="20">
        <f t="shared" si="180"/>
        <v>0</v>
      </c>
      <c r="AK161" s="20">
        <f t="shared" si="180"/>
        <v>0</v>
      </c>
      <c r="AL161" s="20">
        <f t="shared" si="180"/>
        <v>0</v>
      </c>
      <c r="AM161" s="20">
        <f t="shared" si="181"/>
        <v>0</v>
      </c>
      <c r="AO161">
        <f t="shared" si="182"/>
        <v>0</v>
      </c>
      <c r="AP161">
        <f t="shared" si="182"/>
        <v>0</v>
      </c>
      <c r="AQ161">
        <f t="shared" si="182"/>
        <v>0</v>
      </c>
      <c r="AR161">
        <f t="shared" si="182"/>
        <v>0</v>
      </c>
      <c r="AS161">
        <f t="shared" si="183"/>
        <v>0</v>
      </c>
      <c r="AU161">
        <f t="shared" si="184"/>
        <v>0</v>
      </c>
      <c r="AV161">
        <f t="shared" si="184"/>
        <v>0</v>
      </c>
      <c r="AW161">
        <f t="shared" si="184"/>
        <v>0</v>
      </c>
      <c r="AX161">
        <f t="shared" si="184"/>
        <v>0</v>
      </c>
      <c r="AY161">
        <f t="shared" si="185"/>
        <v>0</v>
      </c>
    </row>
    <row r="162" spans="1:53" ht="15" x14ac:dyDescent="0.25">
      <c r="A162" s="7"/>
      <c r="B162" s="8" t="s">
        <v>14</v>
      </c>
      <c r="C162" s="7"/>
      <c r="D162" s="357">
        <f t="shared" ref="D162:H162" si="186">SUM(D156:D161)</f>
        <v>0</v>
      </c>
      <c r="E162" s="363">
        <f>SUM(E156:E161)</f>
        <v>0</v>
      </c>
      <c r="F162" s="357">
        <f t="shared" si="186"/>
        <v>0</v>
      </c>
      <c r="G162" s="357">
        <f t="shared" si="186"/>
        <v>0</v>
      </c>
      <c r="H162" s="357">
        <f t="shared" si="186"/>
        <v>0</v>
      </c>
      <c r="J162">
        <v>0</v>
      </c>
      <c r="K162" s="14">
        <v>0</v>
      </c>
      <c r="L162">
        <v>0</v>
      </c>
      <c r="M162">
        <v>0</v>
      </c>
      <c r="N162">
        <v>0</v>
      </c>
      <c r="O162" s="20"/>
      <c r="P162" s="20"/>
      <c r="Q162" s="436"/>
      <c r="R162" s="197"/>
      <c r="S162" s="197"/>
      <c r="T162" s="197"/>
      <c r="U162" s="197"/>
      <c r="BA162" s="319">
        <f>(E162*10000*Q162*AU$10)</f>
        <v>0</v>
      </c>
    </row>
    <row r="163" spans="1:53" ht="15" x14ac:dyDescent="0.25">
      <c r="A163" s="10"/>
      <c r="B163" s="9" t="s">
        <v>15</v>
      </c>
      <c r="C163" s="5"/>
      <c r="E163" s="363">
        <f>SUM(E162)</f>
        <v>0</v>
      </c>
      <c r="H163" s="358">
        <f>SUM(D162:H162)</f>
        <v>0</v>
      </c>
      <c r="K163" s="14"/>
      <c r="N163">
        <v>0</v>
      </c>
      <c r="O163" s="20"/>
      <c r="P163" s="20"/>
      <c r="Q163" s="436"/>
      <c r="R163" s="197"/>
      <c r="S163" s="197"/>
      <c r="T163" s="197"/>
      <c r="U163" s="197"/>
    </row>
    <row r="164" spans="1:53" ht="15.75" x14ac:dyDescent="0.25">
      <c r="A164" s="1"/>
      <c r="B164" s="2"/>
      <c r="C164" s="1"/>
      <c r="E164" s="361"/>
      <c r="K164" s="14"/>
      <c r="O164" s="20"/>
      <c r="P164" s="20"/>
      <c r="Q164" s="437"/>
      <c r="R164" s="197"/>
      <c r="S164" s="197"/>
      <c r="T164" s="197"/>
      <c r="U164" s="197"/>
    </row>
    <row r="165" spans="1:53" ht="15" x14ac:dyDescent="0.25">
      <c r="A165" s="1">
        <v>18</v>
      </c>
      <c r="B165" s="2" t="s">
        <v>709</v>
      </c>
      <c r="C165" s="1" t="s">
        <v>8</v>
      </c>
      <c r="D165">
        <v>0</v>
      </c>
      <c r="E165" s="360"/>
      <c r="F165">
        <v>0</v>
      </c>
      <c r="G165">
        <v>0</v>
      </c>
      <c r="H165">
        <v>0</v>
      </c>
      <c r="J165">
        <v>0</v>
      </c>
      <c r="K165" s="14">
        <v>0</v>
      </c>
      <c r="L165">
        <v>0</v>
      </c>
      <c r="M165">
        <v>0</v>
      </c>
      <c r="N165">
        <v>0</v>
      </c>
      <c r="O165" s="20"/>
      <c r="P165" s="20"/>
      <c r="Q165" s="436"/>
      <c r="R165" s="197">
        <v>0.66599999999999993</v>
      </c>
      <c r="S165" s="197">
        <v>4.5549999999999997</v>
      </c>
      <c r="T165" s="197">
        <v>0.60039794540960334</v>
      </c>
      <c r="U165" s="197">
        <v>0.90789473684210531</v>
      </c>
      <c r="V165" s="20">
        <f t="shared" ref="V165:Y170" si="187">IF(K165&gt;0,((E165-K165)*$Q165*$R165*10)+(K165*$O$12*$Q165*$R165*10),(E165*$Q165*$R165*10))</f>
        <v>0</v>
      </c>
      <c r="W165" s="20">
        <f t="shared" si="187"/>
        <v>0</v>
      </c>
      <c r="X165" s="20">
        <f t="shared" si="187"/>
        <v>0</v>
      </c>
      <c r="Y165" s="20">
        <f t="shared" si="187"/>
        <v>0</v>
      </c>
      <c r="Z165" s="20">
        <f t="shared" ref="Z165:AC170" si="188">V165*(EXP(1.01-0.34*LN(Z$8))*(1-$T165)+(1*$T165))</f>
        <v>0</v>
      </c>
      <c r="AA165" s="20">
        <f t="shared" si="188"/>
        <v>0</v>
      </c>
      <c r="AB165" s="20">
        <f t="shared" si="188"/>
        <v>0</v>
      </c>
      <c r="AC165" s="20">
        <f t="shared" si="188"/>
        <v>0</v>
      </c>
      <c r="AD165" s="20">
        <f t="shared" ref="AD165:AD170" si="189">SUM(Z165:AC165)</f>
        <v>0</v>
      </c>
      <c r="AE165" s="20">
        <f t="shared" ref="AE165:AH170" si="190">IF(K165&gt;0,((E165-K165)*$Q165*$S165*10)+(K165*$P$12*$Q165*$S165)*10,(E165*$Q165*$S165*10))</f>
        <v>0</v>
      </c>
      <c r="AF165" s="20">
        <f t="shared" si="190"/>
        <v>0</v>
      </c>
      <c r="AG165" s="20">
        <f t="shared" si="190"/>
        <v>0</v>
      </c>
      <c r="AH165" s="20">
        <f t="shared" si="190"/>
        <v>0</v>
      </c>
      <c r="AI165" s="20">
        <f t="shared" ref="AI165:AL170" si="191">AE165*(EXP(1.01-0.34*LN(AI$8))*(1-$U165)+(1*$U165))</f>
        <v>0</v>
      </c>
      <c r="AJ165" s="20">
        <f t="shared" si="191"/>
        <v>0</v>
      </c>
      <c r="AK165" s="20">
        <f t="shared" si="191"/>
        <v>0</v>
      </c>
      <c r="AL165" s="20">
        <f t="shared" si="191"/>
        <v>0</v>
      </c>
      <c r="AM165" s="20">
        <f t="shared" ref="AM165:AM170" si="192">SUM(AI165:AL165)</f>
        <v>0</v>
      </c>
      <c r="AO165">
        <f t="shared" ref="AO165:AR170" si="193">Z165*AO$10</f>
        <v>0</v>
      </c>
      <c r="AP165">
        <f t="shared" si="193"/>
        <v>0</v>
      </c>
      <c r="AQ165">
        <f t="shared" si="193"/>
        <v>0</v>
      </c>
      <c r="AR165">
        <f t="shared" si="193"/>
        <v>0</v>
      </c>
      <c r="AS165">
        <f t="shared" ref="AS165:AS170" si="194">SUM(AO165:AR165)</f>
        <v>0</v>
      </c>
      <c r="AU165">
        <f t="shared" ref="AU165:AX170" si="195">AI165*AU$10</f>
        <v>0</v>
      </c>
      <c r="AV165">
        <f t="shared" si="195"/>
        <v>0</v>
      </c>
      <c r="AW165">
        <f t="shared" si="195"/>
        <v>0</v>
      </c>
      <c r="AX165">
        <f t="shared" si="195"/>
        <v>0</v>
      </c>
      <c r="AY165">
        <f t="shared" ref="AY165:AY170" si="196">SUM(AU165:AX165)</f>
        <v>0</v>
      </c>
    </row>
    <row r="166" spans="1:53" ht="15" x14ac:dyDescent="0.25">
      <c r="A166" s="1"/>
      <c r="B166" s="2"/>
      <c r="C166" s="1" t="s">
        <v>9</v>
      </c>
      <c r="D166">
        <v>0</v>
      </c>
      <c r="E166" s="360"/>
      <c r="F166">
        <v>0</v>
      </c>
      <c r="G166">
        <v>0</v>
      </c>
      <c r="H166">
        <v>0</v>
      </c>
      <c r="J166">
        <v>0</v>
      </c>
      <c r="K166" s="14">
        <v>0</v>
      </c>
      <c r="L166">
        <v>0</v>
      </c>
      <c r="M166">
        <v>0</v>
      </c>
      <c r="N166">
        <v>0</v>
      </c>
      <c r="O166" s="20"/>
      <c r="P166" s="20"/>
      <c r="Q166" s="436"/>
      <c r="R166" s="197">
        <v>0.66599999999999993</v>
      </c>
      <c r="S166" s="197">
        <v>4.5549999999999997</v>
      </c>
      <c r="T166" s="197">
        <v>0.60039794540960334</v>
      </c>
      <c r="U166" s="197">
        <v>0.90789473684210531</v>
      </c>
      <c r="V166" s="20">
        <f t="shared" si="187"/>
        <v>0</v>
      </c>
      <c r="W166" s="20">
        <f t="shared" si="187"/>
        <v>0</v>
      </c>
      <c r="X166" s="20">
        <f t="shared" si="187"/>
        <v>0</v>
      </c>
      <c r="Y166" s="20">
        <f t="shared" si="187"/>
        <v>0</v>
      </c>
      <c r="Z166" s="20">
        <f t="shared" si="188"/>
        <v>0</v>
      </c>
      <c r="AA166" s="20">
        <f t="shared" si="188"/>
        <v>0</v>
      </c>
      <c r="AB166" s="20">
        <f t="shared" si="188"/>
        <v>0</v>
      </c>
      <c r="AC166" s="20">
        <f t="shared" si="188"/>
        <v>0</v>
      </c>
      <c r="AD166" s="20">
        <f t="shared" si="189"/>
        <v>0</v>
      </c>
      <c r="AE166" s="20">
        <f t="shared" si="190"/>
        <v>0</v>
      </c>
      <c r="AF166" s="20">
        <f t="shared" si="190"/>
        <v>0</v>
      </c>
      <c r="AG166" s="20">
        <f t="shared" si="190"/>
        <v>0</v>
      </c>
      <c r="AH166" s="20">
        <f t="shared" si="190"/>
        <v>0</v>
      </c>
      <c r="AI166" s="20">
        <f t="shared" si="191"/>
        <v>0</v>
      </c>
      <c r="AJ166" s="20">
        <f t="shared" si="191"/>
        <v>0</v>
      </c>
      <c r="AK166" s="20">
        <f t="shared" si="191"/>
        <v>0</v>
      </c>
      <c r="AL166" s="20">
        <f t="shared" si="191"/>
        <v>0</v>
      </c>
      <c r="AM166" s="20">
        <f t="shared" si="192"/>
        <v>0</v>
      </c>
      <c r="AO166">
        <f t="shared" si="193"/>
        <v>0</v>
      </c>
      <c r="AP166">
        <f t="shared" si="193"/>
        <v>0</v>
      </c>
      <c r="AQ166">
        <f t="shared" si="193"/>
        <v>0</v>
      </c>
      <c r="AR166">
        <f t="shared" si="193"/>
        <v>0</v>
      </c>
      <c r="AS166">
        <f t="shared" si="194"/>
        <v>0</v>
      </c>
      <c r="AU166">
        <f t="shared" si="195"/>
        <v>0</v>
      </c>
      <c r="AV166">
        <f t="shared" si="195"/>
        <v>0</v>
      </c>
      <c r="AW166">
        <f t="shared" si="195"/>
        <v>0</v>
      </c>
      <c r="AX166">
        <f t="shared" si="195"/>
        <v>0</v>
      </c>
      <c r="AY166">
        <f t="shared" si="196"/>
        <v>0</v>
      </c>
    </row>
    <row r="167" spans="1:53" ht="15" x14ac:dyDescent="0.25">
      <c r="A167" s="1"/>
      <c r="B167" s="2"/>
      <c r="C167" s="1" t="s">
        <v>10</v>
      </c>
      <c r="D167">
        <v>0</v>
      </c>
      <c r="E167" s="360"/>
      <c r="F167">
        <v>0</v>
      </c>
      <c r="G167">
        <v>0</v>
      </c>
      <c r="H167">
        <v>0</v>
      </c>
      <c r="J167">
        <v>0</v>
      </c>
      <c r="K167" s="14">
        <v>0</v>
      </c>
      <c r="L167">
        <v>0</v>
      </c>
      <c r="M167">
        <v>0</v>
      </c>
      <c r="N167">
        <v>0</v>
      </c>
      <c r="O167" s="20"/>
      <c r="P167" s="20"/>
      <c r="Q167" s="436"/>
      <c r="R167" s="197">
        <v>0.66599999999999993</v>
      </c>
      <c r="S167" s="197">
        <v>4.5549999999999997</v>
      </c>
      <c r="T167" s="197">
        <v>0.60039794540960334</v>
      </c>
      <c r="U167" s="197">
        <v>0.90789473684210531</v>
      </c>
      <c r="V167" s="20">
        <f t="shared" si="187"/>
        <v>0</v>
      </c>
      <c r="W167" s="20">
        <f t="shared" si="187"/>
        <v>0</v>
      </c>
      <c r="X167" s="20">
        <f t="shared" si="187"/>
        <v>0</v>
      </c>
      <c r="Y167" s="20">
        <f t="shared" si="187"/>
        <v>0</v>
      </c>
      <c r="Z167" s="20">
        <f t="shared" si="188"/>
        <v>0</v>
      </c>
      <c r="AA167" s="20">
        <f t="shared" si="188"/>
        <v>0</v>
      </c>
      <c r="AB167" s="20">
        <f t="shared" si="188"/>
        <v>0</v>
      </c>
      <c r="AC167" s="20">
        <f t="shared" si="188"/>
        <v>0</v>
      </c>
      <c r="AD167" s="20">
        <f t="shared" si="189"/>
        <v>0</v>
      </c>
      <c r="AE167" s="20">
        <f t="shared" si="190"/>
        <v>0</v>
      </c>
      <c r="AF167" s="20">
        <f t="shared" si="190"/>
        <v>0</v>
      </c>
      <c r="AG167" s="20">
        <f t="shared" si="190"/>
        <v>0</v>
      </c>
      <c r="AH167" s="20">
        <f t="shared" si="190"/>
        <v>0</v>
      </c>
      <c r="AI167" s="20">
        <f t="shared" si="191"/>
        <v>0</v>
      </c>
      <c r="AJ167" s="20">
        <f t="shared" si="191"/>
        <v>0</v>
      </c>
      <c r="AK167" s="20">
        <f t="shared" si="191"/>
        <v>0</v>
      </c>
      <c r="AL167" s="20">
        <f t="shared" si="191"/>
        <v>0</v>
      </c>
      <c r="AM167" s="20">
        <f t="shared" si="192"/>
        <v>0</v>
      </c>
      <c r="AO167">
        <f t="shared" si="193"/>
        <v>0</v>
      </c>
      <c r="AP167">
        <f t="shared" si="193"/>
        <v>0</v>
      </c>
      <c r="AQ167">
        <f t="shared" si="193"/>
        <v>0</v>
      </c>
      <c r="AR167">
        <f t="shared" si="193"/>
        <v>0</v>
      </c>
      <c r="AS167">
        <f t="shared" si="194"/>
        <v>0</v>
      </c>
      <c r="AU167">
        <f t="shared" si="195"/>
        <v>0</v>
      </c>
      <c r="AV167">
        <f t="shared" si="195"/>
        <v>0</v>
      </c>
      <c r="AW167">
        <f t="shared" si="195"/>
        <v>0</v>
      </c>
      <c r="AX167">
        <f t="shared" si="195"/>
        <v>0</v>
      </c>
      <c r="AY167">
        <f t="shared" si="196"/>
        <v>0</v>
      </c>
    </row>
    <row r="168" spans="1:53" ht="15" x14ac:dyDescent="0.25">
      <c r="A168" s="1"/>
      <c r="B168" s="2"/>
      <c r="C168" s="1" t="s">
        <v>11</v>
      </c>
      <c r="D168">
        <v>0</v>
      </c>
      <c r="E168" s="360">
        <v>137.8776</v>
      </c>
      <c r="F168">
        <v>0</v>
      </c>
      <c r="G168">
        <v>0</v>
      </c>
      <c r="H168">
        <v>0</v>
      </c>
      <c r="J168">
        <v>0</v>
      </c>
      <c r="K168" s="14">
        <v>6.583568409723739E-5</v>
      </c>
      <c r="L168">
        <v>0</v>
      </c>
      <c r="M168">
        <v>0</v>
      </c>
      <c r="N168">
        <v>0</v>
      </c>
      <c r="O168" s="20"/>
      <c r="P168" s="20"/>
      <c r="Q168" s="436">
        <v>6.559557317552836E-2</v>
      </c>
      <c r="R168" s="197">
        <v>0.66599999999999993</v>
      </c>
      <c r="S168" s="197">
        <v>4.5549999999999997</v>
      </c>
      <c r="T168" s="197">
        <v>0.60039794540960334</v>
      </c>
      <c r="U168" s="197">
        <v>0.90789473684210531</v>
      </c>
      <c r="V168" s="20">
        <f t="shared" si="187"/>
        <v>60.234088748100945</v>
      </c>
      <c r="W168" s="20">
        <f t="shared" si="187"/>
        <v>0</v>
      </c>
      <c r="X168" s="20">
        <f t="shared" si="187"/>
        <v>0</v>
      </c>
      <c r="Y168" s="20">
        <f t="shared" si="187"/>
        <v>0</v>
      </c>
      <c r="Z168" s="20">
        <f t="shared" si="188"/>
        <v>40.557203514043522</v>
      </c>
      <c r="AA168" s="20">
        <f t="shared" si="188"/>
        <v>0</v>
      </c>
      <c r="AB168" s="20">
        <f t="shared" si="188"/>
        <v>0</v>
      </c>
      <c r="AC168" s="20">
        <f t="shared" si="188"/>
        <v>0</v>
      </c>
      <c r="AD168" s="20">
        <f t="shared" si="189"/>
        <v>40.557203514043522</v>
      </c>
      <c r="AE168" s="20">
        <f t="shared" si="190"/>
        <v>411.96141432413225</v>
      </c>
      <c r="AF168" s="20">
        <f t="shared" si="190"/>
        <v>0</v>
      </c>
      <c r="AG168" s="20">
        <f t="shared" si="190"/>
        <v>0</v>
      </c>
      <c r="AH168" s="20">
        <f t="shared" si="190"/>
        <v>0</v>
      </c>
      <c r="AI168" s="20">
        <f t="shared" si="191"/>
        <v>380.94245067943035</v>
      </c>
      <c r="AJ168" s="20">
        <f t="shared" si="191"/>
        <v>0</v>
      </c>
      <c r="AK168" s="20">
        <f t="shared" si="191"/>
        <v>0</v>
      </c>
      <c r="AL168" s="20">
        <f t="shared" si="191"/>
        <v>0</v>
      </c>
      <c r="AM168" s="20">
        <f t="shared" si="192"/>
        <v>380.94245067943035</v>
      </c>
      <c r="AO168">
        <f t="shared" si="193"/>
        <v>41.10472576148311</v>
      </c>
      <c r="AP168">
        <f t="shared" si="193"/>
        <v>0</v>
      </c>
      <c r="AQ168">
        <f t="shared" si="193"/>
        <v>0</v>
      </c>
      <c r="AR168">
        <f t="shared" si="193"/>
        <v>0</v>
      </c>
      <c r="AS168">
        <f t="shared" si="194"/>
        <v>41.10472576148311</v>
      </c>
      <c r="AU168">
        <f t="shared" si="195"/>
        <v>386.08517376360271</v>
      </c>
      <c r="AV168">
        <f t="shared" si="195"/>
        <v>0</v>
      </c>
      <c r="AW168">
        <f t="shared" si="195"/>
        <v>0</v>
      </c>
      <c r="AX168">
        <f t="shared" si="195"/>
        <v>0</v>
      </c>
      <c r="AY168">
        <f t="shared" si="196"/>
        <v>386.08517376360271</v>
      </c>
    </row>
    <row r="169" spans="1:53" ht="15" x14ac:dyDescent="0.25">
      <c r="A169" s="1"/>
      <c r="B169" s="2"/>
      <c r="C169" s="1" t="s">
        <v>12</v>
      </c>
      <c r="D169">
        <v>0</v>
      </c>
      <c r="E169" s="360"/>
      <c r="F169">
        <v>0</v>
      </c>
      <c r="G169">
        <v>0</v>
      </c>
      <c r="H169">
        <v>0</v>
      </c>
      <c r="J169">
        <v>0</v>
      </c>
      <c r="K169" s="14">
        <v>0</v>
      </c>
      <c r="L169">
        <v>0</v>
      </c>
      <c r="M169">
        <v>0</v>
      </c>
      <c r="N169">
        <v>0</v>
      </c>
      <c r="O169" s="20"/>
      <c r="P169" s="20"/>
      <c r="Q169" s="436"/>
      <c r="R169" s="197">
        <v>0.66599999999999993</v>
      </c>
      <c r="S169" s="197">
        <v>4.5549999999999997</v>
      </c>
      <c r="T169" s="197">
        <v>0.60039794540960334</v>
      </c>
      <c r="U169" s="197">
        <v>0.90789473684210531</v>
      </c>
      <c r="V169" s="20">
        <f t="shared" si="187"/>
        <v>0</v>
      </c>
      <c r="W169" s="20">
        <f t="shared" si="187"/>
        <v>0</v>
      </c>
      <c r="X169" s="20">
        <f t="shared" si="187"/>
        <v>0</v>
      </c>
      <c r="Y169" s="20">
        <f t="shared" si="187"/>
        <v>0</v>
      </c>
      <c r="Z169" s="20">
        <f t="shared" si="188"/>
        <v>0</v>
      </c>
      <c r="AA169" s="20">
        <f t="shared" si="188"/>
        <v>0</v>
      </c>
      <c r="AB169" s="20">
        <f t="shared" si="188"/>
        <v>0</v>
      </c>
      <c r="AC169" s="20">
        <f t="shared" si="188"/>
        <v>0</v>
      </c>
      <c r="AD169" s="20">
        <f t="shared" si="189"/>
        <v>0</v>
      </c>
      <c r="AE169" s="20">
        <f t="shared" si="190"/>
        <v>0</v>
      </c>
      <c r="AF169" s="20">
        <f t="shared" si="190"/>
        <v>0</v>
      </c>
      <c r="AG169" s="20">
        <f t="shared" si="190"/>
        <v>0</v>
      </c>
      <c r="AH169" s="20">
        <f t="shared" si="190"/>
        <v>0</v>
      </c>
      <c r="AI169" s="20">
        <f t="shared" si="191"/>
        <v>0</v>
      </c>
      <c r="AJ169" s="20">
        <f t="shared" si="191"/>
        <v>0</v>
      </c>
      <c r="AK169" s="20">
        <f t="shared" si="191"/>
        <v>0</v>
      </c>
      <c r="AL169" s="20">
        <f t="shared" si="191"/>
        <v>0</v>
      </c>
      <c r="AM169" s="20">
        <f t="shared" si="192"/>
        <v>0</v>
      </c>
      <c r="AO169">
        <f t="shared" si="193"/>
        <v>0</v>
      </c>
      <c r="AP169">
        <f t="shared" si="193"/>
        <v>0</v>
      </c>
      <c r="AQ169">
        <f t="shared" si="193"/>
        <v>0</v>
      </c>
      <c r="AR169">
        <f t="shared" si="193"/>
        <v>0</v>
      </c>
      <c r="AS169">
        <f t="shared" si="194"/>
        <v>0</v>
      </c>
      <c r="AU169">
        <f t="shared" si="195"/>
        <v>0</v>
      </c>
      <c r="AV169">
        <f t="shared" si="195"/>
        <v>0</v>
      </c>
      <c r="AW169">
        <f t="shared" si="195"/>
        <v>0</v>
      </c>
      <c r="AX169">
        <f t="shared" si="195"/>
        <v>0</v>
      </c>
      <c r="AY169">
        <f t="shared" si="196"/>
        <v>0</v>
      </c>
    </row>
    <row r="170" spans="1:53" ht="15" x14ac:dyDescent="0.25">
      <c r="A170" s="1"/>
      <c r="B170" s="2"/>
      <c r="C170" s="1" t="s">
        <v>13</v>
      </c>
      <c r="D170">
        <v>0</v>
      </c>
      <c r="E170" s="360"/>
      <c r="F170">
        <v>0</v>
      </c>
      <c r="G170">
        <v>0</v>
      </c>
      <c r="H170">
        <v>0</v>
      </c>
      <c r="J170">
        <v>0</v>
      </c>
      <c r="K170" s="14">
        <v>0</v>
      </c>
      <c r="L170">
        <v>0</v>
      </c>
      <c r="M170">
        <v>0</v>
      </c>
      <c r="N170">
        <v>0</v>
      </c>
      <c r="O170" s="20"/>
      <c r="P170" s="20"/>
      <c r="Q170" s="436"/>
      <c r="R170" s="197">
        <v>0.66599999999999993</v>
      </c>
      <c r="S170" s="197">
        <v>4.5549999999999997</v>
      </c>
      <c r="T170" s="197">
        <v>0.60039794540960334</v>
      </c>
      <c r="U170" s="197">
        <v>0.90789473684210531</v>
      </c>
      <c r="V170" s="20">
        <f t="shared" si="187"/>
        <v>0</v>
      </c>
      <c r="W170" s="20">
        <f t="shared" si="187"/>
        <v>0</v>
      </c>
      <c r="X170" s="20">
        <f t="shared" si="187"/>
        <v>0</v>
      </c>
      <c r="Y170" s="20">
        <f t="shared" si="187"/>
        <v>0</v>
      </c>
      <c r="Z170" s="20">
        <f t="shared" si="188"/>
        <v>0</v>
      </c>
      <c r="AA170" s="20">
        <f t="shared" si="188"/>
        <v>0</v>
      </c>
      <c r="AB170" s="20">
        <f t="shared" si="188"/>
        <v>0</v>
      </c>
      <c r="AC170" s="20">
        <f t="shared" si="188"/>
        <v>0</v>
      </c>
      <c r="AD170" s="20">
        <f t="shared" si="189"/>
        <v>0</v>
      </c>
      <c r="AE170" s="20">
        <f t="shared" si="190"/>
        <v>0</v>
      </c>
      <c r="AF170" s="20">
        <f t="shared" si="190"/>
        <v>0</v>
      </c>
      <c r="AG170" s="20">
        <f t="shared" si="190"/>
        <v>0</v>
      </c>
      <c r="AH170" s="20">
        <f t="shared" si="190"/>
        <v>0</v>
      </c>
      <c r="AI170" s="20">
        <f t="shared" si="191"/>
        <v>0</v>
      </c>
      <c r="AJ170" s="20">
        <f t="shared" si="191"/>
        <v>0</v>
      </c>
      <c r="AK170" s="20">
        <f t="shared" si="191"/>
        <v>0</v>
      </c>
      <c r="AL170" s="20">
        <f t="shared" si="191"/>
        <v>0</v>
      </c>
      <c r="AM170" s="20">
        <f t="shared" si="192"/>
        <v>0</v>
      </c>
      <c r="AO170">
        <f t="shared" si="193"/>
        <v>0</v>
      </c>
      <c r="AP170">
        <f t="shared" si="193"/>
        <v>0</v>
      </c>
      <c r="AQ170">
        <f t="shared" si="193"/>
        <v>0</v>
      </c>
      <c r="AR170">
        <f t="shared" si="193"/>
        <v>0</v>
      </c>
      <c r="AS170">
        <f t="shared" si="194"/>
        <v>0</v>
      </c>
      <c r="AU170">
        <f t="shared" si="195"/>
        <v>0</v>
      </c>
      <c r="AV170">
        <f t="shared" si="195"/>
        <v>0</v>
      </c>
      <c r="AW170">
        <f t="shared" si="195"/>
        <v>0</v>
      </c>
      <c r="AX170">
        <f t="shared" si="195"/>
        <v>0</v>
      </c>
      <c r="AY170">
        <f t="shared" si="196"/>
        <v>0</v>
      </c>
    </row>
    <row r="171" spans="1:53" ht="15" x14ac:dyDescent="0.25">
      <c r="A171" s="7"/>
      <c r="B171" s="8" t="s">
        <v>14</v>
      </c>
      <c r="C171" s="7"/>
      <c r="D171" s="357">
        <f t="shared" ref="D171:H171" si="197">SUM(D165:D170)</f>
        <v>0</v>
      </c>
      <c r="E171" s="363">
        <f>SUM(E165:E170)</f>
        <v>137.8776</v>
      </c>
      <c r="F171" s="357">
        <f t="shared" si="197"/>
        <v>0</v>
      </c>
      <c r="G171" s="357">
        <f t="shared" si="197"/>
        <v>0</v>
      </c>
      <c r="H171" s="357">
        <f t="shared" si="197"/>
        <v>0</v>
      </c>
      <c r="J171">
        <v>0</v>
      </c>
      <c r="K171" s="14">
        <v>6.583568409723739E-5</v>
      </c>
      <c r="L171">
        <v>0</v>
      </c>
      <c r="M171">
        <v>0</v>
      </c>
      <c r="N171">
        <v>0</v>
      </c>
      <c r="O171" s="20"/>
      <c r="P171" s="20"/>
      <c r="Q171" s="436">
        <v>6.559557317552836E-2</v>
      </c>
      <c r="R171" s="20"/>
      <c r="S171" s="20"/>
      <c r="T171" s="20"/>
      <c r="U171" s="20"/>
      <c r="BA171" s="319">
        <f>(E171*10000*Q171*AU$10)</f>
        <v>91662.563627671232</v>
      </c>
    </row>
    <row r="172" spans="1:53" ht="15" x14ac:dyDescent="0.25">
      <c r="A172" s="1"/>
      <c r="B172" s="9" t="s">
        <v>15</v>
      </c>
      <c r="C172" s="5"/>
      <c r="E172" s="363">
        <f>SUM(E171)</f>
        <v>137.8776</v>
      </c>
      <c r="H172" s="358">
        <f>SUM(D171:H171)</f>
        <v>137.8776</v>
      </c>
      <c r="K172" s="14"/>
      <c r="N172">
        <v>0</v>
      </c>
      <c r="O172" s="20"/>
      <c r="P172" s="20"/>
      <c r="Q172" s="436"/>
      <c r="R172" s="20"/>
      <c r="S172" s="20"/>
      <c r="T172" s="20"/>
      <c r="U172" s="20"/>
    </row>
    <row r="173" spans="1:53" ht="15.75" x14ac:dyDescent="0.25">
      <c r="A173" s="1"/>
      <c r="B173" s="2"/>
      <c r="C173" s="1"/>
      <c r="E173" s="361"/>
      <c r="K173" s="14"/>
      <c r="O173" s="20"/>
      <c r="P173" s="20"/>
      <c r="Q173" s="437"/>
      <c r="R173" s="20"/>
      <c r="S173" s="20"/>
      <c r="T173" s="20"/>
      <c r="U173" s="20"/>
    </row>
    <row r="174" spans="1:53" ht="15" x14ac:dyDescent="0.25">
      <c r="A174" s="1">
        <v>19</v>
      </c>
      <c r="B174" s="154" t="s">
        <v>865</v>
      </c>
      <c r="C174" s="1" t="s">
        <v>8</v>
      </c>
      <c r="D174">
        <v>0</v>
      </c>
      <c r="E174" s="360">
        <v>0</v>
      </c>
      <c r="F174">
        <v>0</v>
      </c>
      <c r="G174">
        <v>0</v>
      </c>
      <c r="H174">
        <v>0</v>
      </c>
      <c r="J174">
        <v>0</v>
      </c>
      <c r="K174" s="14">
        <v>0</v>
      </c>
      <c r="L174">
        <v>0</v>
      </c>
      <c r="M174">
        <v>0</v>
      </c>
      <c r="N174">
        <v>0</v>
      </c>
      <c r="O174" s="20"/>
      <c r="P174" s="20"/>
      <c r="Q174" s="436"/>
      <c r="R174" s="20"/>
      <c r="S174" s="20"/>
      <c r="T174" s="20"/>
      <c r="U174" s="20"/>
    </row>
    <row r="175" spans="1:53" ht="15" x14ac:dyDescent="0.25">
      <c r="A175" s="1"/>
      <c r="B175" s="2"/>
      <c r="C175" s="1" t="s">
        <v>9</v>
      </c>
      <c r="D175">
        <v>0</v>
      </c>
      <c r="E175" s="360">
        <v>0</v>
      </c>
      <c r="F175">
        <v>0</v>
      </c>
      <c r="G175">
        <v>0</v>
      </c>
      <c r="H175">
        <v>0</v>
      </c>
      <c r="J175">
        <v>0</v>
      </c>
      <c r="K175" s="14">
        <v>0</v>
      </c>
      <c r="L175">
        <v>0</v>
      </c>
      <c r="M175">
        <v>0</v>
      </c>
      <c r="N175">
        <v>0</v>
      </c>
      <c r="O175" s="20"/>
      <c r="P175" s="20"/>
      <c r="Q175" s="436"/>
      <c r="R175" s="20"/>
      <c r="S175" s="20"/>
      <c r="T175" s="20"/>
      <c r="U175" s="20"/>
    </row>
    <row r="176" spans="1:53" ht="15" x14ac:dyDescent="0.25">
      <c r="A176" s="1"/>
      <c r="B176" s="2"/>
      <c r="C176" s="1" t="s">
        <v>10</v>
      </c>
      <c r="D176">
        <v>0</v>
      </c>
      <c r="E176" s="360">
        <v>0</v>
      </c>
      <c r="F176">
        <v>0</v>
      </c>
      <c r="G176">
        <v>0</v>
      </c>
      <c r="H176">
        <v>0</v>
      </c>
      <c r="J176">
        <v>0</v>
      </c>
      <c r="K176" s="14">
        <v>0</v>
      </c>
      <c r="L176">
        <v>0</v>
      </c>
      <c r="M176">
        <v>0</v>
      </c>
      <c r="N176">
        <v>0</v>
      </c>
      <c r="O176" s="20"/>
      <c r="P176" s="20"/>
      <c r="Q176" s="436"/>
      <c r="R176" s="20"/>
      <c r="S176" s="20"/>
      <c r="T176" s="20"/>
      <c r="U176" s="20"/>
    </row>
    <row r="177" spans="1:53" ht="15" x14ac:dyDescent="0.25">
      <c r="A177" s="1"/>
      <c r="B177" s="2"/>
      <c r="C177" s="1" t="s">
        <v>11</v>
      </c>
      <c r="D177">
        <v>0</v>
      </c>
      <c r="E177" s="360">
        <v>1.3947290000000001</v>
      </c>
      <c r="F177">
        <v>0</v>
      </c>
      <c r="G177">
        <v>0</v>
      </c>
      <c r="H177">
        <v>0</v>
      </c>
      <c r="J177">
        <v>0</v>
      </c>
      <c r="K177" s="14">
        <v>1.3220211001474524E-6</v>
      </c>
      <c r="L177">
        <v>0</v>
      </c>
      <c r="M177">
        <v>0</v>
      </c>
      <c r="N177">
        <v>0</v>
      </c>
      <c r="O177" s="20"/>
      <c r="P177" s="20"/>
      <c r="Q177" s="436">
        <v>0.90000000000000013</v>
      </c>
      <c r="R177" s="20"/>
      <c r="S177" s="20"/>
      <c r="T177" s="20"/>
      <c r="U177" s="20"/>
    </row>
    <row r="178" spans="1:53" ht="15" x14ac:dyDescent="0.25">
      <c r="A178" s="1"/>
      <c r="B178" s="2"/>
      <c r="C178" s="1" t="s">
        <v>12</v>
      </c>
      <c r="D178">
        <v>0</v>
      </c>
      <c r="E178" s="360">
        <v>0</v>
      </c>
      <c r="F178">
        <v>0</v>
      </c>
      <c r="G178">
        <v>0</v>
      </c>
      <c r="H178">
        <v>0</v>
      </c>
      <c r="J178">
        <v>0</v>
      </c>
      <c r="K178" s="14">
        <v>0</v>
      </c>
      <c r="L178">
        <v>0</v>
      </c>
      <c r="M178">
        <v>0</v>
      </c>
      <c r="N178">
        <v>0</v>
      </c>
      <c r="O178" s="20"/>
      <c r="P178" s="20"/>
      <c r="Q178" s="436"/>
      <c r="R178" s="20"/>
      <c r="S178" s="20"/>
      <c r="T178" s="20"/>
      <c r="U178" s="20"/>
    </row>
    <row r="179" spans="1:53" ht="15" x14ac:dyDescent="0.25">
      <c r="A179" s="1"/>
      <c r="B179" s="2"/>
      <c r="C179" s="1" t="s">
        <v>13</v>
      </c>
      <c r="D179">
        <v>0</v>
      </c>
      <c r="E179" s="360">
        <v>99.678190000000001</v>
      </c>
      <c r="F179">
        <v>0</v>
      </c>
      <c r="G179">
        <v>0</v>
      </c>
      <c r="H179">
        <v>0</v>
      </c>
      <c r="J179">
        <v>0</v>
      </c>
      <c r="K179" s="14">
        <v>8.7469220872549158E-5</v>
      </c>
      <c r="L179">
        <v>0</v>
      </c>
      <c r="M179">
        <v>0</v>
      </c>
      <c r="N179">
        <v>0</v>
      </c>
      <c r="O179" s="20"/>
      <c r="P179" s="20"/>
      <c r="Q179" s="436">
        <v>0.90000000000000013</v>
      </c>
      <c r="R179" s="20"/>
      <c r="S179" s="20"/>
      <c r="T179" s="20"/>
      <c r="U179" s="20"/>
    </row>
    <row r="180" spans="1:53" ht="15" x14ac:dyDescent="0.25">
      <c r="A180" s="7"/>
      <c r="B180" s="8" t="s">
        <v>14</v>
      </c>
      <c r="C180" s="7"/>
      <c r="D180" s="357">
        <f t="shared" ref="D180:H180" si="198">SUM(D174:D179)</f>
        <v>0</v>
      </c>
      <c r="E180" s="363">
        <f>SUM(E174:E179)</f>
        <v>101.072919</v>
      </c>
      <c r="F180" s="357">
        <f t="shared" si="198"/>
        <v>0</v>
      </c>
      <c r="G180" s="357">
        <f t="shared" si="198"/>
        <v>0</v>
      </c>
      <c r="H180" s="357">
        <f t="shared" si="198"/>
        <v>0</v>
      </c>
      <c r="J180">
        <v>0</v>
      </c>
      <c r="K180">
        <v>0</v>
      </c>
      <c r="L180">
        <v>0</v>
      </c>
      <c r="M180">
        <v>0</v>
      </c>
      <c r="N180">
        <v>0</v>
      </c>
      <c r="Q180" s="436">
        <v>0.9</v>
      </c>
      <c r="BA180" s="319">
        <f>(E180*10000*Q180*AU$10)</f>
        <v>921936.63065850001</v>
      </c>
    </row>
    <row r="181" spans="1:53" ht="15" x14ac:dyDescent="0.25">
      <c r="A181" s="5"/>
      <c r="B181" s="9" t="s">
        <v>15</v>
      </c>
      <c r="C181" s="5"/>
      <c r="E181" s="363">
        <f>SUM(E180)</f>
        <v>101.072919</v>
      </c>
      <c r="H181" s="358">
        <f>SUM(D180:H180)</f>
        <v>101.072919</v>
      </c>
      <c r="N181">
        <v>0</v>
      </c>
    </row>
    <row r="182" spans="1:53" s="79" customFormat="1" ht="15" x14ac:dyDescent="0.25">
      <c r="A182" s="199"/>
      <c r="B182" s="198" t="s">
        <v>661</v>
      </c>
      <c r="C182" s="199"/>
    </row>
    <row r="183" spans="1:53" x14ac:dyDescent="0.2">
      <c r="E183" s="14">
        <f>SUM(E180,E171,E162,E153,E144,E135,E126,E117,E108,E99,E90,E81,E72,E63,E54,E45,E36,E27,E18,)</f>
        <v>2788.5663690000001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Y182"/>
  <sheetViews>
    <sheetView defaultGridColor="0" colorId="11" zoomScale="75" workbookViewId="0">
      <pane xSplit="3" ySplit="11" topLeftCell="D12" activePane="bottomRight" state="frozen"/>
      <selection pane="topRight" activeCell="D1" sqref="D1"/>
      <selection pane="bottomLeft" activeCell="A14" sqref="A14"/>
      <selection pane="bottomRight" activeCell="Q171" sqref="Q171"/>
    </sheetView>
  </sheetViews>
  <sheetFormatPr defaultRowHeight="12.75" x14ac:dyDescent="0.2"/>
  <cols>
    <col min="2" max="2" width="26.42578125" bestFit="1" customWidth="1"/>
    <col min="4" max="8" width="13.7109375" customWidth="1"/>
    <col min="10" max="14" width="13.5703125" customWidth="1"/>
    <col min="15" max="15" width="12" bestFit="1" customWidth="1"/>
    <col min="17" max="17" width="15.7109375" style="108" bestFit="1" customWidth="1"/>
    <col min="18" max="19" width="12" bestFit="1" customWidth="1"/>
    <col min="20" max="21" width="12" customWidth="1"/>
    <col min="22" max="25" width="11.5703125" customWidth="1"/>
    <col min="26" max="29" width="10.7109375" customWidth="1"/>
    <col min="30" max="30" width="11.42578125" customWidth="1"/>
    <col min="31" max="34" width="13.42578125" customWidth="1"/>
    <col min="35" max="39" width="10.85546875" customWidth="1"/>
    <col min="45" max="45" width="28.140625" customWidth="1"/>
    <col min="51" max="51" width="28.42578125" customWidth="1"/>
  </cols>
  <sheetData>
    <row r="1" spans="1:51" ht="15" x14ac:dyDescent="0.25">
      <c r="A1" s="15"/>
      <c r="B1" s="16"/>
    </row>
    <row r="2" spans="1:51" ht="15" x14ac:dyDescent="0.25">
      <c r="A2" s="15"/>
      <c r="B2" s="16"/>
      <c r="V2" s="99"/>
      <c r="W2" s="99"/>
      <c r="X2" s="99"/>
      <c r="Y2" s="99"/>
      <c r="Z2" s="26"/>
      <c r="AA2" s="26"/>
      <c r="AB2" s="26"/>
      <c r="AC2" s="26"/>
      <c r="AD2" s="26"/>
      <c r="AE2" s="28"/>
      <c r="AF2" s="28"/>
      <c r="AG2" s="28"/>
      <c r="AH2" s="28"/>
      <c r="AI2" s="124"/>
      <c r="AJ2" s="124"/>
      <c r="AK2" s="124"/>
      <c r="AL2" s="124"/>
      <c r="AM2" s="124"/>
    </row>
    <row r="3" spans="1:51" ht="78.75" x14ac:dyDescent="0.25">
      <c r="B3" s="16"/>
      <c r="D3" s="179" t="s">
        <v>759</v>
      </c>
      <c r="E3" s="179"/>
      <c r="F3" s="179"/>
      <c r="G3" s="179"/>
      <c r="H3" s="179"/>
      <c r="J3" s="181" t="s">
        <v>758</v>
      </c>
      <c r="K3" s="181"/>
      <c r="L3" s="181"/>
      <c r="M3" s="181"/>
      <c r="N3" s="181"/>
      <c r="V3" s="99" t="s">
        <v>534</v>
      </c>
      <c r="W3" s="99"/>
      <c r="X3" s="99"/>
      <c r="Y3" s="99"/>
      <c r="Z3" s="26" t="s">
        <v>535</v>
      </c>
      <c r="AA3" s="26"/>
      <c r="AB3" s="26"/>
      <c r="AC3" s="26"/>
      <c r="AD3" s="125"/>
      <c r="AE3" s="28" t="s">
        <v>536</v>
      </c>
      <c r="AF3" s="28"/>
      <c r="AG3" s="28"/>
      <c r="AH3" s="28"/>
      <c r="AI3" s="124" t="s">
        <v>537</v>
      </c>
      <c r="AJ3" s="131"/>
      <c r="AK3" s="131"/>
      <c r="AL3" s="131"/>
      <c r="AM3" s="131"/>
    </row>
    <row r="4" spans="1:51" ht="15.75" x14ac:dyDescent="0.25">
      <c r="D4" s="180"/>
      <c r="E4" s="180"/>
      <c r="F4" s="180"/>
      <c r="G4" s="180"/>
      <c r="H4" s="180"/>
      <c r="J4" s="182"/>
      <c r="K4" s="182"/>
      <c r="L4" s="182"/>
      <c r="M4" s="182"/>
      <c r="N4" s="182"/>
      <c r="V4" s="101" t="s">
        <v>40</v>
      </c>
      <c r="W4" s="101"/>
      <c r="X4" s="101"/>
      <c r="Y4" s="101"/>
      <c r="Z4" s="27" t="s">
        <v>40</v>
      </c>
      <c r="AA4" s="27"/>
      <c r="AB4" s="27"/>
      <c r="AC4" s="27"/>
      <c r="AD4" s="126"/>
      <c r="AE4" s="30" t="s">
        <v>40</v>
      </c>
      <c r="AF4" s="30"/>
      <c r="AG4" s="30"/>
      <c r="AH4" s="30"/>
      <c r="AI4" s="132" t="s">
        <v>40</v>
      </c>
      <c r="AJ4" s="133"/>
      <c r="AK4" s="133"/>
      <c r="AL4" s="133"/>
      <c r="AM4" s="133"/>
    </row>
    <row r="5" spans="1:51" ht="94.5" x14ac:dyDescent="0.25">
      <c r="A5" s="1"/>
      <c r="B5" s="2"/>
      <c r="C5" s="3"/>
      <c r="D5" s="103" t="s">
        <v>524</v>
      </c>
      <c r="E5" s="229"/>
      <c r="F5" s="229"/>
      <c r="G5" s="229"/>
      <c r="H5" s="229"/>
      <c r="J5" s="115" t="s">
        <v>524</v>
      </c>
      <c r="K5" s="232"/>
      <c r="L5" s="232"/>
      <c r="M5" s="232"/>
      <c r="N5" s="232"/>
      <c r="V5" s="103" t="s">
        <v>524</v>
      </c>
      <c r="W5" s="103"/>
      <c r="X5" s="103"/>
      <c r="Y5" s="103"/>
      <c r="Z5" s="93" t="s">
        <v>524</v>
      </c>
      <c r="AA5" s="236"/>
      <c r="AB5" s="236"/>
      <c r="AC5" s="236"/>
      <c r="AD5" s="127"/>
      <c r="AE5" s="90" t="s">
        <v>524</v>
      </c>
      <c r="AF5" s="90"/>
      <c r="AG5" s="90"/>
      <c r="AH5" s="90"/>
      <c r="AI5" s="134" t="s">
        <v>524</v>
      </c>
      <c r="AJ5" s="135"/>
      <c r="AK5" s="135"/>
      <c r="AL5" s="135"/>
      <c r="AM5" s="135"/>
      <c r="AO5" s="240" t="s">
        <v>727</v>
      </c>
      <c r="AP5" s="241"/>
      <c r="AQ5" s="241"/>
      <c r="AR5" s="241"/>
      <c r="AS5" s="242" t="s">
        <v>727</v>
      </c>
      <c r="AU5" s="244" t="s">
        <v>728</v>
      </c>
      <c r="AV5" s="245"/>
      <c r="AW5" s="245"/>
      <c r="AX5" s="245"/>
      <c r="AY5" s="246" t="s">
        <v>728</v>
      </c>
    </row>
    <row r="6" spans="1:51" ht="39" x14ac:dyDescent="0.25">
      <c r="A6" s="1"/>
      <c r="B6" s="2" t="s">
        <v>0</v>
      </c>
      <c r="C6" s="3"/>
      <c r="D6" s="234" t="s">
        <v>716</v>
      </c>
      <c r="E6" s="234" t="s">
        <v>717</v>
      </c>
      <c r="F6" s="234" t="s">
        <v>718</v>
      </c>
      <c r="G6" s="234" t="s">
        <v>719</v>
      </c>
      <c r="H6" s="234" t="s">
        <v>720</v>
      </c>
      <c r="J6" s="117" t="s">
        <v>716</v>
      </c>
      <c r="K6" s="117" t="s">
        <v>717</v>
      </c>
      <c r="L6" s="117" t="s">
        <v>718</v>
      </c>
      <c r="M6" s="117" t="s">
        <v>719</v>
      </c>
      <c r="N6" s="117" t="s">
        <v>720</v>
      </c>
      <c r="O6" s="17" t="s">
        <v>35</v>
      </c>
      <c r="P6" s="18"/>
      <c r="Q6" s="146">
        <v>2011</v>
      </c>
      <c r="R6" s="22" t="s">
        <v>38</v>
      </c>
      <c r="S6" s="22" t="s">
        <v>39</v>
      </c>
      <c r="T6" s="196" t="s">
        <v>659</v>
      </c>
      <c r="U6" s="196" t="s">
        <v>660</v>
      </c>
      <c r="V6" s="105" t="s">
        <v>717</v>
      </c>
      <c r="W6" s="105" t="s">
        <v>718</v>
      </c>
      <c r="X6" s="105" t="s">
        <v>719</v>
      </c>
      <c r="Y6" s="105" t="s">
        <v>720</v>
      </c>
      <c r="Z6" s="78" t="s">
        <v>717</v>
      </c>
      <c r="AA6" s="78" t="s">
        <v>718</v>
      </c>
      <c r="AB6" s="78" t="s">
        <v>719</v>
      </c>
      <c r="AC6" s="78" t="s">
        <v>720</v>
      </c>
      <c r="AD6" s="128" t="s">
        <v>42</v>
      </c>
      <c r="AE6" s="72" t="s">
        <v>717</v>
      </c>
      <c r="AF6" s="72" t="s">
        <v>718</v>
      </c>
      <c r="AG6" s="72" t="s">
        <v>719</v>
      </c>
      <c r="AH6" s="72" t="s">
        <v>720</v>
      </c>
      <c r="AI6" s="137" t="s">
        <v>717</v>
      </c>
      <c r="AJ6" s="137" t="s">
        <v>718</v>
      </c>
      <c r="AK6" s="137" t="s">
        <v>719</v>
      </c>
      <c r="AL6" s="137" t="s">
        <v>720</v>
      </c>
      <c r="AM6" s="137" t="s">
        <v>42</v>
      </c>
      <c r="AO6" s="118" t="s">
        <v>717</v>
      </c>
      <c r="AP6" s="118" t="s">
        <v>718</v>
      </c>
      <c r="AQ6" s="118" t="s">
        <v>719</v>
      </c>
      <c r="AR6" s="118" t="s">
        <v>720</v>
      </c>
      <c r="AS6" s="129"/>
      <c r="AU6" s="118" t="s">
        <v>717</v>
      </c>
      <c r="AV6" s="118" t="s">
        <v>718</v>
      </c>
      <c r="AW6" s="118" t="s">
        <v>719</v>
      </c>
      <c r="AX6" s="118" t="s">
        <v>720</v>
      </c>
      <c r="AY6" s="247"/>
    </row>
    <row r="7" spans="1:51" ht="26.25" x14ac:dyDescent="0.25">
      <c r="A7" s="1"/>
      <c r="B7" s="2" t="s">
        <v>1</v>
      </c>
      <c r="C7" s="2"/>
      <c r="D7" s="107" t="s">
        <v>721</v>
      </c>
      <c r="E7" s="107" t="s">
        <v>722</v>
      </c>
      <c r="F7" s="107" t="s">
        <v>723</v>
      </c>
      <c r="G7" s="107" t="s">
        <v>724</v>
      </c>
      <c r="H7" s="107" t="s">
        <v>725</v>
      </c>
      <c r="J7" s="119" t="s">
        <v>721</v>
      </c>
      <c r="K7" s="233" t="s">
        <v>722</v>
      </c>
      <c r="L7" s="233" t="s">
        <v>723</v>
      </c>
      <c r="M7" s="233" t="s">
        <v>724</v>
      </c>
      <c r="N7" s="233" t="s">
        <v>725</v>
      </c>
      <c r="O7" s="21" t="s">
        <v>36</v>
      </c>
      <c r="P7" s="21" t="s">
        <v>37</v>
      </c>
      <c r="Q7" s="148" t="s">
        <v>538</v>
      </c>
      <c r="R7" s="22"/>
      <c r="S7" s="22"/>
      <c r="T7" s="22"/>
      <c r="U7" s="22"/>
      <c r="V7" s="107" t="s">
        <v>722</v>
      </c>
      <c r="W7" s="107" t="s">
        <v>723</v>
      </c>
      <c r="X7" s="107" t="s">
        <v>724</v>
      </c>
      <c r="Y7" s="107" t="s">
        <v>725</v>
      </c>
      <c r="Z7" s="237" t="s">
        <v>722</v>
      </c>
      <c r="AA7" s="237" t="s">
        <v>723</v>
      </c>
      <c r="AB7" s="237" t="s">
        <v>724</v>
      </c>
      <c r="AC7" s="237" t="s">
        <v>725</v>
      </c>
      <c r="AD7" s="129"/>
      <c r="AE7" s="91" t="s">
        <v>722</v>
      </c>
      <c r="AF7" s="91" t="s">
        <v>723</v>
      </c>
      <c r="AG7" s="91" t="s">
        <v>724</v>
      </c>
      <c r="AH7" s="91" t="s">
        <v>725</v>
      </c>
      <c r="AI7" s="139" t="s">
        <v>722</v>
      </c>
      <c r="AJ7" s="139" t="s">
        <v>723</v>
      </c>
      <c r="AK7" s="139" t="s">
        <v>724</v>
      </c>
      <c r="AL7" s="139" t="s">
        <v>725</v>
      </c>
      <c r="AM7" s="139"/>
      <c r="AS7" s="129"/>
      <c r="AY7" s="247"/>
    </row>
    <row r="8" spans="1:51" ht="15.75" x14ac:dyDescent="0.25">
      <c r="A8" s="1"/>
      <c r="B8" s="2" t="s">
        <v>4</v>
      </c>
      <c r="C8" s="2"/>
      <c r="D8" s="107"/>
      <c r="E8" s="230"/>
      <c r="F8" s="230"/>
      <c r="G8" s="230"/>
      <c r="H8" s="230"/>
      <c r="J8" s="183"/>
      <c r="K8" s="183"/>
      <c r="L8" s="183"/>
      <c r="M8" s="183"/>
      <c r="N8" s="183"/>
      <c r="O8" s="20"/>
      <c r="P8" s="20"/>
      <c r="Q8" s="145"/>
      <c r="R8" s="20"/>
      <c r="S8" s="20"/>
      <c r="T8" s="20"/>
      <c r="U8" s="20"/>
      <c r="V8" s="107"/>
      <c r="W8" s="107"/>
      <c r="X8" s="107"/>
      <c r="Y8" s="107"/>
      <c r="Z8" s="237">
        <v>646.83176063829774</v>
      </c>
      <c r="AA8" s="237">
        <v>536.30093137254926</v>
      </c>
      <c r="AB8" s="237">
        <v>501.97975742574283</v>
      </c>
      <c r="AC8" s="237">
        <v>1022.2701422018349</v>
      </c>
      <c r="AD8" s="129"/>
      <c r="AE8" s="91"/>
      <c r="AF8" s="91"/>
      <c r="AG8" s="91"/>
      <c r="AH8" s="91"/>
      <c r="AI8" s="139">
        <v>646.83176063829774</v>
      </c>
      <c r="AJ8" s="139">
        <v>536.30093137254926</v>
      </c>
      <c r="AK8" s="139">
        <v>501.97975742574283</v>
      </c>
      <c r="AL8" s="139">
        <v>1022.2701422018349</v>
      </c>
      <c r="AM8" s="139"/>
      <c r="AS8" s="129"/>
      <c r="AY8" s="247"/>
    </row>
    <row r="9" spans="1:51" ht="15.75" x14ac:dyDescent="0.25">
      <c r="A9" s="1"/>
      <c r="B9" s="15" t="s">
        <v>558</v>
      </c>
      <c r="C9" s="2"/>
      <c r="D9" s="109"/>
      <c r="E9" s="231"/>
      <c r="F9" s="231"/>
      <c r="G9" s="231"/>
      <c r="H9" s="231"/>
      <c r="J9" s="119"/>
      <c r="K9" s="233"/>
      <c r="L9" s="233"/>
      <c r="M9" s="233"/>
      <c r="N9" s="233"/>
      <c r="O9" s="21"/>
      <c r="P9" s="21"/>
      <c r="Q9" s="145"/>
      <c r="R9" s="20"/>
      <c r="S9" s="20"/>
      <c r="T9" s="20"/>
      <c r="U9" s="20"/>
      <c r="V9" s="109"/>
      <c r="W9" s="109"/>
      <c r="X9" s="109"/>
      <c r="Y9" s="109"/>
      <c r="Z9" s="238"/>
      <c r="AA9" s="238"/>
      <c r="AB9" s="238"/>
      <c r="AC9" s="238"/>
      <c r="AD9" s="129"/>
      <c r="AE9" s="92"/>
      <c r="AF9" s="92"/>
      <c r="AG9" s="92"/>
      <c r="AH9" s="92"/>
      <c r="AI9" s="139"/>
      <c r="AJ9" s="139"/>
      <c r="AK9" s="139"/>
      <c r="AL9" s="139"/>
      <c r="AM9" s="139"/>
      <c r="AO9" s="239">
        <v>2011</v>
      </c>
      <c r="AP9" s="239">
        <v>2011</v>
      </c>
      <c r="AQ9" s="239">
        <v>2011</v>
      </c>
      <c r="AR9" s="239">
        <v>2011</v>
      </c>
      <c r="AS9" s="243">
        <v>2011</v>
      </c>
      <c r="AU9" s="239">
        <v>2011</v>
      </c>
      <c r="AV9" s="239">
        <v>2011</v>
      </c>
      <c r="AW9" s="239">
        <v>2011</v>
      </c>
      <c r="AX9" s="239">
        <v>2011</v>
      </c>
      <c r="AY9" s="248">
        <v>2011</v>
      </c>
    </row>
    <row r="10" spans="1:51" ht="15" x14ac:dyDescent="0.2">
      <c r="B10" s="15" t="s">
        <v>726</v>
      </c>
      <c r="AO10" s="239">
        <v>1.3801526975366434</v>
      </c>
      <c r="AP10" s="239">
        <v>1.1799062245438472</v>
      </c>
      <c r="AQ10" s="239">
        <v>1.1849830638107668</v>
      </c>
      <c r="AR10" s="239">
        <v>1.1211333561808707</v>
      </c>
      <c r="AU10" s="239">
        <v>1.3801526975366434</v>
      </c>
      <c r="AV10" s="239">
        <v>1.1799062245438472</v>
      </c>
      <c r="AW10" s="239">
        <v>1.1849830638107668</v>
      </c>
      <c r="AX10" s="239">
        <v>1.1211333561808707</v>
      </c>
    </row>
    <row r="11" spans="1:51" ht="27.75" thickBot="1" x14ac:dyDescent="0.3">
      <c r="A11" s="1"/>
      <c r="B11" s="2" t="s">
        <v>5</v>
      </c>
      <c r="C11" s="4" t="s">
        <v>6</v>
      </c>
      <c r="D11" s="107"/>
      <c r="E11" s="230"/>
      <c r="F11" s="230"/>
      <c r="G11" s="230"/>
      <c r="H11" s="230"/>
      <c r="J11" s="183"/>
      <c r="K11" s="183"/>
      <c r="L11" s="183"/>
      <c r="M11" s="183"/>
      <c r="N11" s="183"/>
      <c r="O11" s="20"/>
      <c r="P11" s="20"/>
      <c r="Q11" s="147"/>
      <c r="R11" s="20"/>
      <c r="S11" s="20"/>
      <c r="T11" s="20"/>
      <c r="U11" s="20"/>
      <c r="V11" s="230"/>
      <c r="W11" s="230"/>
      <c r="X11" s="230"/>
      <c r="Y11" s="230"/>
      <c r="Z11" s="130"/>
      <c r="AA11" s="130"/>
      <c r="AB11" s="130"/>
      <c r="AC11" s="130"/>
      <c r="AD11" s="129"/>
      <c r="AE11" s="91"/>
      <c r="AF11" s="91"/>
      <c r="AG11" s="91"/>
      <c r="AH11" s="91"/>
      <c r="AI11" s="139"/>
      <c r="AJ11" s="139"/>
      <c r="AK11" s="139"/>
      <c r="AL11" s="139"/>
      <c r="AM11" s="139"/>
    </row>
    <row r="12" spans="1:51" ht="15" x14ac:dyDescent="0.25">
      <c r="A12" s="1">
        <v>1</v>
      </c>
      <c r="B12" s="2" t="s">
        <v>7</v>
      </c>
      <c r="C12" s="3" t="s">
        <v>8</v>
      </c>
      <c r="D12" s="282">
        <v>0</v>
      </c>
      <c r="E12" s="283">
        <v>59.619004480000001</v>
      </c>
      <c r="F12" s="283">
        <v>103.33968289000001</v>
      </c>
      <c r="G12" s="283">
        <v>131.82942186</v>
      </c>
      <c r="H12" s="284">
        <v>286.90933188000002</v>
      </c>
      <c r="J12">
        <v>0</v>
      </c>
      <c r="K12">
        <v>-9.079778811340006</v>
      </c>
      <c r="L12">
        <v>-29.116011425489972</v>
      </c>
      <c r="M12">
        <v>85.872521085660992</v>
      </c>
      <c r="N12">
        <v>89.873884540558521</v>
      </c>
      <c r="O12" s="20">
        <v>0.36775204520040022</v>
      </c>
      <c r="P12" s="20">
        <v>0.57913019816794442</v>
      </c>
      <c r="Q12" s="147">
        <v>5.609676119652654E-2</v>
      </c>
      <c r="R12" s="197">
        <v>0.17699999999999999</v>
      </c>
      <c r="S12" s="197">
        <v>1.77</v>
      </c>
      <c r="T12" s="197">
        <v>0.50078889239507718</v>
      </c>
      <c r="U12" s="197">
        <v>0.75268470790377973</v>
      </c>
      <c r="V12" s="20">
        <f t="shared" ref="V12:Y17" si="0">IF(K12&gt;0,((E12-K12)*$Q12*$R12*10)+(K12*$O$12*$Q12*$R12*10),(E12*$Q12*$R12*10))</f>
        <v>5.919646511047894</v>
      </c>
      <c r="W12" s="20">
        <f t="shared" si="0"/>
        <v>10.260728078373045</v>
      </c>
      <c r="X12" s="20">
        <f t="shared" si="0"/>
        <v>7.698716812468219</v>
      </c>
      <c r="Y12" s="20">
        <f t="shared" si="0"/>
        <v>22.845605217927776</v>
      </c>
      <c r="Z12" s="20">
        <f t="shared" ref="Z12:AC17" si="1">V12*(EXP(1.01-0.34*LN(Z$8))*(1-$T12)+(1*$T12))</f>
        <v>3.863055918326836</v>
      </c>
      <c r="AA12" s="20">
        <f t="shared" si="1"/>
        <v>6.7984313191822814</v>
      </c>
      <c r="AB12" s="20">
        <f t="shared" si="1"/>
        <v>5.1292478728325674</v>
      </c>
      <c r="AC12" s="20">
        <f t="shared" si="1"/>
        <v>14.408880743253723</v>
      </c>
      <c r="AD12" s="20">
        <f t="shared" ref="AD12:AD17" si="2">SUM(Z12:AC12)</f>
        <v>30.199615853595411</v>
      </c>
      <c r="AE12" s="20">
        <f t="shared" ref="AE12:AH17" si="3">IF(K12&gt;0,((E12-K12)*$Q12*$S12*10)+(K12*$P$12*$Q12*$S12)*10,(E12*$Q12*$S12*10))</f>
        <v>59.19646511047894</v>
      </c>
      <c r="AF12" s="20">
        <f t="shared" si="3"/>
        <v>102.60728078373046</v>
      </c>
      <c r="AG12" s="20">
        <f t="shared" si="3"/>
        <v>95.010096878810771</v>
      </c>
      <c r="AH12" s="20">
        <f t="shared" si="3"/>
        <v>247.31878728304235</v>
      </c>
      <c r="AI12" s="20">
        <f t="shared" ref="AI12:AL17" si="4">AE12*(EXP(1.01-0.34*LN(AI$8))*(1-$T12)+(1*$T12))</f>
        <v>38.63055918326836</v>
      </c>
      <c r="AJ12" s="20">
        <f t="shared" si="4"/>
        <v>67.984313191822821</v>
      </c>
      <c r="AK12" s="20">
        <f t="shared" si="4"/>
        <v>63.300203031759203</v>
      </c>
      <c r="AL12" s="20">
        <f t="shared" si="4"/>
        <v>155.98566453083137</v>
      </c>
      <c r="AM12" s="20">
        <f t="shared" ref="AM12:AM17" si="5">SUM(AI12:AL12)</f>
        <v>325.90073993768175</v>
      </c>
      <c r="AO12">
        <f t="shared" ref="AO12:AR17" si="6">Z12*AO$10</f>
        <v>5.3316070464136782</v>
      </c>
      <c r="AP12">
        <f t="shared" si="6"/>
        <v>8.0215114306370126</v>
      </c>
      <c r="AQ12">
        <f t="shared" si="6"/>
        <v>6.0780718593939937</v>
      </c>
      <c r="AR12">
        <f t="shared" si="6"/>
        <v>16.154276826493966</v>
      </c>
      <c r="AS12">
        <f t="shared" ref="AS12:AS17" si="7">SUM(AO12:AR12)</f>
        <v>35.585467162938656</v>
      </c>
      <c r="AU12">
        <f t="shared" ref="AU12:AX17" si="8">AI12*AU$10</f>
        <v>53.316070464136779</v>
      </c>
      <c r="AV12">
        <f t="shared" si="8"/>
        <v>80.215114306370126</v>
      </c>
      <c r="AW12">
        <f t="shared" si="8"/>
        <v>75.009668528417606</v>
      </c>
      <c r="AX12">
        <f t="shared" si="8"/>
        <v>174.88073159155439</v>
      </c>
      <c r="AY12">
        <f t="shared" ref="AY12:AY17" si="9">SUM(AU12:AX12)</f>
        <v>383.42158489047893</v>
      </c>
    </row>
    <row r="13" spans="1:51" ht="15" x14ac:dyDescent="0.25">
      <c r="A13" s="1"/>
      <c r="B13" s="2"/>
      <c r="C13" s="1" t="s">
        <v>9</v>
      </c>
      <c r="D13" s="285">
        <v>0</v>
      </c>
      <c r="E13" s="286">
        <v>16.468376460000002</v>
      </c>
      <c r="F13" s="286">
        <v>2.3555724800000002</v>
      </c>
      <c r="G13" s="286">
        <v>1.3500851700000001</v>
      </c>
      <c r="H13" s="287">
        <v>4.5430571000000004</v>
      </c>
      <c r="J13">
        <v>0</v>
      </c>
      <c r="K13">
        <v>-18.377520842300001</v>
      </c>
      <c r="L13">
        <v>-0.27297732333999969</v>
      </c>
      <c r="M13">
        <v>0.83979939983900009</v>
      </c>
      <c r="N13">
        <v>-4.5675684421400007</v>
      </c>
      <c r="O13" s="20"/>
      <c r="P13" s="20"/>
      <c r="Q13" s="147">
        <v>6.7193522393053068E-2</v>
      </c>
      <c r="R13" s="197">
        <v>0.17699999999999999</v>
      </c>
      <c r="S13" s="197">
        <v>1.77</v>
      </c>
      <c r="T13" s="197">
        <v>0.50078889239507718</v>
      </c>
      <c r="U13" s="197">
        <v>0.75268470790377973</v>
      </c>
      <c r="V13" s="20">
        <f t="shared" si="0"/>
        <v>1.9586257537227614</v>
      </c>
      <c r="W13" s="20">
        <f t="shared" si="0"/>
        <v>0.28015420556451104</v>
      </c>
      <c r="X13" s="20">
        <f t="shared" si="0"/>
        <v>9.742045984420182E-2</v>
      </c>
      <c r="Y13" s="20">
        <f t="shared" si="0"/>
        <v>0.5403172958977307</v>
      </c>
      <c r="Z13" s="20">
        <f t="shared" si="1"/>
        <v>1.2781642950444845</v>
      </c>
      <c r="AA13" s="20">
        <f t="shared" si="1"/>
        <v>0.18562124546744641</v>
      </c>
      <c r="AB13" s="20">
        <f t="shared" si="1"/>
        <v>6.4906100405846753E-2</v>
      </c>
      <c r="AC13" s="20">
        <f t="shared" si="1"/>
        <v>0.34078184429092184</v>
      </c>
      <c r="AD13" s="20">
        <f t="shared" si="2"/>
        <v>1.8694734852086994</v>
      </c>
      <c r="AE13" s="20">
        <f t="shared" si="3"/>
        <v>19.586257537227617</v>
      </c>
      <c r="AF13" s="20">
        <f t="shared" si="3"/>
        <v>2.8015420556451103</v>
      </c>
      <c r="AG13" s="20">
        <f t="shared" si="3"/>
        <v>1.1853279798760743</v>
      </c>
      <c r="AH13" s="20">
        <f t="shared" si="3"/>
        <v>5.403172958977307</v>
      </c>
      <c r="AI13" s="20">
        <f t="shared" si="4"/>
        <v>12.781642950444846</v>
      </c>
      <c r="AJ13" s="20">
        <f t="shared" si="4"/>
        <v>1.8562124546744641</v>
      </c>
      <c r="AK13" s="20">
        <f t="shared" si="4"/>
        <v>0.78972134804878902</v>
      </c>
      <c r="AL13" s="20">
        <f t="shared" si="4"/>
        <v>3.4078184429092184</v>
      </c>
      <c r="AM13" s="20">
        <f t="shared" si="5"/>
        <v>18.835395196077318</v>
      </c>
      <c r="AO13">
        <f t="shared" si="6"/>
        <v>1.7640618997006674</v>
      </c>
      <c r="AP13">
        <f t="shared" si="6"/>
        <v>0.21901566293462141</v>
      </c>
      <c r="AQ13">
        <f t="shared" si="6"/>
        <v>7.6912629718929537E-2</v>
      </c>
      <c r="AR13">
        <f t="shared" si="6"/>
        <v>0.3820618928153881</v>
      </c>
      <c r="AS13">
        <f t="shared" si="7"/>
        <v>2.4420520851696064</v>
      </c>
      <c r="AU13">
        <f t="shared" si="8"/>
        <v>17.640618997006676</v>
      </c>
      <c r="AV13">
        <f t="shared" si="8"/>
        <v>2.1901566293462138</v>
      </c>
      <c r="AW13">
        <f t="shared" si="8"/>
        <v>0.93580642256762292</v>
      </c>
      <c r="AX13">
        <f t="shared" si="8"/>
        <v>3.8206189281538809</v>
      </c>
      <c r="AY13">
        <f t="shared" si="9"/>
        <v>24.587200977074392</v>
      </c>
    </row>
    <row r="14" spans="1:51" ht="15" x14ac:dyDescent="0.25">
      <c r="A14" s="1"/>
      <c r="B14" s="2"/>
      <c r="C14" s="1" t="s">
        <v>10</v>
      </c>
      <c r="D14" s="285">
        <v>0</v>
      </c>
      <c r="E14" s="286">
        <v>25.549139530000001</v>
      </c>
      <c r="F14" s="286">
        <v>1.74590717</v>
      </c>
      <c r="G14" s="286">
        <v>7.3518532800000003</v>
      </c>
      <c r="H14" s="287">
        <v>31.52930001</v>
      </c>
      <c r="J14">
        <v>0</v>
      </c>
      <c r="K14">
        <v>-23.779906410477995</v>
      </c>
      <c r="L14">
        <v>0.10211229999999993</v>
      </c>
      <c r="M14">
        <v>3.1334984716888004</v>
      </c>
      <c r="N14">
        <v>3.4199885461904991</v>
      </c>
      <c r="O14" s="20"/>
      <c r="P14" s="20"/>
      <c r="Q14" s="147">
        <v>7.8290283589579596E-2</v>
      </c>
      <c r="R14" s="197">
        <v>0.17699999999999999</v>
      </c>
      <c r="S14" s="197">
        <v>1.77</v>
      </c>
      <c r="T14" s="197">
        <v>0.50078889239507718</v>
      </c>
      <c r="U14" s="197">
        <v>0.75268470790377973</v>
      </c>
      <c r="V14" s="20">
        <f t="shared" si="0"/>
        <v>3.540441401313986</v>
      </c>
      <c r="W14" s="20">
        <f t="shared" si="0"/>
        <v>0.23299062917150853</v>
      </c>
      <c r="X14" s="20">
        <f t="shared" si="0"/>
        <v>0.74423904980876132</v>
      </c>
      <c r="Y14" s="20">
        <f t="shared" si="0"/>
        <v>4.0694995089937551</v>
      </c>
      <c r="Z14" s="20">
        <f t="shared" si="1"/>
        <v>2.310429023643553</v>
      </c>
      <c r="AA14" s="20">
        <f t="shared" si="1"/>
        <v>0.15437216329454909</v>
      </c>
      <c r="AB14" s="20">
        <f t="shared" si="1"/>
        <v>0.49584712051340679</v>
      </c>
      <c r="AC14" s="20">
        <f t="shared" si="1"/>
        <v>2.5666614016338718</v>
      </c>
      <c r="AD14" s="20">
        <f t="shared" si="2"/>
        <v>5.5273097090853804</v>
      </c>
      <c r="AE14" s="20">
        <f t="shared" si="3"/>
        <v>35.404414013139863</v>
      </c>
      <c r="AF14" s="20">
        <f t="shared" si="3"/>
        <v>2.3598164898334972</v>
      </c>
      <c r="AG14" s="20">
        <f t="shared" si="3"/>
        <v>8.3602383978210728</v>
      </c>
      <c r="AH14" s="20">
        <f t="shared" si="3"/>
        <v>41.696760156234738</v>
      </c>
      <c r="AI14" s="20">
        <f t="shared" si="4"/>
        <v>23.104290236435531</v>
      </c>
      <c r="AJ14" s="20">
        <f t="shared" si="4"/>
        <v>1.5635391767004754</v>
      </c>
      <c r="AK14" s="20">
        <f t="shared" si="4"/>
        <v>5.569984721213423</v>
      </c>
      <c r="AL14" s="20">
        <f t="shared" si="4"/>
        <v>26.29843415134248</v>
      </c>
      <c r="AM14" s="20">
        <f t="shared" si="5"/>
        <v>56.536248285691912</v>
      </c>
      <c r="AO14">
        <f t="shared" si="6"/>
        <v>3.1887448494486028</v>
      </c>
      <c r="AP14">
        <f t="shared" si="6"/>
        <v>0.18214467636753767</v>
      </c>
      <c r="AQ14">
        <f t="shared" si="6"/>
        <v>0.5875704400477233</v>
      </c>
      <c r="AR14">
        <f t="shared" si="6"/>
        <v>2.8775697113936807</v>
      </c>
      <c r="AS14">
        <f t="shared" si="7"/>
        <v>6.8360296772575442</v>
      </c>
      <c r="AU14">
        <f t="shared" si="8"/>
        <v>31.88744849448603</v>
      </c>
      <c r="AV14">
        <f t="shared" si="8"/>
        <v>1.8448296069070531</v>
      </c>
      <c r="AW14">
        <f t="shared" si="8"/>
        <v>6.6003375603226413</v>
      </c>
      <c r="AX14">
        <f t="shared" si="8"/>
        <v>29.484051742396225</v>
      </c>
      <c r="AY14">
        <f t="shared" si="9"/>
        <v>69.816667404111953</v>
      </c>
    </row>
    <row r="15" spans="1:51" ht="15" x14ac:dyDescent="0.25">
      <c r="A15" s="1"/>
      <c r="B15" s="2"/>
      <c r="C15" s="1" t="s">
        <v>11</v>
      </c>
      <c r="D15" s="285">
        <v>0</v>
      </c>
      <c r="E15" s="286">
        <v>5.49007735</v>
      </c>
      <c r="F15" s="286">
        <v>0</v>
      </c>
      <c r="G15" s="286">
        <v>0.88141493000000004</v>
      </c>
      <c r="H15" s="287">
        <v>4.6729596600000001</v>
      </c>
      <c r="J15">
        <v>0</v>
      </c>
      <c r="K15">
        <v>3.9938709975900002</v>
      </c>
      <c r="L15">
        <v>0</v>
      </c>
      <c r="M15">
        <v>0.51122100110900004</v>
      </c>
      <c r="N15">
        <v>1.5881206718100001</v>
      </c>
      <c r="O15" s="20"/>
      <c r="P15" s="20"/>
      <c r="Q15" s="147">
        <v>8.9387044786106137E-2</v>
      </c>
      <c r="R15" s="197">
        <v>0.17699999999999999</v>
      </c>
      <c r="S15" s="197">
        <v>1.77</v>
      </c>
      <c r="T15" s="197">
        <v>0.50078889239507718</v>
      </c>
      <c r="U15" s="197">
        <v>0.75268470790377973</v>
      </c>
      <c r="V15" s="20">
        <f t="shared" si="0"/>
        <v>0.46910144355806727</v>
      </c>
      <c r="W15" s="20">
        <f t="shared" si="0"/>
        <v>0</v>
      </c>
      <c r="X15" s="20">
        <f t="shared" si="0"/>
        <v>8.8315097534561349E-2</v>
      </c>
      <c r="Y15" s="20">
        <f t="shared" si="0"/>
        <v>0.58047109287205356</v>
      </c>
      <c r="Z15" s="20">
        <f t="shared" si="1"/>
        <v>0.30612725007322522</v>
      </c>
      <c r="AA15" s="20">
        <f t="shared" si="1"/>
        <v>0</v>
      </c>
      <c r="AB15" s="20">
        <f t="shared" si="1"/>
        <v>5.8839679027357324E-2</v>
      </c>
      <c r="AC15" s="20">
        <f t="shared" si="1"/>
        <v>0.36610712092390046</v>
      </c>
      <c r="AD15" s="20">
        <f t="shared" si="2"/>
        <v>0.731074050024483</v>
      </c>
      <c r="AE15" s="20">
        <f t="shared" si="3"/>
        <v>6.0266930650569712</v>
      </c>
      <c r="AF15" s="20">
        <f t="shared" si="3"/>
        <v>0</v>
      </c>
      <c r="AG15" s="20">
        <f t="shared" si="3"/>
        <v>1.0541196837823168</v>
      </c>
      <c r="AH15" s="20">
        <f t="shared" si="3"/>
        <v>6.3358294459801465</v>
      </c>
      <c r="AI15" s="20">
        <f t="shared" si="4"/>
        <v>3.932912593591058</v>
      </c>
      <c r="AJ15" s="20">
        <f t="shared" si="4"/>
        <v>0</v>
      </c>
      <c r="AK15" s="20">
        <f t="shared" si="4"/>
        <v>0.7023041991874418</v>
      </c>
      <c r="AL15" s="20">
        <f t="shared" si="4"/>
        <v>3.9960513204125108</v>
      </c>
      <c r="AM15" s="20">
        <f t="shared" si="5"/>
        <v>8.6312681131910107</v>
      </c>
      <c r="AO15">
        <f t="shared" si="6"/>
        <v>0.42250234997803637</v>
      </c>
      <c r="AP15">
        <f t="shared" si="6"/>
        <v>0</v>
      </c>
      <c r="AQ15">
        <f t="shared" si="6"/>
        <v>6.9724023127479995E-2</v>
      </c>
      <c r="AR15">
        <f t="shared" si="6"/>
        <v>0.41045490520312838</v>
      </c>
      <c r="AS15">
        <f t="shared" si="7"/>
        <v>0.90268127830864475</v>
      </c>
      <c r="AU15">
        <f t="shared" si="8"/>
        <v>5.4280199252205348</v>
      </c>
      <c r="AV15">
        <f t="shared" si="8"/>
        <v>0</v>
      </c>
      <c r="AW15">
        <f t="shared" si="8"/>
        <v>0.83221858168030183</v>
      </c>
      <c r="AX15">
        <f t="shared" si="8"/>
        <v>4.4801064283250787</v>
      </c>
      <c r="AY15">
        <f t="shared" si="9"/>
        <v>10.740344935225917</v>
      </c>
    </row>
    <row r="16" spans="1:51" ht="15" x14ac:dyDescent="0.25">
      <c r="A16" s="5"/>
      <c r="B16" s="6"/>
      <c r="C16" s="5" t="s">
        <v>12</v>
      </c>
      <c r="D16" s="285">
        <v>0</v>
      </c>
      <c r="E16" s="286">
        <v>0.53741125000000001</v>
      </c>
      <c r="F16" s="286">
        <v>1.67781421</v>
      </c>
      <c r="G16" s="286">
        <v>0.18883026999999999</v>
      </c>
      <c r="H16" s="287">
        <v>1.40021354</v>
      </c>
      <c r="J16">
        <v>0</v>
      </c>
      <c r="K16">
        <v>0.53741125000000001</v>
      </c>
      <c r="L16">
        <v>0.66395307587289998</v>
      </c>
      <c r="M16">
        <v>0.18883026999999999</v>
      </c>
      <c r="N16">
        <v>-7.2158026833202271E-3</v>
      </c>
      <c r="O16" s="20"/>
      <c r="P16" s="20"/>
      <c r="Q16" s="147">
        <v>8.9387044786106137E-2</v>
      </c>
      <c r="R16" s="197">
        <v>0.17699999999999999</v>
      </c>
      <c r="S16" s="197">
        <v>1.77</v>
      </c>
      <c r="T16" s="197">
        <v>0.50078889239507718</v>
      </c>
      <c r="U16" s="197">
        <v>0.75268470790377973</v>
      </c>
      <c r="V16" s="20">
        <f t="shared" si="0"/>
        <v>3.1268690654536323E-2</v>
      </c>
      <c r="W16" s="20">
        <f t="shared" si="0"/>
        <v>0.19903949910130952</v>
      </c>
      <c r="X16" s="20">
        <f t="shared" si="0"/>
        <v>1.0986884436904831E-2</v>
      </c>
      <c r="Y16" s="20">
        <f t="shared" si="0"/>
        <v>0.22153488222586321</v>
      </c>
      <c r="Z16" s="20">
        <f t="shared" si="1"/>
        <v>2.040539080600522E-2</v>
      </c>
      <c r="AA16" s="20">
        <f t="shared" si="1"/>
        <v>0.13187722685067535</v>
      </c>
      <c r="AB16" s="20">
        <f t="shared" si="1"/>
        <v>7.3199800693778249E-3</v>
      </c>
      <c r="AC16" s="20">
        <f t="shared" si="1"/>
        <v>0.13972357781785918</v>
      </c>
      <c r="AD16" s="20">
        <f t="shared" si="2"/>
        <v>0.29932617554391761</v>
      </c>
      <c r="AE16" s="20">
        <f t="shared" si="3"/>
        <v>0.49241447468621902</v>
      </c>
      <c r="AF16" s="20">
        <f t="shared" si="3"/>
        <v>2.2124422065975802</v>
      </c>
      <c r="AG16" s="20">
        <f t="shared" si="3"/>
        <v>0.1730197464360988</v>
      </c>
      <c r="AH16" s="20">
        <f t="shared" si="3"/>
        <v>2.2153488222586319</v>
      </c>
      <c r="AI16" s="20">
        <f t="shared" si="4"/>
        <v>0.32134091911675094</v>
      </c>
      <c r="AJ16" s="20">
        <f t="shared" si="4"/>
        <v>1.4658936748276723</v>
      </c>
      <c r="AK16" s="20">
        <f t="shared" si="4"/>
        <v>0.11527390706567224</v>
      </c>
      <c r="AL16" s="20">
        <f t="shared" si="4"/>
        <v>1.3972357781785918</v>
      </c>
      <c r="AM16" s="20">
        <f t="shared" si="5"/>
        <v>3.2997442791886873</v>
      </c>
      <c r="AO16">
        <f t="shared" si="6"/>
        <v>2.8162555165197525E-2</v>
      </c>
      <c r="AP16">
        <f t="shared" si="6"/>
        <v>0.15560276083669283</v>
      </c>
      <c r="AQ16">
        <f t="shared" si="6"/>
        <v>8.674052409645085E-3</v>
      </c>
      <c r="AR16">
        <f t="shared" si="6"/>
        <v>0.15664876373653552</v>
      </c>
      <c r="AS16">
        <f t="shared" si="7"/>
        <v>0.349088132148071</v>
      </c>
      <c r="AU16">
        <f t="shared" si="8"/>
        <v>0.44349953634788813</v>
      </c>
      <c r="AV16">
        <f t="shared" si="8"/>
        <v>1.7296170714486248</v>
      </c>
      <c r="AW16">
        <f t="shared" si="8"/>
        <v>0.13659762757211788</v>
      </c>
      <c r="AX16">
        <f t="shared" si="8"/>
        <v>1.5664876373653553</v>
      </c>
      <c r="AY16">
        <f t="shared" si="9"/>
        <v>3.8762018727339864</v>
      </c>
    </row>
    <row r="17" spans="1:51" ht="15" x14ac:dyDescent="0.25">
      <c r="A17" s="5"/>
      <c r="B17" s="6"/>
      <c r="C17" s="5" t="s">
        <v>13</v>
      </c>
      <c r="D17" s="285">
        <v>0</v>
      </c>
      <c r="E17" s="286">
        <v>0</v>
      </c>
      <c r="F17" s="286">
        <v>0</v>
      </c>
      <c r="G17" s="286">
        <v>0</v>
      </c>
      <c r="H17" s="287">
        <v>0</v>
      </c>
      <c r="J17">
        <v>0</v>
      </c>
      <c r="K17">
        <v>0</v>
      </c>
      <c r="L17">
        <v>0</v>
      </c>
      <c r="M17">
        <v>0</v>
      </c>
      <c r="N17">
        <v>0</v>
      </c>
      <c r="O17" s="20"/>
      <c r="P17" s="20"/>
      <c r="Q17" s="147"/>
      <c r="R17" s="197">
        <v>0.17699999999999999</v>
      </c>
      <c r="S17" s="197">
        <v>1.77</v>
      </c>
      <c r="T17" s="197">
        <v>0.50078889239507718</v>
      </c>
      <c r="U17" s="197">
        <v>0.75268470790377973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1"/>
        <v>0</v>
      </c>
      <c r="AA17" s="20">
        <f t="shared" si="1"/>
        <v>0</v>
      </c>
      <c r="AB17" s="20">
        <f t="shared" si="1"/>
        <v>0</v>
      </c>
      <c r="AC17" s="20">
        <f t="shared" si="1"/>
        <v>0</v>
      </c>
      <c r="AD17" s="20">
        <f t="shared" si="2"/>
        <v>0</v>
      </c>
      <c r="AE17" s="20">
        <f t="shared" si="3"/>
        <v>0</v>
      </c>
      <c r="AF17" s="20">
        <f t="shared" si="3"/>
        <v>0</v>
      </c>
      <c r="AG17" s="20">
        <f t="shared" si="3"/>
        <v>0</v>
      </c>
      <c r="AH17" s="20">
        <f t="shared" si="3"/>
        <v>0</v>
      </c>
      <c r="AI17" s="20">
        <f t="shared" si="4"/>
        <v>0</v>
      </c>
      <c r="AJ17" s="20">
        <f t="shared" si="4"/>
        <v>0</v>
      </c>
      <c r="AK17" s="20">
        <f t="shared" si="4"/>
        <v>0</v>
      </c>
      <c r="AL17" s="20">
        <f t="shared" si="4"/>
        <v>0</v>
      </c>
      <c r="AM17" s="20">
        <f t="shared" si="5"/>
        <v>0</v>
      </c>
      <c r="AO17">
        <f t="shared" si="6"/>
        <v>0</v>
      </c>
      <c r="AP17">
        <f t="shared" si="6"/>
        <v>0</v>
      </c>
      <c r="AQ17">
        <f t="shared" si="6"/>
        <v>0</v>
      </c>
      <c r="AR17">
        <f t="shared" si="6"/>
        <v>0</v>
      </c>
      <c r="AS17">
        <f t="shared" si="7"/>
        <v>0</v>
      </c>
      <c r="AU17">
        <f t="shared" si="8"/>
        <v>0</v>
      </c>
      <c r="AV17">
        <f t="shared" si="8"/>
        <v>0</v>
      </c>
      <c r="AW17">
        <f t="shared" si="8"/>
        <v>0</v>
      </c>
      <c r="AX17">
        <f t="shared" si="8"/>
        <v>0</v>
      </c>
      <c r="AY17">
        <f t="shared" si="9"/>
        <v>0</v>
      </c>
    </row>
    <row r="18" spans="1:51" ht="15" x14ac:dyDescent="0.25">
      <c r="A18" s="7"/>
      <c r="B18" s="8" t="s">
        <v>14</v>
      </c>
      <c r="C18" s="7"/>
      <c r="D18" s="288">
        <f>SUM(D12:D17)</f>
        <v>0</v>
      </c>
      <c r="E18" s="289">
        <f>SUM(E12:E17)</f>
        <v>107.66400907000001</v>
      </c>
      <c r="F18" s="289">
        <f>SUM(F12:F17)</f>
        <v>109.11897675</v>
      </c>
      <c r="G18" s="289">
        <f>SUM(G12:G17)</f>
        <v>141.60160551000001</v>
      </c>
      <c r="H18" s="290">
        <f>SUM(H12:H17)</f>
        <v>329.05486218999999</v>
      </c>
      <c r="J18">
        <v>0</v>
      </c>
      <c r="K18">
        <v>-46.705923816527999</v>
      </c>
      <c r="L18">
        <v>-28.622923372957072</v>
      </c>
      <c r="M18">
        <v>90.545870228297787</v>
      </c>
      <c r="N18">
        <v>90.3072095137357</v>
      </c>
      <c r="O18" s="20"/>
      <c r="P18" s="20"/>
      <c r="Q18" s="147"/>
      <c r="R18" s="197"/>
      <c r="S18" s="197"/>
      <c r="T18" s="197"/>
      <c r="U18" s="197"/>
    </row>
    <row r="19" spans="1:51" ht="15" x14ac:dyDescent="0.25">
      <c r="A19" s="5"/>
      <c r="B19" s="9" t="s">
        <v>15</v>
      </c>
      <c r="C19" s="5"/>
      <c r="D19" s="291"/>
      <c r="E19" s="292"/>
      <c r="F19" s="292"/>
      <c r="G19" s="292"/>
      <c r="H19" s="293">
        <f>SUM(D18:H18)</f>
        <v>687.43945352000003</v>
      </c>
      <c r="N19">
        <v>105.52423255254841</v>
      </c>
      <c r="O19" s="20"/>
      <c r="P19" s="20"/>
      <c r="Q19" s="147"/>
      <c r="R19" s="197"/>
      <c r="S19" s="197"/>
      <c r="T19" s="197"/>
      <c r="U19" s="197"/>
    </row>
    <row r="20" spans="1:51" ht="15.75" thickBot="1" x14ac:dyDescent="0.3">
      <c r="A20" s="1"/>
      <c r="B20" s="2"/>
      <c r="C20" s="1"/>
      <c r="D20" s="294"/>
      <c r="E20" s="295"/>
      <c r="F20" s="295"/>
      <c r="G20" s="295"/>
      <c r="H20" s="296"/>
      <c r="O20" s="20"/>
      <c r="P20" s="20"/>
      <c r="Q20" s="147"/>
      <c r="R20" s="197"/>
      <c r="S20" s="197"/>
      <c r="T20" s="197"/>
      <c r="U20" s="197"/>
    </row>
    <row r="21" spans="1:51" ht="15" x14ac:dyDescent="0.25">
      <c r="A21" s="1">
        <v>2</v>
      </c>
      <c r="B21" s="2" t="s">
        <v>16</v>
      </c>
      <c r="C21" s="1" t="s">
        <v>8</v>
      </c>
      <c r="D21" s="285">
        <v>4.0000000000000001E-8</v>
      </c>
      <c r="E21" s="286">
        <v>22.754948899999999</v>
      </c>
      <c r="F21" s="286">
        <v>36.947473600000002</v>
      </c>
      <c r="G21" s="286">
        <v>1.79408514</v>
      </c>
      <c r="H21" s="287">
        <v>109.38445659</v>
      </c>
      <c r="J21">
        <v>4.0000000000000001E-8</v>
      </c>
      <c r="K21">
        <v>7.4074821020299986</v>
      </c>
      <c r="L21">
        <v>14.755486059700001</v>
      </c>
      <c r="M21">
        <v>-27.071073666</v>
      </c>
      <c r="N21">
        <v>32.206011137549979</v>
      </c>
      <c r="O21" s="20"/>
      <c r="P21" s="20"/>
      <c r="Q21" s="147">
        <v>0.14492868107057638</v>
      </c>
      <c r="R21" s="197">
        <v>0.3</v>
      </c>
      <c r="S21" s="197">
        <v>2.29</v>
      </c>
      <c r="T21" s="197">
        <v>0.50078889239507718</v>
      </c>
      <c r="U21" s="197">
        <v>0.75268470790377973</v>
      </c>
      <c r="V21" s="20">
        <f t="shared" ref="V21:Y26" si="10">IF(K21&gt;0,((E21-K21)*$Q21*$R21*10)+(K21*$O$12*$Q21*$R21*10),(E21*$Q21*$R21*10))</f>
        <v>7.8572722805252919</v>
      </c>
      <c r="W21" s="20">
        <f t="shared" si="10"/>
        <v>12.008072123781284</v>
      </c>
      <c r="X21" s="20">
        <f t="shared" si="10"/>
        <v>0.7800431792055611</v>
      </c>
      <c r="Y21" s="20">
        <f t="shared" si="10"/>
        <v>38.705641364089708</v>
      </c>
      <c r="Z21" s="20">
        <f t="shared" ref="Z21:AC26" si="11">V21*(EXP(1.01-0.34*LN(Z$8))*(1-$T21)+(1*$T21))</f>
        <v>5.1275159975414697</v>
      </c>
      <c r="AA21" s="20">
        <f t="shared" si="11"/>
        <v>7.9561657794423004</v>
      </c>
      <c r="AB21" s="20">
        <f t="shared" si="11"/>
        <v>0.51970151846317103</v>
      </c>
      <c r="AC21" s="20">
        <f t="shared" si="11"/>
        <v>24.411914903819909</v>
      </c>
      <c r="AD21" s="20">
        <f t="shared" ref="AD21:AD26" si="12">SUM(Z21:AC21)</f>
        <v>38.015298199266851</v>
      </c>
      <c r="AE21" s="20">
        <f t="shared" ref="AE21:AH26" si="13">IF(K21&gt;0,((E21-K21)*$Q21*$S21*10)+(K21*$P$12*$Q21*$S21)*10,(E21*$Q21*$S21*10))</f>
        <v>65.173793278548587</v>
      </c>
      <c r="AF21" s="20">
        <f t="shared" si="13"/>
        <v>102.0131208970881</v>
      </c>
      <c r="AG21" s="20">
        <f t="shared" si="13"/>
        <v>5.9543296012691158</v>
      </c>
      <c r="AH21" s="20">
        <f t="shared" si="13"/>
        <v>318.04673649679489</v>
      </c>
      <c r="AI21" s="20">
        <f t="shared" ref="AI21:AL26" si="14">AE21*(EXP(1.01-0.34*LN(AI$8))*(1-$T21)+(1*$T21))</f>
        <v>42.531257123989761</v>
      </c>
      <c r="AJ21" s="20">
        <f t="shared" si="14"/>
        <v>67.590641792376502</v>
      </c>
      <c r="AK21" s="20">
        <f t="shared" si="14"/>
        <v>3.9670549242688717</v>
      </c>
      <c r="AL21" s="20">
        <f t="shared" si="14"/>
        <v>200.59426980586838</v>
      </c>
      <c r="AM21" s="20">
        <f t="shared" ref="AM21:AM26" si="15">SUM(AI21:AL21)</f>
        <v>314.68322364650351</v>
      </c>
      <c r="AO21">
        <f t="shared" ref="AO21:AR26" si="16">Z21*AO$10</f>
        <v>7.0767550356691524</v>
      </c>
      <c r="AP21">
        <f t="shared" si="16"/>
        <v>9.3875295266667198</v>
      </c>
      <c r="AQ21">
        <f t="shared" si="16"/>
        <v>0.61583749761559614</v>
      </c>
      <c r="AR21">
        <f t="shared" si="16"/>
        <v>27.369012086921433</v>
      </c>
      <c r="AS21">
        <f t="shared" ref="AS21:AS26" si="17">SUM(AO21:AR21)</f>
        <v>44.449134146872908</v>
      </c>
      <c r="AU21">
        <f t="shared" ref="AU21:AX26" si="18">AI21*AU$10</f>
        <v>58.699629249299051</v>
      </c>
      <c r="AV21">
        <f t="shared" si="18"/>
        <v>79.750618971738533</v>
      </c>
      <c r="AW21">
        <f t="shared" si="18"/>
        <v>4.7008928984657175</v>
      </c>
      <c r="AX21">
        <f t="shared" si="18"/>
        <v>224.89292693810432</v>
      </c>
      <c r="AY21">
        <f t="shared" ref="AY21:AY26" si="19">SUM(AU21:AX21)</f>
        <v>368.04406805760766</v>
      </c>
    </row>
    <row r="22" spans="1:51" ht="15" x14ac:dyDescent="0.25">
      <c r="A22" s="1"/>
      <c r="B22" s="2"/>
      <c r="C22" s="1" t="s">
        <v>9</v>
      </c>
      <c r="D22" s="285">
        <v>0</v>
      </c>
      <c r="E22" s="286">
        <v>23.523934709999999</v>
      </c>
      <c r="F22" s="286">
        <v>0.88824144999999999</v>
      </c>
      <c r="G22" s="286">
        <v>0</v>
      </c>
      <c r="H22" s="287">
        <v>5.99048392</v>
      </c>
      <c r="J22">
        <v>0</v>
      </c>
      <c r="K22">
        <v>22.265284125969998</v>
      </c>
      <c r="L22">
        <v>0.88824144999999999</v>
      </c>
      <c r="M22">
        <v>0</v>
      </c>
      <c r="N22">
        <v>5.99048392</v>
      </c>
      <c r="O22" s="20"/>
      <c r="P22" s="20"/>
      <c r="Q22" s="147">
        <v>0.15485736214115275</v>
      </c>
      <c r="R22" s="197">
        <v>0.3</v>
      </c>
      <c r="S22" s="197">
        <v>2.29</v>
      </c>
      <c r="T22" s="197">
        <v>0.50078889239507718</v>
      </c>
      <c r="U22" s="197">
        <v>0.75268470790377973</v>
      </c>
      <c r="V22" s="20">
        <f t="shared" si="10"/>
        <v>4.3886983821762326</v>
      </c>
      <c r="W22" s="20">
        <f t="shared" si="10"/>
        <v>0.15175368450263424</v>
      </c>
      <c r="X22" s="20">
        <f t="shared" si="10"/>
        <v>0</v>
      </c>
      <c r="Y22" s="20">
        <f t="shared" si="10"/>
        <v>1.0234582126445277</v>
      </c>
      <c r="Z22" s="20">
        <f t="shared" si="11"/>
        <v>2.8639864267868509</v>
      </c>
      <c r="AA22" s="20">
        <f t="shared" si="11"/>
        <v>0.10054715353957622</v>
      </c>
      <c r="AB22" s="20">
        <f t="shared" si="11"/>
        <v>0</v>
      </c>
      <c r="AC22" s="20">
        <f t="shared" si="11"/>
        <v>0.64550215199053651</v>
      </c>
      <c r="AD22" s="20">
        <f t="shared" si="12"/>
        <v>3.6100357323169638</v>
      </c>
      <c r="AE22" s="20">
        <f t="shared" si="13"/>
        <v>50.190372403220898</v>
      </c>
      <c r="AF22" s="20">
        <f t="shared" si="13"/>
        <v>1.8242089689137475</v>
      </c>
      <c r="AG22" s="20">
        <f t="shared" si="13"/>
        <v>0</v>
      </c>
      <c r="AH22" s="20">
        <f t="shared" si="13"/>
        <v>12.302842312749068</v>
      </c>
      <c r="AI22" s="20">
        <f t="shared" si="14"/>
        <v>32.753343429110998</v>
      </c>
      <c r="AJ22" s="20">
        <f t="shared" si="14"/>
        <v>1.2086627081694261</v>
      </c>
      <c r="AK22" s="20">
        <f t="shared" si="14"/>
        <v>0</v>
      </c>
      <c r="AL22" s="20">
        <f t="shared" si="14"/>
        <v>7.7594874811347427</v>
      </c>
      <c r="AM22" s="20">
        <f t="shared" si="15"/>
        <v>41.721493618415167</v>
      </c>
      <c r="AO22">
        <f t="shared" si="16"/>
        <v>3.9527385926382048</v>
      </c>
      <c r="AP22">
        <f t="shared" si="16"/>
        <v>0.11863621232151189</v>
      </c>
      <c r="AQ22">
        <f t="shared" si="16"/>
        <v>0</v>
      </c>
      <c r="AR22">
        <f t="shared" si="16"/>
        <v>0.72369399408312474</v>
      </c>
      <c r="AS22">
        <f t="shared" si="17"/>
        <v>4.7950687990428422</v>
      </c>
      <c r="AU22">
        <f t="shared" si="18"/>
        <v>45.204615287031636</v>
      </c>
      <c r="AV22">
        <f t="shared" si="18"/>
        <v>1.4261086527431293</v>
      </c>
      <c r="AW22">
        <f t="shared" si="18"/>
        <v>0</v>
      </c>
      <c r="AX22">
        <f t="shared" si="18"/>
        <v>8.6994202419680455</v>
      </c>
      <c r="AY22">
        <f t="shared" si="19"/>
        <v>55.33014418174281</v>
      </c>
    </row>
    <row r="23" spans="1:51" ht="15" x14ac:dyDescent="0.25">
      <c r="A23" s="1"/>
      <c r="B23" s="2"/>
      <c r="C23" s="1" t="s">
        <v>10</v>
      </c>
      <c r="D23" s="285">
        <v>0</v>
      </c>
      <c r="E23" s="286">
        <v>21.99833061</v>
      </c>
      <c r="F23" s="286">
        <v>0</v>
      </c>
      <c r="G23" s="286">
        <v>0.20472351999999999</v>
      </c>
      <c r="H23" s="287">
        <v>1.57032422</v>
      </c>
      <c r="J23">
        <v>0</v>
      </c>
      <c r="K23">
        <v>19.940238007249999</v>
      </c>
      <c r="L23">
        <v>0</v>
      </c>
      <c r="M23">
        <v>-1.02222272788</v>
      </c>
      <c r="N23">
        <v>1.1131592694234009</v>
      </c>
      <c r="O23" s="20"/>
      <c r="P23" s="20"/>
      <c r="Q23" s="147">
        <v>0.16478604321172913</v>
      </c>
      <c r="R23" s="197">
        <v>0.3</v>
      </c>
      <c r="S23" s="197">
        <v>2.29</v>
      </c>
      <c r="T23" s="197">
        <v>0.50078889239507718</v>
      </c>
      <c r="U23" s="197">
        <v>0.75268470790377973</v>
      </c>
      <c r="V23" s="20">
        <f t="shared" si="10"/>
        <v>4.6425942716199211</v>
      </c>
      <c r="W23" s="20">
        <f t="shared" si="10"/>
        <v>0</v>
      </c>
      <c r="X23" s="20">
        <f t="shared" si="10"/>
        <v>0.10120673643953187</v>
      </c>
      <c r="Y23" s="20">
        <f t="shared" si="10"/>
        <v>0.42837691560653129</v>
      </c>
      <c r="Z23" s="20">
        <f t="shared" si="11"/>
        <v>3.0296743638154879</v>
      </c>
      <c r="AA23" s="20">
        <f t="shared" si="11"/>
        <v>0</v>
      </c>
      <c r="AB23" s="20">
        <f t="shared" si="11"/>
        <v>6.7428696267679236E-2</v>
      </c>
      <c r="AC23" s="20">
        <f t="shared" si="11"/>
        <v>0.27018027455423427</v>
      </c>
      <c r="AD23" s="20">
        <f t="shared" si="12"/>
        <v>3.3672833346374014</v>
      </c>
      <c r="AE23" s="20">
        <f t="shared" si="13"/>
        <v>51.343933661556605</v>
      </c>
      <c r="AF23" s="20">
        <f t="shared" si="13"/>
        <v>0</v>
      </c>
      <c r="AG23" s="20">
        <f t="shared" si="13"/>
        <v>0.77254475482175999</v>
      </c>
      <c r="AH23" s="20">
        <f t="shared" si="13"/>
        <v>4.1578627167127831</v>
      </c>
      <c r="AI23" s="20">
        <f t="shared" si="14"/>
        <v>33.506136968024094</v>
      </c>
      <c r="AJ23" s="20">
        <f t="shared" si="14"/>
        <v>0</v>
      </c>
      <c r="AK23" s="20">
        <f t="shared" si="14"/>
        <v>0.51470571484328476</v>
      </c>
      <c r="AL23" s="20">
        <f t="shared" si="14"/>
        <v>2.6223926860524474</v>
      </c>
      <c r="AM23" s="20">
        <f t="shared" si="15"/>
        <v>36.643235368919832</v>
      </c>
      <c r="AO23">
        <f t="shared" si="16"/>
        <v>4.1814132458775592</v>
      </c>
      <c r="AP23">
        <f t="shared" si="16"/>
        <v>0</v>
      </c>
      <c r="AQ23">
        <f t="shared" si="16"/>
        <v>7.9901863092040157E-2</v>
      </c>
      <c r="AR23">
        <f t="shared" si="16"/>
        <v>0.30290811798485778</v>
      </c>
      <c r="AS23">
        <f t="shared" si="17"/>
        <v>4.5642232269544571</v>
      </c>
      <c r="AU23">
        <f t="shared" si="18"/>
        <v>46.243585320450705</v>
      </c>
      <c r="AV23">
        <f t="shared" si="18"/>
        <v>0</v>
      </c>
      <c r="AW23">
        <f t="shared" si="18"/>
        <v>0.60991755493590638</v>
      </c>
      <c r="AX23">
        <f t="shared" si="18"/>
        <v>2.9400519133381486</v>
      </c>
      <c r="AY23">
        <f t="shared" si="19"/>
        <v>49.793554788724762</v>
      </c>
    </row>
    <row r="24" spans="1:51" ht="15" x14ac:dyDescent="0.25">
      <c r="A24" s="1"/>
      <c r="B24" s="2"/>
      <c r="C24" s="1" t="s">
        <v>11</v>
      </c>
      <c r="D24" s="285">
        <v>0</v>
      </c>
      <c r="E24" s="286">
        <v>8.9315889999999995E-2</v>
      </c>
      <c r="F24" s="286">
        <v>0</v>
      </c>
      <c r="G24" s="286">
        <v>0</v>
      </c>
      <c r="H24" s="287">
        <v>0.1163059</v>
      </c>
      <c r="J24">
        <v>0</v>
      </c>
      <c r="K24">
        <v>-0.372491127423</v>
      </c>
      <c r="L24">
        <v>0</v>
      </c>
      <c r="M24">
        <v>0</v>
      </c>
      <c r="N24">
        <v>2.6938042983200003E-2</v>
      </c>
      <c r="O24" s="20"/>
      <c r="P24" s="20"/>
      <c r="Q24" s="147">
        <v>0.1747147242823055</v>
      </c>
      <c r="R24" s="197">
        <v>0.3</v>
      </c>
      <c r="S24" s="197">
        <v>2.29</v>
      </c>
      <c r="T24" s="197">
        <v>0.50078889239507718</v>
      </c>
      <c r="U24" s="197">
        <v>0.75268470790377973</v>
      </c>
      <c r="V24" s="20">
        <f t="shared" si="10"/>
        <v>4.6814403286136175E-2</v>
      </c>
      <c r="W24" s="20">
        <f t="shared" si="10"/>
        <v>0</v>
      </c>
      <c r="X24" s="20">
        <f t="shared" si="10"/>
        <v>0</v>
      </c>
      <c r="Y24" s="20">
        <f t="shared" si="10"/>
        <v>5.2034086436423835E-2</v>
      </c>
      <c r="Z24" s="20">
        <f t="shared" si="11"/>
        <v>3.0550246089852112E-2</v>
      </c>
      <c r="AA24" s="20">
        <f t="shared" si="11"/>
        <v>0</v>
      </c>
      <c r="AB24" s="20">
        <f t="shared" si="11"/>
        <v>0</v>
      </c>
      <c r="AC24" s="20">
        <f t="shared" si="11"/>
        <v>3.2818257117488342E-2</v>
      </c>
      <c r="AD24" s="20">
        <f t="shared" si="12"/>
        <v>6.3368503207340457E-2</v>
      </c>
      <c r="AE24" s="20">
        <f t="shared" si="13"/>
        <v>0.35734994508417278</v>
      </c>
      <c r="AF24" s="20">
        <f t="shared" si="13"/>
        <v>0</v>
      </c>
      <c r="AG24" s="20">
        <f t="shared" si="13"/>
        <v>0</v>
      </c>
      <c r="AH24" s="20">
        <f t="shared" si="13"/>
        <v>0.41997548881358848</v>
      </c>
      <c r="AI24" s="20">
        <f t="shared" si="14"/>
        <v>0.23320021181920444</v>
      </c>
      <c r="AJ24" s="20">
        <f t="shared" si="14"/>
        <v>0</v>
      </c>
      <c r="AK24" s="20">
        <f t="shared" si="14"/>
        <v>0</v>
      </c>
      <c r="AL24" s="20">
        <f t="shared" si="14"/>
        <v>0.26488143674372649</v>
      </c>
      <c r="AM24" s="20">
        <f t="shared" si="15"/>
        <v>0.49808164856293091</v>
      </c>
      <c r="AO24">
        <f t="shared" si="16"/>
        <v>4.2164004551317684E-2</v>
      </c>
      <c r="AP24">
        <f t="shared" si="16"/>
        <v>0</v>
      </c>
      <c r="AQ24">
        <f t="shared" si="16"/>
        <v>0</v>
      </c>
      <c r="AR24">
        <f t="shared" si="16"/>
        <v>3.6793642746136453E-2</v>
      </c>
      <c r="AS24">
        <f t="shared" si="17"/>
        <v>7.8957647297454137E-2</v>
      </c>
      <c r="AU24">
        <f t="shared" si="18"/>
        <v>0.32185190140839165</v>
      </c>
      <c r="AV24">
        <f t="shared" si="18"/>
        <v>0</v>
      </c>
      <c r="AW24">
        <f t="shared" si="18"/>
        <v>0</v>
      </c>
      <c r="AX24">
        <f t="shared" si="18"/>
        <v>0.29696741416650507</v>
      </c>
      <c r="AY24">
        <f t="shared" si="19"/>
        <v>0.61881931557489667</v>
      </c>
    </row>
    <row r="25" spans="1:51" ht="15" x14ac:dyDescent="0.25">
      <c r="A25" s="1"/>
      <c r="B25" s="2"/>
      <c r="C25" s="1" t="s">
        <v>12</v>
      </c>
      <c r="D25" s="285">
        <v>0</v>
      </c>
      <c r="E25" s="286">
        <v>0.35930684000000002</v>
      </c>
      <c r="F25" s="286">
        <v>0.23843792</v>
      </c>
      <c r="G25" s="286">
        <v>0</v>
      </c>
      <c r="H25" s="287">
        <v>3.2241675500000002</v>
      </c>
      <c r="J25">
        <v>0</v>
      </c>
      <c r="K25">
        <v>0.15206683195700002</v>
      </c>
      <c r="L25">
        <v>0.23843792</v>
      </c>
      <c r="M25">
        <v>0</v>
      </c>
      <c r="N25">
        <v>1.8653058131290001</v>
      </c>
      <c r="O25" s="20"/>
      <c r="P25" s="20"/>
      <c r="Q25" s="147">
        <v>0.17471472428230547</v>
      </c>
      <c r="R25" s="197">
        <v>0.3</v>
      </c>
      <c r="S25" s="197">
        <v>2.29</v>
      </c>
      <c r="T25" s="197">
        <v>0.50078889239507718</v>
      </c>
      <c r="U25" s="197">
        <v>0.75268470790377973</v>
      </c>
      <c r="V25" s="20">
        <f t="shared" si="10"/>
        <v>0.13793529871121366</v>
      </c>
      <c r="W25" s="20">
        <f t="shared" si="10"/>
        <v>4.5960123097238577E-2</v>
      </c>
      <c r="X25" s="20">
        <f t="shared" si="10"/>
        <v>0</v>
      </c>
      <c r="Y25" s="20">
        <f t="shared" si="10"/>
        <v>1.0717866538534175</v>
      </c>
      <c r="Z25" s="20">
        <f t="shared" si="11"/>
        <v>9.0014120106338691E-2</v>
      </c>
      <c r="AA25" s="20">
        <f t="shared" si="11"/>
        <v>3.0451712384457152E-2</v>
      </c>
      <c r="AB25" s="20">
        <f t="shared" si="11"/>
        <v>0</v>
      </c>
      <c r="AC25" s="20">
        <f t="shared" si="11"/>
        <v>0.67598323311067177</v>
      </c>
      <c r="AD25" s="20">
        <f t="shared" si="12"/>
        <v>0.79644906560146755</v>
      </c>
      <c r="AE25" s="20">
        <f t="shared" si="13"/>
        <v>1.1815116266102441</v>
      </c>
      <c r="AF25" s="20">
        <f t="shared" si="13"/>
        <v>0.55247995487652979</v>
      </c>
      <c r="AG25" s="20">
        <f t="shared" si="13"/>
        <v>0</v>
      </c>
      <c r="AH25" s="20">
        <f t="shared" si="13"/>
        <v>9.758825727934834</v>
      </c>
      <c r="AI25" s="20">
        <f t="shared" si="14"/>
        <v>0.77103345161410808</v>
      </c>
      <c r="AJ25" s="20">
        <f t="shared" si="14"/>
        <v>0.36605560538824544</v>
      </c>
      <c r="AK25" s="20">
        <f t="shared" si="14"/>
        <v>0</v>
      </c>
      <c r="AL25" s="20">
        <f t="shared" si="14"/>
        <v>6.154958678777505</v>
      </c>
      <c r="AM25" s="20">
        <f t="shared" si="15"/>
        <v>7.2920477357798585</v>
      </c>
      <c r="AO25">
        <f t="shared" si="16"/>
        <v>0.12423323068115075</v>
      </c>
      <c r="AP25">
        <f t="shared" si="16"/>
        <v>3.5930164990439953E-2</v>
      </c>
      <c r="AQ25">
        <f t="shared" si="16"/>
        <v>0</v>
      </c>
      <c r="AR25">
        <f t="shared" si="16"/>
        <v>0.7578673508593633</v>
      </c>
      <c r="AS25">
        <f t="shared" si="17"/>
        <v>0.91803074653095407</v>
      </c>
      <c r="AU25">
        <f t="shared" si="18"/>
        <v>1.0641438981362004</v>
      </c>
      <c r="AV25">
        <f t="shared" si="18"/>
        <v>0.43191128732675704</v>
      </c>
      <c r="AW25">
        <f t="shared" si="18"/>
        <v>0</v>
      </c>
      <c r="AX25">
        <f t="shared" si="18"/>
        <v>6.900529480692402</v>
      </c>
      <c r="AY25">
        <f t="shared" si="19"/>
        <v>8.3965846661553591</v>
      </c>
    </row>
    <row r="26" spans="1:51" ht="15" x14ac:dyDescent="0.25">
      <c r="A26" s="1"/>
      <c r="B26" s="2"/>
      <c r="C26" s="1" t="s">
        <v>13</v>
      </c>
      <c r="D26" s="285">
        <v>0</v>
      </c>
      <c r="E26" s="286">
        <v>0</v>
      </c>
      <c r="F26" s="286">
        <v>0</v>
      </c>
      <c r="G26" s="286">
        <v>0</v>
      </c>
      <c r="H26" s="287">
        <v>0</v>
      </c>
      <c r="J26">
        <v>0</v>
      </c>
      <c r="K26">
        <v>0</v>
      </c>
      <c r="L26">
        <v>0</v>
      </c>
      <c r="M26">
        <v>0</v>
      </c>
      <c r="N26">
        <v>0</v>
      </c>
      <c r="O26" s="20"/>
      <c r="P26" s="20"/>
      <c r="Q26" s="147"/>
      <c r="R26" s="197">
        <v>0.3</v>
      </c>
      <c r="S26" s="197">
        <v>2.29</v>
      </c>
      <c r="T26" s="197">
        <v>0.50078889239507718</v>
      </c>
      <c r="U26" s="197">
        <v>0.75268470790377973</v>
      </c>
      <c r="V26" s="20">
        <f t="shared" si="10"/>
        <v>0</v>
      </c>
      <c r="W26" s="20">
        <f t="shared" si="10"/>
        <v>0</v>
      </c>
      <c r="X26" s="20">
        <f t="shared" si="10"/>
        <v>0</v>
      </c>
      <c r="Y26" s="20">
        <f t="shared" si="10"/>
        <v>0</v>
      </c>
      <c r="Z26" s="20">
        <f t="shared" si="11"/>
        <v>0</v>
      </c>
      <c r="AA26" s="20">
        <f t="shared" si="11"/>
        <v>0</v>
      </c>
      <c r="AB26" s="20">
        <f t="shared" si="11"/>
        <v>0</v>
      </c>
      <c r="AC26" s="20">
        <f t="shared" si="11"/>
        <v>0</v>
      </c>
      <c r="AD26" s="20">
        <f t="shared" si="12"/>
        <v>0</v>
      </c>
      <c r="AE26" s="20">
        <f t="shared" si="13"/>
        <v>0</v>
      </c>
      <c r="AF26" s="20">
        <f t="shared" si="13"/>
        <v>0</v>
      </c>
      <c r="AG26" s="20">
        <f t="shared" si="13"/>
        <v>0</v>
      </c>
      <c r="AH26" s="20">
        <f t="shared" si="13"/>
        <v>0</v>
      </c>
      <c r="AI26" s="20">
        <f t="shared" si="14"/>
        <v>0</v>
      </c>
      <c r="AJ26" s="20">
        <f t="shared" si="14"/>
        <v>0</v>
      </c>
      <c r="AK26" s="20">
        <f t="shared" si="14"/>
        <v>0</v>
      </c>
      <c r="AL26" s="20">
        <f t="shared" si="14"/>
        <v>0</v>
      </c>
      <c r="AM26" s="20">
        <f t="shared" si="15"/>
        <v>0</v>
      </c>
      <c r="AO26">
        <f t="shared" si="16"/>
        <v>0</v>
      </c>
      <c r="AP26">
        <f t="shared" si="16"/>
        <v>0</v>
      </c>
      <c r="AQ26">
        <f t="shared" si="16"/>
        <v>0</v>
      </c>
      <c r="AR26">
        <f t="shared" si="16"/>
        <v>0</v>
      </c>
      <c r="AS26">
        <f t="shared" si="17"/>
        <v>0</v>
      </c>
      <c r="AU26">
        <f t="shared" si="18"/>
        <v>0</v>
      </c>
      <c r="AV26">
        <f t="shared" si="18"/>
        <v>0</v>
      </c>
      <c r="AW26">
        <f t="shared" si="18"/>
        <v>0</v>
      </c>
      <c r="AX26">
        <f t="shared" si="18"/>
        <v>0</v>
      </c>
      <c r="AY26">
        <f t="shared" si="19"/>
        <v>0</v>
      </c>
    </row>
    <row r="27" spans="1:51" ht="15" x14ac:dyDescent="0.25">
      <c r="A27" s="7"/>
      <c r="B27" s="8" t="s">
        <v>14</v>
      </c>
      <c r="C27" s="7"/>
      <c r="D27" s="288">
        <f>SUM(D21:D26)</f>
        <v>4.0000000000000001E-8</v>
      </c>
      <c r="E27" s="289">
        <f>SUM(E21:E26)</f>
        <v>68.725836949999987</v>
      </c>
      <c r="F27" s="289">
        <f>SUM(F21:F26)</f>
        <v>38.074152970000007</v>
      </c>
      <c r="G27" s="289">
        <f>SUM(G21:G26)</f>
        <v>1.9988086599999999</v>
      </c>
      <c r="H27" s="290">
        <f>SUM(H21:H26)</f>
        <v>120.28573818000001</v>
      </c>
      <c r="J27">
        <v>4.0000000000000001E-8</v>
      </c>
      <c r="K27">
        <v>49.392579939784</v>
      </c>
      <c r="L27">
        <v>15.882165429700002</v>
      </c>
      <c r="M27">
        <v>-28.093296393879999</v>
      </c>
      <c r="N27">
        <v>41.201898183085575</v>
      </c>
      <c r="O27" s="20"/>
      <c r="P27" s="20"/>
      <c r="Q27" s="147"/>
      <c r="R27" s="197"/>
      <c r="S27" s="197"/>
      <c r="T27" s="197"/>
      <c r="U27" s="197"/>
    </row>
    <row r="28" spans="1:51" ht="15" x14ac:dyDescent="0.25">
      <c r="A28" s="5"/>
      <c r="B28" s="9" t="s">
        <v>15</v>
      </c>
      <c r="C28" s="5"/>
      <c r="D28" s="291"/>
      <c r="E28" s="292"/>
      <c r="F28" s="292"/>
      <c r="G28" s="292"/>
      <c r="H28" s="293">
        <f>SUM(D27:H27)</f>
        <v>229.08453680000002</v>
      </c>
      <c r="N28">
        <v>78.383347198689592</v>
      </c>
      <c r="O28" s="20"/>
      <c r="P28" s="20"/>
      <c r="Q28" s="147"/>
      <c r="R28" s="197"/>
      <c r="S28" s="197"/>
      <c r="T28" s="197"/>
      <c r="U28" s="197"/>
    </row>
    <row r="29" spans="1:51" ht="15.75" thickBot="1" x14ac:dyDescent="0.3">
      <c r="A29" s="1"/>
      <c r="B29" s="2"/>
      <c r="C29" s="1"/>
      <c r="D29" s="297"/>
      <c r="E29" s="298"/>
      <c r="F29" s="298"/>
      <c r="G29" s="298"/>
      <c r="H29" s="299"/>
      <c r="O29" s="20"/>
      <c r="P29" s="20"/>
      <c r="Q29" s="147"/>
      <c r="R29" s="197"/>
      <c r="S29" s="197"/>
      <c r="T29" s="197"/>
      <c r="U29" s="197"/>
    </row>
    <row r="30" spans="1:51" ht="15" x14ac:dyDescent="0.25">
      <c r="A30" s="1">
        <v>3</v>
      </c>
      <c r="B30" s="2" t="s">
        <v>17</v>
      </c>
      <c r="C30" s="1" t="s">
        <v>8</v>
      </c>
      <c r="D30" s="282">
        <v>0</v>
      </c>
      <c r="E30" s="283">
        <v>0</v>
      </c>
      <c r="F30" s="283">
        <v>0</v>
      </c>
      <c r="G30" s="283">
        <v>0</v>
      </c>
      <c r="H30" s="284">
        <v>6.1000772200000002</v>
      </c>
      <c r="J30">
        <v>0</v>
      </c>
      <c r="K30">
        <v>0</v>
      </c>
      <c r="L30">
        <v>0</v>
      </c>
      <c r="M30">
        <v>0</v>
      </c>
      <c r="N30">
        <v>1.4420044916599997</v>
      </c>
      <c r="O30" s="20"/>
      <c r="P30" s="20"/>
      <c r="Q30" s="147">
        <v>0.2337606009446262</v>
      </c>
      <c r="R30" s="197">
        <v>0.49</v>
      </c>
      <c r="S30" s="197">
        <v>2.42</v>
      </c>
      <c r="T30" s="197">
        <v>0.50078889239507718</v>
      </c>
      <c r="U30" s="197">
        <v>0.75268470790377973</v>
      </c>
      <c r="V30" s="20">
        <f t="shared" ref="V30:Y35" si="20">IF(K30&gt;0,((E30-K30)*$Q30*$R30*10)+(K30*$O$12*$Q30*$R30*10),(E30*$Q30*$R30*10))</f>
        <v>0</v>
      </c>
      <c r="W30" s="20">
        <f t="shared" si="20"/>
        <v>0</v>
      </c>
      <c r="X30" s="20">
        <f t="shared" si="20"/>
        <v>0</v>
      </c>
      <c r="Y30" s="20">
        <f t="shared" si="20"/>
        <v>5.9429020375008825</v>
      </c>
      <c r="Z30" s="20">
        <f t="shared" ref="Z30:AC35" si="21">V30*(EXP(1.01-0.34*LN(Z$8))*(1-$T30)+(1*$T30))</f>
        <v>0</v>
      </c>
      <c r="AA30" s="20">
        <f t="shared" si="21"/>
        <v>0</v>
      </c>
      <c r="AB30" s="20">
        <f t="shared" si="21"/>
        <v>0</v>
      </c>
      <c r="AC30" s="20">
        <f t="shared" si="21"/>
        <v>3.7482292944461966</v>
      </c>
      <c r="AD30" s="20">
        <f t="shared" ref="AD30:AD35" si="22">SUM(Z30:AC30)</f>
        <v>3.7482292944461966</v>
      </c>
      <c r="AE30" s="20">
        <f t="shared" ref="AE30:AH35" si="23">IF(K30&gt;0,((E30-K30)*$Q30*$S30*10)+(K30*$P$12*$Q30*$S30)*10,(E30*$Q30*$S30*10))</f>
        <v>0</v>
      </c>
      <c r="AF30" s="20">
        <f t="shared" si="23"/>
        <v>0</v>
      </c>
      <c r="AG30" s="20">
        <f t="shared" si="23"/>
        <v>0</v>
      </c>
      <c r="AH30" s="20">
        <f t="shared" si="23"/>
        <v>31.074961284392746</v>
      </c>
      <c r="AI30" s="20">
        <f t="shared" ref="AI30:AL35" si="24">AE30*(EXP(1.01-0.34*LN(AI$8))*(1-$T30)+(1*$T30))</f>
        <v>0</v>
      </c>
      <c r="AJ30" s="20">
        <f t="shared" si="24"/>
        <v>0</v>
      </c>
      <c r="AK30" s="20">
        <f t="shared" si="24"/>
        <v>0</v>
      </c>
      <c r="AL30" s="20">
        <f t="shared" si="24"/>
        <v>19.59919236005495</v>
      </c>
      <c r="AM30" s="20">
        <f t="shared" ref="AM30:AM35" si="25">SUM(AI30:AL30)</f>
        <v>19.59919236005495</v>
      </c>
      <c r="AO30">
        <f t="shared" ref="AO30:AR35" si="26">Z30*AO$10</f>
        <v>0</v>
      </c>
      <c r="AP30">
        <f t="shared" si="26"/>
        <v>0</v>
      </c>
      <c r="AQ30">
        <f t="shared" si="26"/>
        <v>0</v>
      </c>
      <c r="AR30">
        <f t="shared" si="26"/>
        <v>4.2022648886179219</v>
      </c>
      <c r="AS30">
        <f t="shared" ref="AS30:AS35" si="27">SUM(AO30:AR30)</f>
        <v>4.2022648886179219</v>
      </c>
      <c r="AU30">
        <f t="shared" ref="AU30:AX35" si="28">AI30*AU$10</f>
        <v>0</v>
      </c>
      <c r="AV30">
        <f t="shared" si="28"/>
        <v>0</v>
      </c>
      <c r="AW30">
        <f t="shared" si="28"/>
        <v>0</v>
      </c>
      <c r="AX30">
        <f t="shared" si="28"/>
        <v>21.973308309062887</v>
      </c>
      <c r="AY30">
        <f t="shared" ref="AY30:AY35" si="29">SUM(AU30:AX30)</f>
        <v>21.973308309062887</v>
      </c>
    </row>
    <row r="31" spans="1:51" ht="15" x14ac:dyDescent="0.25">
      <c r="A31" s="1"/>
      <c r="B31" s="2"/>
      <c r="C31" s="1" t="s">
        <v>9</v>
      </c>
      <c r="D31" s="285">
        <v>0</v>
      </c>
      <c r="E31" s="286">
        <v>0</v>
      </c>
      <c r="F31" s="286">
        <v>0</v>
      </c>
      <c r="G31" s="286">
        <v>0</v>
      </c>
      <c r="H31" s="287">
        <v>0</v>
      </c>
      <c r="J31">
        <v>0</v>
      </c>
      <c r="K31">
        <v>0</v>
      </c>
      <c r="L31">
        <v>0</v>
      </c>
      <c r="M31">
        <v>0</v>
      </c>
      <c r="N31">
        <v>0</v>
      </c>
      <c r="O31" s="20"/>
      <c r="P31" s="20"/>
      <c r="Q31" s="147"/>
      <c r="R31" s="197">
        <v>0.49</v>
      </c>
      <c r="S31" s="197">
        <v>2.42</v>
      </c>
      <c r="T31" s="197">
        <v>0.50078889239507718</v>
      </c>
      <c r="U31" s="197">
        <v>0.75268470790377973</v>
      </c>
      <c r="V31" s="20">
        <f t="shared" si="20"/>
        <v>0</v>
      </c>
      <c r="W31" s="20">
        <f t="shared" si="20"/>
        <v>0</v>
      </c>
      <c r="X31" s="20">
        <f t="shared" si="20"/>
        <v>0</v>
      </c>
      <c r="Y31" s="20">
        <f t="shared" si="20"/>
        <v>0</v>
      </c>
      <c r="Z31" s="20">
        <f t="shared" si="21"/>
        <v>0</v>
      </c>
      <c r="AA31" s="20">
        <f t="shared" si="21"/>
        <v>0</v>
      </c>
      <c r="AB31" s="20">
        <f t="shared" si="21"/>
        <v>0</v>
      </c>
      <c r="AC31" s="20">
        <f t="shared" si="21"/>
        <v>0</v>
      </c>
      <c r="AD31" s="20">
        <f t="shared" si="22"/>
        <v>0</v>
      </c>
      <c r="AE31" s="20">
        <f t="shared" si="23"/>
        <v>0</v>
      </c>
      <c r="AF31" s="20">
        <f t="shared" si="23"/>
        <v>0</v>
      </c>
      <c r="AG31" s="20">
        <f t="shared" si="23"/>
        <v>0</v>
      </c>
      <c r="AH31" s="20">
        <f t="shared" si="23"/>
        <v>0</v>
      </c>
      <c r="AI31" s="20">
        <f t="shared" si="24"/>
        <v>0</v>
      </c>
      <c r="AJ31" s="20">
        <f t="shared" si="24"/>
        <v>0</v>
      </c>
      <c r="AK31" s="20">
        <f t="shared" si="24"/>
        <v>0</v>
      </c>
      <c r="AL31" s="20">
        <f t="shared" si="24"/>
        <v>0</v>
      </c>
      <c r="AM31" s="20">
        <f t="shared" si="25"/>
        <v>0</v>
      </c>
      <c r="AO31">
        <f t="shared" si="26"/>
        <v>0</v>
      </c>
      <c r="AP31">
        <f t="shared" si="26"/>
        <v>0</v>
      </c>
      <c r="AQ31">
        <f t="shared" si="26"/>
        <v>0</v>
      </c>
      <c r="AR31">
        <f t="shared" si="26"/>
        <v>0</v>
      </c>
      <c r="AS31">
        <f t="shared" si="27"/>
        <v>0</v>
      </c>
      <c r="AU31">
        <f t="shared" si="28"/>
        <v>0</v>
      </c>
      <c r="AV31">
        <f t="shared" si="28"/>
        <v>0</v>
      </c>
      <c r="AW31">
        <f t="shared" si="28"/>
        <v>0</v>
      </c>
      <c r="AX31">
        <f t="shared" si="28"/>
        <v>0</v>
      </c>
      <c r="AY31">
        <f t="shared" si="29"/>
        <v>0</v>
      </c>
    </row>
    <row r="32" spans="1:51" ht="15" x14ac:dyDescent="0.25">
      <c r="A32" s="1"/>
      <c r="B32" s="2"/>
      <c r="C32" s="1" t="s">
        <v>10</v>
      </c>
      <c r="D32" s="285">
        <v>0</v>
      </c>
      <c r="E32" s="286">
        <v>0</v>
      </c>
      <c r="F32" s="286">
        <v>0</v>
      </c>
      <c r="G32" s="286">
        <v>0</v>
      </c>
      <c r="H32" s="287">
        <v>0.26119365999999999</v>
      </c>
      <c r="J32">
        <v>0</v>
      </c>
      <c r="K32">
        <v>0</v>
      </c>
      <c r="L32">
        <v>0</v>
      </c>
      <c r="M32">
        <v>0</v>
      </c>
      <c r="N32">
        <v>1.8588043421999989E-2</v>
      </c>
      <c r="O32" s="20"/>
      <c r="P32" s="20"/>
      <c r="Q32" s="147">
        <v>0.25128180283387863</v>
      </c>
      <c r="R32" s="197">
        <v>0.49</v>
      </c>
      <c r="S32" s="197">
        <v>2.42</v>
      </c>
      <c r="T32" s="197">
        <v>0.50078889239507718</v>
      </c>
      <c r="U32" s="197">
        <v>0.75268470790377973</v>
      </c>
      <c r="V32" s="20">
        <f t="shared" si="20"/>
        <v>0</v>
      </c>
      <c r="W32" s="20">
        <f t="shared" si="20"/>
        <v>0</v>
      </c>
      <c r="X32" s="20">
        <f t="shared" si="20"/>
        <v>0</v>
      </c>
      <c r="Y32" s="20">
        <f t="shared" si="20"/>
        <v>0.30713242430951782</v>
      </c>
      <c r="Z32" s="20">
        <f t="shared" si="21"/>
        <v>0</v>
      </c>
      <c r="AA32" s="20">
        <f t="shared" si="21"/>
        <v>0</v>
      </c>
      <c r="AB32" s="20">
        <f t="shared" si="21"/>
        <v>0</v>
      </c>
      <c r="AC32" s="20">
        <f t="shared" si="21"/>
        <v>0.19371053784950479</v>
      </c>
      <c r="AD32" s="20">
        <f t="shared" si="22"/>
        <v>0.19371053784950479</v>
      </c>
      <c r="AE32" s="20">
        <f t="shared" si="23"/>
        <v>0</v>
      </c>
      <c r="AF32" s="20">
        <f t="shared" si="23"/>
        <v>0</v>
      </c>
      <c r="AG32" s="20">
        <f t="shared" si="23"/>
        <v>0</v>
      </c>
      <c r="AH32" s="20">
        <f t="shared" si="23"/>
        <v>1.5407510680163203</v>
      </c>
      <c r="AI32" s="20">
        <f t="shared" si="24"/>
        <v>0</v>
      </c>
      <c r="AJ32" s="20">
        <f t="shared" si="24"/>
        <v>0</v>
      </c>
      <c r="AK32" s="20">
        <f t="shared" si="24"/>
        <v>0</v>
      </c>
      <c r="AL32" s="20">
        <f t="shared" si="24"/>
        <v>0.97176232287628028</v>
      </c>
      <c r="AM32" s="20">
        <f t="shared" si="25"/>
        <v>0.97176232287628028</v>
      </c>
      <c r="AO32">
        <f t="shared" si="26"/>
        <v>0</v>
      </c>
      <c r="AP32">
        <f t="shared" si="26"/>
        <v>0</v>
      </c>
      <c r="AQ32">
        <f t="shared" si="26"/>
        <v>0</v>
      </c>
      <c r="AR32">
        <f t="shared" si="26"/>
        <v>0.21717534542681688</v>
      </c>
      <c r="AS32">
        <f t="shared" si="27"/>
        <v>0.21717534542681688</v>
      </c>
      <c r="AU32">
        <f t="shared" si="28"/>
        <v>0</v>
      </c>
      <c r="AV32">
        <f t="shared" si="28"/>
        <v>0</v>
      </c>
      <c r="AW32">
        <f t="shared" si="28"/>
        <v>0</v>
      </c>
      <c r="AX32">
        <f t="shared" si="28"/>
        <v>1.089475154456403</v>
      </c>
      <c r="AY32">
        <f t="shared" si="29"/>
        <v>1.089475154456403</v>
      </c>
    </row>
    <row r="33" spans="1:51" ht="15" x14ac:dyDescent="0.25">
      <c r="A33" s="1"/>
      <c r="B33" s="2"/>
      <c r="C33" s="1" t="s">
        <v>11</v>
      </c>
      <c r="D33" s="285">
        <v>0</v>
      </c>
      <c r="E33" s="286">
        <v>0</v>
      </c>
      <c r="F33" s="286">
        <v>0</v>
      </c>
      <c r="G33" s="286">
        <v>0</v>
      </c>
      <c r="H33" s="287">
        <v>0</v>
      </c>
      <c r="J33">
        <v>0</v>
      </c>
      <c r="K33">
        <v>0</v>
      </c>
      <c r="L33">
        <v>0</v>
      </c>
      <c r="M33">
        <v>0</v>
      </c>
      <c r="N33">
        <v>0</v>
      </c>
      <c r="O33" s="20"/>
      <c r="P33" s="20"/>
      <c r="Q33" s="147"/>
      <c r="R33" s="197">
        <v>0.49</v>
      </c>
      <c r="S33" s="197">
        <v>2.42</v>
      </c>
      <c r="T33" s="197">
        <v>0.50078889239507718</v>
      </c>
      <c r="U33" s="197">
        <v>0.75268470790377973</v>
      </c>
      <c r="V33" s="20">
        <f t="shared" si="20"/>
        <v>0</v>
      </c>
      <c r="W33" s="20">
        <f t="shared" si="20"/>
        <v>0</v>
      </c>
      <c r="X33" s="20">
        <f t="shared" si="20"/>
        <v>0</v>
      </c>
      <c r="Y33" s="20">
        <f t="shared" si="20"/>
        <v>0</v>
      </c>
      <c r="Z33" s="20">
        <f t="shared" si="21"/>
        <v>0</v>
      </c>
      <c r="AA33" s="20">
        <f t="shared" si="21"/>
        <v>0</v>
      </c>
      <c r="AB33" s="20">
        <f t="shared" si="21"/>
        <v>0</v>
      </c>
      <c r="AC33" s="20">
        <f t="shared" si="21"/>
        <v>0</v>
      </c>
      <c r="AD33" s="20">
        <f t="shared" si="22"/>
        <v>0</v>
      </c>
      <c r="AE33" s="20">
        <f t="shared" si="23"/>
        <v>0</v>
      </c>
      <c r="AF33" s="20">
        <f t="shared" si="23"/>
        <v>0</v>
      </c>
      <c r="AG33" s="20">
        <f t="shared" si="23"/>
        <v>0</v>
      </c>
      <c r="AH33" s="20">
        <f t="shared" si="23"/>
        <v>0</v>
      </c>
      <c r="AI33" s="20">
        <f t="shared" si="24"/>
        <v>0</v>
      </c>
      <c r="AJ33" s="20">
        <f t="shared" si="24"/>
        <v>0</v>
      </c>
      <c r="AK33" s="20">
        <f t="shared" si="24"/>
        <v>0</v>
      </c>
      <c r="AL33" s="20">
        <f t="shared" si="24"/>
        <v>0</v>
      </c>
      <c r="AM33" s="20">
        <f t="shared" si="25"/>
        <v>0</v>
      </c>
      <c r="AO33">
        <f t="shared" si="26"/>
        <v>0</v>
      </c>
      <c r="AP33">
        <f t="shared" si="26"/>
        <v>0</v>
      </c>
      <c r="AQ33">
        <f t="shared" si="26"/>
        <v>0</v>
      </c>
      <c r="AR33">
        <f t="shared" si="26"/>
        <v>0</v>
      </c>
      <c r="AS33">
        <f t="shared" si="27"/>
        <v>0</v>
      </c>
      <c r="AU33">
        <f t="shared" si="28"/>
        <v>0</v>
      </c>
      <c r="AV33">
        <f t="shared" si="28"/>
        <v>0</v>
      </c>
      <c r="AW33">
        <f t="shared" si="28"/>
        <v>0</v>
      </c>
      <c r="AX33">
        <f t="shared" si="28"/>
        <v>0</v>
      </c>
      <c r="AY33">
        <f t="shared" si="29"/>
        <v>0</v>
      </c>
    </row>
    <row r="34" spans="1:51" ht="15" x14ac:dyDescent="0.25">
      <c r="A34" s="1"/>
      <c r="B34" s="2"/>
      <c r="C34" s="1" t="s">
        <v>12</v>
      </c>
      <c r="D34" s="285">
        <v>0</v>
      </c>
      <c r="E34" s="286">
        <v>0</v>
      </c>
      <c r="F34" s="286">
        <v>0</v>
      </c>
      <c r="G34" s="286">
        <v>0</v>
      </c>
      <c r="H34" s="287">
        <v>0</v>
      </c>
      <c r="J34">
        <v>0</v>
      </c>
      <c r="K34">
        <v>0</v>
      </c>
      <c r="L34">
        <v>0</v>
      </c>
      <c r="M34">
        <v>0</v>
      </c>
      <c r="N34">
        <v>0</v>
      </c>
      <c r="O34" s="20"/>
      <c r="P34" s="20"/>
      <c r="Q34" s="147"/>
      <c r="R34" s="197">
        <v>0.49</v>
      </c>
      <c r="S34" s="197">
        <v>2.42</v>
      </c>
      <c r="T34" s="197">
        <v>0.50078889239507718</v>
      </c>
      <c r="U34" s="197">
        <v>0.75268470790377973</v>
      </c>
      <c r="V34" s="20">
        <f t="shared" si="20"/>
        <v>0</v>
      </c>
      <c r="W34" s="20">
        <f t="shared" si="20"/>
        <v>0</v>
      </c>
      <c r="X34" s="20">
        <f t="shared" si="20"/>
        <v>0</v>
      </c>
      <c r="Y34" s="20">
        <f t="shared" si="20"/>
        <v>0</v>
      </c>
      <c r="Z34" s="20">
        <f t="shared" si="21"/>
        <v>0</v>
      </c>
      <c r="AA34" s="20">
        <f t="shared" si="21"/>
        <v>0</v>
      </c>
      <c r="AB34" s="20">
        <f t="shared" si="21"/>
        <v>0</v>
      </c>
      <c r="AC34" s="20">
        <f t="shared" si="21"/>
        <v>0</v>
      </c>
      <c r="AD34" s="20">
        <f t="shared" si="22"/>
        <v>0</v>
      </c>
      <c r="AE34" s="20">
        <f t="shared" si="23"/>
        <v>0</v>
      </c>
      <c r="AF34" s="20">
        <f t="shared" si="23"/>
        <v>0</v>
      </c>
      <c r="AG34" s="20">
        <f t="shared" si="23"/>
        <v>0</v>
      </c>
      <c r="AH34" s="20">
        <f t="shared" si="23"/>
        <v>0</v>
      </c>
      <c r="AI34" s="20">
        <f t="shared" si="24"/>
        <v>0</v>
      </c>
      <c r="AJ34" s="20">
        <f t="shared" si="24"/>
        <v>0</v>
      </c>
      <c r="AK34" s="20">
        <f t="shared" si="24"/>
        <v>0</v>
      </c>
      <c r="AL34" s="20">
        <f t="shared" si="24"/>
        <v>0</v>
      </c>
      <c r="AM34" s="20">
        <f t="shared" si="25"/>
        <v>0</v>
      </c>
      <c r="AO34">
        <f t="shared" si="26"/>
        <v>0</v>
      </c>
      <c r="AP34">
        <f t="shared" si="26"/>
        <v>0</v>
      </c>
      <c r="AQ34">
        <f t="shared" si="26"/>
        <v>0</v>
      </c>
      <c r="AR34">
        <f t="shared" si="26"/>
        <v>0</v>
      </c>
      <c r="AS34">
        <f t="shared" si="27"/>
        <v>0</v>
      </c>
      <c r="AU34">
        <f t="shared" si="28"/>
        <v>0</v>
      </c>
      <c r="AV34">
        <f t="shared" si="28"/>
        <v>0</v>
      </c>
      <c r="AW34">
        <f t="shared" si="28"/>
        <v>0</v>
      </c>
      <c r="AX34">
        <f t="shared" si="28"/>
        <v>0</v>
      </c>
      <c r="AY34">
        <f t="shared" si="29"/>
        <v>0</v>
      </c>
    </row>
    <row r="35" spans="1:51" ht="15" x14ac:dyDescent="0.25">
      <c r="A35" s="1"/>
      <c r="B35" s="2"/>
      <c r="C35" s="1" t="s">
        <v>13</v>
      </c>
      <c r="D35" s="285">
        <v>0</v>
      </c>
      <c r="E35" s="286">
        <v>0</v>
      </c>
      <c r="F35" s="286">
        <v>0</v>
      </c>
      <c r="G35" s="286">
        <v>0</v>
      </c>
      <c r="H35" s="287">
        <v>0</v>
      </c>
      <c r="J35">
        <v>0</v>
      </c>
      <c r="K35">
        <v>0</v>
      </c>
      <c r="L35">
        <v>0</v>
      </c>
      <c r="M35">
        <v>0</v>
      </c>
      <c r="N35">
        <v>0</v>
      </c>
      <c r="O35" s="20"/>
      <c r="P35" s="20"/>
      <c r="Q35" s="147"/>
      <c r="R35" s="197">
        <v>0.49</v>
      </c>
      <c r="S35" s="197">
        <v>2.42</v>
      </c>
      <c r="T35" s="197">
        <v>0.50078889239507718</v>
      </c>
      <c r="U35" s="197">
        <v>0.75268470790377973</v>
      </c>
      <c r="V35" s="20">
        <f t="shared" si="20"/>
        <v>0</v>
      </c>
      <c r="W35" s="20">
        <f t="shared" si="20"/>
        <v>0</v>
      </c>
      <c r="X35" s="20">
        <f t="shared" si="20"/>
        <v>0</v>
      </c>
      <c r="Y35" s="20">
        <f t="shared" si="20"/>
        <v>0</v>
      </c>
      <c r="Z35" s="20">
        <f t="shared" si="21"/>
        <v>0</v>
      </c>
      <c r="AA35" s="20">
        <f t="shared" si="21"/>
        <v>0</v>
      </c>
      <c r="AB35" s="20">
        <f t="shared" si="21"/>
        <v>0</v>
      </c>
      <c r="AC35" s="20">
        <f t="shared" si="21"/>
        <v>0</v>
      </c>
      <c r="AD35" s="20">
        <f t="shared" si="22"/>
        <v>0</v>
      </c>
      <c r="AE35" s="20">
        <f t="shared" si="23"/>
        <v>0</v>
      </c>
      <c r="AF35" s="20">
        <f t="shared" si="23"/>
        <v>0</v>
      </c>
      <c r="AG35" s="20">
        <f t="shared" si="23"/>
        <v>0</v>
      </c>
      <c r="AH35" s="20">
        <f t="shared" si="23"/>
        <v>0</v>
      </c>
      <c r="AI35" s="20">
        <f t="shared" si="24"/>
        <v>0</v>
      </c>
      <c r="AJ35" s="20">
        <f t="shared" si="24"/>
        <v>0</v>
      </c>
      <c r="AK35" s="20">
        <f t="shared" si="24"/>
        <v>0</v>
      </c>
      <c r="AL35" s="20">
        <f t="shared" si="24"/>
        <v>0</v>
      </c>
      <c r="AM35" s="20">
        <f t="shared" si="25"/>
        <v>0</v>
      </c>
      <c r="AO35">
        <f t="shared" si="26"/>
        <v>0</v>
      </c>
      <c r="AP35">
        <f t="shared" si="26"/>
        <v>0</v>
      </c>
      <c r="AQ35">
        <f t="shared" si="26"/>
        <v>0</v>
      </c>
      <c r="AR35">
        <f t="shared" si="26"/>
        <v>0</v>
      </c>
      <c r="AS35">
        <f t="shared" si="27"/>
        <v>0</v>
      </c>
      <c r="AU35">
        <f t="shared" si="28"/>
        <v>0</v>
      </c>
      <c r="AV35">
        <f t="shared" si="28"/>
        <v>0</v>
      </c>
      <c r="AW35">
        <f t="shared" si="28"/>
        <v>0</v>
      </c>
      <c r="AX35">
        <f t="shared" si="28"/>
        <v>0</v>
      </c>
      <c r="AY35">
        <f t="shared" si="29"/>
        <v>0</v>
      </c>
    </row>
    <row r="36" spans="1:51" ht="15" x14ac:dyDescent="0.25">
      <c r="A36" s="7"/>
      <c r="B36" s="8" t="s">
        <v>14</v>
      </c>
      <c r="C36" s="7"/>
      <c r="D36" s="288">
        <f>SUM(D30:D35)</f>
        <v>0</v>
      </c>
      <c r="E36" s="289">
        <f>SUM(E30:E35)</f>
        <v>0</v>
      </c>
      <c r="F36" s="289">
        <f>SUM(F30:F35)</f>
        <v>0</v>
      </c>
      <c r="G36" s="289">
        <f>SUM(G30:G35)</f>
        <v>0</v>
      </c>
      <c r="H36" s="290">
        <f>SUM(H30:H35)</f>
        <v>6.3612708800000002</v>
      </c>
      <c r="J36">
        <v>0</v>
      </c>
      <c r="K36">
        <v>0</v>
      </c>
      <c r="L36">
        <v>0</v>
      </c>
      <c r="M36">
        <v>0</v>
      </c>
      <c r="N36">
        <v>1.4605925350819997</v>
      </c>
      <c r="O36" s="20"/>
      <c r="P36" s="20"/>
      <c r="Q36" s="147"/>
      <c r="R36" s="197"/>
      <c r="S36" s="197"/>
      <c r="T36" s="197"/>
      <c r="U36" s="197"/>
    </row>
    <row r="37" spans="1:51" ht="15" x14ac:dyDescent="0.25">
      <c r="A37" s="5"/>
      <c r="B37" s="9" t="s">
        <v>15</v>
      </c>
      <c r="C37" s="5"/>
      <c r="D37" s="291"/>
      <c r="E37" s="292"/>
      <c r="F37" s="292"/>
      <c r="G37" s="292"/>
      <c r="H37" s="293">
        <f>SUM(D36:H36)</f>
        <v>6.3612708800000002</v>
      </c>
      <c r="N37">
        <v>1.4605925350819997</v>
      </c>
      <c r="O37" s="20"/>
      <c r="P37" s="20"/>
      <c r="Q37" s="147"/>
      <c r="R37" s="197"/>
      <c r="S37" s="197"/>
      <c r="T37" s="197"/>
      <c r="U37" s="197"/>
    </row>
    <row r="38" spans="1:51" ht="15.75" thickBot="1" x14ac:dyDescent="0.3">
      <c r="A38" s="1"/>
      <c r="B38" s="2"/>
      <c r="C38" s="1"/>
      <c r="D38" s="294"/>
      <c r="E38" s="295"/>
      <c r="F38" s="295"/>
      <c r="G38" s="295"/>
      <c r="H38" s="296"/>
      <c r="O38" s="20"/>
      <c r="P38" s="20"/>
      <c r="Q38" s="147"/>
      <c r="R38" s="197"/>
      <c r="S38" s="197"/>
      <c r="T38" s="197"/>
      <c r="U38" s="197"/>
    </row>
    <row r="39" spans="1:51" ht="15" x14ac:dyDescent="0.25">
      <c r="A39" s="1">
        <v>4</v>
      </c>
      <c r="B39" s="2" t="s">
        <v>18</v>
      </c>
      <c r="C39" s="1" t="s">
        <v>8</v>
      </c>
      <c r="D39" s="285">
        <v>0</v>
      </c>
      <c r="E39" s="286">
        <v>0</v>
      </c>
      <c r="F39" s="286">
        <v>9.29167904</v>
      </c>
      <c r="G39" s="286">
        <v>1.2610978799999999</v>
      </c>
      <c r="H39" s="287">
        <v>8.5514406300000001</v>
      </c>
      <c r="J39">
        <v>0</v>
      </c>
      <c r="K39">
        <v>0</v>
      </c>
      <c r="L39">
        <v>9.29167904</v>
      </c>
      <c r="M39">
        <v>1.2610978799999999</v>
      </c>
      <c r="N39">
        <v>-9.9771619833200003</v>
      </c>
      <c r="O39" s="20"/>
      <c r="P39" s="20"/>
      <c r="Q39" s="147">
        <v>0.36700848075570097</v>
      </c>
      <c r="R39" s="197">
        <v>0.19500000000000001</v>
      </c>
      <c r="S39" s="197">
        <v>1.22</v>
      </c>
      <c r="T39" s="197">
        <v>0.4144562334217507</v>
      </c>
      <c r="U39" s="197">
        <v>0.6566321730950142</v>
      </c>
      <c r="V39" s="20">
        <f t="shared" ref="V39:Y44" si="30">IF(K39&gt;0,((E39-K39)*$Q39*$R39*10)+(K39*$O$12*$Q39*$R39*10),(E39*$Q39*$R39*10))</f>
        <v>0</v>
      </c>
      <c r="W39" s="20">
        <f t="shared" si="30"/>
        <v>2.4454568699584001</v>
      </c>
      <c r="X39" s="20">
        <f t="shared" si="30"/>
        <v>0.33190561803305396</v>
      </c>
      <c r="Y39" s="20">
        <f t="shared" si="30"/>
        <v>6.1199799060833051</v>
      </c>
      <c r="Z39" s="20">
        <f t="shared" ref="Z39:AC44" si="31">V39*(EXP(1.01-0.34*LN(Z$8))*(1-$T39)+(1*$T39))</f>
        <v>0</v>
      </c>
      <c r="AA39" s="20">
        <f t="shared" si="31"/>
        <v>1.4775774834625197</v>
      </c>
      <c r="AB39" s="20">
        <f t="shared" si="31"/>
        <v>0.20197402806840295</v>
      </c>
      <c r="AC39" s="20">
        <f t="shared" si="31"/>
        <v>3.4690617673534816</v>
      </c>
      <c r="AD39" s="20">
        <f t="shared" ref="AD39:AD44" si="32">SUM(Z39:AC39)</f>
        <v>5.1486132788844046</v>
      </c>
      <c r="AE39" s="20">
        <f t="shared" ref="AE39:AH44" si="33">IF(K39&gt;0,((E39-K39)*$Q39*$S39*10)+(K39*$P$12*$Q39*$S39)*10,(E39*$Q39*$S39*10))</f>
        <v>0</v>
      </c>
      <c r="AF39" s="20">
        <f t="shared" si="33"/>
        <v>24.093857735247219</v>
      </c>
      <c r="AG39" s="20">
        <f t="shared" si="33"/>
        <v>3.2700992770131099</v>
      </c>
      <c r="AH39" s="20">
        <f t="shared" si="33"/>
        <v>38.289105053444267</v>
      </c>
      <c r="AI39" s="20">
        <f t="shared" ref="AI39:AL44" si="34">AE39*(EXP(1.01-0.34*LN(AI$8))*(1-$T39)+(1*$T39))</f>
        <v>0</v>
      </c>
      <c r="AJ39" s="20">
        <f t="shared" si="34"/>
        <v>14.557828484603844</v>
      </c>
      <c r="AK39" s="20">
        <f t="shared" si="34"/>
        <v>1.989948609716315</v>
      </c>
      <c r="AL39" s="20">
        <f t="shared" si="34"/>
        <v>21.703873621391015</v>
      </c>
      <c r="AM39" s="20">
        <f t="shared" ref="AM39:AM44" si="35">SUM(AI39:AL39)</f>
        <v>38.251650715711179</v>
      </c>
      <c r="AO39">
        <f t="shared" ref="AO39:AR44" si="36">Z39*AO$10</f>
        <v>0</v>
      </c>
      <c r="AP39">
        <f t="shared" si="36"/>
        <v>1.7434028699832604</v>
      </c>
      <c r="AQ39">
        <f t="shared" si="36"/>
        <v>0.23933580259069795</v>
      </c>
      <c r="AR39">
        <f t="shared" si="36"/>
        <v>3.8892808620317516</v>
      </c>
      <c r="AS39">
        <f t="shared" ref="AS39:AS44" si="37">SUM(AO39:AR39)</f>
        <v>5.8720195346057098</v>
      </c>
      <c r="AU39">
        <f t="shared" ref="AU39:AX44" si="38">AI39*AU$10</f>
        <v>0</v>
      </c>
      <c r="AV39">
        <f t="shared" si="38"/>
        <v>17.176872444825797</v>
      </c>
      <c r="AW39">
        <f t="shared" si="38"/>
        <v>2.3580554003676149</v>
      </c>
      <c r="AX39">
        <f t="shared" si="38"/>
        <v>24.332936675275576</v>
      </c>
      <c r="AY39">
        <f t="shared" ref="AY39:AY44" si="39">SUM(AU39:AX39)</f>
        <v>43.867864520468984</v>
      </c>
    </row>
    <row r="40" spans="1:51" ht="15" x14ac:dyDescent="0.25">
      <c r="A40" s="1"/>
      <c r="B40" s="2"/>
      <c r="C40" s="1" t="s">
        <v>9</v>
      </c>
      <c r="D40" s="285">
        <v>0</v>
      </c>
      <c r="E40" s="286">
        <v>5.1513709999999997E-2</v>
      </c>
      <c r="F40" s="286">
        <v>0</v>
      </c>
      <c r="G40" s="286">
        <v>0</v>
      </c>
      <c r="H40" s="287">
        <v>0</v>
      </c>
      <c r="J40">
        <v>0</v>
      </c>
      <c r="K40">
        <v>7.0933910339999948E-3</v>
      </c>
      <c r="L40">
        <v>0</v>
      </c>
      <c r="M40">
        <v>0</v>
      </c>
      <c r="N40">
        <v>0</v>
      </c>
      <c r="O40" s="20"/>
      <c r="P40" s="20"/>
      <c r="Q40" s="147">
        <v>0.37401696151140196</v>
      </c>
      <c r="R40" s="197">
        <v>0.19500000000000001</v>
      </c>
      <c r="S40" s="197">
        <v>1.22</v>
      </c>
      <c r="T40" s="197">
        <v>0.4144562334217507</v>
      </c>
      <c r="U40" s="197">
        <v>0.6566321730950142</v>
      </c>
      <c r="V40" s="20">
        <f t="shared" si="30"/>
        <v>3.429975268879118E-2</v>
      </c>
      <c r="W40" s="20">
        <f t="shared" si="30"/>
        <v>0</v>
      </c>
      <c r="X40" s="20">
        <f t="shared" si="30"/>
        <v>0</v>
      </c>
      <c r="Y40" s="20">
        <f t="shared" si="30"/>
        <v>0</v>
      </c>
      <c r="Z40" s="20">
        <f t="shared" si="31"/>
        <v>2.0322616981605795E-2</v>
      </c>
      <c r="AA40" s="20">
        <f t="shared" si="31"/>
        <v>0</v>
      </c>
      <c r="AB40" s="20">
        <f t="shared" si="31"/>
        <v>0</v>
      </c>
      <c r="AC40" s="20">
        <f t="shared" si="31"/>
        <v>0</v>
      </c>
      <c r="AD40" s="20">
        <f t="shared" si="32"/>
        <v>2.0322616981605795E-2</v>
      </c>
      <c r="AE40" s="20">
        <f t="shared" si="33"/>
        <v>0.22143504187098823</v>
      </c>
      <c r="AF40" s="20">
        <f t="shared" si="33"/>
        <v>0</v>
      </c>
      <c r="AG40" s="20">
        <f t="shared" si="33"/>
        <v>0</v>
      </c>
      <c r="AH40" s="20">
        <f t="shared" si="33"/>
        <v>0</v>
      </c>
      <c r="AI40" s="20">
        <f t="shared" si="34"/>
        <v>0.13120034955005774</v>
      </c>
      <c r="AJ40" s="20">
        <f t="shared" si="34"/>
        <v>0</v>
      </c>
      <c r="AK40" s="20">
        <f t="shared" si="34"/>
        <v>0</v>
      </c>
      <c r="AL40" s="20">
        <f t="shared" si="34"/>
        <v>0</v>
      </c>
      <c r="AM40" s="20">
        <f t="shared" si="35"/>
        <v>0.13120034955005774</v>
      </c>
      <c r="AO40">
        <f t="shared" si="36"/>
        <v>2.8048314648167236E-2</v>
      </c>
      <c r="AP40">
        <f t="shared" si="36"/>
        <v>0</v>
      </c>
      <c r="AQ40">
        <f t="shared" si="36"/>
        <v>0</v>
      </c>
      <c r="AR40">
        <f t="shared" si="36"/>
        <v>0</v>
      </c>
      <c r="AS40">
        <f t="shared" si="37"/>
        <v>2.8048314648167236E-2</v>
      </c>
      <c r="AU40">
        <f t="shared" si="38"/>
        <v>0.18107651634926272</v>
      </c>
      <c r="AV40">
        <f t="shared" si="38"/>
        <v>0</v>
      </c>
      <c r="AW40">
        <f t="shared" si="38"/>
        <v>0</v>
      </c>
      <c r="AX40">
        <f t="shared" si="38"/>
        <v>0</v>
      </c>
      <c r="AY40">
        <f t="shared" si="39"/>
        <v>0.18107651634926272</v>
      </c>
    </row>
    <row r="41" spans="1:51" ht="15" x14ac:dyDescent="0.25">
      <c r="A41" s="1"/>
      <c r="B41" s="2"/>
      <c r="C41" s="1" t="s">
        <v>10</v>
      </c>
      <c r="D41" s="285">
        <v>0</v>
      </c>
      <c r="E41" s="286">
        <v>0.88866780000000001</v>
      </c>
      <c r="F41" s="286">
        <v>0</v>
      </c>
      <c r="G41" s="286">
        <v>0</v>
      </c>
      <c r="H41" s="287">
        <v>0.76716918999999995</v>
      </c>
      <c r="J41">
        <v>0</v>
      </c>
      <c r="K41">
        <v>-0.21548125997200007</v>
      </c>
      <c r="L41">
        <v>0</v>
      </c>
      <c r="M41">
        <v>0</v>
      </c>
      <c r="N41">
        <v>0.74679570328749989</v>
      </c>
      <c r="O41" s="20"/>
      <c r="P41" s="20"/>
      <c r="Q41" s="147">
        <v>0.38102544226710294</v>
      </c>
      <c r="R41" s="197">
        <v>0.19500000000000001</v>
      </c>
      <c r="S41" s="197">
        <v>1.22</v>
      </c>
      <c r="T41" s="197">
        <v>0.4144562334217507</v>
      </c>
      <c r="U41" s="197">
        <v>0.6566321730950142</v>
      </c>
      <c r="V41" s="20">
        <f t="shared" si="30"/>
        <v>0.66027983097089016</v>
      </c>
      <c r="W41" s="20">
        <f t="shared" si="30"/>
        <v>0</v>
      </c>
      <c r="X41" s="20">
        <f t="shared" si="30"/>
        <v>0</v>
      </c>
      <c r="Y41" s="20">
        <f t="shared" si="30"/>
        <v>0.21919167218051941</v>
      </c>
      <c r="Z41" s="20">
        <f t="shared" si="31"/>
        <v>0.39121605998884901</v>
      </c>
      <c r="AA41" s="20">
        <f t="shared" si="31"/>
        <v>0</v>
      </c>
      <c r="AB41" s="20">
        <f t="shared" si="31"/>
        <v>0</v>
      </c>
      <c r="AC41" s="20">
        <f t="shared" si="31"/>
        <v>0.12424705004797237</v>
      </c>
      <c r="AD41" s="20">
        <f t="shared" si="32"/>
        <v>0.51546311003682144</v>
      </c>
      <c r="AE41" s="20">
        <f t="shared" si="33"/>
        <v>4.1309815065871067</v>
      </c>
      <c r="AF41" s="20">
        <f t="shared" si="33"/>
        <v>0</v>
      </c>
      <c r="AG41" s="20">
        <f t="shared" si="33"/>
        <v>0</v>
      </c>
      <c r="AH41" s="20">
        <f t="shared" si="33"/>
        <v>2.1051496608087796</v>
      </c>
      <c r="AI41" s="20">
        <f t="shared" si="34"/>
        <v>2.4476081701866446</v>
      </c>
      <c r="AJ41" s="20">
        <f t="shared" si="34"/>
        <v>0</v>
      </c>
      <c r="AK41" s="20">
        <f t="shared" si="34"/>
        <v>0</v>
      </c>
      <c r="AL41" s="20">
        <f t="shared" si="34"/>
        <v>1.1932872844255187</v>
      </c>
      <c r="AM41" s="20">
        <f t="shared" si="35"/>
        <v>3.6408954546121635</v>
      </c>
      <c r="AO41">
        <f t="shared" si="36"/>
        <v>0.53993790051326729</v>
      </c>
      <c r="AP41">
        <f t="shared" si="36"/>
        <v>0</v>
      </c>
      <c r="AQ41">
        <f t="shared" si="36"/>
        <v>0</v>
      </c>
      <c r="AR41">
        <f t="shared" si="36"/>
        <v>0.13929751221585587</v>
      </c>
      <c r="AS41">
        <f t="shared" si="37"/>
        <v>0.67923541272912313</v>
      </c>
      <c r="AU41">
        <f t="shared" si="38"/>
        <v>3.3780730185958254</v>
      </c>
      <c r="AV41">
        <f t="shared" si="38"/>
        <v>0</v>
      </c>
      <c r="AW41">
        <f t="shared" si="38"/>
        <v>0</v>
      </c>
      <c r="AX41">
        <f t="shared" si="38"/>
        <v>1.3378341780759391</v>
      </c>
      <c r="AY41">
        <f t="shared" si="39"/>
        <v>4.7159071966717647</v>
      </c>
    </row>
    <row r="42" spans="1:51" ht="15" x14ac:dyDescent="0.25">
      <c r="A42" s="1"/>
      <c r="B42" s="2"/>
      <c r="C42" s="1" t="s">
        <v>11</v>
      </c>
      <c r="D42" s="285">
        <v>0</v>
      </c>
      <c r="E42" s="286">
        <v>0</v>
      </c>
      <c r="F42" s="286">
        <v>0</v>
      </c>
      <c r="G42" s="286">
        <v>0</v>
      </c>
      <c r="H42" s="287">
        <v>0</v>
      </c>
      <c r="J42">
        <v>0</v>
      </c>
      <c r="K42">
        <v>0</v>
      </c>
      <c r="L42">
        <v>0</v>
      </c>
      <c r="M42">
        <v>0</v>
      </c>
      <c r="N42">
        <v>0</v>
      </c>
      <c r="O42" s="20"/>
      <c r="P42" s="20"/>
      <c r="Q42" s="147"/>
      <c r="R42" s="197">
        <v>0.19500000000000001</v>
      </c>
      <c r="S42" s="197">
        <v>1.22</v>
      </c>
      <c r="T42" s="197">
        <v>0.4144562334217507</v>
      </c>
      <c r="U42" s="197">
        <v>0.6566321730950142</v>
      </c>
      <c r="V42" s="20">
        <f t="shared" si="30"/>
        <v>0</v>
      </c>
      <c r="W42" s="20">
        <f t="shared" si="30"/>
        <v>0</v>
      </c>
      <c r="X42" s="20">
        <f t="shared" si="30"/>
        <v>0</v>
      </c>
      <c r="Y42" s="20">
        <f t="shared" si="30"/>
        <v>0</v>
      </c>
      <c r="Z42" s="20">
        <f t="shared" si="31"/>
        <v>0</v>
      </c>
      <c r="AA42" s="20">
        <f t="shared" si="31"/>
        <v>0</v>
      </c>
      <c r="AB42" s="20">
        <f t="shared" si="31"/>
        <v>0</v>
      </c>
      <c r="AC42" s="20">
        <f t="shared" si="31"/>
        <v>0</v>
      </c>
      <c r="AD42" s="20">
        <f t="shared" si="32"/>
        <v>0</v>
      </c>
      <c r="AE42" s="20">
        <f t="shared" si="33"/>
        <v>0</v>
      </c>
      <c r="AF42" s="20">
        <f t="shared" si="33"/>
        <v>0</v>
      </c>
      <c r="AG42" s="20">
        <f t="shared" si="33"/>
        <v>0</v>
      </c>
      <c r="AH42" s="20">
        <f t="shared" si="33"/>
        <v>0</v>
      </c>
      <c r="AI42" s="20">
        <f t="shared" si="34"/>
        <v>0</v>
      </c>
      <c r="AJ42" s="20">
        <f t="shared" si="34"/>
        <v>0</v>
      </c>
      <c r="AK42" s="20">
        <f t="shared" si="34"/>
        <v>0</v>
      </c>
      <c r="AL42" s="20">
        <f t="shared" si="34"/>
        <v>0</v>
      </c>
      <c r="AM42" s="20">
        <f t="shared" si="35"/>
        <v>0</v>
      </c>
      <c r="AO42">
        <f t="shared" si="36"/>
        <v>0</v>
      </c>
      <c r="AP42">
        <f t="shared" si="36"/>
        <v>0</v>
      </c>
      <c r="AQ42">
        <f t="shared" si="36"/>
        <v>0</v>
      </c>
      <c r="AR42">
        <f t="shared" si="36"/>
        <v>0</v>
      </c>
      <c r="AS42">
        <f t="shared" si="37"/>
        <v>0</v>
      </c>
      <c r="AU42">
        <f t="shared" si="38"/>
        <v>0</v>
      </c>
      <c r="AV42">
        <f t="shared" si="38"/>
        <v>0</v>
      </c>
      <c r="AW42">
        <f t="shared" si="38"/>
        <v>0</v>
      </c>
      <c r="AX42">
        <f t="shared" si="38"/>
        <v>0</v>
      </c>
      <c r="AY42">
        <f t="shared" si="39"/>
        <v>0</v>
      </c>
    </row>
    <row r="43" spans="1:51" ht="15" x14ac:dyDescent="0.25">
      <c r="A43" s="1"/>
      <c r="B43" s="2"/>
      <c r="C43" s="1" t="s">
        <v>12</v>
      </c>
      <c r="D43" s="285">
        <v>0</v>
      </c>
      <c r="E43" s="286">
        <v>0</v>
      </c>
      <c r="F43" s="286">
        <v>0</v>
      </c>
      <c r="G43" s="286">
        <v>0</v>
      </c>
      <c r="H43" s="287">
        <v>9.0651750000000003E-2</v>
      </c>
      <c r="J43">
        <v>0</v>
      </c>
      <c r="K43">
        <v>0</v>
      </c>
      <c r="L43">
        <v>0</v>
      </c>
      <c r="M43">
        <v>0</v>
      </c>
      <c r="N43">
        <v>9.0651750000000003E-2</v>
      </c>
      <c r="O43" s="20"/>
      <c r="P43" s="20"/>
      <c r="Q43" s="147">
        <v>0.38803392302280387</v>
      </c>
      <c r="R43" s="197">
        <v>0.19500000000000001</v>
      </c>
      <c r="S43" s="197">
        <v>1.22</v>
      </c>
      <c r="T43" s="197">
        <v>0.4144562334217507</v>
      </c>
      <c r="U43" s="197">
        <v>0.6566321730950142</v>
      </c>
      <c r="V43" s="20">
        <f t="shared" si="30"/>
        <v>0</v>
      </c>
      <c r="W43" s="20">
        <f t="shared" si="30"/>
        <v>0</v>
      </c>
      <c r="X43" s="20">
        <f t="shared" si="30"/>
        <v>0</v>
      </c>
      <c r="Y43" s="20">
        <f t="shared" si="30"/>
        <v>2.5225256729553992E-2</v>
      </c>
      <c r="Z43" s="20">
        <f t="shared" si="31"/>
        <v>0</v>
      </c>
      <c r="AA43" s="20">
        <f t="shared" si="31"/>
        <v>0</v>
      </c>
      <c r="AB43" s="20">
        <f t="shared" si="31"/>
        <v>0</v>
      </c>
      <c r="AC43" s="20">
        <f t="shared" si="31"/>
        <v>1.4298735459112914E-2</v>
      </c>
      <c r="AD43" s="20">
        <f t="shared" si="32"/>
        <v>1.4298735459112914E-2</v>
      </c>
      <c r="AE43" s="20">
        <f t="shared" si="33"/>
        <v>0</v>
      </c>
      <c r="AF43" s="20">
        <f t="shared" si="33"/>
        <v>0</v>
      </c>
      <c r="AG43" s="20">
        <f t="shared" si="33"/>
        <v>0</v>
      </c>
      <c r="AH43" s="20">
        <f t="shared" si="33"/>
        <v>0.24853177925288883</v>
      </c>
      <c r="AI43" s="20">
        <f t="shared" si="34"/>
        <v>0</v>
      </c>
      <c r="AJ43" s="20">
        <f t="shared" si="34"/>
        <v>0</v>
      </c>
      <c r="AK43" s="20">
        <f t="shared" si="34"/>
        <v>0</v>
      </c>
      <c r="AL43" s="20">
        <f t="shared" si="34"/>
        <v>0.14087825558406269</v>
      </c>
      <c r="AM43" s="20">
        <f t="shared" si="35"/>
        <v>0.14087825558406269</v>
      </c>
      <c r="AO43">
        <f t="shared" si="36"/>
        <v>0</v>
      </c>
      <c r="AP43">
        <f t="shared" si="36"/>
        <v>0</v>
      </c>
      <c r="AQ43">
        <f t="shared" si="36"/>
        <v>0</v>
      </c>
      <c r="AR43">
        <f t="shared" si="36"/>
        <v>1.6030789274417687E-2</v>
      </c>
      <c r="AS43">
        <f t="shared" si="37"/>
        <v>1.6030789274417687E-2</v>
      </c>
      <c r="AU43">
        <f t="shared" si="38"/>
        <v>0</v>
      </c>
      <c r="AV43">
        <f t="shared" si="38"/>
        <v>0</v>
      </c>
      <c r="AW43">
        <f t="shared" si="38"/>
        <v>0</v>
      </c>
      <c r="AX43">
        <f t="shared" si="38"/>
        <v>0.15794331149586671</v>
      </c>
      <c r="AY43">
        <f t="shared" si="39"/>
        <v>0.15794331149586671</v>
      </c>
    </row>
    <row r="44" spans="1:51" ht="15" x14ac:dyDescent="0.25">
      <c r="A44" s="1"/>
      <c r="B44" s="2"/>
      <c r="C44" s="1" t="s">
        <v>13</v>
      </c>
      <c r="D44" s="285">
        <v>0</v>
      </c>
      <c r="E44" s="286">
        <v>0</v>
      </c>
      <c r="F44" s="286">
        <v>0</v>
      </c>
      <c r="G44" s="286">
        <v>0</v>
      </c>
      <c r="H44" s="287">
        <v>0</v>
      </c>
      <c r="J44">
        <v>0</v>
      </c>
      <c r="K44">
        <v>0</v>
      </c>
      <c r="L44">
        <v>0</v>
      </c>
      <c r="M44">
        <v>0</v>
      </c>
      <c r="N44">
        <v>0</v>
      </c>
      <c r="O44" s="20"/>
      <c r="P44" s="20"/>
      <c r="Q44" s="147"/>
      <c r="R44" s="197">
        <v>0.19500000000000001</v>
      </c>
      <c r="S44" s="197">
        <v>1.22</v>
      </c>
      <c r="T44" s="197">
        <v>0.4144562334217507</v>
      </c>
      <c r="U44" s="197">
        <v>0.6566321730950142</v>
      </c>
      <c r="V44" s="20">
        <f t="shared" si="30"/>
        <v>0</v>
      </c>
      <c r="W44" s="20">
        <f t="shared" si="30"/>
        <v>0</v>
      </c>
      <c r="X44" s="20">
        <f t="shared" si="30"/>
        <v>0</v>
      </c>
      <c r="Y44" s="20">
        <f t="shared" si="30"/>
        <v>0</v>
      </c>
      <c r="Z44" s="20">
        <f t="shared" si="31"/>
        <v>0</v>
      </c>
      <c r="AA44" s="20">
        <f t="shared" si="31"/>
        <v>0</v>
      </c>
      <c r="AB44" s="20">
        <f t="shared" si="31"/>
        <v>0</v>
      </c>
      <c r="AC44" s="20">
        <f t="shared" si="31"/>
        <v>0</v>
      </c>
      <c r="AD44" s="20">
        <f t="shared" si="32"/>
        <v>0</v>
      </c>
      <c r="AE44" s="20">
        <f t="shared" si="33"/>
        <v>0</v>
      </c>
      <c r="AF44" s="20">
        <f t="shared" si="33"/>
        <v>0</v>
      </c>
      <c r="AG44" s="20">
        <f t="shared" si="33"/>
        <v>0</v>
      </c>
      <c r="AH44" s="20">
        <f t="shared" si="33"/>
        <v>0</v>
      </c>
      <c r="AI44" s="20">
        <f t="shared" si="34"/>
        <v>0</v>
      </c>
      <c r="AJ44" s="20">
        <f t="shared" si="34"/>
        <v>0</v>
      </c>
      <c r="AK44" s="20">
        <f t="shared" si="34"/>
        <v>0</v>
      </c>
      <c r="AL44" s="20">
        <f t="shared" si="34"/>
        <v>0</v>
      </c>
      <c r="AM44" s="20">
        <f t="shared" si="35"/>
        <v>0</v>
      </c>
      <c r="AO44">
        <f t="shared" si="36"/>
        <v>0</v>
      </c>
      <c r="AP44">
        <f t="shared" si="36"/>
        <v>0</v>
      </c>
      <c r="AQ44">
        <f t="shared" si="36"/>
        <v>0</v>
      </c>
      <c r="AR44">
        <f t="shared" si="36"/>
        <v>0</v>
      </c>
      <c r="AS44">
        <f t="shared" si="37"/>
        <v>0</v>
      </c>
      <c r="AU44">
        <f t="shared" si="38"/>
        <v>0</v>
      </c>
      <c r="AV44">
        <f t="shared" si="38"/>
        <v>0</v>
      </c>
      <c r="AW44">
        <f t="shared" si="38"/>
        <v>0</v>
      </c>
      <c r="AX44">
        <f t="shared" si="38"/>
        <v>0</v>
      </c>
      <c r="AY44">
        <f t="shared" si="39"/>
        <v>0</v>
      </c>
    </row>
    <row r="45" spans="1:51" ht="15" x14ac:dyDescent="0.25">
      <c r="A45" s="7"/>
      <c r="B45" s="8" t="s">
        <v>14</v>
      </c>
      <c r="C45" s="7"/>
      <c r="D45" s="288">
        <f>SUM(D39:D44)</f>
        <v>0</v>
      </c>
      <c r="E45" s="289">
        <f>SUM(E39:E44)</f>
        <v>0.94018151000000005</v>
      </c>
      <c r="F45" s="289">
        <f>SUM(F39:F44)</f>
        <v>9.29167904</v>
      </c>
      <c r="G45" s="289">
        <f>SUM(G39:G44)</f>
        <v>1.2610978799999999</v>
      </c>
      <c r="H45" s="290">
        <f>SUM(H39:H44)</f>
        <v>9.40926157</v>
      </c>
      <c r="J45">
        <v>0</v>
      </c>
      <c r="K45">
        <v>-0.20838786893800007</v>
      </c>
      <c r="L45">
        <v>9.29167904</v>
      </c>
      <c r="M45">
        <v>1.2610978799999999</v>
      </c>
      <c r="N45">
        <v>-9.1397145300325011</v>
      </c>
      <c r="O45" s="20"/>
      <c r="P45" s="20"/>
      <c r="Q45" s="147"/>
      <c r="R45" s="197"/>
      <c r="S45" s="197"/>
      <c r="T45" s="197"/>
      <c r="U45" s="197"/>
    </row>
    <row r="46" spans="1:51" ht="15" x14ac:dyDescent="0.25">
      <c r="A46" s="10"/>
      <c r="B46" s="9" t="s">
        <v>15</v>
      </c>
      <c r="C46" s="5"/>
      <c r="D46" s="291"/>
      <c r="E46" s="292"/>
      <c r="F46" s="292"/>
      <c r="G46" s="292"/>
      <c r="H46" s="293">
        <f>SUM(D45:H45)</f>
        <v>20.90222</v>
      </c>
      <c r="N46">
        <v>1.2046745210294976</v>
      </c>
      <c r="O46" s="20"/>
      <c r="P46" s="20"/>
      <c r="Q46" s="147"/>
      <c r="R46" s="197"/>
      <c r="S46" s="197"/>
      <c r="T46" s="197"/>
      <c r="U46" s="197"/>
    </row>
    <row r="47" spans="1:51" ht="15.75" thickBot="1" x14ac:dyDescent="0.3">
      <c r="A47" s="1"/>
      <c r="B47" s="2"/>
      <c r="C47" s="1"/>
      <c r="D47" s="297"/>
      <c r="E47" s="298"/>
      <c r="F47" s="298"/>
      <c r="G47" s="298"/>
      <c r="H47" s="299"/>
      <c r="O47" s="20"/>
      <c r="P47" s="20"/>
      <c r="Q47" s="147"/>
      <c r="R47" s="197"/>
      <c r="S47" s="197"/>
      <c r="T47" s="197"/>
      <c r="U47" s="197"/>
    </row>
    <row r="48" spans="1:51" ht="15" x14ac:dyDescent="0.25">
      <c r="A48" s="1">
        <v>5</v>
      </c>
      <c r="B48" s="2" t="s">
        <v>19</v>
      </c>
      <c r="C48" s="1" t="s">
        <v>8</v>
      </c>
      <c r="D48" s="282">
        <v>0</v>
      </c>
      <c r="E48" s="283">
        <v>0.85534902999999995</v>
      </c>
      <c r="F48" s="283">
        <v>0</v>
      </c>
      <c r="G48" s="283">
        <v>3.41090888</v>
      </c>
      <c r="H48" s="284">
        <v>3.39066695</v>
      </c>
      <c r="J48">
        <v>0</v>
      </c>
      <c r="K48">
        <v>0.306432985233</v>
      </c>
      <c r="L48">
        <v>0</v>
      </c>
      <c r="M48">
        <v>0.40126053755000024</v>
      </c>
      <c r="N48">
        <v>3.39066695</v>
      </c>
      <c r="O48" s="20"/>
      <c r="P48" s="20"/>
      <c r="Q48" s="147">
        <v>0.41142444069272593</v>
      </c>
      <c r="R48" s="197">
        <v>0.43</v>
      </c>
      <c r="S48" s="197">
        <v>2.83</v>
      </c>
      <c r="T48" s="197">
        <v>0.76744186046511631</v>
      </c>
      <c r="U48" s="197">
        <v>0.76744186046511631</v>
      </c>
      <c r="V48" s="20">
        <f t="shared" ref="V48:Y53" si="40">IF(K48&gt;0,((E48-K48)*$Q48*$R48*10)+(K48*$O$12*$Q48*$R48*10),(E48*$Q48*$R48*10))</f>
        <v>1.1704662575538878</v>
      </c>
      <c r="W48" s="20">
        <f t="shared" si="40"/>
        <v>0</v>
      </c>
      <c r="X48" s="20">
        <f t="shared" si="40"/>
        <v>5.5855042633851966</v>
      </c>
      <c r="Y48" s="20">
        <f t="shared" si="40"/>
        <v>2.2059657879709889</v>
      </c>
      <c r="Z48" s="20">
        <f t="shared" ref="Z48:AC53" si="41">V48*(EXP(1.01-0.34*LN(Z$8))*(1-$T48)+(1*$T48))</f>
        <v>0.98103210745097946</v>
      </c>
      <c r="AA48" s="20">
        <f t="shared" si="41"/>
        <v>0</v>
      </c>
      <c r="AB48" s="20">
        <f t="shared" si="41"/>
        <v>4.7170744602499157</v>
      </c>
      <c r="AC48" s="20">
        <f t="shared" si="41"/>
        <v>1.8264609858484999</v>
      </c>
      <c r="AD48" s="20">
        <f t="shared" ref="AD48:AD53" si="42">SUM(Z48:AC48)</f>
        <v>7.524567553549395</v>
      </c>
      <c r="AE48" s="20">
        <f t="shared" ref="AE48:AH53" si="43">IF(K48&gt;0,((E48-K48)*$Q48*$S48*10)+(K48*$P$12*$Q48*$S48)*10,(E48*$Q48*$S48*10))</f>
        <v>8.4574761864193704</v>
      </c>
      <c r="AF48" s="20">
        <f t="shared" si="43"/>
        <v>0</v>
      </c>
      <c r="AG48" s="20">
        <f t="shared" si="43"/>
        <v>37.747970827729745</v>
      </c>
      <c r="AH48" s="20">
        <f t="shared" si="43"/>
        <v>22.863244850892841</v>
      </c>
      <c r="AI48" s="20">
        <f t="shared" ref="AI48:AL53" si="44">AE48*(EXP(1.01-0.34*LN(AI$8))*(1-$T48)+(1*$T48))</f>
        <v>7.0886756737602701</v>
      </c>
      <c r="AJ48" s="20">
        <f t="shared" si="44"/>
        <v>0</v>
      </c>
      <c r="AK48" s="20">
        <f t="shared" si="44"/>
        <v>31.878946057741679</v>
      </c>
      <c r="AL48" s="20">
        <f t="shared" si="44"/>
        <v>18.929951206753056</v>
      </c>
      <c r="AM48" s="20">
        <f t="shared" ref="AM48:AM53" si="45">SUM(AI48:AL48)</f>
        <v>57.89757293825501</v>
      </c>
      <c r="AO48">
        <f t="shared" ref="AO48:AR53" si="46">Z48*AO$10</f>
        <v>1.3539741094685276</v>
      </c>
      <c r="AP48">
        <f t="shared" si="46"/>
        <v>0</v>
      </c>
      <c r="AQ48">
        <f t="shared" si="46"/>
        <v>5.5896533461304641</v>
      </c>
      <c r="AR48">
        <f t="shared" si="46"/>
        <v>2.0477063349977507</v>
      </c>
      <c r="AS48">
        <f t="shared" ref="AS48:AS53" si="47">SUM(AO48:AR48)</f>
        <v>8.9913337905967428</v>
      </c>
      <c r="AU48">
        <f t="shared" ref="AU48:AX53" si="48">AI48*AU$10</f>
        <v>9.7834548531026204</v>
      </c>
      <c r="AV48">
        <f t="shared" si="48"/>
        <v>0</v>
      </c>
      <c r="AW48">
        <f t="shared" si="48"/>
        <v>37.776011170560899</v>
      </c>
      <c r="AX48">
        <f t="shared" si="48"/>
        <v>21.222999728767178</v>
      </c>
      <c r="AY48">
        <f t="shared" ref="AY48:AY53" si="49">SUM(AU48:AX48)</f>
        <v>68.782465752430696</v>
      </c>
    </row>
    <row r="49" spans="1:51" ht="15" x14ac:dyDescent="0.25">
      <c r="A49" s="1"/>
      <c r="B49" s="2"/>
      <c r="C49" s="1" t="s">
        <v>9</v>
      </c>
      <c r="D49" s="285">
        <v>0</v>
      </c>
      <c r="E49" s="286">
        <v>3.7575771699999998</v>
      </c>
      <c r="F49" s="286">
        <v>0</v>
      </c>
      <c r="G49" s="286">
        <v>0</v>
      </c>
      <c r="H49" s="287">
        <v>0</v>
      </c>
      <c r="J49">
        <v>0</v>
      </c>
      <c r="K49">
        <v>3.7575771699999998</v>
      </c>
      <c r="L49">
        <v>0</v>
      </c>
      <c r="M49">
        <v>0</v>
      </c>
      <c r="N49">
        <v>0</v>
      </c>
      <c r="O49" s="20"/>
      <c r="P49" s="20"/>
      <c r="Q49" s="147">
        <v>0.41784888138545179</v>
      </c>
      <c r="R49" s="197">
        <v>0.43</v>
      </c>
      <c r="S49" s="197">
        <v>2.83</v>
      </c>
      <c r="T49" s="197">
        <v>0.76744186046511631</v>
      </c>
      <c r="U49" s="197">
        <v>0.76744186046511631</v>
      </c>
      <c r="V49" s="20">
        <f t="shared" si="40"/>
        <v>2.4828512689323463</v>
      </c>
      <c r="W49" s="20">
        <f t="shared" si="40"/>
        <v>0</v>
      </c>
      <c r="X49" s="20">
        <f t="shared" si="40"/>
        <v>0</v>
      </c>
      <c r="Y49" s="20">
        <f t="shared" si="40"/>
        <v>0</v>
      </c>
      <c r="Z49" s="20">
        <f t="shared" si="41"/>
        <v>2.0810141233275981</v>
      </c>
      <c r="AA49" s="20">
        <f t="shared" si="41"/>
        <v>0</v>
      </c>
      <c r="AB49" s="20">
        <f t="shared" si="41"/>
        <v>0</v>
      </c>
      <c r="AC49" s="20">
        <f t="shared" si="41"/>
        <v>0</v>
      </c>
      <c r="AD49" s="20">
        <f t="shared" si="42"/>
        <v>2.0810141233275981</v>
      </c>
      <c r="AE49" s="20">
        <f t="shared" si="43"/>
        <v>25.732963221593153</v>
      </c>
      <c r="AF49" s="20">
        <f t="shared" si="43"/>
        <v>0</v>
      </c>
      <c r="AG49" s="20">
        <f t="shared" si="43"/>
        <v>0</v>
      </c>
      <c r="AH49" s="20">
        <f t="shared" si="43"/>
        <v>0</v>
      </c>
      <c r="AI49" s="20">
        <f t="shared" si="44"/>
        <v>21.56821093928529</v>
      </c>
      <c r="AJ49" s="20">
        <f t="shared" si="44"/>
        <v>0</v>
      </c>
      <c r="AK49" s="20">
        <f t="shared" si="44"/>
        <v>0</v>
      </c>
      <c r="AL49" s="20">
        <f t="shared" si="44"/>
        <v>0</v>
      </c>
      <c r="AM49" s="20">
        <f t="shared" si="45"/>
        <v>21.56821093928529</v>
      </c>
      <c r="AO49">
        <f t="shared" si="46"/>
        <v>2.8721172559224377</v>
      </c>
      <c r="AP49">
        <f t="shared" si="46"/>
        <v>0</v>
      </c>
      <c r="AQ49">
        <f t="shared" si="46"/>
        <v>0</v>
      </c>
      <c r="AR49">
        <f t="shared" si="46"/>
        <v>0</v>
      </c>
      <c r="AS49">
        <f t="shared" si="47"/>
        <v>2.8721172559224377</v>
      </c>
      <c r="AU49">
        <f t="shared" si="48"/>
        <v>29.767424508893935</v>
      </c>
      <c r="AV49">
        <f t="shared" si="48"/>
        <v>0</v>
      </c>
      <c r="AW49">
        <f t="shared" si="48"/>
        <v>0</v>
      </c>
      <c r="AX49">
        <f t="shared" si="48"/>
        <v>0</v>
      </c>
      <c r="AY49">
        <f t="shared" si="49"/>
        <v>29.767424508893935</v>
      </c>
    </row>
    <row r="50" spans="1:51" ht="15" x14ac:dyDescent="0.25">
      <c r="A50" s="1"/>
      <c r="B50" s="2"/>
      <c r="C50" s="1" t="s">
        <v>10</v>
      </c>
      <c r="D50" s="285">
        <v>0</v>
      </c>
      <c r="E50" s="286">
        <v>1.96858654</v>
      </c>
      <c r="F50" s="286">
        <v>0</v>
      </c>
      <c r="G50" s="286">
        <v>0</v>
      </c>
      <c r="H50" s="287">
        <v>0</v>
      </c>
      <c r="J50">
        <v>0</v>
      </c>
      <c r="K50">
        <v>1.96858654</v>
      </c>
      <c r="L50">
        <v>0</v>
      </c>
      <c r="M50">
        <v>0</v>
      </c>
      <c r="N50">
        <v>0</v>
      </c>
      <c r="O50" s="20"/>
      <c r="P50" s="20"/>
      <c r="Q50" s="147">
        <v>0.42427332207817769</v>
      </c>
      <c r="R50" s="197">
        <v>0.43</v>
      </c>
      <c r="S50" s="197">
        <v>2.83</v>
      </c>
      <c r="T50" s="197">
        <v>0.76744186046511631</v>
      </c>
      <c r="U50" s="197">
        <v>0.76744186046511631</v>
      </c>
      <c r="V50" s="20">
        <f t="shared" si="40"/>
        <v>1.3207596368372658</v>
      </c>
      <c r="W50" s="20">
        <f t="shared" si="40"/>
        <v>0</v>
      </c>
      <c r="X50" s="20">
        <f t="shared" si="40"/>
        <v>0</v>
      </c>
      <c r="Y50" s="20">
        <f t="shared" si="40"/>
        <v>0</v>
      </c>
      <c r="Z50" s="20">
        <f t="shared" si="41"/>
        <v>1.1070012498015129</v>
      </c>
      <c r="AA50" s="20">
        <f t="shared" si="41"/>
        <v>0</v>
      </c>
      <c r="AB50" s="20">
        <f t="shared" si="41"/>
        <v>0</v>
      </c>
      <c r="AC50" s="20">
        <f t="shared" si="41"/>
        <v>0</v>
      </c>
      <c r="AD50" s="20">
        <f t="shared" si="42"/>
        <v>1.1070012498015129</v>
      </c>
      <c r="AE50" s="20">
        <f t="shared" si="43"/>
        <v>13.688721344115354</v>
      </c>
      <c r="AF50" s="20">
        <f t="shared" si="43"/>
        <v>0</v>
      </c>
      <c r="AG50" s="20">
        <f t="shared" si="43"/>
        <v>0</v>
      </c>
      <c r="AH50" s="20">
        <f t="shared" si="43"/>
        <v>0</v>
      </c>
      <c r="AI50" s="20">
        <f t="shared" si="44"/>
        <v>11.473269786171876</v>
      </c>
      <c r="AJ50" s="20">
        <f t="shared" si="44"/>
        <v>0</v>
      </c>
      <c r="AK50" s="20">
        <f t="shared" si="44"/>
        <v>0</v>
      </c>
      <c r="AL50" s="20">
        <f t="shared" si="44"/>
        <v>0</v>
      </c>
      <c r="AM50" s="20">
        <f t="shared" si="45"/>
        <v>11.473269786171876</v>
      </c>
      <c r="AO50">
        <f t="shared" si="46"/>
        <v>1.5278307610899937</v>
      </c>
      <c r="AP50">
        <f t="shared" si="46"/>
        <v>0</v>
      </c>
      <c r="AQ50">
        <f t="shared" si="46"/>
        <v>0</v>
      </c>
      <c r="AR50">
        <f t="shared" si="46"/>
        <v>0</v>
      </c>
      <c r="AS50">
        <f t="shared" si="47"/>
        <v>1.5278307610899937</v>
      </c>
      <c r="AU50">
        <f t="shared" si="48"/>
        <v>15.834864244950783</v>
      </c>
      <c r="AV50">
        <f t="shared" si="48"/>
        <v>0</v>
      </c>
      <c r="AW50">
        <f t="shared" si="48"/>
        <v>0</v>
      </c>
      <c r="AX50">
        <f t="shared" si="48"/>
        <v>0</v>
      </c>
      <c r="AY50">
        <f t="shared" si="49"/>
        <v>15.834864244950783</v>
      </c>
    </row>
    <row r="51" spans="1:51" ht="15" x14ac:dyDescent="0.25">
      <c r="A51" s="1"/>
      <c r="B51" s="2"/>
      <c r="C51" s="1" t="s">
        <v>11</v>
      </c>
      <c r="D51" s="285">
        <v>0</v>
      </c>
      <c r="E51" s="286">
        <v>0</v>
      </c>
      <c r="F51" s="286">
        <v>0</v>
      </c>
      <c r="G51" s="286">
        <v>0</v>
      </c>
      <c r="H51" s="287">
        <v>0</v>
      </c>
      <c r="J51">
        <v>0</v>
      </c>
      <c r="K51">
        <v>0</v>
      </c>
      <c r="L51">
        <v>0</v>
      </c>
      <c r="M51">
        <v>0</v>
      </c>
      <c r="N51">
        <v>0</v>
      </c>
      <c r="O51" s="20"/>
      <c r="P51" s="20"/>
      <c r="Q51" s="147"/>
      <c r="R51" s="197">
        <v>0.43</v>
      </c>
      <c r="S51" s="197">
        <v>2.83</v>
      </c>
      <c r="T51" s="197">
        <v>0.76744186046511631</v>
      </c>
      <c r="U51" s="197">
        <v>0.76744186046511631</v>
      </c>
      <c r="V51" s="20">
        <f t="shared" si="40"/>
        <v>0</v>
      </c>
      <c r="W51" s="20">
        <f t="shared" si="40"/>
        <v>0</v>
      </c>
      <c r="X51" s="20">
        <f t="shared" si="40"/>
        <v>0</v>
      </c>
      <c r="Y51" s="20">
        <f t="shared" si="40"/>
        <v>0</v>
      </c>
      <c r="Z51" s="20">
        <f t="shared" si="41"/>
        <v>0</v>
      </c>
      <c r="AA51" s="20">
        <f t="shared" si="41"/>
        <v>0</v>
      </c>
      <c r="AB51" s="20">
        <f t="shared" si="41"/>
        <v>0</v>
      </c>
      <c r="AC51" s="20">
        <f t="shared" si="41"/>
        <v>0</v>
      </c>
      <c r="AD51" s="20">
        <f t="shared" si="42"/>
        <v>0</v>
      </c>
      <c r="AE51" s="20">
        <f t="shared" si="43"/>
        <v>0</v>
      </c>
      <c r="AF51" s="20">
        <f t="shared" si="43"/>
        <v>0</v>
      </c>
      <c r="AG51" s="20">
        <f t="shared" si="43"/>
        <v>0</v>
      </c>
      <c r="AH51" s="20">
        <f t="shared" si="43"/>
        <v>0</v>
      </c>
      <c r="AI51" s="20">
        <f t="shared" si="44"/>
        <v>0</v>
      </c>
      <c r="AJ51" s="20">
        <f t="shared" si="44"/>
        <v>0</v>
      </c>
      <c r="AK51" s="20">
        <f t="shared" si="44"/>
        <v>0</v>
      </c>
      <c r="AL51" s="20">
        <f t="shared" si="44"/>
        <v>0</v>
      </c>
      <c r="AM51" s="20">
        <f t="shared" si="45"/>
        <v>0</v>
      </c>
      <c r="AO51">
        <f t="shared" si="46"/>
        <v>0</v>
      </c>
      <c r="AP51">
        <f t="shared" si="46"/>
        <v>0</v>
      </c>
      <c r="AQ51">
        <f t="shared" si="46"/>
        <v>0</v>
      </c>
      <c r="AR51">
        <f t="shared" si="46"/>
        <v>0</v>
      </c>
      <c r="AS51">
        <f t="shared" si="47"/>
        <v>0</v>
      </c>
      <c r="AU51">
        <f t="shared" si="48"/>
        <v>0</v>
      </c>
      <c r="AV51">
        <f t="shared" si="48"/>
        <v>0</v>
      </c>
      <c r="AW51">
        <f t="shared" si="48"/>
        <v>0</v>
      </c>
      <c r="AX51">
        <f t="shared" si="48"/>
        <v>0</v>
      </c>
      <c r="AY51">
        <f t="shared" si="49"/>
        <v>0</v>
      </c>
    </row>
    <row r="52" spans="1:51" ht="15" x14ac:dyDescent="0.25">
      <c r="A52" s="1"/>
      <c r="B52" s="2"/>
      <c r="C52" s="1" t="s">
        <v>12</v>
      </c>
      <c r="D52" s="285">
        <v>0</v>
      </c>
      <c r="E52" s="286">
        <v>0</v>
      </c>
      <c r="F52" s="286">
        <v>0</v>
      </c>
      <c r="G52" s="286">
        <v>0</v>
      </c>
      <c r="H52" s="287">
        <v>0</v>
      </c>
      <c r="J52">
        <v>0</v>
      </c>
      <c r="K52">
        <v>0</v>
      </c>
      <c r="L52">
        <v>0</v>
      </c>
      <c r="M52">
        <v>0</v>
      </c>
      <c r="N52">
        <v>0</v>
      </c>
      <c r="O52" s="20"/>
      <c r="P52" s="20"/>
      <c r="Q52" s="147"/>
      <c r="R52" s="197">
        <v>0.43</v>
      </c>
      <c r="S52" s="197">
        <v>2.83</v>
      </c>
      <c r="T52" s="197">
        <v>0.76744186046511631</v>
      </c>
      <c r="U52" s="197">
        <v>0.76744186046511631</v>
      </c>
      <c r="V52" s="20">
        <f t="shared" si="40"/>
        <v>0</v>
      </c>
      <c r="W52" s="20">
        <f t="shared" si="40"/>
        <v>0</v>
      </c>
      <c r="X52" s="20">
        <f t="shared" si="40"/>
        <v>0</v>
      </c>
      <c r="Y52" s="20">
        <f t="shared" si="40"/>
        <v>0</v>
      </c>
      <c r="Z52" s="20">
        <f t="shared" si="41"/>
        <v>0</v>
      </c>
      <c r="AA52" s="20">
        <f t="shared" si="41"/>
        <v>0</v>
      </c>
      <c r="AB52" s="20">
        <f t="shared" si="41"/>
        <v>0</v>
      </c>
      <c r="AC52" s="20">
        <f t="shared" si="41"/>
        <v>0</v>
      </c>
      <c r="AD52" s="20">
        <f t="shared" si="42"/>
        <v>0</v>
      </c>
      <c r="AE52" s="20">
        <f t="shared" si="43"/>
        <v>0</v>
      </c>
      <c r="AF52" s="20">
        <f t="shared" si="43"/>
        <v>0</v>
      </c>
      <c r="AG52" s="20">
        <f t="shared" si="43"/>
        <v>0</v>
      </c>
      <c r="AH52" s="20">
        <f t="shared" si="43"/>
        <v>0</v>
      </c>
      <c r="AI52" s="20">
        <f t="shared" si="44"/>
        <v>0</v>
      </c>
      <c r="AJ52" s="20">
        <f t="shared" si="44"/>
        <v>0</v>
      </c>
      <c r="AK52" s="20">
        <f t="shared" si="44"/>
        <v>0</v>
      </c>
      <c r="AL52" s="20">
        <f t="shared" si="44"/>
        <v>0</v>
      </c>
      <c r="AM52" s="20">
        <f t="shared" si="45"/>
        <v>0</v>
      </c>
      <c r="AO52">
        <f t="shared" si="46"/>
        <v>0</v>
      </c>
      <c r="AP52">
        <f t="shared" si="46"/>
        <v>0</v>
      </c>
      <c r="AQ52">
        <f t="shared" si="46"/>
        <v>0</v>
      </c>
      <c r="AR52">
        <f t="shared" si="46"/>
        <v>0</v>
      </c>
      <c r="AS52">
        <f t="shared" si="47"/>
        <v>0</v>
      </c>
      <c r="AU52">
        <f t="shared" si="48"/>
        <v>0</v>
      </c>
      <c r="AV52">
        <f t="shared" si="48"/>
        <v>0</v>
      </c>
      <c r="AW52">
        <f t="shared" si="48"/>
        <v>0</v>
      </c>
      <c r="AX52">
        <f t="shared" si="48"/>
        <v>0</v>
      </c>
      <c r="AY52">
        <f t="shared" si="49"/>
        <v>0</v>
      </c>
    </row>
    <row r="53" spans="1:51" ht="15" x14ac:dyDescent="0.25">
      <c r="A53" s="1"/>
      <c r="B53" s="2"/>
      <c r="C53" s="1" t="s">
        <v>13</v>
      </c>
      <c r="D53" s="285">
        <v>0</v>
      </c>
      <c r="E53" s="286">
        <v>0</v>
      </c>
      <c r="F53" s="286">
        <v>0</v>
      </c>
      <c r="G53" s="286">
        <v>0</v>
      </c>
      <c r="H53" s="287">
        <v>0</v>
      </c>
      <c r="J53">
        <v>0</v>
      </c>
      <c r="K53">
        <v>0</v>
      </c>
      <c r="L53">
        <v>0</v>
      </c>
      <c r="M53">
        <v>0</v>
      </c>
      <c r="N53">
        <v>0</v>
      </c>
      <c r="O53" s="20"/>
      <c r="P53" s="20"/>
      <c r="Q53" s="147"/>
      <c r="R53" s="197">
        <v>0.43</v>
      </c>
      <c r="S53" s="197">
        <v>2.83</v>
      </c>
      <c r="T53" s="197">
        <v>0.76744186046511631</v>
      </c>
      <c r="U53" s="197">
        <v>0.76744186046511631</v>
      </c>
      <c r="V53" s="20">
        <f t="shared" si="40"/>
        <v>0</v>
      </c>
      <c r="W53" s="20">
        <f t="shared" si="40"/>
        <v>0</v>
      </c>
      <c r="X53" s="20">
        <f t="shared" si="40"/>
        <v>0</v>
      </c>
      <c r="Y53" s="20">
        <f t="shared" si="40"/>
        <v>0</v>
      </c>
      <c r="Z53" s="20">
        <f t="shared" si="41"/>
        <v>0</v>
      </c>
      <c r="AA53" s="20">
        <f t="shared" si="41"/>
        <v>0</v>
      </c>
      <c r="AB53" s="20">
        <f t="shared" si="41"/>
        <v>0</v>
      </c>
      <c r="AC53" s="20">
        <f t="shared" si="41"/>
        <v>0</v>
      </c>
      <c r="AD53" s="20">
        <f t="shared" si="42"/>
        <v>0</v>
      </c>
      <c r="AE53" s="20">
        <f t="shared" si="43"/>
        <v>0</v>
      </c>
      <c r="AF53" s="20">
        <f t="shared" si="43"/>
        <v>0</v>
      </c>
      <c r="AG53" s="20">
        <f t="shared" si="43"/>
        <v>0</v>
      </c>
      <c r="AH53" s="20">
        <f t="shared" si="43"/>
        <v>0</v>
      </c>
      <c r="AI53" s="20">
        <f t="shared" si="44"/>
        <v>0</v>
      </c>
      <c r="AJ53" s="20">
        <f t="shared" si="44"/>
        <v>0</v>
      </c>
      <c r="AK53" s="20">
        <f t="shared" si="44"/>
        <v>0</v>
      </c>
      <c r="AL53" s="20">
        <f t="shared" si="44"/>
        <v>0</v>
      </c>
      <c r="AM53" s="20">
        <f t="shared" si="45"/>
        <v>0</v>
      </c>
      <c r="AO53">
        <f t="shared" si="46"/>
        <v>0</v>
      </c>
      <c r="AP53">
        <f t="shared" si="46"/>
        <v>0</v>
      </c>
      <c r="AQ53">
        <f t="shared" si="46"/>
        <v>0</v>
      </c>
      <c r="AR53">
        <f t="shared" si="46"/>
        <v>0</v>
      </c>
      <c r="AS53">
        <f t="shared" si="47"/>
        <v>0</v>
      </c>
      <c r="AU53">
        <f t="shared" si="48"/>
        <v>0</v>
      </c>
      <c r="AV53">
        <f t="shared" si="48"/>
        <v>0</v>
      </c>
      <c r="AW53">
        <f t="shared" si="48"/>
        <v>0</v>
      </c>
      <c r="AX53">
        <f t="shared" si="48"/>
        <v>0</v>
      </c>
      <c r="AY53">
        <f t="shared" si="49"/>
        <v>0</v>
      </c>
    </row>
    <row r="54" spans="1:51" ht="15" x14ac:dyDescent="0.25">
      <c r="A54" s="7"/>
      <c r="B54" s="8" t="s">
        <v>14</v>
      </c>
      <c r="C54" s="7"/>
      <c r="D54" s="288">
        <f>SUM(D48:D53)</f>
        <v>0</v>
      </c>
      <c r="E54" s="289">
        <f>SUM(E48:E53)</f>
        <v>6.5815127399999991</v>
      </c>
      <c r="F54" s="289">
        <f>SUM(F48:F53)</f>
        <v>0</v>
      </c>
      <c r="G54" s="289">
        <f>SUM(G48:G53)</f>
        <v>3.41090888</v>
      </c>
      <c r="H54" s="290">
        <f>SUM(H48:H53)</f>
        <v>3.39066695</v>
      </c>
      <c r="J54">
        <v>0</v>
      </c>
      <c r="K54">
        <v>6.0325966952329999</v>
      </c>
      <c r="L54">
        <v>0</v>
      </c>
      <c r="M54">
        <v>0.40126053755000024</v>
      </c>
      <c r="N54">
        <v>3.39066695</v>
      </c>
      <c r="O54" s="20"/>
      <c r="P54" s="20"/>
      <c r="Q54" s="147"/>
      <c r="R54" s="197"/>
      <c r="S54" s="197"/>
      <c r="T54" s="197"/>
      <c r="U54" s="197"/>
    </row>
    <row r="55" spans="1:51" ht="15" x14ac:dyDescent="0.25">
      <c r="A55" s="10"/>
      <c r="B55" s="9" t="s">
        <v>15</v>
      </c>
      <c r="C55" s="5"/>
      <c r="D55" s="291"/>
      <c r="E55" s="292"/>
      <c r="F55" s="292"/>
      <c r="G55" s="292"/>
      <c r="H55" s="293">
        <f>SUM(D54:H54)</f>
        <v>13.383088569999998</v>
      </c>
      <c r="N55">
        <v>9.8245241827829997</v>
      </c>
      <c r="O55" s="20"/>
      <c r="P55" s="20"/>
      <c r="Q55" s="147"/>
      <c r="R55" s="197"/>
      <c r="S55" s="197"/>
      <c r="T55" s="197"/>
      <c r="U55" s="197"/>
    </row>
    <row r="56" spans="1:51" ht="15.75" thickBot="1" x14ac:dyDescent="0.3">
      <c r="A56" s="1"/>
      <c r="B56" s="2"/>
      <c r="C56" s="1"/>
      <c r="D56" s="294"/>
      <c r="E56" s="295"/>
      <c r="F56" s="295"/>
      <c r="G56" s="295"/>
      <c r="H56" s="296"/>
      <c r="O56" s="20"/>
      <c r="P56" s="20"/>
      <c r="Q56" s="147"/>
      <c r="R56" s="197"/>
      <c r="S56" s="197"/>
      <c r="T56" s="197"/>
      <c r="U56" s="197"/>
    </row>
    <row r="57" spans="1:51" ht="15" x14ac:dyDescent="0.25">
      <c r="A57" s="1">
        <v>6</v>
      </c>
      <c r="B57" s="2" t="s">
        <v>20</v>
      </c>
      <c r="C57" s="1" t="s">
        <v>8</v>
      </c>
      <c r="D57" s="285">
        <v>0</v>
      </c>
      <c r="E57" s="286">
        <v>0</v>
      </c>
      <c r="F57" s="286">
        <v>0</v>
      </c>
      <c r="G57" s="286">
        <v>1.81947269</v>
      </c>
      <c r="H57" s="287">
        <v>0</v>
      </c>
      <c r="J57">
        <v>0</v>
      </c>
      <c r="K57">
        <v>0</v>
      </c>
      <c r="L57">
        <v>0</v>
      </c>
      <c r="M57">
        <v>1.81947269</v>
      </c>
      <c r="N57">
        <v>0</v>
      </c>
      <c r="O57" s="20"/>
      <c r="P57" s="20"/>
      <c r="Q57" s="147">
        <v>0.45584040062975084</v>
      </c>
      <c r="R57" s="197">
        <v>0.33900000000000002</v>
      </c>
      <c r="S57" s="197">
        <v>1.9830000000000001</v>
      </c>
      <c r="T57" s="197">
        <v>0.76146788990825687</v>
      </c>
      <c r="U57" s="197">
        <v>0.76146788990825687</v>
      </c>
      <c r="V57" s="20">
        <f t="shared" ref="V57:Y62" si="50">IF(K57&gt;0,((E57-K57)*$Q57*$R57*10)+(K57*$O$12*$Q57*$R57*10),(E57*$Q57*$R57*10))</f>
        <v>0</v>
      </c>
      <c r="W57" s="20">
        <f t="shared" si="50"/>
        <v>0</v>
      </c>
      <c r="X57" s="20">
        <f t="shared" si="50"/>
        <v>1.0339824078461699</v>
      </c>
      <c r="Y57" s="20">
        <f t="shared" si="50"/>
        <v>0</v>
      </c>
      <c r="Z57" s="20">
        <f t="shared" ref="Z57:AC62" si="51">V57*(EXP(1.01-0.34*LN(Z$8))*(1-$T57)+(1*$T57))</f>
        <v>0</v>
      </c>
      <c r="AA57" s="20">
        <f t="shared" si="51"/>
        <v>0</v>
      </c>
      <c r="AB57" s="20">
        <f t="shared" si="51"/>
        <v>0.86908995170600145</v>
      </c>
      <c r="AC57" s="20">
        <f t="shared" si="51"/>
        <v>0</v>
      </c>
      <c r="AD57" s="20">
        <f t="shared" ref="AD57:AD62" si="52">SUM(Z57:AC57)</f>
        <v>0.86908995170600145</v>
      </c>
      <c r="AE57" s="20">
        <f t="shared" ref="AE57:AH62" si="53">IF(K57&gt;0,((E57-K57)*$Q57*$S57*10)+(K57*$P$12*$Q57*$S57)*10,(E57*$Q57*$S57*10))</f>
        <v>0</v>
      </c>
      <c r="AF57" s="20">
        <f t="shared" si="53"/>
        <v>0</v>
      </c>
      <c r="AG57" s="20">
        <f t="shared" si="53"/>
        <v>9.5248310386852655</v>
      </c>
      <c r="AH57" s="20">
        <f t="shared" si="53"/>
        <v>0</v>
      </c>
      <c r="AI57" s="20">
        <f t="shared" ref="AI57:AL62" si="54">AE57*(EXP(1.01-0.34*LN(AI$8))*(1-$T57)+(1*$T57))</f>
        <v>0</v>
      </c>
      <c r="AJ57" s="20">
        <f t="shared" si="54"/>
        <v>0</v>
      </c>
      <c r="AK57" s="20">
        <f t="shared" si="54"/>
        <v>8.0058760038887886</v>
      </c>
      <c r="AL57" s="20">
        <f t="shared" si="54"/>
        <v>0</v>
      </c>
      <c r="AM57" s="20">
        <f t="shared" ref="AM57:AM62" si="55">SUM(AI57:AL57)</f>
        <v>8.0058760038887886</v>
      </c>
      <c r="AO57">
        <f t="shared" ref="AO57:AR62" si="56">Z57*AO$10</f>
        <v>0</v>
      </c>
      <c r="AP57">
        <f t="shared" si="56"/>
        <v>0</v>
      </c>
      <c r="AQ57">
        <f t="shared" si="56"/>
        <v>1.0298568736997289</v>
      </c>
      <c r="AR57">
        <f t="shared" si="56"/>
        <v>0</v>
      </c>
      <c r="AS57">
        <f t="shared" ref="AS57:AS62" si="57">SUM(AO57:AR57)</f>
        <v>1.0298568736997289</v>
      </c>
      <c r="AU57">
        <f t="shared" ref="AU57:AX62" si="58">AI57*AU$10</f>
        <v>0</v>
      </c>
      <c r="AV57">
        <f t="shared" si="58"/>
        <v>0</v>
      </c>
      <c r="AW57">
        <f t="shared" si="58"/>
        <v>9.4868274755772344</v>
      </c>
      <c r="AX57">
        <f t="shared" si="58"/>
        <v>0</v>
      </c>
      <c r="AY57">
        <f t="shared" ref="AY57:AY62" si="59">SUM(AU57:AX57)</f>
        <v>9.4868274755772344</v>
      </c>
    </row>
    <row r="58" spans="1:51" ht="15" x14ac:dyDescent="0.25">
      <c r="A58" s="1"/>
      <c r="B58" s="2"/>
      <c r="C58" s="1" t="s">
        <v>9</v>
      </c>
      <c r="D58" s="285">
        <v>0</v>
      </c>
      <c r="E58" s="286">
        <v>0</v>
      </c>
      <c r="F58" s="286">
        <v>0</v>
      </c>
      <c r="G58" s="286">
        <v>0</v>
      </c>
      <c r="H58" s="287">
        <v>0</v>
      </c>
      <c r="J58">
        <v>0</v>
      </c>
      <c r="K58">
        <v>0</v>
      </c>
      <c r="L58">
        <v>0</v>
      </c>
      <c r="M58">
        <v>0</v>
      </c>
      <c r="N58">
        <v>0</v>
      </c>
      <c r="O58" s="20"/>
      <c r="P58" s="20"/>
      <c r="Q58" s="147"/>
      <c r="R58" s="197">
        <v>0.33900000000000002</v>
      </c>
      <c r="S58" s="197">
        <v>1.9830000000000001</v>
      </c>
      <c r="T58" s="197">
        <v>0.76146788990825687</v>
      </c>
      <c r="U58" s="197">
        <v>0.76146788990825687</v>
      </c>
      <c r="V58" s="20">
        <f t="shared" si="50"/>
        <v>0</v>
      </c>
      <c r="W58" s="20">
        <f t="shared" si="50"/>
        <v>0</v>
      </c>
      <c r="X58" s="20">
        <f t="shared" si="50"/>
        <v>0</v>
      </c>
      <c r="Y58" s="20">
        <f t="shared" si="50"/>
        <v>0</v>
      </c>
      <c r="Z58" s="20">
        <f t="shared" si="51"/>
        <v>0</v>
      </c>
      <c r="AA58" s="20">
        <f t="shared" si="51"/>
        <v>0</v>
      </c>
      <c r="AB58" s="20">
        <f t="shared" si="51"/>
        <v>0</v>
      </c>
      <c r="AC58" s="20">
        <f t="shared" si="51"/>
        <v>0</v>
      </c>
      <c r="AD58" s="20">
        <f t="shared" si="52"/>
        <v>0</v>
      </c>
      <c r="AE58" s="20">
        <f t="shared" si="53"/>
        <v>0</v>
      </c>
      <c r="AF58" s="20">
        <f t="shared" si="53"/>
        <v>0</v>
      </c>
      <c r="AG58" s="20">
        <f t="shared" si="53"/>
        <v>0</v>
      </c>
      <c r="AH58" s="20">
        <f t="shared" si="53"/>
        <v>0</v>
      </c>
      <c r="AI58" s="20">
        <f t="shared" si="54"/>
        <v>0</v>
      </c>
      <c r="AJ58" s="20">
        <f t="shared" si="54"/>
        <v>0</v>
      </c>
      <c r="AK58" s="20">
        <f t="shared" si="54"/>
        <v>0</v>
      </c>
      <c r="AL58" s="20">
        <f t="shared" si="54"/>
        <v>0</v>
      </c>
      <c r="AM58" s="20">
        <f t="shared" si="55"/>
        <v>0</v>
      </c>
      <c r="AO58">
        <f t="shared" si="56"/>
        <v>0</v>
      </c>
      <c r="AP58">
        <f t="shared" si="56"/>
        <v>0</v>
      </c>
      <c r="AQ58">
        <f t="shared" si="56"/>
        <v>0</v>
      </c>
      <c r="AR58">
        <f t="shared" si="56"/>
        <v>0</v>
      </c>
      <c r="AS58">
        <f t="shared" si="57"/>
        <v>0</v>
      </c>
      <c r="AU58">
        <f t="shared" si="58"/>
        <v>0</v>
      </c>
      <c r="AV58">
        <f t="shared" si="58"/>
        <v>0</v>
      </c>
      <c r="AW58">
        <f t="shared" si="58"/>
        <v>0</v>
      </c>
      <c r="AX58">
        <f t="shared" si="58"/>
        <v>0</v>
      </c>
      <c r="AY58">
        <f t="shared" si="59"/>
        <v>0</v>
      </c>
    </row>
    <row r="59" spans="1:51" ht="15" x14ac:dyDescent="0.25">
      <c r="A59" s="1"/>
      <c r="B59" s="2"/>
      <c r="C59" s="1" t="s">
        <v>10</v>
      </c>
      <c r="D59" s="285">
        <v>0</v>
      </c>
      <c r="E59" s="286">
        <v>0</v>
      </c>
      <c r="F59" s="286">
        <v>0</v>
      </c>
      <c r="G59" s="286">
        <v>0</v>
      </c>
      <c r="H59" s="287">
        <v>0</v>
      </c>
      <c r="J59">
        <v>0</v>
      </c>
      <c r="K59">
        <v>0</v>
      </c>
      <c r="L59">
        <v>0</v>
      </c>
      <c r="M59">
        <v>0</v>
      </c>
      <c r="N59">
        <v>0</v>
      </c>
      <c r="O59" s="20"/>
      <c r="P59" s="20"/>
      <c r="Q59" s="147"/>
      <c r="R59" s="197">
        <v>0.33900000000000002</v>
      </c>
      <c r="S59" s="197">
        <v>1.9830000000000001</v>
      </c>
      <c r="T59" s="197">
        <v>0.76146788990825687</v>
      </c>
      <c r="U59" s="197">
        <v>0.76146788990825687</v>
      </c>
      <c r="V59" s="20">
        <f t="shared" si="50"/>
        <v>0</v>
      </c>
      <c r="W59" s="20">
        <f t="shared" si="50"/>
        <v>0</v>
      </c>
      <c r="X59" s="20">
        <f t="shared" si="50"/>
        <v>0</v>
      </c>
      <c r="Y59" s="20">
        <f t="shared" si="50"/>
        <v>0</v>
      </c>
      <c r="Z59" s="20">
        <f t="shared" si="51"/>
        <v>0</v>
      </c>
      <c r="AA59" s="20">
        <f t="shared" si="51"/>
        <v>0</v>
      </c>
      <c r="AB59" s="20">
        <f t="shared" si="51"/>
        <v>0</v>
      </c>
      <c r="AC59" s="20">
        <f t="shared" si="51"/>
        <v>0</v>
      </c>
      <c r="AD59" s="20">
        <f t="shared" si="52"/>
        <v>0</v>
      </c>
      <c r="AE59" s="20">
        <f t="shared" si="53"/>
        <v>0</v>
      </c>
      <c r="AF59" s="20">
        <f t="shared" si="53"/>
        <v>0</v>
      </c>
      <c r="AG59" s="20">
        <f t="shared" si="53"/>
        <v>0</v>
      </c>
      <c r="AH59" s="20">
        <f t="shared" si="53"/>
        <v>0</v>
      </c>
      <c r="AI59" s="20">
        <f t="shared" si="54"/>
        <v>0</v>
      </c>
      <c r="AJ59" s="20">
        <f t="shared" si="54"/>
        <v>0</v>
      </c>
      <c r="AK59" s="20">
        <f t="shared" si="54"/>
        <v>0</v>
      </c>
      <c r="AL59" s="20">
        <f t="shared" si="54"/>
        <v>0</v>
      </c>
      <c r="AM59" s="20">
        <f t="shared" si="55"/>
        <v>0</v>
      </c>
      <c r="AO59">
        <f t="shared" si="56"/>
        <v>0</v>
      </c>
      <c r="AP59">
        <f t="shared" si="56"/>
        <v>0</v>
      </c>
      <c r="AQ59">
        <f t="shared" si="56"/>
        <v>0</v>
      </c>
      <c r="AR59">
        <f t="shared" si="56"/>
        <v>0</v>
      </c>
      <c r="AS59">
        <f t="shared" si="57"/>
        <v>0</v>
      </c>
      <c r="AU59">
        <f t="shared" si="58"/>
        <v>0</v>
      </c>
      <c r="AV59">
        <f t="shared" si="58"/>
        <v>0</v>
      </c>
      <c r="AW59">
        <f t="shared" si="58"/>
        <v>0</v>
      </c>
      <c r="AX59">
        <f t="shared" si="58"/>
        <v>0</v>
      </c>
      <c r="AY59">
        <f t="shared" si="59"/>
        <v>0</v>
      </c>
    </row>
    <row r="60" spans="1:51" ht="15" x14ac:dyDescent="0.25">
      <c r="A60" s="1"/>
      <c r="B60" s="2"/>
      <c r="C60" s="1" t="s">
        <v>11</v>
      </c>
      <c r="D60" s="285">
        <v>0</v>
      </c>
      <c r="E60" s="286">
        <v>0</v>
      </c>
      <c r="F60" s="286">
        <v>0</v>
      </c>
      <c r="G60" s="286">
        <v>0</v>
      </c>
      <c r="H60" s="287">
        <v>0</v>
      </c>
      <c r="J60">
        <v>0</v>
      </c>
      <c r="K60">
        <v>0</v>
      </c>
      <c r="L60">
        <v>0</v>
      </c>
      <c r="M60">
        <v>0</v>
      </c>
      <c r="N60">
        <v>0</v>
      </c>
      <c r="O60" s="20"/>
      <c r="P60" s="20"/>
      <c r="Q60" s="147"/>
      <c r="R60" s="197">
        <v>0.33900000000000002</v>
      </c>
      <c r="S60" s="197">
        <v>1.9830000000000001</v>
      </c>
      <c r="T60" s="197">
        <v>0.76146788990825687</v>
      </c>
      <c r="U60" s="197">
        <v>0.76146788990825687</v>
      </c>
      <c r="V60" s="20">
        <f t="shared" si="50"/>
        <v>0</v>
      </c>
      <c r="W60" s="20">
        <f t="shared" si="50"/>
        <v>0</v>
      </c>
      <c r="X60" s="20">
        <f t="shared" si="50"/>
        <v>0</v>
      </c>
      <c r="Y60" s="20">
        <f t="shared" si="50"/>
        <v>0</v>
      </c>
      <c r="Z60" s="20">
        <f t="shared" si="51"/>
        <v>0</v>
      </c>
      <c r="AA60" s="20">
        <f t="shared" si="51"/>
        <v>0</v>
      </c>
      <c r="AB60" s="20">
        <f t="shared" si="51"/>
        <v>0</v>
      </c>
      <c r="AC60" s="20">
        <f t="shared" si="51"/>
        <v>0</v>
      </c>
      <c r="AD60" s="20">
        <f t="shared" si="52"/>
        <v>0</v>
      </c>
      <c r="AE60" s="20">
        <f t="shared" si="53"/>
        <v>0</v>
      </c>
      <c r="AF60" s="20">
        <f t="shared" si="53"/>
        <v>0</v>
      </c>
      <c r="AG60" s="20">
        <f t="shared" si="53"/>
        <v>0</v>
      </c>
      <c r="AH60" s="20">
        <f t="shared" si="53"/>
        <v>0</v>
      </c>
      <c r="AI60" s="20">
        <f t="shared" si="54"/>
        <v>0</v>
      </c>
      <c r="AJ60" s="20">
        <f t="shared" si="54"/>
        <v>0</v>
      </c>
      <c r="AK60" s="20">
        <f t="shared" si="54"/>
        <v>0</v>
      </c>
      <c r="AL60" s="20">
        <f t="shared" si="54"/>
        <v>0</v>
      </c>
      <c r="AM60" s="20">
        <f t="shared" si="55"/>
        <v>0</v>
      </c>
      <c r="AO60">
        <f t="shared" si="56"/>
        <v>0</v>
      </c>
      <c r="AP60">
        <f t="shared" si="56"/>
        <v>0</v>
      </c>
      <c r="AQ60">
        <f t="shared" si="56"/>
        <v>0</v>
      </c>
      <c r="AR60">
        <f t="shared" si="56"/>
        <v>0</v>
      </c>
      <c r="AS60">
        <f t="shared" si="57"/>
        <v>0</v>
      </c>
      <c r="AU60">
        <f t="shared" si="58"/>
        <v>0</v>
      </c>
      <c r="AV60">
        <f t="shared" si="58"/>
        <v>0</v>
      </c>
      <c r="AW60">
        <f t="shared" si="58"/>
        <v>0</v>
      </c>
      <c r="AX60">
        <f t="shared" si="58"/>
        <v>0</v>
      </c>
      <c r="AY60">
        <f t="shared" si="59"/>
        <v>0</v>
      </c>
    </row>
    <row r="61" spans="1:51" ht="15" x14ac:dyDescent="0.25">
      <c r="A61" s="1"/>
      <c r="B61" s="2"/>
      <c r="C61" s="1" t="s">
        <v>12</v>
      </c>
      <c r="D61" s="285">
        <v>0</v>
      </c>
      <c r="E61" s="286">
        <v>0</v>
      </c>
      <c r="F61" s="286">
        <v>0</v>
      </c>
      <c r="G61" s="286">
        <v>0</v>
      </c>
      <c r="H61" s="287">
        <v>0</v>
      </c>
      <c r="J61">
        <v>0</v>
      </c>
      <c r="K61">
        <v>0</v>
      </c>
      <c r="L61">
        <v>0</v>
      </c>
      <c r="M61">
        <v>0</v>
      </c>
      <c r="N61">
        <v>0</v>
      </c>
      <c r="O61" s="20"/>
      <c r="P61" s="20"/>
      <c r="Q61" s="147"/>
      <c r="R61" s="197">
        <v>0.33900000000000002</v>
      </c>
      <c r="S61" s="197">
        <v>1.9830000000000001</v>
      </c>
      <c r="T61" s="197">
        <v>0.76146788990825687</v>
      </c>
      <c r="U61" s="197">
        <v>0.76146788990825687</v>
      </c>
      <c r="V61" s="20">
        <f t="shared" si="50"/>
        <v>0</v>
      </c>
      <c r="W61" s="20">
        <f t="shared" si="50"/>
        <v>0</v>
      </c>
      <c r="X61" s="20">
        <f t="shared" si="50"/>
        <v>0</v>
      </c>
      <c r="Y61" s="20">
        <f t="shared" si="50"/>
        <v>0</v>
      </c>
      <c r="Z61" s="20">
        <f t="shared" si="51"/>
        <v>0</v>
      </c>
      <c r="AA61" s="20">
        <f t="shared" si="51"/>
        <v>0</v>
      </c>
      <c r="AB61" s="20">
        <f t="shared" si="51"/>
        <v>0</v>
      </c>
      <c r="AC61" s="20">
        <f t="shared" si="51"/>
        <v>0</v>
      </c>
      <c r="AD61" s="20">
        <f t="shared" si="52"/>
        <v>0</v>
      </c>
      <c r="AE61" s="20">
        <f t="shared" si="53"/>
        <v>0</v>
      </c>
      <c r="AF61" s="20">
        <f t="shared" si="53"/>
        <v>0</v>
      </c>
      <c r="AG61" s="20">
        <f t="shared" si="53"/>
        <v>0</v>
      </c>
      <c r="AH61" s="20">
        <f t="shared" si="53"/>
        <v>0</v>
      </c>
      <c r="AI61" s="20">
        <f t="shared" si="54"/>
        <v>0</v>
      </c>
      <c r="AJ61" s="20">
        <f t="shared" si="54"/>
        <v>0</v>
      </c>
      <c r="AK61" s="20">
        <f t="shared" si="54"/>
        <v>0</v>
      </c>
      <c r="AL61" s="20">
        <f t="shared" si="54"/>
        <v>0</v>
      </c>
      <c r="AM61" s="20">
        <f t="shared" si="55"/>
        <v>0</v>
      </c>
      <c r="AO61">
        <f t="shared" si="56"/>
        <v>0</v>
      </c>
      <c r="AP61">
        <f t="shared" si="56"/>
        <v>0</v>
      </c>
      <c r="AQ61">
        <f t="shared" si="56"/>
        <v>0</v>
      </c>
      <c r="AR61">
        <f t="shared" si="56"/>
        <v>0</v>
      </c>
      <c r="AS61">
        <f t="shared" si="57"/>
        <v>0</v>
      </c>
      <c r="AU61">
        <f t="shared" si="58"/>
        <v>0</v>
      </c>
      <c r="AV61">
        <f t="shared" si="58"/>
        <v>0</v>
      </c>
      <c r="AW61">
        <f t="shared" si="58"/>
        <v>0</v>
      </c>
      <c r="AX61">
        <f t="shared" si="58"/>
        <v>0</v>
      </c>
      <c r="AY61">
        <f t="shared" si="59"/>
        <v>0</v>
      </c>
    </row>
    <row r="62" spans="1:51" ht="15" x14ac:dyDescent="0.25">
      <c r="A62" s="1"/>
      <c r="B62" s="2"/>
      <c r="C62" s="1" t="s">
        <v>13</v>
      </c>
      <c r="D62" s="285">
        <v>0</v>
      </c>
      <c r="E62" s="286">
        <v>0</v>
      </c>
      <c r="F62" s="286">
        <v>0</v>
      </c>
      <c r="G62" s="286">
        <v>0</v>
      </c>
      <c r="H62" s="287">
        <v>0</v>
      </c>
      <c r="J62">
        <v>0</v>
      </c>
      <c r="K62">
        <v>0</v>
      </c>
      <c r="L62">
        <v>0</v>
      </c>
      <c r="M62">
        <v>0</v>
      </c>
      <c r="N62">
        <v>0</v>
      </c>
      <c r="O62" s="20"/>
      <c r="P62" s="20"/>
      <c r="Q62" s="147"/>
      <c r="R62" s="197">
        <v>0.33900000000000002</v>
      </c>
      <c r="S62" s="197">
        <v>1.9830000000000001</v>
      </c>
      <c r="T62" s="197">
        <v>0.76146788990825687</v>
      </c>
      <c r="U62" s="197">
        <v>0.76146788990825687</v>
      </c>
      <c r="V62" s="20">
        <f t="shared" si="50"/>
        <v>0</v>
      </c>
      <c r="W62" s="20">
        <f t="shared" si="50"/>
        <v>0</v>
      </c>
      <c r="X62" s="20">
        <f t="shared" si="50"/>
        <v>0</v>
      </c>
      <c r="Y62" s="20">
        <f t="shared" si="50"/>
        <v>0</v>
      </c>
      <c r="Z62" s="20">
        <f t="shared" si="51"/>
        <v>0</v>
      </c>
      <c r="AA62" s="20">
        <f t="shared" si="51"/>
        <v>0</v>
      </c>
      <c r="AB62" s="20">
        <f t="shared" si="51"/>
        <v>0</v>
      </c>
      <c r="AC62" s="20">
        <f t="shared" si="51"/>
        <v>0</v>
      </c>
      <c r="AD62" s="20">
        <f t="shared" si="52"/>
        <v>0</v>
      </c>
      <c r="AE62" s="20">
        <f t="shared" si="53"/>
        <v>0</v>
      </c>
      <c r="AF62" s="20">
        <f t="shared" si="53"/>
        <v>0</v>
      </c>
      <c r="AG62" s="20">
        <f t="shared" si="53"/>
        <v>0</v>
      </c>
      <c r="AH62" s="20">
        <f t="shared" si="53"/>
        <v>0</v>
      </c>
      <c r="AI62" s="20">
        <f t="shared" si="54"/>
        <v>0</v>
      </c>
      <c r="AJ62" s="20">
        <f t="shared" si="54"/>
        <v>0</v>
      </c>
      <c r="AK62" s="20">
        <f t="shared" si="54"/>
        <v>0</v>
      </c>
      <c r="AL62" s="20">
        <f t="shared" si="54"/>
        <v>0</v>
      </c>
      <c r="AM62" s="20">
        <f t="shared" si="55"/>
        <v>0</v>
      </c>
      <c r="AO62">
        <f t="shared" si="56"/>
        <v>0</v>
      </c>
      <c r="AP62">
        <f t="shared" si="56"/>
        <v>0</v>
      </c>
      <c r="AQ62">
        <f t="shared" si="56"/>
        <v>0</v>
      </c>
      <c r="AR62">
        <f t="shared" si="56"/>
        <v>0</v>
      </c>
      <c r="AS62">
        <f t="shared" si="57"/>
        <v>0</v>
      </c>
      <c r="AU62">
        <f t="shared" si="58"/>
        <v>0</v>
      </c>
      <c r="AV62">
        <f t="shared" si="58"/>
        <v>0</v>
      </c>
      <c r="AW62">
        <f t="shared" si="58"/>
        <v>0</v>
      </c>
      <c r="AX62">
        <f t="shared" si="58"/>
        <v>0</v>
      </c>
      <c r="AY62">
        <f t="shared" si="59"/>
        <v>0</v>
      </c>
    </row>
    <row r="63" spans="1:51" ht="15" x14ac:dyDescent="0.25">
      <c r="A63" s="7"/>
      <c r="B63" s="8" t="s">
        <v>14</v>
      </c>
      <c r="C63" s="7"/>
      <c r="D63" s="288">
        <f>SUM(D57:D62)</f>
        <v>0</v>
      </c>
      <c r="E63" s="289">
        <f>SUM(E57:E62)</f>
        <v>0</v>
      </c>
      <c r="F63" s="289">
        <f>SUM(F57:F62)</f>
        <v>0</v>
      </c>
      <c r="G63" s="289">
        <f>SUM(G57:G62)</f>
        <v>1.81947269</v>
      </c>
      <c r="H63" s="290">
        <f>SUM(H57:H62)</f>
        <v>0</v>
      </c>
      <c r="J63">
        <v>0</v>
      </c>
      <c r="K63">
        <v>0</v>
      </c>
      <c r="L63">
        <v>0</v>
      </c>
      <c r="M63">
        <v>1.81947269</v>
      </c>
      <c r="N63">
        <v>0</v>
      </c>
      <c r="O63" s="20"/>
      <c r="P63" s="20"/>
      <c r="Q63" s="147"/>
      <c r="R63" s="197"/>
      <c r="S63" s="197"/>
      <c r="T63" s="197"/>
      <c r="U63" s="197"/>
    </row>
    <row r="64" spans="1:51" ht="15" x14ac:dyDescent="0.25">
      <c r="A64" s="10"/>
      <c r="B64" s="9" t="s">
        <v>15</v>
      </c>
      <c r="C64" s="5"/>
      <c r="D64" s="291"/>
      <c r="E64" s="292"/>
      <c r="F64" s="292"/>
      <c r="G64" s="292"/>
      <c r="H64" s="293">
        <f>SUM(D63:H63)</f>
        <v>1.81947269</v>
      </c>
      <c r="N64">
        <v>1.81947269</v>
      </c>
      <c r="O64" s="20"/>
      <c r="P64" s="20"/>
      <c r="Q64" s="147"/>
      <c r="R64" s="197"/>
      <c r="S64" s="197"/>
      <c r="T64" s="197"/>
      <c r="U64" s="197"/>
    </row>
    <row r="65" spans="1:51" ht="15.75" thickBot="1" x14ac:dyDescent="0.3">
      <c r="A65" s="3"/>
      <c r="B65" s="11"/>
      <c r="C65" s="3"/>
      <c r="D65" s="297"/>
      <c r="E65" s="298"/>
      <c r="F65" s="298"/>
      <c r="G65" s="298"/>
      <c r="H65" s="299"/>
      <c r="O65" s="20"/>
      <c r="P65" s="20"/>
      <c r="Q65" s="147"/>
      <c r="R65" s="197"/>
      <c r="S65" s="197"/>
      <c r="T65" s="197"/>
      <c r="U65" s="197"/>
    </row>
    <row r="66" spans="1:51" ht="15" x14ac:dyDescent="0.25">
      <c r="A66" s="3">
        <v>7</v>
      </c>
      <c r="B66" s="11" t="s">
        <v>21</v>
      </c>
      <c r="C66" s="3" t="s">
        <v>8</v>
      </c>
      <c r="D66" s="282">
        <v>0</v>
      </c>
      <c r="E66" s="283">
        <v>1.0983453700000001</v>
      </c>
      <c r="F66" s="283">
        <v>9.7564670400000004</v>
      </c>
      <c r="G66" s="283">
        <v>0</v>
      </c>
      <c r="H66" s="284">
        <v>0</v>
      </c>
      <c r="J66">
        <v>0</v>
      </c>
      <c r="K66">
        <v>1.0983453700000001</v>
      </c>
      <c r="L66">
        <v>0.42801480557000104</v>
      </c>
      <c r="M66">
        <v>0</v>
      </c>
      <c r="N66">
        <v>0</v>
      </c>
      <c r="O66" s="20"/>
      <c r="P66" s="20"/>
      <c r="Q66" s="147">
        <v>2.0563993246906602E-2</v>
      </c>
      <c r="R66" s="197">
        <v>0.15</v>
      </c>
      <c r="S66" s="197">
        <v>1.18</v>
      </c>
      <c r="T66" s="197">
        <v>0.46666666666666673</v>
      </c>
      <c r="U66" s="197">
        <v>0.6566321730950142</v>
      </c>
      <c r="V66" s="20">
        <f t="shared" ref="V66:Y71" si="60">IF(K66&gt;0,((E66-K66)*$Q66*$R66*10)+(K66*$O$12*$Q66*$R66*10),(E66*$Q66*$R66*10))</f>
        <v>1.2459273860771274E-2</v>
      </c>
      <c r="W66" s="20">
        <f t="shared" si="60"/>
        <v>0.29260060434748281</v>
      </c>
      <c r="X66" s="20">
        <f t="shared" si="60"/>
        <v>0</v>
      </c>
      <c r="Y66" s="20">
        <f t="shared" si="60"/>
        <v>0</v>
      </c>
      <c r="Z66" s="20">
        <f t="shared" ref="Z66:AC71" si="61">V66*(EXP(1.01-0.34*LN(Z$8))*(1-$T66)+(1*$T66))</f>
        <v>7.8348323490691849E-3</v>
      </c>
      <c r="AA66" s="20">
        <f t="shared" si="61"/>
        <v>0.18711922080644222</v>
      </c>
      <c r="AB66" s="20">
        <f t="shared" si="61"/>
        <v>0</v>
      </c>
      <c r="AC66" s="20">
        <f t="shared" si="61"/>
        <v>0</v>
      </c>
      <c r="AD66" s="20">
        <f t="shared" ref="AD66:AD71" si="62">SUM(Z66:AC66)</f>
        <v>0.1949540531555114</v>
      </c>
      <c r="AE66" s="20">
        <f t="shared" ref="AE66:AH71" si="63">IF(K66&gt;0,((E66-K66)*$Q66*$S66*10)+(K66*$P$12*$Q66*$S66)*10,(E66*$Q66*$S66*10))</f>
        <v>0.15434927535808357</v>
      </c>
      <c r="AF66" s="20">
        <f t="shared" si="63"/>
        <v>2.3237451524819432</v>
      </c>
      <c r="AG66" s="20">
        <f t="shared" si="63"/>
        <v>0</v>
      </c>
      <c r="AH66" s="20">
        <f t="shared" si="63"/>
        <v>0</v>
      </c>
      <c r="AI66" s="20">
        <f t="shared" ref="AI66:AL71" si="64">AE66*(EXP(1.01-0.34*LN(AI$8))*(1-$T66)+(1*$T66))</f>
        <v>9.7060286911137869E-2</v>
      </c>
      <c r="AJ66" s="20">
        <f t="shared" si="64"/>
        <v>1.4860440334866627</v>
      </c>
      <c r="AK66" s="20">
        <f t="shared" si="64"/>
        <v>0</v>
      </c>
      <c r="AL66" s="20">
        <f t="shared" si="64"/>
        <v>0</v>
      </c>
      <c r="AM66" s="20">
        <f t="shared" ref="AM66:AM71" si="65">SUM(AI66:AL66)</f>
        <v>1.5831043203978006</v>
      </c>
      <c r="AO66">
        <f t="shared" ref="AO66:AR71" si="66">Z66*AO$10</f>
        <v>1.0813265001315192E-2</v>
      </c>
      <c r="AP66">
        <f t="shared" si="66"/>
        <v>0.22078313336131575</v>
      </c>
      <c r="AQ66">
        <f t="shared" si="66"/>
        <v>0</v>
      </c>
      <c r="AR66">
        <f t="shared" si="66"/>
        <v>0</v>
      </c>
      <c r="AS66">
        <f t="shared" ref="AS66:AS71" si="67">SUM(AO66:AR66)</f>
        <v>0.23159639836263093</v>
      </c>
      <c r="AU66">
        <f t="shared" ref="AU66:AX71" si="68">AI66*AU$10</f>
        <v>0.13395801680408748</v>
      </c>
      <c r="AV66">
        <f t="shared" si="68"/>
        <v>1.7533926050571587</v>
      </c>
      <c r="AW66">
        <f t="shared" si="68"/>
        <v>0</v>
      </c>
      <c r="AX66">
        <f t="shared" si="68"/>
        <v>0</v>
      </c>
      <c r="AY66">
        <f t="shared" ref="AY66:AY71" si="69">SUM(AU66:AX66)</f>
        <v>1.8873506218612461</v>
      </c>
    </row>
    <row r="67" spans="1:51" ht="15" x14ac:dyDescent="0.25">
      <c r="A67" s="3"/>
      <c r="B67" s="11"/>
      <c r="C67" s="3" t="s">
        <v>9</v>
      </c>
      <c r="D67" s="285">
        <v>0</v>
      </c>
      <c r="E67" s="286">
        <v>0</v>
      </c>
      <c r="F67" s="286">
        <v>0</v>
      </c>
      <c r="G67" s="286">
        <v>0</v>
      </c>
      <c r="H67" s="287">
        <v>0</v>
      </c>
      <c r="J67">
        <v>0</v>
      </c>
      <c r="K67">
        <v>0</v>
      </c>
      <c r="L67">
        <v>0</v>
      </c>
      <c r="M67">
        <v>0</v>
      </c>
      <c r="N67">
        <v>0</v>
      </c>
      <c r="O67" s="20"/>
      <c r="P67" s="20"/>
      <c r="Q67" s="147"/>
      <c r="R67" s="197">
        <v>0.15</v>
      </c>
      <c r="S67" s="197">
        <v>1.18</v>
      </c>
      <c r="T67" s="197">
        <v>0.46666666666666673</v>
      </c>
      <c r="U67" s="197">
        <v>0.6566321730950142</v>
      </c>
      <c r="V67" s="20">
        <f t="shared" si="60"/>
        <v>0</v>
      </c>
      <c r="W67" s="20">
        <f t="shared" si="60"/>
        <v>0</v>
      </c>
      <c r="X67" s="20">
        <f t="shared" si="60"/>
        <v>0</v>
      </c>
      <c r="Y67" s="20">
        <f t="shared" si="60"/>
        <v>0</v>
      </c>
      <c r="Z67" s="20">
        <f t="shared" si="61"/>
        <v>0</v>
      </c>
      <c r="AA67" s="20">
        <f t="shared" si="61"/>
        <v>0</v>
      </c>
      <c r="AB67" s="20">
        <f t="shared" si="61"/>
        <v>0</v>
      </c>
      <c r="AC67" s="20">
        <f t="shared" si="61"/>
        <v>0</v>
      </c>
      <c r="AD67" s="20">
        <f t="shared" si="62"/>
        <v>0</v>
      </c>
      <c r="AE67" s="20">
        <f t="shared" si="63"/>
        <v>0</v>
      </c>
      <c r="AF67" s="20">
        <f t="shared" si="63"/>
        <v>0</v>
      </c>
      <c r="AG67" s="20">
        <f t="shared" si="63"/>
        <v>0</v>
      </c>
      <c r="AH67" s="20">
        <f t="shared" si="63"/>
        <v>0</v>
      </c>
      <c r="AI67" s="20">
        <f t="shared" si="64"/>
        <v>0</v>
      </c>
      <c r="AJ67" s="20">
        <f t="shared" si="64"/>
        <v>0</v>
      </c>
      <c r="AK67" s="20">
        <f t="shared" si="64"/>
        <v>0</v>
      </c>
      <c r="AL67" s="20">
        <f t="shared" si="64"/>
        <v>0</v>
      </c>
      <c r="AM67" s="20">
        <f t="shared" si="65"/>
        <v>0</v>
      </c>
      <c r="AO67">
        <f t="shared" si="66"/>
        <v>0</v>
      </c>
      <c r="AP67">
        <f t="shared" si="66"/>
        <v>0</v>
      </c>
      <c r="AQ67">
        <f t="shared" si="66"/>
        <v>0</v>
      </c>
      <c r="AR67">
        <f t="shared" si="66"/>
        <v>0</v>
      </c>
      <c r="AS67">
        <f t="shared" si="67"/>
        <v>0</v>
      </c>
      <c r="AU67">
        <f t="shared" si="68"/>
        <v>0</v>
      </c>
      <c r="AV67">
        <f t="shared" si="68"/>
        <v>0</v>
      </c>
      <c r="AW67">
        <f t="shared" si="68"/>
        <v>0</v>
      </c>
      <c r="AX67">
        <f t="shared" si="68"/>
        <v>0</v>
      </c>
      <c r="AY67">
        <f t="shared" si="69"/>
        <v>0</v>
      </c>
    </row>
    <row r="68" spans="1:51" ht="15" x14ac:dyDescent="0.25">
      <c r="A68" s="3"/>
      <c r="B68" s="11"/>
      <c r="C68" s="3" t="s">
        <v>10</v>
      </c>
      <c r="D68" s="285">
        <v>0</v>
      </c>
      <c r="E68" s="286">
        <v>0</v>
      </c>
      <c r="F68" s="286">
        <v>0</v>
      </c>
      <c r="G68" s="286">
        <v>0</v>
      </c>
      <c r="H68" s="287">
        <v>0</v>
      </c>
      <c r="J68">
        <v>0</v>
      </c>
      <c r="K68">
        <v>0</v>
      </c>
      <c r="L68">
        <v>0</v>
      </c>
      <c r="M68">
        <v>0</v>
      </c>
      <c r="N68">
        <v>0</v>
      </c>
      <c r="O68" s="20"/>
      <c r="P68" s="20"/>
      <c r="Q68" s="147"/>
      <c r="R68" s="197">
        <v>0.15</v>
      </c>
      <c r="S68" s="197">
        <v>1.18</v>
      </c>
      <c r="T68" s="197">
        <v>0.46666666666666673</v>
      </c>
      <c r="U68" s="197">
        <v>0.6566321730950142</v>
      </c>
      <c r="V68" s="20">
        <f t="shared" si="60"/>
        <v>0</v>
      </c>
      <c r="W68" s="20">
        <f t="shared" si="60"/>
        <v>0</v>
      </c>
      <c r="X68" s="20">
        <f t="shared" si="60"/>
        <v>0</v>
      </c>
      <c r="Y68" s="20">
        <f t="shared" si="60"/>
        <v>0</v>
      </c>
      <c r="Z68" s="20">
        <f t="shared" si="61"/>
        <v>0</v>
      </c>
      <c r="AA68" s="20">
        <f t="shared" si="61"/>
        <v>0</v>
      </c>
      <c r="AB68" s="20">
        <f t="shared" si="61"/>
        <v>0</v>
      </c>
      <c r="AC68" s="20">
        <f t="shared" si="61"/>
        <v>0</v>
      </c>
      <c r="AD68" s="20">
        <f t="shared" si="62"/>
        <v>0</v>
      </c>
      <c r="AE68" s="20">
        <f t="shared" si="63"/>
        <v>0</v>
      </c>
      <c r="AF68" s="20">
        <f t="shared" si="63"/>
        <v>0</v>
      </c>
      <c r="AG68" s="20">
        <f t="shared" si="63"/>
        <v>0</v>
      </c>
      <c r="AH68" s="20">
        <f t="shared" si="63"/>
        <v>0</v>
      </c>
      <c r="AI68" s="20">
        <f t="shared" si="64"/>
        <v>0</v>
      </c>
      <c r="AJ68" s="20">
        <f t="shared" si="64"/>
        <v>0</v>
      </c>
      <c r="AK68" s="20">
        <f t="shared" si="64"/>
        <v>0</v>
      </c>
      <c r="AL68" s="20">
        <f t="shared" si="64"/>
        <v>0</v>
      </c>
      <c r="AM68" s="20">
        <f t="shared" si="65"/>
        <v>0</v>
      </c>
      <c r="AO68">
        <f t="shared" si="66"/>
        <v>0</v>
      </c>
      <c r="AP68">
        <f t="shared" si="66"/>
        <v>0</v>
      </c>
      <c r="AQ68">
        <f t="shared" si="66"/>
        <v>0</v>
      </c>
      <c r="AR68">
        <f t="shared" si="66"/>
        <v>0</v>
      </c>
      <c r="AS68">
        <f t="shared" si="67"/>
        <v>0</v>
      </c>
      <c r="AU68">
        <f t="shared" si="68"/>
        <v>0</v>
      </c>
      <c r="AV68">
        <f t="shared" si="68"/>
        <v>0</v>
      </c>
      <c r="AW68">
        <f t="shared" si="68"/>
        <v>0</v>
      </c>
      <c r="AX68">
        <f t="shared" si="68"/>
        <v>0</v>
      </c>
      <c r="AY68">
        <f t="shared" si="69"/>
        <v>0</v>
      </c>
    </row>
    <row r="69" spans="1:51" ht="15" x14ac:dyDescent="0.25">
      <c r="A69" s="3"/>
      <c r="B69" s="11"/>
      <c r="C69" s="3" t="s">
        <v>11</v>
      </c>
      <c r="D69" s="285">
        <v>0</v>
      </c>
      <c r="E69" s="286">
        <v>0</v>
      </c>
      <c r="F69" s="286">
        <v>0</v>
      </c>
      <c r="G69" s="286">
        <v>0</v>
      </c>
      <c r="H69" s="287">
        <v>0</v>
      </c>
      <c r="J69">
        <v>0</v>
      </c>
      <c r="K69">
        <v>0</v>
      </c>
      <c r="L69">
        <v>0</v>
      </c>
      <c r="M69">
        <v>0</v>
      </c>
      <c r="N69">
        <v>0</v>
      </c>
      <c r="O69" s="20"/>
      <c r="P69" s="20"/>
      <c r="Q69" s="147"/>
      <c r="R69" s="197">
        <v>0.15</v>
      </c>
      <c r="S69" s="197">
        <v>1.18</v>
      </c>
      <c r="T69" s="197">
        <v>0.46666666666666673</v>
      </c>
      <c r="U69" s="197">
        <v>0.6566321730950142</v>
      </c>
      <c r="V69" s="20">
        <f t="shared" si="60"/>
        <v>0</v>
      </c>
      <c r="W69" s="20">
        <f t="shared" si="60"/>
        <v>0</v>
      </c>
      <c r="X69" s="20">
        <f t="shared" si="60"/>
        <v>0</v>
      </c>
      <c r="Y69" s="20">
        <f t="shared" si="60"/>
        <v>0</v>
      </c>
      <c r="Z69" s="20">
        <f t="shared" si="61"/>
        <v>0</v>
      </c>
      <c r="AA69" s="20">
        <f t="shared" si="61"/>
        <v>0</v>
      </c>
      <c r="AB69" s="20">
        <f t="shared" si="61"/>
        <v>0</v>
      </c>
      <c r="AC69" s="20">
        <f t="shared" si="61"/>
        <v>0</v>
      </c>
      <c r="AD69" s="20">
        <f t="shared" si="62"/>
        <v>0</v>
      </c>
      <c r="AE69" s="20">
        <f t="shared" si="63"/>
        <v>0</v>
      </c>
      <c r="AF69" s="20">
        <f t="shared" si="63"/>
        <v>0</v>
      </c>
      <c r="AG69" s="20">
        <f t="shared" si="63"/>
        <v>0</v>
      </c>
      <c r="AH69" s="20">
        <f t="shared" si="63"/>
        <v>0</v>
      </c>
      <c r="AI69" s="20">
        <f t="shared" si="64"/>
        <v>0</v>
      </c>
      <c r="AJ69" s="20">
        <f t="shared" si="64"/>
        <v>0</v>
      </c>
      <c r="AK69" s="20">
        <f t="shared" si="64"/>
        <v>0</v>
      </c>
      <c r="AL69" s="20">
        <f t="shared" si="64"/>
        <v>0</v>
      </c>
      <c r="AM69" s="20">
        <f t="shared" si="65"/>
        <v>0</v>
      </c>
      <c r="AO69">
        <f t="shared" si="66"/>
        <v>0</v>
      </c>
      <c r="AP69">
        <f t="shared" si="66"/>
        <v>0</v>
      </c>
      <c r="AQ69">
        <f t="shared" si="66"/>
        <v>0</v>
      </c>
      <c r="AR69">
        <f t="shared" si="66"/>
        <v>0</v>
      </c>
      <c r="AS69">
        <f t="shared" si="67"/>
        <v>0</v>
      </c>
      <c r="AU69">
        <f t="shared" si="68"/>
        <v>0</v>
      </c>
      <c r="AV69">
        <f t="shared" si="68"/>
        <v>0</v>
      </c>
      <c r="AW69">
        <f t="shared" si="68"/>
        <v>0</v>
      </c>
      <c r="AX69">
        <f t="shared" si="68"/>
        <v>0</v>
      </c>
      <c r="AY69">
        <f t="shared" si="69"/>
        <v>0</v>
      </c>
    </row>
    <row r="70" spans="1:51" ht="15" x14ac:dyDescent="0.25">
      <c r="A70" s="3"/>
      <c r="B70" s="12"/>
      <c r="C70" s="3" t="s">
        <v>12</v>
      </c>
      <c r="D70" s="285">
        <v>0</v>
      </c>
      <c r="E70" s="286">
        <v>0</v>
      </c>
      <c r="F70" s="286">
        <v>0</v>
      </c>
      <c r="G70" s="286">
        <v>0</v>
      </c>
      <c r="H70" s="287">
        <v>0</v>
      </c>
      <c r="J70">
        <v>0</v>
      </c>
      <c r="K70">
        <v>0</v>
      </c>
      <c r="L70">
        <v>0</v>
      </c>
      <c r="M70">
        <v>0</v>
      </c>
      <c r="N70">
        <v>0</v>
      </c>
      <c r="O70" s="20"/>
      <c r="P70" s="20"/>
      <c r="Q70" s="147"/>
      <c r="R70" s="197">
        <v>0.15</v>
      </c>
      <c r="S70" s="197">
        <v>1.18</v>
      </c>
      <c r="T70" s="197">
        <v>0.46666666666666673</v>
      </c>
      <c r="U70" s="197">
        <v>0.6566321730950142</v>
      </c>
      <c r="V70" s="20">
        <f t="shared" si="60"/>
        <v>0</v>
      </c>
      <c r="W70" s="20">
        <f t="shared" si="60"/>
        <v>0</v>
      </c>
      <c r="X70" s="20">
        <f t="shared" si="60"/>
        <v>0</v>
      </c>
      <c r="Y70" s="20">
        <f t="shared" si="60"/>
        <v>0</v>
      </c>
      <c r="Z70" s="20">
        <f t="shared" si="61"/>
        <v>0</v>
      </c>
      <c r="AA70" s="20">
        <f t="shared" si="61"/>
        <v>0</v>
      </c>
      <c r="AB70" s="20">
        <f t="shared" si="61"/>
        <v>0</v>
      </c>
      <c r="AC70" s="20">
        <f t="shared" si="61"/>
        <v>0</v>
      </c>
      <c r="AD70" s="20">
        <f t="shared" si="62"/>
        <v>0</v>
      </c>
      <c r="AE70" s="20">
        <f t="shared" si="63"/>
        <v>0</v>
      </c>
      <c r="AF70" s="20">
        <f t="shared" si="63"/>
        <v>0</v>
      </c>
      <c r="AG70" s="20">
        <f t="shared" si="63"/>
        <v>0</v>
      </c>
      <c r="AH70" s="20">
        <f t="shared" si="63"/>
        <v>0</v>
      </c>
      <c r="AI70" s="20">
        <f t="shared" si="64"/>
        <v>0</v>
      </c>
      <c r="AJ70" s="20">
        <f t="shared" si="64"/>
        <v>0</v>
      </c>
      <c r="AK70" s="20">
        <f t="shared" si="64"/>
        <v>0</v>
      </c>
      <c r="AL70" s="20">
        <f t="shared" si="64"/>
        <v>0</v>
      </c>
      <c r="AM70" s="20">
        <f t="shared" si="65"/>
        <v>0</v>
      </c>
      <c r="AO70">
        <f t="shared" si="66"/>
        <v>0</v>
      </c>
      <c r="AP70">
        <f t="shared" si="66"/>
        <v>0</v>
      </c>
      <c r="AQ70">
        <f t="shared" si="66"/>
        <v>0</v>
      </c>
      <c r="AR70">
        <f t="shared" si="66"/>
        <v>0</v>
      </c>
      <c r="AS70">
        <f t="shared" si="67"/>
        <v>0</v>
      </c>
      <c r="AU70">
        <f t="shared" si="68"/>
        <v>0</v>
      </c>
      <c r="AV70">
        <f t="shared" si="68"/>
        <v>0</v>
      </c>
      <c r="AW70">
        <f t="shared" si="68"/>
        <v>0</v>
      </c>
      <c r="AX70">
        <f t="shared" si="68"/>
        <v>0</v>
      </c>
      <c r="AY70">
        <f t="shared" si="69"/>
        <v>0</v>
      </c>
    </row>
    <row r="71" spans="1:51" ht="15" x14ac:dyDescent="0.25">
      <c r="A71" s="3"/>
      <c r="B71" s="12"/>
      <c r="C71" s="3" t="s">
        <v>13</v>
      </c>
      <c r="D71" s="285">
        <v>0</v>
      </c>
      <c r="E71" s="286">
        <v>0</v>
      </c>
      <c r="F71" s="286">
        <v>0</v>
      </c>
      <c r="G71" s="286">
        <v>0</v>
      </c>
      <c r="H71" s="287">
        <v>0</v>
      </c>
      <c r="J71">
        <v>0</v>
      </c>
      <c r="K71">
        <v>0</v>
      </c>
      <c r="L71">
        <v>0</v>
      </c>
      <c r="M71">
        <v>0</v>
      </c>
      <c r="N71">
        <v>0</v>
      </c>
      <c r="O71" s="20"/>
      <c r="P71" s="20"/>
      <c r="Q71" s="147"/>
      <c r="R71" s="197">
        <v>0.15</v>
      </c>
      <c r="S71" s="197">
        <v>1.18</v>
      </c>
      <c r="T71" s="197">
        <v>0.46666666666666673</v>
      </c>
      <c r="U71" s="197">
        <v>0.6566321730950142</v>
      </c>
      <c r="V71" s="20">
        <f t="shared" si="60"/>
        <v>0</v>
      </c>
      <c r="W71" s="20">
        <f t="shared" si="60"/>
        <v>0</v>
      </c>
      <c r="X71" s="20">
        <f t="shared" si="60"/>
        <v>0</v>
      </c>
      <c r="Y71" s="20">
        <f t="shared" si="60"/>
        <v>0</v>
      </c>
      <c r="Z71" s="20">
        <f t="shared" si="61"/>
        <v>0</v>
      </c>
      <c r="AA71" s="20">
        <f t="shared" si="61"/>
        <v>0</v>
      </c>
      <c r="AB71" s="20">
        <f t="shared" si="61"/>
        <v>0</v>
      </c>
      <c r="AC71" s="20">
        <f t="shared" si="61"/>
        <v>0</v>
      </c>
      <c r="AD71" s="20">
        <f t="shared" si="62"/>
        <v>0</v>
      </c>
      <c r="AE71" s="20">
        <f t="shared" si="63"/>
        <v>0</v>
      </c>
      <c r="AF71" s="20">
        <f t="shared" si="63"/>
        <v>0</v>
      </c>
      <c r="AG71" s="20">
        <f t="shared" si="63"/>
        <v>0</v>
      </c>
      <c r="AH71" s="20">
        <f t="shared" si="63"/>
        <v>0</v>
      </c>
      <c r="AI71" s="20">
        <f t="shared" si="64"/>
        <v>0</v>
      </c>
      <c r="AJ71" s="20">
        <f t="shared" si="64"/>
        <v>0</v>
      </c>
      <c r="AK71" s="20">
        <f t="shared" si="64"/>
        <v>0</v>
      </c>
      <c r="AL71" s="20">
        <f t="shared" si="64"/>
        <v>0</v>
      </c>
      <c r="AM71" s="20">
        <f t="shared" si="65"/>
        <v>0</v>
      </c>
      <c r="AO71">
        <f t="shared" si="66"/>
        <v>0</v>
      </c>
      <c r="AP71">
        <f t="shared" si="66"/>
        <v>0</v>
      </c>
      <c r="AQ71">
        <f t="shared" si="66"/>
        <v>0</v>
      </c>
      <c r="AR71">
        <f t="shared" si="66"/>
        <v>0</v>
      </c>
      <c r="AS71">
        <f t="shared" si="67"/>
        <v>0</v>
      </c>
      <c r="AU71">
        <f t="shared" si="68"/>
        <v>0</v>
      </c>
      <c r="AV71">
        <f t="shared" si="68"/>
        <v>0</v>
      </c>
      <c r="AW71">
        <f t="shared" si="68"/>
        <v>0</v>
      </c>
      <c r="AX71">
        <f t="shared" si="68"/>
        <v>0</v>
      </c>
      <c r="AY71">
        <f t="shared" si="69"/>
        <v>0</v>
      </c>
    </row>
    <row r="72" spans="1:51" ht="15" x14ac:dyDescent="0.25">
      <c r="A72" s="7"/>
      <c r="B72" s="8" t="s">
        <v>14</v>
      </c>
      <c r="C72" s="7"/>
      <c r="D72" s="288">
        <f>SUM(D66:D71)</f>
        <v>0</v>
      </c>
      <c r="E72" s="289">
        <f>SUM(E66:E71)</f>
        <v>1.0983453700000001</v>
      </c>
      <c r="F72" s="289">
        <f>SUM(F66:F71)</f>
        <v>9.7564670400000004</v>
      </c>
      <c r="G72" s="289">
        <f>SUM(G66:G71)</f>
        <v>0</v>
      </c>
      <c r="H72" s="290">
        <f>SUM(H66:H71)</f>
        <v>0</v>
      </c>
      <c r="J72">
        <v>0</v>
      </c>
      <c r="K72">
        <v>1.0983453700000001</v>
      </c>
      <c r="L72">
        <v>0.42801480557000104</v>
      </c>
      <c r="M72">
        <v>0</v>
      </c>
      <c r="N72">
        <v>0</v>
      </c>
      <c r="O72" s="20"/>
      <c r="P72" s="20"/>
      <c r="Q72" s="147"/>
      <c r="R72" s="197"/>
      <c r="S72" s="197"/>
      <c r="T72" s="197"/>
      <c r="U72" s="197"/>
    </row>
    <row r="73" spans="1:51" ht="15" x14ac:dyDescent="0.25">
      <c r="A73" s="10"/>
      <c r="B73" s="9" t="s">
        <v>15</v>
      </c>
      <c r="C73" s="5"/>
      <c r="D73" s="291"/>
      <c r="E73" s="292"/>
      <c r="F73" s="292"/>
      <c r="G73" s="292"/>
      <c r="H73" s="293">
        <f>SUM(D72:H72)</f>
        <v>10.854812410000001</v>
      </c>
      <c r="N73">
        <v>1.5263601755700011</v>
      </c>
      <c r="O73" s="20"/>
      <c r="P73" s="20"/>
      <c r="Q73" s="147"/>
      <c r="R73" s="197"/>
      <c r="S73" s="197"/>
      <c r="T73" s="197"/>
      <c r="U73" s="197"/>
    </row>
    <row r="74" spans="1:51" ht="15.75" thickBot="1" x14ac:dyDescent="0.3">
      <c r="A74" s="1"/>
      <c r="B74" s="2"/>
      <c r="C74" s="1"/>
      <c r="D74" s="294"/>
      <c r="E74" s="295"/>
      <c r="F74" s="295"/>
      <c r="G74" s="295"/>
      <c r="H74" s="296"/>
      <c r="O74" s="20"/>
      <c r="P74" s="20"/>
      <c r="Q74" s="147"/>
      <c r="R74" s="197"/>
      <c r="S74" s="197"/>
      <c r="T74" s="197"/>
      <c r="U74" s="197"/>
    </row>
    <row r="75" spans="1:51" ht="15" x14ac:dyDescent="0.25">
      <c r="A75" s="1">
        <v>8</v>
      </c>
      <c r="B75" s="2" t="s">
        <v>22</v>
      </c>
      <c r="C75" s="1" t="s">
        <v>8</v>
      </c>
      <c r="D75" s="285">
        <v>0</v>
      </c>
      <c r="E75" s="286">
        <v>210.79454375</v>
      </c>
      <c r="F75" s="286">
        <v>6.1400194600000004</v>
      </c>
      <c r="G75" s="286">
        <v>3.3235228299999999</v>
      </c>
      <c r="H75" s="287">
        <v>14.408158459999999</v>
      </c>
      <c r="J75">
        <v>0</v>
      </c>
      <c r="K75">
        <v>-27.968910759576005</v>
      </c>
      <c r="L75">
        <v>-6.9476869898047999</v>
      </c>
      <c r="M75">
        <v>-0.23227662802500015</v>
      </c>
      <c r="N75">
        <v>-3.1744190109850017</v>
      </c>
      <c r="O75" s="20"/>
      <c r="P75" s="20"/>
      <c r="Q75" s="147">
        <v>2.0563993246906598E-2</v>
      </c>
      <c r="R75" s="197">
        <v>5.6499999999999995E-2</v>
      </c>
      <c r="S75" s="197">
        <v>1.25</v>
      </c>
      <c r="T75" s="197">
        <v>0.50078889239507718</v>
      </c>
      <c r="U75" s="197">
        <v>0.75268470790377973</v>
      </c>
      <c r="V75" s="20">
        <f t="shared" ref="V75:Y80" si="70">IF(K75&gt;0,((E75-K75)*$Q75*$R75*10)+(K75*$O$12*$Q75*$R75*10),(E75*$Q75*$R75*10))</f>
        <v>2.4491493294002629</v>
      </c>
      <c r="W75" s="20">
        <f t="shared" si="70"/>
        <v>7.1338775071893026E-2</v>
      </c>
      <c r="X75" s="20">
        <f t="shared" si="70"/>
        <v>3.8614869083113845E-2</v>
      </c>
      <c r="Y75" s="20">
        <f t="shared" si="70"/>
        <v>0.16740343939856708</v>
      </c>
      <c r="Z75" s="20">
        <f t="shared" ref="Z75:AC80" si="71">V75*(EXP(1.01-0.34*LN(Z$8))*(1-$T75)+(1*$T75))</f>
        <v>1.5982712471341582</v>
      </c>
      <c r="AA75" s="20">
        <f t="shared" si="71"/>
        <v>4.7266798127424764E-2</v>
      </c>
      <c r="AB75" s="20">
        <f t="shared" si="71"/>
        <v>2.5727045159460771E-2</v>
      </c>
      <c r="AC75" s="20">
        <f t="shared" si="71"/>
        <v>0.10558250356228668</v>
      </c>
      <c r="AD75" s="20">
        <f t="shared" ref="AD75:AD80" si="72">SUM(Z75:AC75)</f>
        <v>1.7768475939833304</v>
      </c>
      <c r="AE75" s="20">
        <f t="shared" ref="AE75:AH80" si="73">IF(K75&gt;0,((E75-K75)*$Q75*$S75*10)+(K75*$P$12*$Q75*$S75)*10,(E75*$Q75*$S75*10))</f>
        <v>54.184719676996977</v>
      </c>
      <c r="AF75" s="20">
        <f t="shared" si="73"/>
        <v>1.5782914838914388</v>
      </c>
      <c r="AG75" s="20">
        <f t="shared" si="73"/>
        <v>0.85431126290074888</v>
      </c>
      <c r="AH75" s="20">
        <f t="shared" si="73"/>
        <v>3.7036159158975019</v>
      </c>
      <c r="AI75" s="20">
        <f t="shared" ref="AI75:AL80" si="74">AE75*(EXP(1.01-0.34*LN(AI$8))*(1-$T75)+(1*$T75))</f>
        <v>35.359983343676078</v>
      </c>
      <c r="AJ75" s="20">
        <f t="shared" si="74"/>
        <v>1.0457256222881586</v>
      </c>
      <c r="AK75" s="20">
        <f t="shared" si="74"/>
        <v>0.56918241503231803</v>
      </c>
      <c r="AL75" s="20">
        <f t="shared" si="74"/>
        <v>2.3358960965107674</v>
      </c>
      <c r="AM75" s="20">
        <f t="shared" ref="AM75:AM80" si="75">SUM(AI75:AL75)</f>
        <v>39.310787477507318</v>
      </c>
      <c r="AO75">
        <f t="shared" ref="AO75:AR80" si="76">Z75*AO$10</f>
        <v>2.2058583731274637</v>
      </c>
      <c r="AP75">
        <f t="shared" si="76"/>
        <v>5.5770389324805943E-2</v>
      </c>
      <c r="AQ75">
        <f t="shared" si="76"/>
        <v>3.0486112795855783E-2</v>
      </c>
      <c r="AR75">
        <f t="shared" si="76"/>
        <v>0.11837206657276521</v>
      </c>
      <c r="AS75">
        <f t="shared" ref="AS75:AS80" si="77">SUM(AO75:AR75)</f>
        <v>2.4104869418208907</v>
      </c>
      <c r="AU75">
        <f t="shared" ref="AU75:AX80" si="78">AI75*AU$10</f>
        <v>48.80217639662532</v>
      </c>
      <c r="AV75">
        <f t="shared" si="78"/>
        <v>1.2338581709027863</v>
      </c>
      <c r="AW75">
        <f t="shared" si="78"/>
        <v>0.67447152203220762</v>
      </c>
      <c r="AX75">
        <f t="shared" si="78"/>
        <v>2.6188510303709118</v>
      </c>
      <c r="AY75">
        <f t="shared" ref="AY75:AY80" si="79">SUM(AU75:AX75)</f>
        <v>53.329357119931224</v>
      </c>
    </row>
    <row r="76" spans="1:51" ht="15" x14ac:dyDescent="0.25">
      <c r="A76" s="1"/>
      <c r="B76" s="2"/>
      <c r="C76" s="1" t="s">
        <v>9</v>
      </c>
      <c r="D76" s="285">
        <v>0</v>
      </c>
      <c r="E76" s="286">
        <v>7.7057743299999997</v>
      </c>
      <c r="F76" s="286">
        <v>2.5756169799999999</v>
      </c>
      <c r="G76" s="286">
        <v>0</v>
      </c>
      <c r="H76" s="287">
        <v>0</v>
      </c>
      <c r="J76">
        <v>0</v>
      </c>
      <c r="K76">
        <v>-19.951962900589997</v>
      </c>
      <c r="L76">
        <v>2.3364730311413999</v>
      </c>
      <c r="M76">
        <v>0</v>
      </c>
      <c r="N76">
        <v>-0.94717243048599997</v>
      </c>
      <c r="O76" s="20"/>
      <c r="P76" s="20"/>
      <c r="Q76" s="147">
        <v>3.2127986493813196E-2</v>
      </c>
      <c r="R76" s="197">
        <v>5.6499999999999995E-2</v>
      </c>
      <c r="S76" s="197">
        <v>1.25</v>
      </c>
      <c r="T76" s="197">
        <v>0.50078889239507718</v>
      </c>
      <c r="U76" s="197">
        <v>0.75268470790377973</v>
      </c>
      <c r="V76" s="20">
        <f t="shared" si="70"/>
        <v>0.13987762268321599</v>
      </c>
      <c r="W76" s="20">
        <f t="shared" si="70"/>
        <v>1.9938258201112585E-2</v>
      </c>
      <c r="X76" s="20">
        <f t="shared" si="70"/>
        <v>0</v>
      </c>
      <c r="Y76" s="20">
        <f t="shared" si="70"/>
        <v>0</v>
      </c>
      <c r="Z76" s="20">
        <f t="shared" si="71"/>
        <v>9.1281646148873186E-2</v>
      </c>
      <c r="AA76" s="20">
        <f t="shared" si="71"/>
        <v>1.321045426494526E-2</v>
      </c>
      <c r="AB76" s="20">
        <f t="shared" si="71"/>
        <v>0</v>
      </c>
      <c r="AC76" s="20">
        <f t="shared" si="71"/>
        <v>0</v>
      </c>
      <c r="AD76" s="20">
        <f t="shared" si="72"/>
        <v>0.10449210041381844</v>
      </c>
      <c r="AE76" s="20">
        <f t="shared" si="73"/>
        <v>3.0946376699826548</v>
      </c>
      <c r="AF76" s="20">
        <f t="shared" si="73"/>
        <v>0.63945377220243482</v>
      </c>
      <c r="AG76" s="20">
        <f t="shared" si="73"/>
        <v>0</v>
      </c>
      <c r="AH76" s="20">
        <f t="shared" si="73"/>
        <v>0</v>
      </c>
      <c r="AI76" s="20">
        <f t="shared" si="74"/>
        <v>2.0195054457715309</v>
      </c>
      <c r="AJ76" s="20">
        <f t="shared" si="74"/>
        <v>0.42368168407788037</v>
      </c>
      <c r="AK76" s="20">
        <f t="shared" si="74"/>
        <v>0</v>
      </c>
      <c r="AL76" s="20">
        <f t="shared" si="74"/>
        <v>0</v>
      </c>
      <c r="AM76" s="20">
        <f t="shared" si="75"/>
        <v>2.4431871298494112</v>
      </c>
      <c r="AO76">
        <f t="shared" si="76"/>
        <v>0.12598261016795267</v>
      </c>
      <c r="AP76">
        <f t="shared" si="76"/>
        <v>1.5587097216260726E-2</v>
      </c>
      <c r="AQ76">
        <f t="shared" si="76"/>
        <v>0</v>
      </c>
      <c r="AR76">
        <f t="shared" si="76"/>
        <v>0</v>
      </c>
      <c r="AS76">
        <f t="shared" si="77"/>
        <v>0.1415697073842134</v>
      </c>
      <c r="AU76">
        <f t="shared" si="78"/>
        <v>2.7872258886715198</v>
      </c>
      <c r="AV76">
        <f t="shared" si="78"/>
        <v>0.49990465626871083</v>
      </c>
      <c r="AW76">
        <f t="shared" si="78"/>
        <v>0</v>
      </c>
      <c r="AX76">
        <f t="shared" si="78"/>
        <v>0</v>
      </c>
      <c r="AY76">
        <f t="shared" si="79"/>
        <v>3.2871305449402306</v>
      </c>
    </row>
    <row r="77" spans="1:51" ht="15" x14ac:dyDescent="0.25">
      <c r="A77" s="1"/>
      <c r="B77" s="2"/>
      <c r="C77" s="1" t="s">
        <v>10</v>
      </c>
      <c r="D77" s="285">
        <v>0</v>
      </c>
      <c r="E77" s="286">
        <v>11.647192410000001</v>
      </c>
      <c r="F77" s="286">
        <v>0</v>
      </c>
      <c r="G77" s="286">
        <v>0</v>
      </c>
      <c r="H77" s="287">
        <v>0</v>
      </c>
      <c r="J77">
        <v>0</v>
      </c>
      <c r="K77">
        <v>-3.6175834833550002</v>
      </c>
      <c r="L77">
        <v>0</v>
      </c>
      <c r="M77">
        <v>-3.4364205122290001</v>
      </c>
      <c r="N77">
        <v>-0.68537294772299995</v>
      </c>
      <c r="O77" s="20"/>
      <c r="P77" s="20"/>
      <c r="Q77" s="147">
        <v>4.369197974071979E-2</v>
      </c>
      <c r="R77" s="197">
        <v>5.6499999999999995E-2</v>
      </c>
      <c r="S77" s="197">
        <v>1.25</v>
      </c>
      <c r="T77" s="197">
        <v>0.50078889239507718</v>
      </c>
      <c r="U77" s="197">
        <v>0.75268470790377973</v>
      </c>
      <c r="V77" s="20">
        <f t="shared" si="70"/>
        <v>0.2875222255699017</v>
      </c>
      <c r="W77" s="20">
        <f t="shared" si="70"/>
        <v>0</v>
      </c>
      <c r="X77" s="20">
        <f t="shared" si="70"/>
        <v>0</v>
      </c>
      <c r="Y77" s="20">
        <f t="shared" si="70"/>
        <v>0</v>
      </c>
      <c r="Z77" s="20">
        <f t="shared" si="71"/>
        <v>0.18763188529338282</v>
      </c>
      <c r="AA77" s="20">
        <f t="shared" si="71"/>
        <v>0</v>
      </c>
      <c r="AB77" s="20">
        <f t="shared" si="71"/>
        <v>0</v>
      </c>
      <c r="AC77" s="20">
        <f t="shared" si="71"/>
        <v>0</v>
      </c>
      <c r="AD77" s="20">
        <f t="shared" si="72"/>
        <v>0.18763188529338282</v>
      </c>
      <c r="AE77" s="20">
        <f t="shared" si="73"/>
        <v>6.361111185174817</v>
      </c>
      <c r="AF77" s="20">
        <f t="shared" si="73"/>
        <v>0</v>
      </c>
      <c r="AG77" s="20">
        <f t="shared" si="73"/>
        <v>0</v>
      </c>
      <c r="AH77" s="20">
        <f t="shared" si="73"/>
        <v>0</v>
      </c>
      <c r="AI77" s="20">
        <f t="shared" si="74"/>
        <v>4.151147904720859</v>
      </c>
      <c r="AJ77" s="20">
        <f t="shared" si="74"/>
        <v>0</v>
      </c>
      <c r="AK77" s="20">
        <f t="shared" si="74"/>
        <v>0</v>
      </c>
      <c r="AL77" s="20">
        <f t="shared" si="74"/>
        <v>0</v>
      </c>
      <c r="AM77" s="20">
        <f t="shared" si="75"/>
        <v>4.151147904720859</v>
      </c>
      <c r="AO77">
        <f t="shared" si="76"/>
        <v>0.25896065263154833</v>
      </c>
      <c r="AP77">
        <f t="shared" si="76"/>
        <v>0</v>
      </c>
      <c r="AQ77">
        <f t="shared" si="76"/>
        <v>0</v>
      </c>
      <c r="AR77">
        <f t="shared" si="76"/>
        <v>0</v>
      </c>
      <c r="AS77">
        <f t="shared" si="77"/>
        <v>0.25896065263154833</v>
      </c>
      <c r="AU77">
        <f t="shared" si="78"/>
        <v>5.7292179785740789</v>
      </c>
      <c r="AV77">
        <f t="shared" si="78"/>
        <v>0</v>
      </c>
      <c r="AW77">
        <f t="shared" si="78"/>
        <v>0</v>
      </c>
      <c r="AX77">
        <f t="shared" si="78"/>
        <v>0</v>
      </c>
      <c r="AY77">
        <f t="shared" si="79"/>
        <v>5.7292179785740789</v>
      </c>
    </row>
    <row r="78" spans="1:51" ht="15" x14ac:dyDescent="0.25">
      <c r="A78" s="1"/>
      <c r="B78" s="2"/>
      <c r="C78" s="1" t="s">
        <v>11</v>
      </c>
      <c r="D78" s="285">
        <v>0</v>
      </c>
      <c r="E78" s="286">
        <v>0.78291162000000003</v>
      </c>
      <c r="F78" s="286">
        <v>0</v>
      </c>
      <c r="G78" s="286">
        <v>0</v>
      </c>
      <c r="H78" s="287">
        <v>0</v>
      </c>
      <c r="J78">
        <v>0</v>
      </c>
      <c r="K78">
        <v>-11.959299697982999</v>
      </c>
      <c r="L78">
        <v>0</v>
      </c>
      <c r="M78">
        <v>0</v>
      </c>
      <c r="N78">
        <v>-1.32979537788E-2</v>
      </c>
      <c r="O78" s="20"/>
      <c r="P78" s="20"/>
      <c r="Q78" s="147">
        <v>5.5255972987626384E-2</v>
      </c>
      <c r="R78" s="197">
        <v>5.6499999999999995E-2</v>
      </c>
      <c r="S78" s="197">
        <v>1.25</v>
      </c>
      <c r="T78" s="197">
        <v>0.50078889239507718</v>
      </c>
      <c r="U78" s="197">
        <v>0.75268470790377973</v>
      </c>
      <c r="V78" s="20">
        <f t="shared" si="70"/>
        <v>2.4442206979426628E-2</v>
      </c>
      <c r="W78" s="20">
        <f t="shared" si="70"/>
        <v>0</v>
      </c>
      <c r="X78" s="20">
        <f t="shared" si="70"/>
        <v>0</v>
      </c>
      <c r="Y78" s="20">
        <f t="shared" si="70"/>
        <v>0</v>
      </c>
      <c r="Z78" s="20">
        <f t="shared" si="71"/>
        <v>1.5950549099954456E-2</v>
      </c>
      <c r="AA78" s="20">
        <f t="shared" si="71"/>
        <v>0</v>
      </c>
      <c r="AB78" s="20">
        <f t="shared" si="71"/>
        <v>0</v>
      </c>
      <c r="AC78" s="20">
        <f t="shared" si="71"/>
        <v>0</v>
      </c>
      <c r="AD78" s="20">
        <f t="shared" si="72"/>
        <v>1.5950549099954456E-2</v>
      </c>
      <c r="AE78" s="20">
        <f t="shared" si="73"/>
        <v>0.54075679158023515</v>
      </c>
      <c r="AF78" s="20">
        <f t="shared" si="73"/>
        <v>0</v>
      </c>
      <c r="AG78" s="20">
        <f t="shared" si="73"/>
        <v>0</v>
      </c>
      <c r="AH78" s="20">
        <f t="shared" si="73"/>
        <v>0</v>
      </c>
      <c r="AI78" s="20">
        <f t="shared" si="74"/>
        <v>0.3528882544237712</v>
      </c>
      <c r="AJ78" s="20">
        <f t="shared" si="74"/>
        <v>0</v>
      </c>
      <c r="AK78" s="20">
        <f t="shared" si="74"/>
        <v>0</v>
      </c>
      <c r="AL78" s="20">
        <f t="shared" si="74"/>
        <v>0</v>
      </c>
      <c r="AM78" s="20">
        <f t="shared" si="75"/>
        <v>0.3528882544237712</v>
      </c>
      <c r="AO78">
        <f t="shared" si="76"/>
        <v>2.2014193367492822E-2</v>
      </c>
      <c r="AP78">
        <f t="shared" si="76"/>
        <v>0</v>
      </c>
      <c r="AQ78">
        <f t="shared" si="76"/>
        <v>0</v>
      </c>
      <c r="AR78">
        <f t="shared" si="76"/>
        <v>0</v>
      </c>
      <c r="AS78">
        <f t="shared" si="77"/>
        <v>2.2014193367492822E-2</v>
      </c>
      <c r="AU78">
        <f t="shared" si="78"/>
        <v>0.48703967627196515</v>
      </c>
      <c r="AV78">
        <f t="shared" si="78"/>
        <v>0</v>
      </c>
      <c r="AW78">
        <f t="shared" si="78"/>
        <v>0</v>
      </c>
      <c r="AX78">
        <f t="shared" si="78"/>
        <v>0</v>
      </c>
      <c r="AY78">
        <f t="shared" si="79"/>
        <v>0.48703967627196515</v>
      </c>
    </row>
    <row r="79" spans="1:51" ht="15" x14ac:dyDescent="0.25">
      <c r="A79" s="1"/>
      <c r="B79" s="13"/>
      <c r="C79" s="1" t="s">
        <v>12</v>
      </c>
      <c r="D79" s="285">
        <v>0</v>
      </c>
      <c r="E79" s="286">
        <v>1.4651121499999999</v>
      </c>
      <c r="F79" s="286">
        <v>0</v>
      </c>
      <c r="G79" s="286">
        <v>0</v>
      </c>
      <c r="H79" s="287">
        <v>0</v>
      </c>
      <c r="J79">
        <v>0</v>
      </c>
      <c r="K79">
        <v>-6.392958635158001</v>
      </c>
      <c r="L79">
        <v>-0.86004761266899998</v>
      </c>
      <c r="M79">
        <v>-3.3812473861979999</v>
      </c>
      <c r="N79">
        <v>-2.0042868427891758</v>
      </c>
      <c r="O79" s="20"/>
      <c r="P79" s="20"/>
      <c r="Q79" s="147">
        <v>5.5255972987626398E-2</v>
      </c>
      <c r="R79" s="197">
        <v>5.6499999999999995E-2</v>
      </c>
      <c r="S79" s="197">
        <v>1.25</v>
      </c>
      <c r="T79" s="197">
        <v>0.50078889239507718</v>
      </c>
      <c r="U79" s="197">
        <v>0.75268470790377973</v>
      </c>
      <c r="V79" s="20">
        <f t="shared" si="70"/>
        <v>4.5740251522097417E-2</v>
      </c>
      <c r="W79" s="20">
        <f t="shared" si="70"/>
        <v>0</v>
      </c>
      <c r="X79" s="20">
        <f t="shared" si="70"/>
        <v>0</v>
      </c>
      <c r="Y79" s="20">
        <f t="shared" si="70"/>
        <v>0</v>
      </c>
      <c r="Z79" s="20">
        <f t="shared" si="71"/>
        <v>2.9849273773091836E-2</v>
      </c>
      <c r="AA79" s="20">
        <f t="shared" si="71"/>
        <v>0</v>
      </c>
      <c r="AB79" s="20">
        <f t="shared" si="71"/>
        <v>0</v>
      </c>
      <c r="AC79" s="20">
        <f t="shared" si="71"/>
        <v>0</v>
      </c>
      <c r="AD79" s="20">
        <f t="shared" si="72"/>
        <v>2.9849273773091836E-2</v>
      </c>
      <c r="AE79" s="20">
        <f t="shared" si="73"/>
        <v>1.0119524673030402</v>
      </c>
      <c r="AF79" s="20">
        <f t="shared" si="73"/>
        <v>0</v>
      </c>
      <c r="AG79" s="20">
        <f t="shared" si="73"/>
        <v>0</v>
      </c>
      <c r="AH79" s="20">
        <f t="shared" si="73"/>
        <v>0</v>
      </c>
      <c r="AI79" s="20">
        <f t="shared" si="74"/>
        <v>0.66038216312150078</v>
      </c>
      <c r="AJ79" s="20">
        <f t="shared" si="74"/>
        <v>0</v>
      </c>
      <c r="AK79" s="20">
        <f t="shared" si="74"/>
        <v>0</v>
      </c>
      <c r="AL79" s="20">
        <f t="shared" si="74"/>
        <v>0</v>
      </c>
      <c r="AM79" s="20">
        <f t="shared" si="75"/>
        <v>0.66038216312150078</v>
      </c>
      <c r="AO79">
        <f t="shared" si="76"/>
        <v>4.1196555717442476E-2</v>
      </c>
      <c r="AP79">
        <f t="shared" si="76"/>
        <v>0</v>
      </c>
      <c r="AQ79">
        <f t="shared" si="76"/>
        <v>0</v>
      </c>
      <c r="AR79">
        <f t="shared" si="76"/>
        <v>0</v>
      </c>
      <c r="AS79">
        <f t="shared" si="77"/>
        <v>4.1196555717442476E-2</v>
      </c>
      <c r="AU79">
        <f t="shared" si="78"/>
        <v>0.91142822383722299</v>
      </c>
      <c r="AV79">
        <f t="shared" si="78"/>
        <v>0</v>
      </c>
      <c r="AW79">
        <f t="shared" si="78"/>
        <v>0</v>
      </c>
      <c r="AX79">
        <f t="shared" si="78"/>
        <v>0</v>
      </c>
      <c r="AY79">
        <f t="shared" si="79"/>
        <v>0.91142822383722299</v>
      </c>
    </row>
    <row r="80" spans="1:51" ht="15" x14ac:dyDescent="0.25">
      <c r="A80" s="1"/>
      <c r="B80" s="13"/>
      <c r="C80" s="1" t="s">
        <v>13</v>
      </c>
      <c r="D80" s="285">
        <v>0</v>
      </c>
      <c r="E80" s="286">
        <v>0</v>
      </c>
      <c r="F80" s="286">
        <v>0</v>
      </c>
      <c r="G80" s="286">
        <v>0</v>
      </c>
      <c r="H80" s="287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20"/>
      <c r="P80" s="20"/>
      <c r="Q80" s="147"/>
      <c r="R80" s="197">
        <v>5.6499999999999995E-2</v>
      </c>
      <c r="S80" s="197">
        <v>1.25</v>
      </c>
      <c r="T80" s="197">
        <v>0.50078889239507718</v>
      </c>
      <c r="U80" s="197">
        <v>0.75268470790377973</v>
      </c>
      <c r="V80" s="20">
        <f t="shared" si="70"/>
        <v>0</v>
      </c>
      <c r="W80" s="20">
        <f t="shared" si="70"/>
        <v>0</v>
      </c>
      <c r="X80" s="20">
        <f t="shared" si="70"/>
        <v>0</v>
      </c>
      <c r="Y80" s="20">
        <f t="shared" si="70"/>
        <v>0</v>
      </c>
      <c r="Z80" s="20">
        <f t="shared" si="71"/>
        <v>0</v>
      </c>
      <c r="AA80" s="20">
        <f t="shared" si="71"/>
        <v>0</v>
      </c>
      <c r="AB80" s="20">
        <f t="shared" si="71"/>
        <v>0</v>
      </c>
      <c r="AC80" s="20">
        <f t="shared" si="71"/>
        <v>0</v>
      </c>
      <c r="AD80" s="20">
        <f t="shared" si="72"/>
        <v>0</v>
      </c>
      <c r="AE80" s="20">
        <f t="shared" si="73"/>
        <v>0</v>
      </c>
      <c r="AF80" s="20">
        <f t="shared" si="73"/>
        <v>0</v>
      </c>
      <c r="AG80" s="20">
        <f t="shared" si="73"/>
        <v>0</v>
      </c>
      <c r="AH80" s="20">
        <f t="shared" si="73"/>
        <v>0</v>
      </c>
      <c r="AI80" s="20">
        <f t="shared" si="74"/>
        <v>0</v>
      </c>
      <c r="AJ80" s="20">
        <f t="shared" si="74"/>
        <v>0</v>
      </c>
      <c r="AK80" s="20">
        <f t="shared" si="74"/>
        <v>0</v>
      </c>
      <c r="AL80" s="20">
        <f t="shared" si="74"/>
        <v>0</v>
      </c>
      <c r="AM80" s="20">
        <f t="shared" si="75"/>
        <v>0</v>
      </c>
      <c r="AO80">
        <f t="shared" si="76"/>
        <v>0</v>
      </c>
      <c r="AP80">
        <f t="shared" si="76"/>
        <v>0</v>
      </c>
      <c r="AQ80">
        <f t="shared" si="76"/>
        <v>0</v>
      </c>
      <c r="AR80">
        <f t="shared" si="76"/>
        <v>0</v>
      </c>
      <c r="AS80">
        <f t="shared" si="77"/>
        <v>0</v>
      </c>
      <c r="AU80">
        <f t="shared" si="78"/>
        <v>0</v>
      </c>
      <c r="AV80">
        <f t="shared" si="78"/>
        <v>0</v>
      </c>
      <c r="AW80">
        <f t="shared" si="78"/>
        <v>0</v>
      </c>
      <c r="AX80">
        <f t="shared" si="78"/>
        <v>0</v>
      </c>
      <c r="AY80">
        <f t="shared" si="79"/>
        <v>0</v>
      </c>
    </row>
    <row r="81" spans="1:51" ht="15" x14ac:dyDescent="0.25">
      <c r="A81" s="7"/>
      <c r="B81" s="8" t="s">
        <v>14</v>
      </c>
      <c r="C81" s="7"/>
      <c r="D81" s="288">
        <f>SUM(D75:D80)</f>
        <v>0</v>
      </c>
      <c r="E81" s="289">
        <f>SUM(E75:E80)</f>
        <v>232.39553426000001</v>
      </c>
      <c r="F81" s="289">
        <f>SUM(F75:F80)</f>
        <v>8.7156364400000008</v>
      </c>
      <c r="G81" s="289">
        <f>SUM(G75:G80)</f>
        <v>3.3235228299999999</v>
      </c>
      <c r="H81" s="290">
        <f>SUM(H75:H80)</f>
        <v>14.408158459999999</v>
      </c>
      <c r="J81">
        <v>0</v>
      </c>
      <c r="K81">
        <v>-69.890715476661995</v>
      </c>
      <c r="L81">
        <v>-5.4712615713324002</v>
      </c>
      <c r="M81">
        <v>-7.0499445264520002</v>
      </c>
      <c r="N81">
        <v>-6.8245491857619767</v>
      </c>
      <c r="O81" s="20"/>
      <c r="P81" s="20"/>
      <c r="Q81" s="147"/>
      <c r="R81" s="197"/>
      <c r="S81" s="197"/>
      <c r="T81" s="197"/>
      <c r="U81" s="197"/>
    </row>
    <row r="82" spans="1:51" ht="15" x14ac:dyDescent="0.25">
      <c r="A82" s="10"/>
      <c r="B82" s="9" t="s">
        <v>15</v>
      </c>
      <c r="C82" s="5"/>
      <c r="D82" s="291"/>
      <c r="E82" s="292"/>
      <c r="F82" s="292"/>
      <c r="G82" s="292"/>
      <c r="H82" s="293">
        <f>SUM(D81:H81)</f>
        <v>258.84285198999999</v>
      </c>
      <c r="N82">
        <v>-89.236470760208377</v>
      </c>
      <c r="O82" s="20"/>
      <c r="P82" s="20"/>
      <c r="Q82" s="147"/>
      <c r="R82" s="197"/>
      <c r="S82" s="197"/>
      <c r="T82" s="197"/>
      <c r="U82" s="197"/>
    </row>
    <row r="83" spans="1:51" ht="15.75" thickBot="1" x14ac:dyDescent="0.3">
      <c r="A83" s="1"/>
      <c r="B83" s="2"/>
      <c r="C83" s="1"/>
      <c r="D83" s="297"/>
      <c r="E83" s="298"/>
      <c r="F83" s="298"/>
      <c r="G83" s="298"/>
      <c r="H83" s="299"/>
      <c r="O83" s="20"/>
      <c r="P83" s="20"/>
      <c r="Q83" s="147"/>
      <c r="R83" s="197"/>
      <c r="S83" s="197"/>
      <c r="T83" s="197"/>
      <c r="U83" s="197"/>
    </row>
    <row r="84" spans="1:51" ht="15" x14ac:dyDescent="0.25">
      <c r="A84" s="1">
        <v>9</v>
      </c>
      <c r="B84" s="2" t="s">
        <v>23</v>
      </c>
      <c r="C84" s="1" t="s">
        <v>8</v>
      </c>
      <c r="D84" s="282">
        <v>0</v>
      </c>
      <c r="E84" s="283">
        <v>3.8081370899999998</v>
      </c>
      <c r="F84" s="283">
        <v>15.41136605</v>
      </c>
      <c r="G84" s="283">
        <v>90.138140440000001</v>
      </c>
      <c r="H84" s="284">
        <v>205.95822059</v>
      </c>
      <c r="J84">
        <v>0</v>
      </c>
      <c r="K84">
        <v>-78.691164906149993</v>
      </c>
      <c r="L84">
        <v>9.349220743410001</v>
      </c>
      <c r="M84">
        <v>61.25684696551</v>
      </c>
      <c r="N84">
        <v>144.1368872389626</v>
      </c>
      <c r="O84" s="20"/>
      <c r="P84" s="20"/>
      <c r="Q84" s="147">
        <v>2.0563993246906598E-2</v>
      </c>
      <c r="R84" s="197">
        <v>0.38700000000000001</v>
      </c>
      <c r="S84" s="197">
        <v>2.48</v>
      </c>
      <c r="T84" s="197">
        <v>0.72182006204756977</v>
      </c>
      <c r="U84" s="197">
        <v>0.90789473684210531</v>
      </c>
      <c r="V84" s="20">
        <f t="shared" ref="V84:Y89" si="80">IF(K84&gt;0,((E84-K84)*$Q84*$R84*10)+(K84*$O$12*$Q84*$R84*10),(E84*$Q84*$R84*10))</f>
        <v>0.30306165590595113</v>
      </c>
      <c r="W84" s="20">
        <f t="shared" si="80"/>
        <v>0.75606229815697901</v>
      </c>
      <c r="X84" s="20">
        <f t="shared" si="80"/>
        <v>4.0912347476864426</v>
      </c>
      <c r="Y84" s="20">
        <f t="shared" si="80"/>
        <v>9.1383144650087011</v>
      </c>
      <c r="Z84" s="20">
        <f t="shared" ref="Z84:AC89" si="81">V84*(EXP(1.01-0.34*LN(Z$8))*(1-$T84)+(1*$T84))</f>
        <v>0.24439050210843011</v>
      </c>
      <c r="AA84" s="20">
        <f t="shared" si="81"/>
        <v>0.61389973051461677</v>
      </c>
      <c r="AB84" s="20">
        <f t="shared" si="81"/>
        <v>3.3303462964289308</v>
      </c>
      <c r="AC84" s="20">
        <f t="shared" si="81"/>
        <v>7.257790539511471</v>
      </c>
      <c r="AD84" s="20">
        <f t="shared" ref="AD84:AD89" si="82">SUM(Z84:AC84)</f>
        <v>11.446427068563448</v>
      </c>
      <c r="AE84" s="20">
        <f t="shared" ref="AE84:AH89" si="83">IF(K84&gt;0,((E84-K84)*$Q84*$S84*10)+(K84*$P$12*$Q84*$S84)*10,(E84*$Q84*$S84*10))</f>
        <v>1.9421005339709527</v>
      </c>
      <c r="AF84" s="20">
        <f t="shared" si="83"/>
        <v>5.8528974758604839</v>
      </c>
      <c r="AG84" s="20">
        <f t="shared" si="83"/>
        <v>32.821226984668584</v>
      </c>
      <c r="AH84" s="20">
        <f t="shared" si="83"/>
        <v>74.09874817057036</v>
      </c>
      <c r="AI84" s="20">
        <f t="shared" ref="AI84:AL89" si="84">AE84*(EXP(1.01-0.34*LN(AI$8))*(1-$T84)+(1*$T84))</f>
        <v>1.5661200135113864</v>
      </c>
      <c r="AJ84" s="20">
        <f t="shared" si="84"/>
        <v>4.7523758186582779</v>
      </c>
      <c r="AK84" s="20">
        <f t="shared" si="84"/>
        <v>26.717130273313188</v>
      </c>
      <c r="AL84" s="20">
        <f t="shared" si="84"/>
        <v>58.850370658753249</v>
      </c>
      <c r="AM84" s="20">
        <f t="shared" ref="AM84:AM89" si="85">SUM(AI84:AL84)</f>
        <v>91.885996764236097</v>
      </c>
      <c r="AO84">
        <f t="shared" ref="AO84:AR89" si="86">Z84*AO$10</f>
        <v>0.33729621073728455</v>
      </c>
      <c r="AP84">
        <f t="shared" si="86"/>
        <v>0.72434411327998671</v>
      </c>
      <c r="AQ84">
        <f t="shared" si="86"/>
        <v>3.9464039578931946</v>
      </c>
      <c r="AR84">
        <f t="shared" si="86"/>
        <v>8.1369510660202682</v>
      </c>
      <c r="AS84">
        <f t="shared" ref="AS84:AS89" si="87">SUM(AO84:AR84)</f>
        <v>13.144995347930735</v>
      </c>
      <c r="AU84">
        <f t="shared" ref="AU84:AX89" si="88">AI84*AU$10</f>
        <v>2.1614847613138641</v>
      </c>
      <c r="AV84">
        <f t="shared" si="88"/>
        <v>5.6073578098065635</v>
      </c>
      <c r="AW84">
        <f t="shared" si="88"/>
        <v>31.65934688750205</v>
      </c>
      <c r="AX84">
        <f t="shared" si="88"/>
        <v>65.979113569136274</v>
      </c>
      <c r="AY84">
        <f t="shared" ref="AY84:AY89" si="89">SUM(AU84:AX84)</f>
        <v>105.40730302775876</v>
      </c>
    </row>
    <row r="85" spans="1:51" ht="15" x14ac:dyDescent="0.25">
      <c r="A85" s="1"/>
      <c r="B85" s="2"/>
      <c r="C85" s="1" t="s">
        <v>9</v>
      </c>
      <c r="D85" s="285">
        <v>0</v>
      </c>
      <c r="E85" s="286">
        <v>0</v>
      </c>
      <c r="F85" s="286">
        <v>0</v>
      </c>
      <c r="G85" s="286">
        <v>1.17883128</v>
      </c>
      <c r="H85" s="287">
        <v>10.10015729</v>
      </c>
      <c r="J85">
        <v>0</v>
      </c>
      <c r="K85">
        <v>-2.1227532942499998</v>
      </c>
      <c r="L85">
        <v>0</v>
      </c>
      <c r="M85">
        <v>1.1549124489154001</v>
      </c>
      <c r="N85">
        <v>-2.2202391601000002</v>
      </c>
      <c r="O85" s="20"/>
      <c r="P85" s="20"/>
      <c r="Q85" s="147">
        <v>3.2127986493813196E-2</v>
      </c>
      <c r="R85" s="197">
        <v>0.38700000000000001</v>
      </c>
      <c r="S85" s="197">
        <v>2.48</v>
      </c>
      <c r="T85" s="197">
        <v>0.72182006204756977</v>
      </c>
      <c r="U85" s="197">
        <v>0.90789473684210531</v>
      </c>
      <c r="V85" s="20">
        <f t="shared" si="80"/>
        <v>0</v>
      </c>
      <c r="W85" s="20">
        <f t="shared" si="80"/>
        <v>0</v>
      </c>
      <c r="X85" s="20">
        <f t="shared" si="80"/>
        <v>5.5781823071893916E-2</v>
      </c>
      <c r="Y85" s="20">
        <f t="shared" si="80"/>
        <v>1.2558061647842296</v>
      </c>
      <c r="Z85" s="20">
        <f t="shared" si="81"/>
        <v>0</v>
      </c>
      <c r="AA85" s="20">
        <f t="shared" si="81"/>
        <v>0</v>
      </c>
      <c r="AB85" s="20">
        <f t="shared" si="81"/>
        <v>4.5407511260650263E-2</v>
      </c>
      <c r="AC85" s="20">
        <f t="shared" si="81"/>
        <v>0.99738065888745775</v>
      </c>
      <c r="AD85" s="20">
        <f t="shared" si="82"/>
        <v>1.0427881701481081</v>
      </c>
      <c r="AE85" s="20">
        <f t="shared" si="83"/>
        <v>0</v>
      </c>
      <c r="AF85" s="20">
        <f t="shared" si="83"/>
        <v>0</v>
      </c>
      <c r="AG85" s="20">
        <f t="shared" si="83"/>
        <v>0.55197599518322737</v>
      </c>
      <c r="AH85" s="20">
        <f t="shared" si="83"/>
        <v>8.0475433815630204</v>
      </c>
      <c r="AI85" s="20">
        <f t="shared" si="84"/>
        <v>0</v>
      </c>
      <c r="AJ85" s="20">
        <f t="shared" si="84"/>
        <v>0</v>
      </c>
      <c r="AK85" s="20">
        <f t="shared" si="84"/>
        <v>0.44931941691091198</v>
      </c>
      <c r="AL85" s="20">
        <f t="shared" si="84"/>
        <v>6.3914832920953355</v>
      </c>
      <c r="AM85" s="20">
        <f t="shared" si="85"/>
        <v>6.8408027090062475</v>
      </c>
      <c r="AO85">
        <f t="shared" si="86"/>
        <v>0</v>
      </c>
      <c r="AP85">
        <f t="shared" si="86"/>
        <v>0</v>
      </c>
      <c r="AQ85">
        <f t="shared" si="86"/>
        <v>5.3807131813667239E-2</v>
      </c>
      <c r="AR85">
        <f t="shared" si="86"/>
        <v>1.1181967254883838</v>
      </c>
      <c r="AS85">
        <f t="shared" si="87"/>
        <v>1.172003857302051</v>
      </c>
      <c r="AU85">
        <f t="shared" si="88"/>
        <v>0</v>
      </c>
      <c r="AV85">
        <f t="shared" si="88"/>
        <v>0</v>
      </c>
      <c r="AW85">
        <f t="shared" si="88"/>
        <v>0.53243589928075974</v>
      </c>
      <c r="AX85">
        <f t="shared" si="88"/>
        <v>7.1657051142408044</v>
      </c>
      <c r="AY85">
        <f t="shared" si="89"/>
        <v>7.698141013521564</v>
      </c>
    </row>
    <row r="86" spans="1:51" ht="15" x14ac:dyDescent="0.25">
      <c r="A86" s="1"/>
      <c r="B86" s="2"/>
      <c r="C86" s="1" t="s">
        <v>10</v>
      </c>
      <c r="D86" s="285">
        <v>0</v>
      </c>
      <c r="E86" s="286">
        <v>3.1382823200000001</v>
      </c>
      <c r="F86" s="286">
        <v>0</v>
      </c>
      <c r="G86" s="286">
        <v>8.2785517199999994</v>
      </c>
      <c r="H86" s="287">
        <v>5.4227730599999999</v>
      </c>
      <c r="J86">
        <v>0</v>
      </c>
      <c r="K86">
        <v>-2.4850799520499995</v>
      </c>
      <c r="L86">
        <v>0</v>
      </c>
      <c r="M86">
        <v>6.8875442954699997</v>
      </c>
      <c r="N86">
        <v>5.4227730599999999</v>
      </c>
      <c r="O86" s="20"/>
      <c r="P86" s="20"/>
      <c r="Q86" s="147">
        <v>4.3691979740719797E-2</v>
      </c>
      <c r="R86" s="197">
        <v>0.38700000000000001</v>
      </c>
      <c r="S86" s="197">
        <v>2.48</v>
      </c>
      <c r="T86" s="197">
        <v>0.72182006204756977</v>
      </c>
      <c r="U86" s="197">
        <v>0.90789473684210531</v>
      </c>
      <c r="V86" s="20">
        <f t="shared" si="80"/>
        <v>0.53064576040340361</v>
      </c>
      <c r="W86" s="20">
        <f t="shared" si="80"/>
        <v>0</v>
      </c>
      <c r="X86" s="20">
        <f t="shared" si="80"/>
        <v>0.66348694533565089</v>
      </c>
      <c r="Y86" s="20">
        <f t="shared" si="80"/>
        <v>0.33720128047915349</v>
      </c>
      <c r="Z86" s="20">
        <f t="shared" si="81"/>
        <v>0.42791551256798543</v>
      </c>
      <c r="AA86" s="20">
        <f t="shared" si="81"/>
        <v>0</v>
      </c>
      <c r="AB86" s="20">
        <f t="shared" si="81"/>
        <v>0.5400915438492162</v>
      </c>
      <c r="AC86" s="20">
        <f t="shared" si="81"/>
        <v>0.26781046688027538</v>
      </c>
      <c r="AD86" s="20">
        <f t="shared" si="82"/>
        <v>1.2358175232974771</v>
      </c>
      <c r="AE86" s="20">
        <f t="shared" si="83"/>
        <v>3.4005206351432582</v>
      </c>
      <c r="AF86" s="20">
        <f t="shared" si="83"/>
        <v>0</v>
      </c>
      <c r="AG86" s="20">
        <f t="shared" si="83"/>
        <v>5.8293336679838017</v>
      </c>
      <c r="AH86" s="20">
        <f t="shared" si="83"/>
        <v>3.402914564942348</v>
      </c>
      <c r="AI86" s="20">
        <f t="shared" si="84"/>
        <v>2.7421975999188728</v>
      </c>
      <c r="AJ86" s="20">
        <f t="shared" si="84"/>
        <v>0</v>
      </c>
      <c r="AK86" s="20">
        <f t="shared" si="84"/>
        <v>4.7451933191554465</v>
      </c>
      <c r="AL86" s="20">
        <f t="shared" si="84"/>
        <v>2.7026473241617484</v>
      </c>
      <c r="AM86" s="20">
        <f t="shared" si="85"/>
        <v>10.190038243236067</v>
      </c>
      <c r="AO86">
        <f t="shared" si="86"/>
        <v>0.59058874898848057</v>
      </c>
      <c r="AP86">
        <f t="shared" si="86"/>
        <v>0</v>
      </c>
      <c r="AQ86">
        <f t="shared" si="86"/>
        <v>0.6399993323687313</v>
      </c>
      <c r="AR86">
        <f t="shared" si="86"/>
        <v>0.30025124755384908</v>
      </c>
      <c r="AS86">
        <f t="shared" si="87"/>
        <v>1.5308393289110609</v>
      </c>
      <c r="AU86">
        <f t="shared" si="88"/>
        <v>3.7846514147065413</v>
      </c>
      <c r="AV86">
        <f t="shared" si="88"/>
        <v>0</v>
      </c>
      <c r="AW86">
        <f t="shared" si="88"/>
        <v>5.622973717707203</v>
      </c>
      <c r="AX86">
        <f t="shared" si="88"/>
        <v>3.0300280651107108</v>
      </c>
      <c r="AY86">
        <f t="shared" si="89"/>
        <v>12.437653197524456</v>
      </c>
    </row>
    <row r="87" spans="1:51" ht="15" x14ac:dyDescent="0.25">
      <c r="A87" s="1"/>
      <c r="B87" s="2"/>
      <c r="C87" s="1" t="s">
        <v>11</v>
      </c>
      <c r="D87" s="285">
        <v>0</v>
      </c>
      <c r="E87" s="286">
        <v>0</v>
      </c>
      <c r="F87" s="286">
        <v>0</v>
      </c>
      <c r="G87" s="286">
        <v>3.9220495400000002</v>
      </c>
      <c r="H87" s="287">
        <v>0</v>
      </c>
      <c r="J87">
        <v>0</v>
      </c>
      <c r="K87">
        <v>-0.26721763230700002</v>
      </c>
      <c r="L87">
        <v>0</v>
      </c>
      <c r="M87">
        <v>3.9220495400000002</v>
      </c>
      <c r="N87">
        <v>0</v>
      </c>
      <c r="O87" s="20"/>
      <c r="P87" s="20"/>
      <c r="Q87" s="147">
        <v>5.5255972987626398E-2</v>
      </c>
      <c r="R87" s="197">
        <v>0.38700000000000001</v>
      </c>
      <c r="S87" s="197">
        <v>2.48</v>
      </c>
      <c r="T87" s="197">
        <v>0.72182006204756977</v>
      </c>
      <c r="U87" s="197">
        <v>0.90789473684210531</v>
      </c>
      <c r="V87" s="20">
        <f t="shared" si="80"/>
        <v>0</v>
      </c>
      <c r="W87" s="20">
        <f t="shared" si="80"/>
        <v>0</v>
      </c>
      <c r="X87" s="20">
        <f t="shared" si="80"/>
        <v>0.30843124532677235</v>
      </c>
      <c r="Y87" s="20">
        <f t="shared" si="80"/>
        <v>0</v>
      </c>
      <c r="Z87" s="20">
        <f t="shared" si="81"/>
        <v>0</v>
      </c>
      <c r="AA87" s="20">
        <f t="shared" si="81"/>
        <v>0</v>
      </c>
      <c r="AB87" s="20">
        <f t="shared" si="81"/>
        <v>0.25106915611670588</v>
      </c>
      <c r="AC87" s="20">
        <f t="shared" si="81"/>
        <v>0</v>
      </c>
      <c r="AD87" s="20">
        <f t="shared" si="82"/>
        <v>0.25106915611670588</v>
      </c>
      <c r="AE87" s="20">
        <f t="shared" si="83"/>
        <v>0</v>
      </c>
      <c r="AF87" s="20">
        <f t="shared" si="83"/>
        <v>0</v>
      </c>
      <c r="AG87" s="20">
        <f t="shared" si="83"/>
        <v>3.1125776732353385</v>
      </c>
      <c r="AH87" s="20">
        <f t="shared" si="83"/>
        <v>0</v>
      </c>
      <c r="AI87" s="20">
        <f t="shared" si="84"/>
        <v>0</v>
      </c>
      <c r="AJ87" s="20">
        <f t="shared" si="84"/>
        <v>0</v>
      </c>
      <c r="AK87" s="20">
        <f t="shared" si="84"/>
        <v>2.5337000112908572</v>
      </c>
      <c r="AL87" s="20">
        <f t="shared" si="84"/>
        <v>0</v>
      </c>
      <c r="AM87" s="20">
        <f t="shared" si="85"/>
        <v>2.5337000112908572</v>
      </c>
      <c r="AO87">
        <f t="shared" si="86"/>
        <v>0</v>
      </c>
      <c r="AP87">
        <f t="shared" si="86"/>
        <v>0</v>
      </c>
      <c r="AQ87">
        <f t="shared" si="86"/>
        <v>0.29751269784355788</v>
      </c>
      <c r="AR87">
        <f t="shared" si="86"/>
        <v>0</v>
      </c>
      <c r="AS87">
        <f t="shared" si="87"/>
        <v>0.29751269784355788</v>
      </c>
      <c r="AU87">
        <f t="shared" si="88"/>
        <v>0</v>
      </c>
      <c r="AV87">
        <f t="shared" si="88"/>
        <v>0</v>
      </c>
      <c r="AW87">
        <f t="shared" si="88"/>
        <v>3.0023916021568144</v>
      </c>
      <c r="AX87">
        <f t="shared" si="88"/>
        <v>0</v>
      </c>
      <c r="AY87">
        <f t="shared" si="89"/>
        <v>3.0023916021568144</v>
      </c>
    </row>
    <row r="88" spans="1:51" ht="15" x14ac:dyDescent="0.25">
      <c r="A88" s="1"/>
      <c r="B88" s="2"/>
      <c r="C88" s="1" t="s">
        <v>12</v>
      </c>
      <c r="D88" s="285">
        <v>0</v>
      </c>
      <c r="E88" s="286">
        <v>0</v>
      </c>
      <c r="F88" s="286">
        <v>0</v>
      </c>
      <c r="G88" s="286">
        <v>0</v>
      </c>
      <c r="H88" s="287">
        <v>8.4744599999999996E-3</v>
      </c>
      <c r="J88">
        <v>0</v>
      </c>
      <c r="K88">
        <v>0</v>
      </c>
      <c r="L88">
        <v>0</v>
      </c>
      <c r="M88">
        <v>0</v>
      </c>
      <c r="N88">
        <v>-0.937410731971</v>
      </c>
      <c r="O88" s="20"/>
      <c r="P88" s="20"/>
      <c r="Q88" s="147">
        <v>5.5255972987626391E-2</v>
      </c>
      <c r="R88" s="197">
        <v>0.38700000000000001</v>
      </c>
      <c r="S88" s="197">
        <v>2.48</v>
      </c>
      <c r="T88" s="197">
        <v>0.72182006204756977</v>
      </c>
      <c r="U88" s="197">
        <v>0.90789473684210531</v>
      </c>
      <c r="V88" s="20">
        <f t="shared" si="80"/>
        <v>0</v>
      </c>
      <c r="W88" s="20">
        <f t="shared" si="80"/>
        <v>0</v>
      </c>
      <c r="X88" s="20">
        <f t="shared" si="80"/>
        <v>0</v>
      </c>
      <c r="Y88" s="20">
        <f t="shared" si="80"/>
        <v>1.8121837421090675E-3</v>
      </c>
      <c r="Z88" s="20">
        <f t="shared" si="81"/>
        <v>0</v>
      </c>
      <c r="AA88" s="20">
        <f t="shared" si="81"/>
        <v>0</v>
      </c>
      <c r="AB88" s="20">
        <f t="shared" si="81"/>
        <v>0</v>
      </c>
      <c r="AC88" s="20">
        <f t="shared" si="81"/>
        <v>1.4392643271029261E-3</v>
      </c>
      <c r="AD88" s="20">
        <f t="shared" si="82"/>
        <v>1.4392643271029261E-3</v>
      </c>
      <c r="AE88" s="20">
        <f t="shared" si="83"/>
        <v>0</v>
      </c>
      <c r="AF88" s="20">
        <f t="shared" si="83"/>
        <v>0</v>
      </c>
      <c r="AG88" s="20">
        <f t="shared" si="83"/>
        <v>0</v>
      </c>
      <c r="AH88" s="20">
        <f t="shared" si="83"/>
        <v>1.1612960414549064E-2</v>
      </c>
      <c r="AI88" s="20">
        <f t="shared" si="84"/>
        <v>0</v>
      </c>
      <c r="AJ88" s="20">
        <f t="shared" si="84"/>
        <v>0</v>
      </c>
      <c r="AK88" s="20">
        <f t="shared" si="84"/>
        <v>0</v>
      </c>
      <c r="AL88" s="20">
        <f t="shared" si="84"/>
        <v>9.2231925871195282E-3</v>
      </c>
      <c r="AM88" s="20">
        <f t="shared" si="85"/>
        <v>9.2231925871195282E-3</v>
      </c>
      <c r="AO88">
        <f t="shared" si="86"/>
        <v>0</v>
      </c>
      <c r="AP88">
        <f t="shared" si="86"/>
        <v>0</v>
      </c>
      <c r="AQ88">
        <f t="shared" si="86"/>
        <v>0</v>
      </c>
      <c r="AR88">
        <f t="shared" si="86"/>
        <v>1.6136072454763061E-3</v>
      </c>
      <c r="AS88">
        <f t="shared" si="87"/>
        <v>1.6136072454763061E-3</v>
      </c>
      <c r="AU88">
        <f t="shared" si="88"/>
        <v>0</v>
      </c>
      <c r="AV88">
        <f t="shared" si="88"/>
        <v>0</v>
      </c>
      <c r="AW88">
        <f t="shared" si="88"/>
        <v>0</v>
      </c>
      <c r="AX88">
        <f t="shared" si="88"/>
        <v>1.0340428859899845E-2</v>
      </c>
      <c r="AY88">
        <f t="shared" si="89"/>
        <v>1.0340428859899845E-2</v>
      </c>
    </row>
    <row r="89" spans="1:51" ht="15" x14ac:dyDescent="0.25">
      <c r="A89" s="1"/>
      <c r="B89" s="2"/>
      <c r="C89" s="1" t="s">
        <v>13</v>
      </c>
      <c r="D89" s="285">
        <v>0</v>
      </c>
      <c r="E89" s="286">
        <v>0</v>
      </c>
      <c r="F89" s="286">
        <v>0</v>
      </c>
      <c r="G89" s="286">
        <v>0</v>
      </c>
      <c r="H89" s="287">
        <v>0</v>
      </c>
      <c r="J89">
        <v>0</v>
      </c>
      <c r="K89">
        <v>0</v>
      </c>
      <c r="L89">
        <v>0</v>
      </c>
      <c r="M89">
        <v>0</v>
      </c>
      <c r="N89">
        <v>0</v>
      </c>
      <c r="O89" s="20"/>
      <c r="P89" s="20"/>
      <c r="Q89" s="147"/>
      <c r="R89" s="197">
        <v>0.38700000000000001</v>
      </c>
      <c r="S89" s="197">
        <v>2.48</v>
      </c>
      <c r="T89" s="197">
        <v>0.72182006204756977</v>
      </c>
      <c r="U89" s="197">
        <v>0.90789473684210531</v>
      </c>
      <c r="V89" s="20">
        <f t="shared" si="80"/>
        <v>0</v>
      </c>
      <c r="W89" s="20">
        <f t="shared" si="80"/>
        <v>0</v>
      </c>
      <c r="X89" s="20">
        <f t="shared" si="80"/>
        <v>0</v>
      </c>
      <c r="Y89" s="20">
        <f t="shared" si="80"/>
        <v>0</v>
      </c>
      <c r="Z89" s="20">
        <f t="shared" si="81"/>
        <v>0</v>
      </c>
      <c r="AA89" s="20">
        <f t="shared" si="81"/>
        <v>0</v>
      </c>
      <c r="AB89" s="20">
        <f t="shared" si="81"/>
        <v>0</v>
      </c>
      <c r="AC89" s="20">
        <f t="shared" si="81"/>
        <v>0</v>
      </c>
      <c r="AD89" s="20">
        <f t="shared" si="82"/>
        <v>0</v>
      </c>
      <c r="AE89" s="20">
        <f t="shared" si="83"/>
        <v>0</v>
      </c>
      <c r="AF89" s="20">
        <f t="shared" si="83"/>
        <v>0</v>
      </c>
      <c r="AG89" s="20">
        <f t="shared" si="83"/>
        <v>0</v>
      </c>
      <c r="AH89" s="20">
        <f t="shared" si="83"/>
        <v>0</v>
      </c>
      <c r="AI89" s="20">
        <f t="shared" si="84"/>
        <v>0</v>
      </c>
      <c r="AJ89" s="20">
        <f t="shared" si="84"/>
        <v>0</v>
      </c>
      <c r="AK89" s="20">
        <f t="shared" si="84"/>
        <v>0</v>
      </c>
      <c r="AL89" s="20">
        <f t="shared" si="84"/>
        <v>0</v>
      </c>
      <c r="AM89" s="20">
        <f t="shared" si="85"/>
        <v>0</v>
      </c>
      <c r="AO89">
        <f t="shared" si="86"/>
        <v>0</v>
      </c>
      <c r="AP89">
        <f t="shared" si="86"/>
        <v>0</v>
      </c>
      <c r="AQ89">
        <f t="shared" si="86"/>
        <v>0</v>
      </c>
      <c r="AR89">
        <f t="shared" si="86"/>
        <v>0</v>
      </c>
      <c r="AS89">
        <f t="shared" si="87"/>
        <v>0</v>
      </c>
      <c r="AU89">
        <f t="shared" si="88"/>
        <v>0</v>
      </c>
      <c r="AV89">
        <f t="shared" si="88"/>
        <v>0</v>
      </c>
      <c r="AW89">
        <f t="shared" si="88"/>
        <v>0</v>
      </c>
      <c r="AX89">
        <f t="shared" si="88"/>
        <v>0</v>
      </c>
      <c r="AY89">
        <f t="shared" si="89"/>
        <v>0</v>
      </c>
    </row>
    <row r="90" spans="1:51" ht="15" x14ac:dyDescent="0.25">
      <c r="A90" s="7"/>
      <c r="B90" s="8" t="s">
        <v>14</v>
      </c>
      <c r="C90" s="7"/>
      <c r="D90" s="288">
        <f>SUM(D84:D89)</f>
        <v>0</v>
      </c>
      <c r="E90" s="289">
        <f>SUM(E84:E89)</f>
        <v>6.9464194099999998</v>
      </c>
      <c r="F90" s="289">
        <f>SUM(F84:F89)</f>
        <v>15.41136605</v>
      </c>
      <c r="G90" s="289">
        <f>SUM(G84:G89)</f>
        <v>103.51757298</v>
      </c>
      <c r="H90" s="290">
        <f>SUM(H84:H89)</f>
        <v>221.48962539999999</v>
      </c>
      <c r="J90">
        <v>0</v>
      </c>
      <c r="K90">
        <v>-83.566215784756992</v>
      </c>
      <c r="L90">
        <v>9.349220743410001</v>
      </c>
      <c r="M90">
        <v>73.221353249895401</v>
      </c>
      <c r="N90">
        <v>146.40201040689161</v>
      </c>
      <c r="O90" s="20"/>
      <c r="P90" s="20"/>
      <c r="Q90" s="147"/>
      <c r="R90" s="197"/>
      <c r="S90" s="197"/>
      <c r="T90" s="197"/>
      <c r="U90" s="197"/>
    </row>
    <row r="91" spans="1:51" ht="15" x14ac:dyDescent="0.25">
      <c r="A91" s="10"/>
      <c r="B91" s="9" t="s">
        <v>15</v>
      </c>
      <c r="C91" s="5"/>
      <c r="D91" s="291"/>
      <c r="E91" s="292"/>
      <c r="F91" s="292"/>
      <c r="G91" s="292"/>
      <c r="H91" s="293">
        <f>SUM(D90:H90)</f>
        <v>347.36498383999998</v>
      </c>
      <c r="N91">
        <v>145.40636861544002</v>
      </c>
      <c r="O91" s="20"/>
      <c r="P91" s="20"/>
      <c r="Q91" s="147"/>
      <c r="R91" s="197"/>
      <c r="S91" s="197"/>
      <c r="T91" s="197"/>
      <c r="U91" s="197"/>
    </row>
    <row r="92" spans="1:51" ht="15.75" thickBot="1" x14ac:dyDescent="0.3">
      <c r="A92" s="1"/>
      <c r="B92" s="2"/>
      <c r="C92" s="1"/>
      <c r="D92" s="294"/>
      <c r="E92" s="295"/>
      <c r="F92" s="295"/>
      <c r="G92" s="295"/>
      <c r="H92" s="296"/>
      <c r="O92" s="20"/>
      <c r="P92" s="20"/>
      <c r="Q92" s="147"/>
      <c r="R92" s="197"/>
      <c r="S92" s="197"/>
      <c r="T92" s="197"/>
      <c r="U92" s="197"/>
    </row>
    <row r="93" spans="1:51" ht="15" x14ac:dyDescent="0.25">
      <c r="A93" s="1">
        <v>10</v>
      </c>
      <c r="B93" s="2" t="s">
        <v>24</v>
      </c>
      <c r="C93" s="1" t="s">
        <v>8</v>
      </c>
      <c r="D93" s="285">
        <v>0</v>
      </c>
      <c r="E93" s="286">
        <v>5.7486316000000004</v>
      </c>
      <c r="F93" s="286">
        <v>0</v>
      </c>
      <c r="G93" s="286">
        <v>16.1388277</v>
      </c>
      <c r="H93" s="287">
        <v>1.9431316199999999</v>
      </c>
      <c r="J93">
        <v>0</v>
      </c>
      <c r="K93">
        <v>-56.989754534049993</v>
      </c>
      <c r="L93">
        <v>-27.516994168144002</v>
      </c>
      <c r="M93">
        <v>-48.931417991979991</v>
      </c>
      <c r="N93">
        <v>-149.73163242408003</v>
      </c>
      <c r="O93" s="20"/>
      <c r="P93" s="20"/>
      <c r="Q93" s="147">
        <v>2.0563993246906598E-2</v>
      </c>
      <c r="R93" s="197">
        <v>0.66599999999999993</v>
      </c>
      <c r="S93" s="197">
        <v>4.5549999999999997</v>
      </c>
      <c r="T93" s="197">
        <v>0.60039794540960334</v>
      </c>
      <c r="U93" s="197">
        <v>0.90789473684210531</v>
      </c>
      <c r="V93" s="20">
        <f t="shared" ref="V93:Y98" si="90">IF(K93&gt;0,((E93-K93)*$Q93*$R93*10)+(K93*$O$12*$Q93*$R93*10),(E93*$Q93*$R93*10))</f>
        <v>0.78731071053301671</v>
      </c>
      <c r="W93" s="20">
        <f t="shared" si="90"/>
        <v>0</v>
      </c>
      <c r="X93" s="20">
        <f t="shared" si="90"/>
        <v>2.2103124339463553</v>
      </c>
      <c r="Y93" s="20">
        <f t="shared" si="90"/>
        <v>0.26612391310679429</v>
      </c>
      <c r="Z93" s="20">
        <f t="shared" ref="Z93:AC98" si="91">V93*(EXP(1.01-0.34*LN(Z$8))*(1-$T93)+(1*$T93))</f>
        <v>0.56836234713142442</v>
      </c>
      <c r="AA93" s="20">
        <f t="shared" si="91"/>
        <v>0</v>
      </c>
      <c r="AB93" s="20">
        <f t="shared" si="91"/>
        <v>1.6198093547713321</v>
      </c>
      <c r="AC93" s="20">
        <f t="shared" si="91"/>
        <v>0.18745582930233606</v>
      </c>
      <c r="AD93" s="20">
        <f t="shared" ref="AD93:AD98" si="92">SUM(Z93:AC93)</f>
        <v>2.3756275312050925</v>
      </c>
      <c r="AE93" s="20">
        <f t="shared" ref="AE93:AH98" si="93">IF(K93&gt;0,((E93-K93)*$Q93*$S93*10)+(K93*$P$12*$Q93*$S93)*10,(E93*$Q93*$S93*10))</f>
        <v>5.3846851148316688</v>
      </c>
      <c r="AF93" s="20">
        <f t="shared" si="93"/>
        <v>0</v>
      </c>
      <c r="AG93" s="20">
        <f t="shared" si="93"/>
        <v>15.117076781720193</v>
      </c>
      <c r="AH93" s="20">
        <f t="shared" si="93"/>
        <v>1.820111748050222</v>
      </c>
      <c r="AI93" s="20">
        <f t="shared" ref="AI93:AL98" si="94">AE93*(EXP(1.01-0.34*LN(AI$8))*(1-$T93)+(1*$T93))</f>
        <v>3.8872229597351931</v>
      </c>
      <c r="AJ93" s="20">
        <f t="shared" si="94"/>
        <v>0</v>
      </c>
      <c r="AK93" s="20">
        <f t="shared" si="94"/>
        <v>11.078425842317445</v>
      </c>
      <c r="AL93" s="20">
        <f t="shared" si="94"/>
        <v>1.282074027735947</v>
      </c>
      <c r="AM93" s="20">
        <f t="shared" ref="AM93:AM98" si="95">SUM(AI93:AL93)</f>
        <v>16.247722829788586</v>
      </c>
      <c r="AO93">
        <f t="shared" ref="AO93:AR98" si="96">Z93*AO$10</f>
        <v>0.78442682657169349</v>
      </c>
      <c r="AP93">
        <f t="shared" si="96"/>
        <v>0</v>
      </c>
      <c r="AQ93">
        <f t="shared" si="96"/>
        <v>1.9194466520062745</v>
      </c>
      <c r="AR93">
        <f t="shared" si="96"/>
        <v>0.21016298304139644</v>
      </c>
      <c r="AS93">
        <f t="shared" ref="AS93:AS98" si="97">SUM(AO93:AR93)</f>
        <v>2.9140364616193644</v>
      </c>
      <c r="AU93">
        <f t="shared" ref="AU93:AX98" si="98">AI93*AU$10</f>
        <v>5.3649612538049016</v>
      </c>
      <c r="AV93">
        <f t="shared" si="98"/>
        <v>0</v>
      </c>
      <c r="AW93">
        <f t="shared" si="98"/>
        <v>13.127746996829702</v>
      </c>
      <c r="AX93">
        <f t="shared" si="98"/>
        <v>1.437375957587929</v>
      </c>
      <c r="AY93">
        <f t="shared" ref="AY93:AY98" si="99">SUM(AU93:AX93)</f>
        <v>19.930084208222532</v>
      </c>
    </row>
    <row r="94" spans="1:51" ht="15" x14ac:dyDescent="0.25">
      <c r="A94" s="1"/>
      <c r="B94" s="2"/>
      <c r="C94" s="1" t="s">
        <v>9</v>
      </c>
      <c r="D94" s="285">
        <v>0</v>
      </c>
      <c r="E94" s="286">
        <v>0</v>
      </c>
      <c r="F94" s="286">
        <v>0</v>
      </c>
      <c r="G94" s="286">
        <v>0</v>
      </c>
      <c r="H94" s="287">
        <v>0</v>
      </c>
      <c r="J94">
        <v>0</v>
      </c>
      <c r="K94">
        <v>0</v>
      </c>
      <c r="L94">
        <v>-9.3874204262299997E-3</v>
      </c>
      <c r="M94">
        <v>-3.0016664161599999E-2</v>
      </c>
      <c r="N94">
        <v>-2.2121547666349999</v>
      </c>
      <c r="O94" s="20"/>
      <c r="P94" s="20"/>
      <c r="Q94" s="147"/>
      <c r="R94" s="197">
        <v>0.66599999999999993</v>
      </c>
      <c r="S94" s="197">
        <v>4.5549999999999997</v>
      </c>
      <c r="T94" s="197">
        <v>0.60039794540960334</v>
      </c>
      <c r="U94" s="197">
        <v>0.90789473684210531</v>
      </c>
      <c r="V94" s="20">
        <f t="shared" si="90"/>
        <v>0</v>
      </c>
      <c r="W94" s="20">
        <f t="shared" si="90"/>
        <v>0</v>
      </c>
      <c r="X94" s="20">
        <f t="shared" si="90"/>
        <v>0</v>
      </c>
      <c r="Y94" s="20">
        <f t="shared" si="90"/>
        <v>0</v>
      </c>
      <c r="Z94" s="20">
        <f t="shared" si="91"/>
        <v>0</v>
      </c>
      <c r="AA94" s="20">
        <f t="shared" si="91"/>
        <v>0</v>
      </c>
      <c r="AB94" s="20">
        <f t="shared" si="91"/>
        <v>0</v>
      </c>
      <c r="AC94" s="20">
        <f t="shared" si="91"/>
        <v>0</v>
      </c>
      <c r="AD94" s="20">
        <f t="shared" si="92"/>
        <v>0</v>
      </c>
      <c r="AE94" s="20">
        <f t="shared" si="93"/>
        <v>0</v>
      </c>
      <c r="AF94" s="20">
        <f t="shared" si="93"/>
        <v>0</v>
      </c>
      <c r="AG94" s="20">
        <f t="shared" si="93"/>
        <v>0</v>
      </c>
      <c r="AH94" s="20">
        <f t="shared" si="93"/>
        <v>0</v>
      </c>
      <c r="AI94" s="20">
        <f t="shared" si="94"/>
        <v>0</v>
      </c>
      <c r="AJ94" s="20">
        <f t="shared" si="94"/>
        <v>0</v>
      </c>
      <c r="AK94" s="20">
        <f t="shared" si="94"/>
        <v>0</v>
      </c>
      <c r="AL94" s="20">
        <f t="shared" si="94"/>
        <v>0</v>
      </c>
      <c r="AM94" s="20">
        <f t="shared" si="95"/>
        <v>0</v>
      </c>
      <c r="AO94">
        <f t="shared" si="96"/>
        <v>0</v>
      </c>
      <c r="AP94">
        <f t="shared" si="96"/>
        <v>0</v>
      </c>
      <c r="AQ94">
        <f t="shared" si="96"/>
        <v>0</v>
      </c>
      <c r="AR94">
        <f t="shared" si="96"/>
        <v>0</v>
      </c>
      <c r="AS94">
        <f t="shared" si="97"/>
        <v>0</v>
      </c>
      <c r="AU94">
        <f t="shared" si="98"/>
        <v>0</v>
      </c>
      <c r="AV94">
        <f t="shared" si="98"/>
        <v>0</v>
      </c>
      <c r="AW94">
        <f t="shared" si="98"/>
        <v>0</v>
      </c>
      <c r="AX94">
        <f t="shared" si="98"/>
        <v>0</v>
      </c>
      <c r="AY94">
        <f t="shared" si="99"/>
        <v>0</v>
      </c>
    </row>
    <row r="95" spans="1:51" ht="15" x14ac:dyDescent="0.25">
      <c r="A95" s="1"/>
      <c r="B95" s="2"/>
      <c r="C95" s="1" t="s">
        <v>10</v>
      </c>
      <c r="D95" s="285">
        <v>0</v>
      </c>
      <c r="E95" s="286">
        <v>0</v>
      </c>
      <c r="F95" s="286">
        <v>0</v>
      </c>
      <c r="G95" s="286">
        <v>0.15779884</v>
      </c>
      <c r="H95" s="287">
        <v>0</v>
      </c>
      <c r="J95">
        <v>0</v>
      </c>
      <c r="K95">
        <v>-3.25819994069</v>
      </c>
      <c r="L95">
        <v>0</v>
      </c>
      <c r="M95">
        <v>-0.39056961641400001</v>
      </c>
      <c r="N95">
        <v>-6.3553800042879995</v>
      </c>
      <c r="O95" s="20"/>
      <c r="P95" s="20"/>
      <c r="Q95" s="147">
        <v>4.369197974071979E-2</v>
      </c>
      <c r="R95" s="197">
        <v>0.66599999999999993</v>
      </c>
      <c r="S95" s="197">
        <v>4.5549999999999997</v>
      </c>
      <c r="T95" s="197">
        <v>0.60039794540960334</v>
      </c>
      <c r="U95" s="197">
        <v>0.90789473684210531</v>
      </c>
      <c r="V95" s="20">
        <f t="shared" si="90"/>
        <v>0</v>
      </c>
      <c r="W95" s="20">
        <f t="shared" si="90"/>
        <v>0</v>
      </c>
      <c r="X95" s="20">
        <f t="shared" si="90"/>
        <v>4.5917661177791294E-2</v>
      </c>
      <c r="Y95" s="20">
        <f t="shared" si="90"/>
        <v>0</v>
      </c>
      <c r="Z95" s="20">
        <f t="shared" si="91"/>
        <v>0</v>
      </c>
      <c r="AA95" s="20">
        <f t="shared" si="91"/>
        <v>0</v>
      </c>
      <c r="AB95" s="20">
        <f t="shared" si="91"/>
        <v>3.365038172101778E-2</v>
      </c>
      <c r="AC95" s="20">
        <f t="shared" si="91"/>
        <v>0</v>
      </c>
      <c r="AD95" s="20">
        <f t="shared" si="92"/>
        <v>3.365038172101778E-2</v>
      </c>
      <c r="AE95" s="20">
        <f t="shared" si="93"/>
        <v>0</v>
      </c>
      <c r="AF95" s="20">
        <f t="shared" si="93"/>
        <v>0</v>
      </c>
      <c r="AG95" s="20">
        <f t="shared" si="93"/>
        <v>0.31404646646372275</v>
      </c>
      <c r="AH95" s="20">
        <f t="shared" si="93"/>
        <v>0</v>
      </c>
      <c r="AI95" s="20">
        <f t="shared" si="94"/>
        <v>0</v>
      </c>
      <c r="AJ95" s="20">
        <f t="shared" si="94"/>
        <v>0</v>
      </c>
      <c r="AK95" s="20">
        <f t="shared" si="94"/>
        <v>0.23014637948834235</v>
      </c>
      <c r="AL95" s="20">
        <f t="shared" si="94"/>
        <v>0</v>
      </c>
      <c r="AM95" s="20">
        <f t="shared" si="95"/>
        <v>0.23014637948834235</v>
      </c>
      <c r="AO95">
        <f t="shared" si="96"/>
        <v>0</v>
      </c>
      <c r="AP95">
        <f t="shared" si="96"/>
        <v>0</v>
      </c>
      <c r="AQ95">
        <f t="shared" si="96"/>
        <v>3.9875132430173474E-2</v>
      </c>
      <c r="AR95">
        <f t="shared" si="96"/>
        <v>0</v>
      </c>
      <c r="AS95">
        <f t="shared" si="97"/>
        <v>3.9875132430173474E-2</v>
      </c>
      <c r="AU95">
        <f t="shared" si="98"/>
        <v>0</v>
      </c>
      <c r="AV95">
        <f t="shared" si="98"/>
        <v>0</v>
      </c>
      <c r="AW95">
        <f t="shared" si="98"/>
        <v>0.27271956189105134</v>
      </c>
      <c r="AX95">
        <f t="shared" si="98"/>
        <v>0</v>
      </c>
      <c r="AY95">
        <f t="shared" si="99"/>
        <v>0.27271956189105134</v>
      </c>
    </row>
    <row r="96" spans="1:51" ht="15" x14ac:dyDescent="0.25">
      <c r="A96" s="1"/>
      <c r="B96" s="2"/>
      <c r="C96" s="1" t="s">
        <v>11</v>
      </c>
      <c r="D96" s="285">
        <v>0</v>
      </c>
      <c r="E96" s="286">
        <v>0</v>
      </c>
      <c r="F96" s="286">
        <v>0</v>
      </c>
      <c r="G96" s="286">
        <v>0</v>
      </c>
      <c r="H96" s="287">
        <v>0</v>
      </c>
      <c r="J96">
        <v>0</v>
      </c>
      <c r="K96">
        <v>0</v>
      </c>
      <c r="L96">
        <v>0</v>
      </c>
      <c r="M96">
        <v>-1.52974340484</v>
      </c>
      <c r="N96">
        <v>-0.49902798576060003</v>
      </c>
      <c r="O96" s="20"/>
      <c r="P96" s="20"/>
      <c r="Q96" s="147"/>
      <c r="R96" s="197">
        <v>0.66599999999999993</v>
      </c>
      <c r="S96" s="197">
        <v>4.5549999999999997</v>
      </c>
      <c r="T96" s="197">
        <v>0.60039794540960334</v>
      </c>
      <c r="U96" s="197">
        <v>0.90789473684210531</v>
      </c>
      <c r="V96" s="20">
        <f t="shared" si="90"/>
        <v>0</v>
      </c>
      <c r="W96" s="20">
        <f t="shared" si="90"/>
        <v>0</v>
      </c>
      <c r="X96" s="20">
        <f t="shared" si="90"/>
        <v>0</v>
      </c>
      <c r="Y96" s="20">
        <f t="shared" si="90"/>
        <v>0</v>
      </c>
      <c r="Z96" s="20">
        <f t="shared" si="91"/>
        <v>0</v>
      </c>
      <c r="AA96" s="20">
        <f t="shared" si="91"/>
        <v>0</v>
      </c>
      <c r="AB96" s="20">
        <f t="shared" si="91"/>
        <v>0</v>
      </c>
      <c r="AC96" s="20">
        <f t="shared" si="91"/>
        <v>0</v>
      </c>
      <c r="AD96" s="20">
        <f t="shared" si="92"/>
        <v>0</v>
      </c>
      <c r="AE96" s="20">
        <f t="shared" si="93"/>
        <v>0</v>
      </c>
      <c r="AF96" s="20">
        <f t="shared" si="93"/>
        <v>0</v>
      </c>
      <c r="AG96" s="20">
        <f t="shared" si="93"/>
        <v>0</v>
      </c>
      <c r="AH96" s="20">
        <f t="shared" si="93"/>
        <v>0</v>
      </c>
      <c r="AI96" s="20">
        <f t="shared" si="94"/>
        <v>0</v>
      </c>
      <c r="AJ96" s="20">
        <f t="shared" si="94"/>
        <v>0</v>
      </c>
      <c r="AK96" s="20">
        <f t="shared" si="94"/>
        <v>0</v>
      </c>
      <c r="AL96" s="20">
        <f t="shared" si="94"/>
        <v>0</v>
      </c>
      <c r="AM96" s="20">
        <f t="shared" si="95"/>
        <v>0</v>
      </c>
      <c r="AO96">
        <f t="shared" si="96"/>
        <v>0</v>
      </c>
      <c r="AP96">
        <f t="shared" si="96"/>
        <v>0</v>
      </c>
      <c r="AQ96">
        <f t="shared" si="96"/>
        <v>0</v>
      </c>
      <c r="AR96">
        <f t="shared" si="96"/>
        <v>0</v>
      </c>
      <c r="AS96">
        <f t="shared" si="97"/>
        <v>0</v>
      </c>
      <c r="AU96">
        <f t="shared" si="98"/>
        <v>0</v>
      </c>
      <c r="AV96">
        <f t="shared" si="98"/>
        <v>0</v>
      </c>
      <c r="AW96">
        <f t="shared" si="98"/>
        <v>0</v>
      </c>
      <c r="AX96">
        <f t="shared" si="98"/>
        <v>0</v>
      </c>
      <c r="AY96">
        <f t="shared" si="99"/>
        <v>0</v>
      </c>
    </row>
    <row r="97" spans="1:51" ht="15" x14ac:dyDescent="0.25">
      <c r="A97" s="1"/>
      <c r="B97" s="2"/>
      <c r="C97" s="1" t="s">
        <v>12</v>
      </c>
      <c r="D97" s="285">
        <v>0</v>
      </c>
      <c r="E97" s="286">
        <v>0</v>
      </c>
      <c r="F97" s="286">
        <v>0</v>
      </c>
      <c r="G97" s="286">
        <v>0</v>
      </c>
      <c r="H97" s="28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20"/>
      <c r="P97" s="20"/>
      <c r="Q97" s="147"/>
      <c r="R97" s="197">
        <v>0.66599999999999993</v>
      </c>
      <c r="S97" s="197">
        <v>4.5549999999999997</v>
      </c>
      <c r="T97" s="197">
        <v>0.60039794540960334</v>
      </c>
      <c r="U97" s="197">
        <v>0.90789473684210531</v>
      </c>
      <c r="V97" s="20">
        <f t="shared" si="90"/>
        <v>0</v>
      </c>
      <c r="W97" s="20">
        <f t="shared" si="90"/>
        <v>0</v>
      </c>
      <c r="X97" s="20">
        <f t="shared" si="90"/>
        <v>0</v>
      </c>
      <c r="Y97" s="20">
        <f t="shared" si="90"/>
        <v>0</v>
      </c>
      <c r="Z97" s="20">
        <f t="shared" si="91"/>
        <v>0</v>
      </c>
      <c r="AA97" s="20">
        <f t="shared" si="91"/>
        <v>0</v>
      </c>
      <c r="AB97" s="20">
        <f t="shared" si="91"/>
        <v>0</v>
      </c>
      <c r="AC97" s="20">
        <f t="shared" si="91"/>
        <v>0</v>
      </c>
      <c r="AD97" s="20">
        <f t="shared" si="92"/>
        <v>0</v>
      </c>
      <c r="AE97" s="20">
        <f t="shared" si="93"/>
        <v>0</v>
      </c>
      <c r="AF97" s="20">
        <f t="shared" si="93"/>
        <v>0</v>
      </c>
      <c r="AG97" s="20">
        <f t="shared" si="93"/>
        <v>0</v>
      </c>
      <c r="AH97" s="20">
        <f t="shared" si="93"/>
        <v>0</v>
      </c>
      <c r="AI97" s="20">
        <f t="shared" si="94"/>
        <v>0</v>
      </c>
      <c r="AJ97" s="20">
        <f t="shared" si="94"/>
        <v>0</v>
      </c>
      <c r="AK97" s="20">
        <f t="shared" si="94"/>
        <v>0</v>
      </c>
      <c r="AL97" s="20">
        <f t="shared" si="94"/>
        <v>0</v>
      </c>
      <c r="AM97" s="20">
        <f t="shared" si="95"/>
        <v>0</v>
      </c>
      <c r="AO97">
        <f t="shared" si="96"/>
        <v>0</v>
      </c>
      <c r="AP97">
        <f t="shared" si="96"/>
        <v>0</v>
      </c>
      <c r="AQ97">
        <f t="shared" si="96"/>
        <v>0</v>
      </c>
      <c r="AR97">
        <f t="shared" si="96"/>
        <v>0</v>
      </c>
      <c r="AS97">
        <f t="shared" si="97"/>
        <v>0</v>
      </c>
      <c r="AU97">
        <f t="shared" si="98"/>
        <v>0</v>
      </c>
      <c r="AV97">
        <f t="shared" si="98"/>
        <v>0</v>
      </c>
      <c r="AW97">
        <f t="shared" si="98"/>
        <v>0</v>
      </c>
      <c r="AX97">
        <f t="shared" si="98"/>
        <v>0</v>
      </c>
      <c r="AY97">
        <f t="shared" si="99"/>
        <v>0</v>
      </c>
    </row>
    <row r="98" spans="1:51" ht="15" x14ac:dyDescent="0.25">
      <c r="A98" s="1"/>
      <c r="B98" s="2"/>
      <c r="C98" s="1" t="s">
        <v>13</v>
      </c>
      <c r="D98" s="285">
        <v>0</v>
      </c>
      <c r="E98" s="286">
        <v>0</v>
      </c>
      <c r="F98" s="286">
        <v>0</v>
      </c>
      <c r="G98" s="286">
        <v>0</v>
      </c>
      <c r="H98" s="287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20"/>
      <c r="P98" s="20"/>
      <c r="Q98" s="147"/>
      <c r="R98" s="197">
        <v>0.66599999999999993</v>
      </c>
      <c r="S98" s="197">
        <v>4.5549999999999997</v>
      </c>
      <c r="T98" s="197">
        <v>0.60039794540960334</v>
      </c>
      <c r="U98" s="197">
        <v>0.90789473684210531</v>
      </c>
      <c r="V98" s="20">
        <f t="shared" si="90"/>
        <v>0</v>
      </c>
      <c r="W98" s="20">
        <f t="shared" si="90"/>
        <v>0</v>
      </c>
      <c r="X98" s="20">
        <f t="shared" si="90"/>
        <v>0</v>
      </c>
      <c r="Y98" s="20">
        <f t="shared" si="90"/>
        <v>0</v>
      </c>
      <c r="Z98" s="20">
        <f t="shared" si="91"/>
        <v>0</v>
      </c>
      <c r="AA98" s="20">
        <f t="shared" si="91"/>
        <v>0</v>
      </c>
      <c r="AB98" s="20">
        <f t="shared" si="91"/>
        <v>0</v>
      </c>
      <c r="AC98" s="20">
        <f t="shared" si="91"/>
        <v>0</v>
      </c>
      <c r="AD98" s="20">
        <f t="shared" si="92"/>
        <v>0</v>
      </c>
      <c r="AE98" s="20">
        <f t="shared" si="93"/>
        <v>0</v>
      </c>
      <c r="AF98" s="20">
        <f t="shared" si="93"/>
        <v>0</v>
      </c>
      <c r="AG98" s="20">
        <f t="shared" si="93"/>
        <v>0</v>
      </c>
      <c r="AH98" s="20">
        <f t="shared" si="93"/>
        <v>0</v>
      </c>
      <c r="AI98" s="20">
        <f t="shared" si="94"/>
        <v>0</v>
      </c>
      <c r="AJ98" s="20">
        <f t="shared" si="94"/>
        <v>0</v>
      </c>
      <c r="AK98" s="20">
        <f t="shared" si="94"/>
        <v>0</v>
      </c>
      <c r="AL98" s="20">
        <f t="shared" si="94"/>
        <v>0</v>
      </c>
      <c r="AM98" s="20">
        <f t="shared" si="95"/>
        <v>0</v>
      </c>
      <c r="AO98">
        <f t="shared" si="96"/>
        <v>0</v>
      </c>
      <c r="AP98">
        <f t="shared" si="96"/>
        <v>0</v>
      </c>
      <c r="AQ98">
        <f t="shared" si="96"/>
        <v>0</v>
      </c>
      <c r="AR98">
        <f t="shared" si="96"/>
        <v>0</v>
      </c>
      <c r="AS98">
        <f t="shared" si="97"/>
        <v>0</v>
      </c>
      <c r="AU98">
        <f t="shared" si="98"/>
        <v>0</v>
      </c>
      <c r="AV98">
        <f t="shared" si="98"/>
        <v>0</v>
      </c>
      <c r="AW98">
        <f t="shared" si="98"/>
        <v>0</v>
      </c>
      <c r="AX98">
        <f t="shared" si="98"/>
        <v>0</v>
      </c>
      <c r="AY98">
        <f t="shared" si="99"/>
        <v>0</v>
      </c>
    </row>
    <row r="99" spans="1:51" ht="15" x14ac:dyDescent="0.25">
      <c r="A99" s="7"/>
      <c r="B99" s="8" t="s">
        <v>14</v>
      </c>
      <c r="C99" s="7"/>
      <c r="D99" s="288">
        <f>SUM(D93:D98)</f>
        <v>0</v>
      </c>
      <c r="E99" s="289">
        <f>SUM(E93:E98)</f>
        <v>5.7486316000000004</v>
      </c>
      <c r="F99" s="289">
        <f>SUM(F93:F98)</f>
        <v>0</v>
      </c>
      <c r="G99" s="289">
        <f>SUM(G93:G98)</f>
        <v>16.296626540000002</v>
      </c>
      <c r="H99" s="290">
        <f>SUM(H93:H98)</f>
        <v>1.9431316199999999</v>
      </c>
      <c r="J99">
        <v>0</v>
      </c>
      <c r="K99">
        <v>-60.247954474739991</v>
      </c>
      <c r="L99">
        <v>-27.526381588570231</v>
      </c>
      <c r="M99">
        <v>-50.881747677395587</v>
      </c>
      <c r="N99">
        <v>-158.79819518076363</v>
      </c>
      <c r="O99" s="20"/>
      <c r="P99" s="20"/>
      <c r="Q99" s="147"/>
      <c r="R99" s="197"/>
      <c r="S99" s="197"/>
      <c r="T99" s="197"/>
      <c r="U99" s="197"/>
    </row>
    <row r="100" spans="1:51" ht="15" x14ac:dyDescent="0.25">
      <c r="A100" s="10"/>
      <c r="B100" s="9" t="s">
        <v>15</v>
      </c>
      <c r="C100" s="5"/>
      <c r="D100" s="291"/>
      <c r="E100" s="292"/>
      <c r="F100" s="292"/>
      <c r="G100" s="292"/>
      <c r="H100" s="293">
        <f>SUM(D99:H99)</f>
        <v>23.98838976</v>
      </c>
      <c r="N100">
        <v>-297.45427892146944</v>
      </c>
      <c r="O100" s="20"/>
      <c r="P100" s="20"/>
      <c r="Q100" s="147"/>
      <c r="R100" s="197"/>
      <c r="S100" s="197"/>
      <c r="T100" s="197"/>
      <c r="U100" s="197"/>
    </row>
    <row r="101" spans="1:51" ht="15.75" thickBot="1" x14ac:dyDescent="0.3">
      <c r="A101" s="1"/>
      <c r="B101" s="2"/>
      <c r="C101" s="1"/>
      <c r="D101" s="297"/>
      <c r="E101" s="298"/>
      <c r="F101" s="298"/>
      <c r="G101" s="298"/>
      <c r="H101" s="299"/>
      <c r="O101" s="20"/>
      <c r="P101" s="20"/>
      <c r="Q101" s="147"/>
      <c r="R101" s="197"/>
      <c r="S101" s="197"/>
      <c r="T101" s="197"/>
      <c r="U101" s="197"/>
    </row>
    <row r="102" spans="1:51" ht="15" x14ac:dyDescent="0.25">
      <c r="A102" s="1">
        <v>11</v>
      </c>
      <c r="B102" s="2" t="s">
        <v>25</v>
      </c>
      <c r="C102" s="1" t="s">
        <v>8</v>
      </c>
      <c r="D102" s="282">
        <v>0</v>
      </c>
      <c r="E102" s="283">
        <v>9.2207803199999994</v>
      </c>
      <c r="F102" s="283">
        <v>31.275141869999999</v>
      </c>
      <c r="G102" s="283">
        <v>74.482870239999997</v>
      </c>
      <c r="H102" s="284">
        <v>51.986484949999998</v>
      </c>
      <c r="J102">
        <v>0</v>
      </c>
      <c r="K102">
        <v>-41.170489095640008</v>
      </c>
      <c r="L102">
        <v>-34.5437547306</v>
      </c>
      <c r="M102">
        <v>-51.238298047768993</v>
      </c>
      <c r="N102">
        <v>-71.698947157092022</v>
      </c>
      <c r="O102" s="20"/>
      <c r="P102" s="20"/>
      <c r="Q102" s="147">
        <v>2.0563993246906598E-2</v>
      </c>
      <c r="R102" s="197">
        <v>0.14000000000000001</v>
      </c>
      <c r="S102" s="197">
        <v>2.0499999999999998</v>
      </c>
      <c r="T102" s="197">
        <v>0.62857142857142845</v>
      </c>
      <c r="U102" s="197">
        <v>0.90789473684210531</v>
      </c>
      <c r="V102" s="20">
        <f t="shared" ref="V102:Y107" si="100">IF(K102&gt;0,((E102-K102)*$Q102*$R102*10)+(K102*$O$12*$Q102*$R102*10),(E102*$Q102*$R102*10))</f>
        <v>0.265462489924365</v>
      </c>
      <c r="W102" s="20">
        <f t="shared" si="100"/>
        <v>0.90039852869501624</v>
      </c>
      <c r="X102" s="20">
        <f t="shared" si="100"/>
        <v>2.1443313368758128</v>
      </c>
      <c r="Y102" s="20">
        <f t="shared" si="100"/>
        <v>1.4966696156190964</v>
      </c>
      <c r="Z102" s="20">
        <f t="shared" ref="Z102:AC107" si="101">V102*(EXP(1.01-0.34*LN(Z$8))*(1-$T102)+(1*$T102))</f>
        <v>0.19684318688115338</v>
      </c>
      <c r="AA102" s="20">
        <f t="shared" si="101"/>
        <v>0.6743446540238055</v>
      </c>
      <c r="AB102" s="20">
        <f t="shared" si="101"/>
        <v>1.6118455898489739</v>
      </c>
      <c r="AC102" s="20">
        <f t="shared" si="101"/>
        <v>1.0854363784411203</v>
      </c>
      <c r="AD102" s="20">
        <f t="shared" ref="AD102:AD107" si="102">SUM(Z102:AC102)</f>
        <v>3.5684698091950531</v>
      </c>
      <c r="AE102" s="20">
        <f t="shared" ref="AE102:AH107" si="103">IF(K102&gt;0,((E102-K102)*$Q102*$S102*10)+(K102*$P$12*$Q102*$S102)*10,(E102*$Q102*$S102*10))</f>
        <v>3.8871293167496295</v>
      </c>
      <c r="AF102" s="20">
        <f t="shared" si="103"/>
        <v>13.184407027319878</v>
      </c>
      <c r="AG102" s="20">
        <f t="shared" si="103"/>
        <v>31.399137432824396</v>
      </c>
      <c r="AH102" s="20">
        <f t="shared" si="103"/>
        <v>21.915519371565331</v>
      </c>
      <c r="AI102" s="20">
        <f t="shared" ref="AI102:AL107" si="104">AE102*(EXP(1.01-0.34*LN(AI$8))*(1-$T102)+(1*$T102))</f>
        <v>2.8823466650454597</v>
      </c>
      <c r="AJ102" s="20">
        <f t="shared" si="104"/>
        <v>9.8743324339200065</v>
      </c>
      <c r="AK102" s="20">
        <f t="shared" si="104"/>
        <v>23.602024708502828</v>
      </c>
      <c r="AL102" s="20">
        <f t="shared" si="104"/>
        <v>15.89388982717354</v>
      </c>
      <c r="AM102" s="20">
        <f t="shared" ref="AM102:AM107" si="105">SUM(AI102:AL102)</f>
        <v>52.252593634641833</v>
      </c>
      <c r="AO102">
        <f t="shared" ref="AO102:AR107" si="106">Z102*AO$10</f>
        <v>0.27167365536573346</v>
      </c>
      <c r="AP102">
        <f t="shared" si="106"/>
        <v>0.79566345477055522</v>
      </c>
      <c r="AQ102">
        <f t="shared" si="106"/>
        <v>1.9100097254491095</v>
      </c>
      <c r="AR102">
        <f t="shared" si="106"/>
        <v>1.2169189298825029</v>
      </c>
      <c r="AS102">
        <f t="shared" ref="AS102:AS107" si="107">SUM(AO102:AR102)</f>
        <v>4.1942657654679012</v>
      </c>
      <c r="AU102">
        <f t="shared" ref="AU102:AX107" si="108">AI102*AU$10</f>
        <v>3.9780785249982391</v>
      </c>
      <c r="AV102">
        <f t="shared" si="108"/>
        <v>11.650786301997412</v>
      </c>
      <c r="AW102">
        <f t="shared" si="108"/>
        <v>27.967999551219101</v>
      </c>
      <c r="AX102">
        <f t="shared" si="108"/>
        <v>17.81917004470807</v>
      </c>
      <c r="AY102">
        <f t="shared" ref="AY102:AY107" si="109">SUM(AU102:AX102)</f>
        <v>61.41603442292282</v>
      </c>
    </row>
    <row r="103" spans="1:51" ht="15" x14ac:dyDescent="0.25">
      <c r="A103" s="1"/>
      <c r="B103" s="2"/>
      <c r="C103" s="1" t="s">
        <v>9</v>
      </c>
      <c r="D103" s="285">
        <v>0</v>
      </c>
      <c r="E103" s="286">
        <v>0</v>
      </c>
      <c r="F103" s="286">
        <v>0</v>
      </c>
      <c r="G103" s="286">
        <v>0</v>
      </c>
      <c r="H103" s="287">
        <v>3.3619200000000002E-2</v>
      </c>
      <c r="J103">
        <v>0</v>
      </c>
      <c r="K103">
        <v>0</v>
      </c>
      <c r="L103">
        <v>-1.0335454985200001</v>
      </c>
      <c r="M103">
        <v>-1.1748921289900001</v>
      </c>
      <c r="N103">
        <v>-2.7248169904819997</v>
      </c>
      <c r="O103" s="20"/>
      <c r="P103" s="20"/>
      <c r="Q103" s="147">
        <v>3.2127986493813196E-2</v>
      </c>
      <c r="R103" s="197">
        <v>0.14000000000000001</v>
      </c>
      <c r="S103" s="197">
        <v>2.0499999999999998</v>
      </c>
      <c r="T103" s="197">
        <v>0.62857142857142845</v>
      </c>
      <c r="U103" s="197">
        <v>0.90789473684210531</v>
      </c>
      <c r="V103" s="20">
        <f t="shared" si="100"/>
        <v>0</v>
      </c>
      <c r="W103" s="20">
        <f t="shared" si="100"/>
        <v>0</v>
      </c>
      <c r="X103" s="20">
        <f t="shared" si="100"/>
        <v>0</v>
      </c>
      <c r="Y103" s="20">
        <f t="shared" si="100"/>
        <v>1.5121640849459265E-3</v>
      </c>
      <c r="Z103" s="20">
        <f t="shared" si="101"/>
        <v>0</v>
      </c>
      <c r="AA103" s="20">
        <f t="shared" si="101"/>
        <v>0</v>
      </c>
      <c r="AB103" s="20">
        <f t="shared" si="101"/>
        <v>0</v>
      </c>
      <c r="AC103" s="20">
        <f t="shared" si="101"/>
        <v>1.0966735015152228E-3</v>
      </c>
      <c r="AD103" s="20">
        <f t="shared" si="102"/>
        <v>1.0966735015152228E-3</v>
      </c>
      <c r="AE103" s="20">
        <f t="shared" si="103"/>
        <v>0</v>
      </c>
      <c r="AF103" s="20">
        <f t="shared" si="103"/>
        <v>0</v>
      </c>
      <c r="AG103" s="20">
        <f t="shared" si="103"/>
        <v>0</v>
      </c>
      <c r="AH103" s="20">
        <f t="shared" si="103"/>
        <v>2.2142402672422491E-2</v>
      </c>
      <c r="AI103" s="20">
        <f t="shared" si="104"/>
        <v>0</v>
      </c>
      <c r="AJ103" s="20">
        <f t="shared" si="104"/>
        <v>0</v>
      </c>
      <c r="AK103" s="20">
        <f t="shared" si="104"/>
        <v>0</v>
      </c>
      <c r="AL103" s="20">
        <f t="shared" si="104"/>
        <v>1.6058433415044329E-2</v>
      </c>
      <c r="AM103" s="20">
        <f t="shared" si="105"/>
        <v>1.6058433415044329E-2</v>
      </c>
      <c r="AO103">
        <f t="shared" si="106"/>
        <v>0</v>
      </c>
      <c r="AP103">
        <f t="shared" si="106"/>
        <v>0</v>
      </c>
      <c r="AQ103">
        <f t="shared" si="106"/>
        <v>0</v>
      </c>
      <c r="AR103">
        <f t="shared" si="106"/>
        <v>1.2295172433883889E-3</v>
      </c>
      <c r="AS103">
        <f t="shared" si="107"/>
        <v>1.2295172433883889E-3</v>
      </c>
      <c r="AU103">
        <f t="shared" si="108"/>
        <v>0</v>
      </c>
      <c r="AV103">
        <f t="shared" si="108"/>
        <v>0</v>
      </c>
      <c r="AW103">
        <f t="shared" si="108"/>
        <v>0</v>
      </c>
      <c r="AX103">
        <f t="shared" si="108"/>
        <v>1.8003645349615689E-2</v>
      </c>
      <c r="AY103">
        <f t="shared" si="109"/>
        <v>1.8003645349615689E-2</v>
      </c>
    </row>
    <row r="104" spans="1:51" ht="15" x14ac:dyDescent="0.25">
      <c r="A104" s="1"/>
      <c r="B104" s="2"/>
      <c r="C104" s="1" t="s">
        <v>10</v>
      </c>
      <c r="D104" s="285">
        <v>0</v>
      </c>
      <c r="E104" s="286">
        <v>1.44915974</v>
      </c>
      <c r="F104" s="286">
        <v>0</v>
      </c>
      <c r="G104" s="286">
        <v>5.3939721399999998</v>
      </c>
      <c r="H104" s="287">
        <v>3.2603515299999999</v>
      </c>
      <c r="J104">
        <v>0</v>
      </c>
      <c r="K104">
        <v>1.44915974</v>
      </c>
      <c r="L104">
        <v>0</v>
      </c>
      <c r="M104">
        <v>-2.5238044438285199</v>
      </c>
      <c r="N104">
        <v>-5.7941604503700024</v>
      </c>
      <c r="O104" s="20"/>
      <c r="P104" s="20"/>
      <c r="Q104" s="147">
        <v>4.369197974071979E-2</v>
      </c>
      <c r="R104" s="197">
        <v>0.14000000000000001</v>
      </c>
      <c r="S104" s="197">
        <v>2.0499999999999998</v>
      </c>
      <c r="T104" s="197">
        <v>0.62857142857142845</v>
      </c>
      <c r="U104" s="197">
        <v>0.90789473684210531</v>
      </c>
      <c r="V104" s="20">
        <f t="shared" si="100"/>
        <v>3.259876266524641E-2</v>
      </c>
      <c r="W104" s="20">
        <f t="shared" si="100"/>
        <v>0</v>
      </c>
      <c r="X104" s="20">
        <f t="shared" si="100"/>
        <v>0.3299426500480418</v>
      </c>
      <c r="Y104" s="20">
        <f t="shared" si="100"/>
        <v>0.19943169819493869</v>
      </c>
      <c r="Z104" s="20">
        <f t="shared" si="101"/>
        <v>2.4172320289912667E-2</v>
      </c>
      <c r="AA104" s="20">
        <f t="shared" si="101"/>
        <v>0</v>
      </c>
      <c r="AB104" s="20">
        <f t="shared" si="101"/>
        <v>0.24801046192695697</v>
      </c>
      <c r="AC104" s="20">
        <f t="shared" si="101"/>
        <v>0.14463473967535173</v>
      </c>
      <c r="AD104" s="20">
        <f t="shared" si="102"/>
        <v>0.41681752189222138</v>
      </c>
      <c r="AE104" s="20">
        <f t="shared" si="103"/>
        <v>0.75170606825848973</v>
      </c>
      <c r="AF104" s="20">
        <f t="shared" si="103"/>
        <v>0</v>
      </c>
      <c r="AG104" s="20">
        <f t="shared" si="103"/>
        <v>4.8313030899891825</v>
      </c>
      <c r="AH104" s="20">
        <f t="shared" si="103"/>
        <v>2.9202498664258876</v>
      </c>
      <c r="AI104" s="20">
        <f t="shared" si="104"/>
        <v>0.55739783845190982</v>
      </c>
      <c r="AJ104" s="20">
        <f t="shared" si="104"/>
        <v>0</v>
      </c>
      <c r="AK104" s="20">
        <f t="shared" si="104"/>
        <v>3.6315817639304404</v>
      </c>
      <c r="AL104" s="20">
        <f t="shared" si="104"/>
        <v>2.1178658309605072</v>
      </c>
      <c r="AM104" s="20">
        <f t="shared" si="105"/>
        <v>6.3068454333428576</v>
      </c>
      <c r="AO104">
        <f t="shared" si="106"/>
        <v>3.3361493053842707E-2</v>
      </c>
      <c r="AP104">
        <f t="shared" si="106"/>
        <v>0</v>
      </c>
      <c r="AQ104">
        <f t="shared" si="106"/>
        <v>0.29388819703132901</v>
      </c>
      <c r="AR104">
        <f t="shared" si="106"/>
        <v>0.16215483111257362</v>
      </c>
      <c r="AS104">
        <f t="shared" si="107"/>
        <v>0.48940452119774536</v>
      </c>
      <c r="AU104">
        <f t="shared" si="108"/>
        <v>0.76929413034049754</v>
      </c>
      <c r="AV104">
        <f t="shared" si="108"/>
        <v>0</v>
      </c>
      <c r="AW104">
        <f t="shared" si="108"/>
        <v>4.3033628851016017</v>
      </c>
      <c r="AX104">
        <f t="shared" si="108"/>
        <v>2.3744100270055419</v>
      </c>
      <c r="AY104">
        <f t="shared" si="109"/>
        <v>7.4470670424476415</v>
      </c>
    </row>
    <row r="105" spans="1:51" ht="15" x14ac:dyDescent="0.25">
      <c r="A105" s="1"/>
      <c r="B105" s="2"/>
      <c r="C105" s="1" t="s">
        <v>11</v>
      </c>
      <c r="D105" s="285">
        <v>0</v>
      </c>
      <c r="E105" s="286">
        <v>0</v>
      </c>
      <c r="F105" s="286">
        <v>0</v>
      </c>
      <c r="G105" s="286">
        <v>1.7548434500000001</v>
      </c>
      <c r="H105" s="287">
        <v>0</v>
      </c>
      <c r="J105">
        <v>0</v>
      </c>
      <c r="K105">
        <v>-0.73104295607799996</v>
      </c>
      <c r="L105">
        <v>0</v>
      </c>
      <c r="M105">
        <v>-0.88823641849249979</v>
      </c>
      <c r="N105">
        <v>-0.520974599426</v>
      </c>
      <c r="O105" s="20"/>
      <c r="P105" s="20"/>
      <c r="Q105" s="147">
        <v>5.5255972987626384E-2</v>
      </c>
      <c r="R105" s="197">
        <v>0.14000000000000001</v>
      </c>
      <c r="S105" s="197">
        <v>2.0499999999999998</v>
      </c>
      <c r="T105" s="197">
        <v>0.62857142857142845</v>
      </c>
      <c r="U105" s="197">
        <v>0.90789473684210531</v>
      </c>
      <c r="V105" s="20">
        <f t="shared" si="100"/>
        <v>0</v>
      </c>
      <c r="W105" s="20">
        <f t="shared" si="100"/>
        <v>0</v>
      </c>
      <c r="X105" s="20">
        <f t="shared" si="100"/>
        <v>0.13575181517899834</v>
      </c>
      <c r="Y105" s="20">
        <f t="shared" si="100"/>
        <v>0</v>
      </c>
      <c r="Z105" s="20">
        <f t="shared" si="101"/>
        <v>0</v>
      </c>
      <c r="AA105" s="20">
        <f t="shared" si="101"/>
        <v>0</v>
      </c>
      <c r="AB105" s="20">
        <f t="shared" si="101"/>
        <v>0.10204158324200889</v>
      </c>
      <c r="AC105" s="20">
        <f t="shared" si="101"/>
        <v>0</v>
      </c>
      <c r="AD105" s="20">
        <f t="shared" si="102"/>
        <v>0.10204158324200889</v>
      </c>
      <c r="AE105" s="20">
        <f t="shared" si="103"/>
        <v>0</v>
      </c>
      <c r="AF105" s="20">
        <f t="shared" si="103"/>
        <v>0</v>
      </c>
      <c r="AG105" s="20">
        <f t="shared" si="103"/>
        <v>1.9877944365496183</v>
      </c>
      <c r="AH105" s="20">
        <f t="shared" si="103"/>
        <v>0</v>
      </c>
      <c r="AI105" s="20">
        <f t="shared" si="104"/>
        <v>0</v>
      </c>
      <c r="AJ105" s="20">
        <f t="shared" si="104"/>
        <v>0</v>
      </c>
      <c r="AK105" s="20">
        <f t="shared" si="104"/>
        <v>1.4941803260437014</v>
      </c>
      <c r="AL105" s="20">
        <f t="shared" si="104"/>
        <v>0</v>
      </c>
      <c r="AM105" s="20">
        <f t="shared" si="105"/>
        <v>1.4941803260437014</v>
      </c>
      <c r="AO105">
        <f t="shared" si="106"/>
        <v>0</v>
      </c>
      <c r="AP105">
        <f t="shared" si="106"/>
        <v>0</v>
      </c>
      <c r="AQ105">
        <f t="shared" si="106"/>
        <v>0.12091754794621709</v>
      </c>
      <c r="AR105">
        <f t="shared" si="106"/>
        <v>0</v>
      </c>
      <c r="AS105">
        <f t="shared" si="107"/>
        <v>0.12091754794621709</v>
      </c>
      <c r="AU105">
        <f t="shared" si="108"/>
        <v>0</v>
      </c>
      <c r="AV105">
        <f t="shared" si="108"/>
        <v>0</v>
      </c>
      <c r="AW105">
        <f t="shared" si="108"/>
        <v>1.7705783806410358</v>
      </c>
      <c r="AX105">
        <f t="shared" si="108"/>
        <v>0</v>
      </c>
      <c r="AY105">
        <f t="shared" si="109"/>
        <v>1.7705783806410358</v>
      </c>
    </row>
    <row r="106" spans="1:51" ht="15" x14ac:dyDescent="0.25">
      <c r="A106" s="1"/>
      <c r="B106" s="2"/>
      <c r="C106" s="1" t="s">
        <v>12</v>
      </c>
      <c r="D106" s="285">
        <v>0</v>
      </c>
      <c r="E106" s="286">
        <v>0</v>
      </c>
      <c r="F106" s="286">
        <v>8.2555900000000002E-3</v>
      </c>
      <c r="G106" s="286">
        <v>0</v>
      </c>
      <c r="H106" s="287">
        <v>0</v>
      </c>
      <c r="J106">
        <v>0</v>
      </c>
      <c r="K106">
        <v>0</v>
      </c>
      <c r="L106">
        <v>-0.153616287957</v>
      </c>
      <c r="M106">
        <v>0</v>
      </c>
      <c r="N106">
        <v>0</v>
      </c>
      <c r="O106" s="20"/>
      <c r="P106" s="20"/>
      <c r="Q106" s="147">
        <v>5.5255972987626398E-2</v>
      </c>
      <c r="R106" s="197">
        <v>0.14000000000000001</v>
      </c>
      <c r="S106" s="197">
        <v>2.0499999999999998</v>
      </c>
      <c r="T106" s="197">
        <v>0.62857142857142845</v>
      </c>
      <c r="U106" s="197">
        <v>0.90789473684210531</v>
      </c>
      <c r="V106" s="20">
        <f t="shared" si="100"/>
        <v>0</v>
      </c>
      <c r="W106" s="20">
        <f t="shared" si="100"/>
        <v>6.3863892125168612E-4</v>
      </c>
      <c r="X106" s="20">
        <f t="shared" si="100"/>
        <v>0</v>
      </c>
      <c r="Y106" s="20">
        <f t="shared" si="100"/>
        <v>0</v>
      </c>
      <c r="Z106" s="20">
        <f t="shared" si="101"/>
        <v>0</v>
      </c>
      <c r="AA106" s="20">
        <f t="shared" si="101"/>
        <v>4.7830236131303039E-4</v>
      </c>
      <c r="AB106" s="20">
        <f t="shared" si="101"/>
        <v>0</v>
      </c>
      <c r="AC106" s="20">
        <f t="shared" si="101"/>
        <v>0</v>
      </c>
      <c r="AD106" s="20">
        <f t="shared" si="102"/>
        <v>4.7830236131303039E-4</v>
      </c>
      <c r="AE106" s="20">
        <f t="shared" si="103"/>
        <v>0</v>
      </c>
      <c r="AF106" s="20">
        <f t="shared" si="103"/>
        <v>9.3514984897568303E-3</v>
      </c>
      <c r="AG106" s="20">
        <f t="shared" si="103"/>
        <v>0</v>
      </c>
      <c r="AH106" s="20">
        <f t="shared" si="103"/>
        <v>0</v>
      </c>
      <c r="AI106" s="20">
        <f t="shared" si="104"/>
        <v>0</v>
      </c>
      <c r="AJ106" s="20">
        <f t="shared" si="104"/>
        <v>7.0037131477979431E-3</v>
      </c>
      <c r="AK106" s="20">
        <f t="shared" si="104"/>
        <v>0</v>
      </c>
      <c r="AL106" s="20">
        <f t="shared" si="104"/>
        <v>0</v>
      </c>
      <c r="AM106" s="20">
        <f t="shared" si="105"/>
        <v>7.0037131477979431E-3</v>
      </c>
      <c r="AO106">
        <f t="shared" si="106"/>
        <v>0</v>
      </c>
      <c r="AP106">
        <f t="shared" si="106"/>
        <v>5.643519333272648E-4</v>
      </c>
      <c r="AQ106">
        <f t="shared" si="106"/>
        <v>0</v>
      </c>
      <c r="AR106">
        <f t="shared" si="106"/>
        <v>0</v>
      </c>
      <c r="AS106">
        <f t="shared" si="107"/>
        <v>5.643519333272648E-4</v>
      </c>
      <c r="AU106">
        <f t="shared" si="108"/>
        <v>0</v>
      </c>
      <c r="AV106">
        <f t="shared" si="108"/>
        <v>8.2637247380063748E-3</v>
      </c>
      <c r="AW106">
        <f t="shared" si="108"/>
        <v>0</v>
      </c>
      <c r="AX106">
        <f t="shared" si="108"/>
        <v>0</v>
      </c>
      <c r="AY106">
        <f t="shared" si="109"/>
        <v>8.2637247380063748E-3</v>
      </c>
    </row>
    <row r="107" spans="1:51" ht="15" x14ac:dyDescent="0.25">
      <c r="A107" s="1"/>
      <c r="B107" s="2"/>
      <c r="C107" s="1" t="s">
        <v>13</v>
      </c>
      <c r="D107" s="285">
        <v>0</v>
      </c>
      <c r="E107" s="286">
        <v>0</v>
      </c>
      <c r="F107" s="286">
        <v>0</v>
      </c>
      <c r="G107" s="286">
        <v>0</v>
      </c>
      <c r="H107" s="28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0"/>
      <c r="P107" s="20"/>
      <c r="Q107" s="147"/>
      <c r="R107" s="197">
        <v>0.14000000000000001</v>
      </c>
      <c r="S107" s="197">
        <v>2.0499999999999998</v>
      </c>
      <c r="T107" s="197">
        <v>0.62857142857142845</v>
      </c>
      <c r="U107" s="197">
        <v>0.90789473684210531</v>
      </c>
      <c r="V107" s="20">
        <f t="shared" si="100"/>
        <v>0</v>
      </c>
      <c r="W107" s="20">
        <f t="shared" si="100"/>
        <v>0</v>
      </c>
      <c r="X107" s="20">
        <f t="shared" si="100"/>
        <v>0</v>
      </c>
      <c r="Y107" s="20">
        <f t="shared" si="100"/>
        <v>0</v>
      </c>
      <c r="Z107" s="20">
        <f t="shared" si="101"/>
        <v>0</v>
      </c>
      <c r="AA107" s="20">
        <f t="shared" si="101"/>
        <v>0</v>
      </c>
      <c r="AB107" s="20">
        <f t="shared" si="101"/>
        <v>0</v>
      </c>
      <c r="AC107" s="20">
        <f t="shared" si="101"/>
        <v>0</v>
      </c>
      <c r="AD107" s="20">
        <f t="shared" si="102"/>
        <v>0</v>
      </c>
      <c r="AE107" s="20">
        <f t="shared" si="103"/>
        <v>0</v>
      </c>
      <c r="AF107" s="20">
        <f t="shared" si="103"/>
        <v>0</v>
      </c>
      <c r="AG107" s="20">
        <f t="shared" si="103"/>
        <v>0</v>
      </c>
      <c r="AH107" s="20">
        <f t="shared" si="103"/>
        <v>0</v>
      </c>
      <c r="AI107" s="20">
        <f t="shared" si="104"/>
        <v>0</v>
      </c>
      <c r="AJ107" s="20">
        <f t="shared" si="104"/>
        <v>0</v>
      </c>
      <c r="AK107" s="20">
        <f t="shared" si="104"/>
        <v>0</v>
      </c>
      <c r="AL107" s="20">
        <f t="shared" si="104"/>
        <v>0</v>
      </c>
      <c r="AM107" s="20">
        <f t="shared" si="105"/>
        <v>0</v>
      </c>
      <c r="AO107">
        <f t="shared" si="106"/>
        <v>0</v>
      </c>
      <c r="AP107">
        <f t="shared" si="106"/>
        <v>0</v>
      </c>
      <c r="AQ107">
        <f t="shared" si="106"/>
        <v>0</v>
      </c>
      <c r="AR107">
        <f t="shared" si="106"/>
        <v>0</v>
      </c>
      <c r="AS107">
        <f t="shared" si="107"/>
        <v>0</v>
      </c>
      <c r="AU107">
        <f t="shared" si="108"/>
        <v>0</v>
      </c>
      <c r="AV107">
        <f t="shared" si="108"/>
        <v>0</v>
      </c>
      <c r="AW107">
        <f t="shared" si="108"/>
        <v>0</v>
      </c>
      <c r="AX107">
        <f t="shared" si="108"/>
        <v>0</v>
      </c>
      <c r="AY107">
        <f t="shared" si="109"/>
        <v>0</v>
      </c>
    </row>
    <row r="108" spans="1:51" ht="15" x14ac:dyDescent="0.25">
      <c r="A108" s="7"/>
      <c r="B108" s="8" t="s">
        <v>14</v>
      </c>
      <c r="C108" s="7"/>
      <c r="D108" s="288">
        <f>SUM(D102:D107)</f>
        <v>0</v>
      </c>
      <c r="E108" s="289">
        <f>SUM(E102:E107)</f>
        <v>10.66994006</v>
      </c>
      <c r="F108" s="289">
        <f>SUM(F102:F107)</f>
        <v>31.28339746</v>
      </c>
      <c r="G108" s="289">
        <f>SUM(G102:G107)</f>
        <v>81.631685829999995</v>
      </c>
      <c r="H108" s="290">
        <f>SUM(H102:H107)</f>
        <v>55.280455679999996</v>
      </c>
      <c r="J108">
        <v>0</v>
      </c>
      <c r="K108">
        <v>-40.452372311718008</v>
      </c>
      <c r="L108">
        <v>-35.730916517076999</v>
      </c>
      <c r="M108">
        <v>-55.825231039080009</v>
      </c>
      <c r="N108">
        <v>-80.738899197370017</v>
      </c>
      <c r="O108" s="20"/>
      <c r="P108" s="20"/>
      <c r="Q108" s="147"/>
      <c r="R108" s="197"/>
      <c r="S108" s="197"/>
      <c r="T108" s="197"/>
      <c r="U108" s="197"/>
    </row>
    <row r="109" spans="1:51" ht="15" x14ac:dyDescent="0.25">
      <c r="A109" s="10"/>
      <c r="B109" s="9" t="s">
        <v>15</v>
      </c>
      <c r="C109" s="5"/>
      <c r="D109" s="291"/>
      <c r="E109" s="292"/>
      <c r="F109" s="292"/>
      <c r="G109" s="292"/>
      <c r="H109" s="293">
        <f>SUM(D108:H108)</f>
        <v>178.86547902999999</v>
      </c>
      <c r="N109">
        <v>-212.74741906524503</v>
      </c>
      <c r="O109" s="20"/>
      <c r="P109" s="20"/>
      <c r="Q109" s="147"/>
      <c r="R109" s="197"/>
      <c r="S109" s="197"/>
      <c r="T109" s="197"/>
      <c r="U109" s="197"/>
    </row>
    <row r="110" spans="1:51" ht="15.75" thickBot="1" x14ac:dyDescent="0.3">
      <c r="A110" s="1"/>
      <c r="B110" s="2"/>
      <c r="C110" s="1"/>
      <c r="D110" s="294"/>
      <c r="E110" s="295"/>
      <c r="F110" s="295"/>
      <c r="G110" s="295"/>
      <c r="H110" s="296"/>
      <c r="O110" s="20"/>
      <c r="P110" s="20"/>
      <c r="Q110" s="147"/>
      <c r="R110" s="197"/>
      <c r="S110" s="197"/>
      <c r="T110" s="197"/>
      <c r="U110" s="197"/>
    </row>
    <row r="111" spans="1:51" ht="15" x14ac:dyDescent="0.25">
      <c r="A111" s="1">
        <v>12</v>
      </c>
      <c r="B111" s="2" t="s">
        <v>26</v>
      </c>
      <c r="C111" s="1" t="s">
        <v>8</v>
      </c>
      <c r="D111" s="285">
        <v>0</v>
      </c>
      <c r="E111" s="286">
        <v>0</v>
      </c>
      <c r="F111" s="286">
        <v>0</v>
      </c>
      <c r="G111" s="286">
        <v>0</v>
      </c>
      <c r="H111" s="287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 s="20"/>
      <c r="P111" s="20"/>
      <c r="Q111" s="147"/>
      <c r="R111" s="197">
        <v>6.531704360902256</v>
      </c>
      <c r="S111" s="197">
        <v>78.227142857142866</v>
      </c>
      <c r="T111" s="197">
        <v>0.5825685654008439</v>
      </c>
      <c r="U111" s="197">
        <v>0.90789473684210531</v>
      </c>
      <c r="V111" s="20">
        <f t="shared" ref="V111:Y116" si="110">IF(K111&gt;0,((E111-K111)*$Q111*$R111*10)+(K111*$O$12*$Q111*$R111*10),(E111*$Q111*$R111*10))</f>
        <v>0</v>
      </c>
      <c r="W111" s="20">
        <f t="shared" si="110"/>
        <v>0</v>
      </c>
      <c r="X111" s="20">
        <f t="shared" si="110"/>
        <v>0</v>
      </c>
      <c r="Y111" s="20">
        <f t="shared" si="110"/>
        <v>0</v>
      </c>
      <c r="Z111" s="20">
        <f t="shared" ref="Z111:AC116" si="111">V111*(EXP(1.01-0.34*LN(Z$8))*(1-$T111)+(1*$T111))</f>
        <v>0</v>
      </c>
      <c r="AA111" s="20">
        <f t="shared" si="111"/>
        <v>0</v>
      </c>
      <c r="AB111" s="20">
        <f t="shared" si="111"/>
        <v>0</v>
      </c>
      <c r="AC111" s="20">
        <f t="shared" si="111"/>
        <v>0</v>
      </c>
      <c r="AD111" s="20">
        <f t="shared" ref="AD111:AD116" si="112">SUM(Z111:AC111)</f>
        <v>0</v>
      </c>
      <c r="AE111" s="20">
        <f t="shared" ref="AE111:AH116" si="113">IF(K111&gt;0,((E111-K111)*$Q111*$S111*10)+(K111*$P$12*$Q111*$S111)*10,(E111*$Q111*$S111*10))</f>
        <v>0</v>
      </c>
      <c r="AF111" s="20">
        <f t="shared" si="113"/>
        <v>0</v>
      </c>
      <c r="AG111" s="20">
        <f t="shared" si="113"/>
        <v>0</v>
      </c>
      <c r="AH111" s="20">
        <f t="shared" si="113"/>
        <v>0</v>
      </c>
      <c r="AI111" s="20">
        <f t="shared" ref="AI111:AL116" si="114">AE111*(EXP(1.01-0.34*LN(AI$8))*(1-$T111)+(1*$T111))</f>
        <v>0</v>
      </c>
      <c r="AJ111" s="20">
        <f t="shared" si="114"/>
        <v>0</v>
      </c>
      <c r="AK111" s="20">
        <f t="shared" si="114"/>
        <v>0</v>
      </c>
      <c r="AL111" s="20">
        <f t="shared" si="114"/>
        <v>0</v>
      </c>
      <c r="AM111" s="20">
        <f t="shared" ref="AM111:AM116" si="115">SUM(AI111:AL111)</f>
        <v>0</v>
      </c>
      <c r="AO111">
        <f t="shared" ref="AO111:AR116" si="116">Z111*AO$10</f>
        <v>0</v>
      </c>
      <c r="AP111">
        <f t="shared" si="116"/>
        <v>0</v>
      </c>
      <c r="AQ111">
        <f t="shared" si="116"/>
        <v>0</v>
      </c>
      <c r="AR111">
        <f t="shared" si="116"/>
        <v>0</v>
      </c>
      <c r="AS111">
        <f t="shared" ref="AS111:AS116" si="117">SUM(AO111:AR111)</f>
        <v>0</v>
      </c>
      <c r="AU111">
        <f t="shared" ref="AU111:AX116" si="118">AI111*AU$10</f>
        <v>0</v>
      </c>
      <c r="AV111">
        <f t="shared" si="118"/>
        <v>0</v>
      </c>
      <c r="AW111">
        <f t="shared" si="118"/>
        <v>0</v>
      </c>
      <c r="AX111">
        <f t="shared" si="118"/>
        <v>0</v>
      </c>
      <c r="AY111">
        <f t="shared" ref="AY111:AY116" si="119">SUM(AU111:AX111)</f>
        <v>0</v>
      </c>
    </row>
    <row r="112" spans="1:51" ht="15" x14ac:dyDescent="0.25">
      <c r="A112" s="1"/>
      <c r="B112" s="2"/>
      <c r="C112" s="1" t="s">
        <v>9</v>
      </c>
      <c r="D112" s="285">
        <v>0</v>
      </c>
      <c r="E112" s="286">
        <v>0</v>
      </c>
      <c r="F112" s="286">
        <v>0</v>
      </c>
      <c r="G112" s="286">
        <v>0</v>
      </c>
      <c r="H112" s="287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 s="20"/>
      <c r="P112" s="20"/>
      <c r="Q112" s="147"/>
      <c r="R112" s="197">
        <v>6.531704360902256</v>
      </c>
      <c r="S112" s="197">
        <v>78.227142857142866</v>
      </c>
      <c r="T112" s="197">
        <v>0.5825685654008439</v>
      </c>
      <c r="U112" s="197">
        <v>0.90789473684210531</v>
      </c>
      <c r="V112" s="20">
        <f t="shared" si="110"/>
        <v>0</v>
      </c>
      <c r="W112" s="20">
        <f t="shared" si="110"/>
        <v>0</v>
      </c>
      <c r="X112" s="20">
        <f t="shared" si="110"/>
        <v>0</v>
      </c>
      <c r="Y112" s="20">
        <f t="shared" si="110"/>
        <v>0</v>
      </c>
      <c r="Z112" s="20">
        <f t="shared" si="111"/>
        <v>0</v>
      </c>
      <c r="AA112" s="20">
        <f t="shared" si="111"/>
        <v>0</v>
      </c>
      <c r="AB112" s="20">
        <f t="shared" si="111"/>
        <v>0</v>
      </c>
      <c r="AC112" s="20">
        <f t="shared" si="111"/>
        <v>0</v>
      </c>
      <c r="AD112" s="20">
        <f t="shared" si="112"/>
        <v>0</v>
      </c>
      <c r="AE112" s="20">
        <f t="shared" si="113"/>
        <v>0</v>
      </c>
      <c r="AF112" s="20">
        <f t="shared" si="113"/>
        <v>0</v>
      </c>
      <c r="AG112" s="20">
        <f t="shared" si="113"/>
        <v>0</v>
      </c>
      <c r="AH112" s="20">
        <f t="shared" si="113"/>
        <v>0</v>
      </c>
      <c r="AI112" s="20">
        <f t="shared" si="114"/>
        <v>0</v>
      </c>
      <c r="AJ112" s="20">
        <f t="shared" si="114"/>
        <v>0</v>
      </c>
      <c r="AK112" s="20">
        <f t="shared" si="114"/>
        <v>0</v>
      </c>
      <c r="AL112" s="20">
        <f t="shared" si="114"/>
        <v>0</v>
      </c>
      <c r="AM112" s="20">
        <f t="shared" si="115"/>
        <v>0</v>
      </c>
      <c r="AO112">
        <f t="shared" si="116"/>
        <v>0</v>
      </c>
      <c r="AP112">
        <f t="shared" si="116"/>
        <v>0</v>
      </c>
      <c r="AQ112">
        <f t="shared" si="116"/>
        <v>0</v>
      </c>
      <c r="AR112">
        <f t="shared" si="116"/>
        <v>0</v>
      </c>
      <c r="AS112">
        <f t="shared" si="117"/>
        <v>0</v>
      </c>
      <c r="AU112">
        <f t="shared" si="118"/>
        <v>0</v>
      </c>
      <c r="AV112">
        <f t="shared" si="118"/>
        <v>0</v>
      </c>
      <c r="AW112">
        <f t="shared" si="118"/>
        <v>0</v>
      </c>
      <c r="AX112">
        <f t="shared" si="118"/>
        <v>0</v>
      </c>
      <c r="AY112">
        <f t="shared" si="119"/>
        <v>0</v>
      </c>
    </row>
    <row r="113" spans="1:51" ht="15" x14ac:dyDescent="0.25">
      <c r="A113" s="1"/>
      <c r="B113" s="2"/>
      <c r="C113" s="1" t="s">
        <v>10</v>
      </c>
      <c r="D113" s="285">
        <v>0</v>
      </c>
      <c r="E113" s="286">
        <v>0</v>
      </c>
      <c r="F113" s="286">
        <v>0</v>
      </c>
      <c r="G113" s="286">
        <v>0</v>
      </c>
      <c r="H113" s="287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 s="20"/>
      <c r="P113" s="20"/>
      <c r="Q113" s="147"/>
      <c r="R113" s="197">
        <v>6.531704360902256</v>
      </c>
      <c r="S113" s="197">
        <v>78.227142857142866</v>
      </c>
      <c r="T113" s="197">
        <v>0.5825685654008439</v>
      </c>
      <c r="U113" s="197">
        <v>0.90789473684210531</v>
      </c>
      <c r="V113" s="20">
        <f t="shared" si="110"/>
        <v>0</v>
      </c>
      <c r="W113" s="20">
        <f t="shared" si="110"/>
        <v>0</v>
      </c>
      <c r="X113" s="20">
        <f t="shared" si="110"/>
        <v>0</v>
      </c>
      <c r="Y113" s="20">
        <f t="shared" si="110"/>
        <v>0</v>
      </c>
      <c r="Z113" s="20">
        <f t="shared" si="111"/>
        <v>0</v>
      </c>
      <c r="AA113" s="20">
        <f t="shared" si="111"/>
        <v>0</v>
      </c>
      <c r="AB113" s="20">
        <f t="shared" si="111"/>
        <v>0</v>
      </c>
      <c r="AC113" s="20">
        <f t="shared" si="111"/>
        <v>0</v>
      </c>
      <c r="AD113" s="20">
        <f t="shared" si="112"/>
        <v>0</v>
      </c>
      <c r="AE113" s="20">
        <f t="shared" si="113"/>
        <v>0</v>
      </c>
      <c r="AF113" s="20">
        <f t="shared" si="113"/>
        <v>0</v>
      </c>
      <c r="AG113" s="20">
        <f t="shared" si="113"/>
        <v>0</v>
      </c>
      <c r="AH113" s="20">
        <f t="shared" si="113"/>
        <v>0</v>
      </c>
      <c r="AI113" s="20">
        <f t="shared" si="114"/>
        <v>0</v>
      </c>
      <c r="AJ113" s="20">
        <f t="shared" si="114"/>
        <v>0</v>
      </c>
      <c r="AK113" s="20">
        <f t="shared" si="114"/>
        <v>0</v>
      </c>
      <c r="AL113" s="20">
        <f t="shared" si="114"/>
        <v>0</v>
      </c>
      <c r="AM113" s="20">
        <f t="shared" si="115"/>
        <v>0</v>
      </c>
      <c r="AO113">
        <f t="shared" si="116"/>
        <v>0</v>
      </c>
      <c r="AP113">
        <f t="shared" si="116"/>
        <v>0</v>
      </c>
      <c r="AQ113">
        <f t="shared" si="116"/>
        <v>0</v>
      </c>
      <c r="AR113">
        <f t="shared" si="116"/>
        <v>0</v>
      </c>
      <c r="AS113">
        <f t="shared" si="117"/>
        <v>0</v>
      </c>
      <c r="AU113">
        <f t="shared" si="118"/>
        <v>0</v>
      </c>
      <c r="AV113">
        <f t="shared" si="118"/>
        <v>0</v>
      </c>
      <c r="AW113">
        <f t="shared" si="118"/>
        <v>0</v>
      </c>
      <c r="AX113">
        <f t="shared" si="118"/>
        <v>0</v>
      </c>
      <c r="AY113">
        <f t="shared" si="119"/>
        <v>0</v>
      </c>
    </row>
    <row r="114" spans="1:51" ht="15" x14ac:dyDescent="0.25">
      <c r="A114" s="1"/>
      <c r="B114" s="2"/>
      <c r="C114" s="1" t="s">
        <v>11</v>
      </c>
      <c r="D114" s="285">
        <v>0</v>
      </c>
      <c r="E114" s="286">
        <v>0</v>
      </c>
      <c r="F114" s="286">
        <v>0</v>
      </c>
      <c r="G114" s="286">
        <v>0</v>
      </c>
      <c r="H114" s="287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 s="20"/>
      <c r="P114" s="20"/>
      <c r="Q114" s="147"/>
      <c r="R114" s="197">
        <v>6.531704360902256</v>
      </c>
      <c r="S114" s="197">
        <v>78.227142857142866</v>
      </c>
      <c r="T114" s="197">
        <v>0.5825685654008439</v>
      </c>
      <c r="U114" s="197">
        <v>0.90789473684210531</v>
      </c>
      <c r="V114" s="20">
        <f t="shared" si="110"/>
        <v>0</v>
      </c>
      <c r="W114" s="20">
        <f t="shared" si="110"/>
        <v>0</v>
      </c>
      <c r="X114" s="20">
        <f t="shared" si="110"/>
        <v>0</v>
      </c>
      <c r="Y114" s="20">
        <f t="shared" si="110"/>
        <v>0</v>
      </c>
      <c r="Z114" s="20">
        <f t="shared" si="111"/>
        <v>0</v>
      </c>
      <c r="AA114" s="20">
        <f t="shared" si="111"/>
        <v>0</v>
      </c>
      <c r="AB114" s="20">
        <f t="shared" si="111"/>
        <v>0</v>
      </c>
      <c r="AC114" s="20">
        <f t="shared" si="111"/>
        <v>0</v>
      </c>
      <c r="AD114" s="20">
        <f t="shared" si="112"/>
        <v>0</v>
      </c>
      <c r="AE114" s="20">
        <f t="shared" si="113"/>
        <v>0</v>
      </c>
      <c r="AF114" s="20">
        <f t="shared" si="113"/>
        <v>0</v>
      </c>
      <c r="AG114" s="20">
        <f t="shared" si="113"/>
        <v>0</v>
      </c>
      <c r="AH114" s="20">
        <f t="shared" si="113"/>
        <v>0</v>
      </c>
      <c r="AI114" s="20">
        <f t="shared" si="114"/>
        <v>0</v>
      </c>
      <c r="AJ114" s="20">
        <f t="shared" si="114"/>
        <v>0</v>
      </c>
      <c r="AK114" s="20">
        <f t="shared" si="114"/>
        <v>0</v>
      </c>
      <c r="AL114" s="20">
        <f t="shared" si="114"/>
        <v>0</v>
      </c>
      <c r="AM114" s="20">
        <f t="shared" si="115"/>
        <v>0</v>
      </c>
      <c r="AO114">
        <f t="shared" si="116"/>
        <v>0</v>
      </c>
      <c r="AP114">
        <f t="shared" si="116"/>
        <v>0</v>
      </c>
      <c r="AQ114">
        <f t="shared" si="116"/>
        <v>0</v>
      </c>
      <c r="AR114">
        <f t="shared" si="116"/>
        <v>0</v>
      </c>
      <c r="AS114">
        <f t="shared" si="117"/>
        <v>0</v>
      </c>
      <c r="AU114">
        <f t="shared" si="118"/>
        <v>0</v>
      </c>
      <c r="AV114">
        <f t="shared" si="118"/>
        <v>0</v>
      </c>
      <c r="AW114">
        <f t="shared" si="118"/>
        <v>0</v>
      </c>
      <c r="AX114">
        <f t="shared" si="118"/>
        <v>0</v>
      </c>
      <c r="AY114">
        <f t="shared" si="119"/>
        <v>0</v>
      </c>
    </row>
    <row r="115" spans="1:51" ht="15" x14ac:dyDescent="0.25">
      <c r="A115" s="1"/>
      <c r="B115" s="2"/>
      <c r="C115" s="1" t="s">
        <v>12</v>
      </c>
      <c r="D115" s="285">
        <v>0</v>
      </c>
      <c r="E115" s="286">
        <v>0</v>
      </c>
      <c r="F115" s="286">
        <v>0</v>
      </c>
      <c r="G115" s="286">
        <v>0</v>
      </c>
      <c r="H115" s="287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 s="20"/>
      <c r="P115" s="20"/>
      <c r="Q115" s="147"/>
      <c r="R115" s="197">
        <v>6.531704360902256</v>
      </c>
      <c r="S115" s="197">
        <v>78.227142857142866</v>
      </c>
      <c r="T115" s="197">
        <v>0.5825685654008439</v>
      </c>
      <c r="U115" s="197">
        <v>0.90789473684210531</v>
      </c>
      <c r="V115" s="20">
        <f t="shared" si="110"/>
        <v>0</v>
      </c>
      <c r="W115" s="20">
        <f t="shared" si="110"/>
        <v>0</v>
      </c>
      <c r="X115" s="20">
        <f t="shared" si="110"/>
        <v>0</v>
      </c>
      <c r="Y115" s="20">
        <f t="shared" si="110"/>
        <v>0</v>
      </c>
      <c r="Z115" s="20">
        <f t="shared" si="111"/>
        <v>0</v>
      </c>
      <c r="AA115" s="20">
        <f t="shared" si="111"/>
        <v>0</v>
      </c>
      <c r="AB115" s="20">
        <f t="shared" si="111"/>
        <v>0</v>
      </c>
      <c r="AC115" s="20">
        <f t="shared" si="111"/>
        <v>0</v>
      </c>
      <c r="AD115" s="20">
        <f t="shared" si="112"/>
        <v>0</v>
      </c>
      <c r="AE115" s="20">
        <f t="shared" si="113"/>
        <v>0</v>
      </c>
      <c r="AF115" s="20">
        <f t="shared" si="113"/>
        <v>0</v>
      </c>
      <c r="AG115" s="20">
        <f t="shared" si="113"/>
        <v>0</v>
      </c>
      <c r="AH115" s="20">
        <f t="shared" si="113"/>
        <v>0</v>
      </c>
      <c r="AI115" s="20">
        <f t="shared" si="114"/>
        <v>0</v>
      </c>
      <c r="AJ115" s="20">
        <f t="shared" si="114"/>
        <v>0</v>
      </c>
      <c r="AK115" s="20">
        <f t="shared" si="114"/>
        <v>0</v>
      </c>
      <c r="AL115" s="20">
        <f t="shared" si="114"/>
        <v>0</v>
      </c>
      <c r="AM115" s="20">
        <f t="shared" si="115"/>
        <v>0</v>
      </c>
      <c r="AO115">
        <f t="shared" si="116"/>
        <v>0</v>
      </c>
      <c r="AP115">
        <f t="shared" si="116"/>
        <v>0</v>
      </c>
      <c r="AQ115">
        <f t="shared" si="116"/>
        <v>0</v>
      </c>
      <c r="AR115">
        <f t="shared" si="116"/>
        <v>0</v>
      </c>
      <c r="AS115">
        <f t="shared" si="117"/>
        <v>0</v>
      </c>
      <c r="AU115">
        <f t="shared" si="118"/>
        <v>0</v>
      </c>
      <c r="AV115">
        <f t="shared" si="118"/>
        <v>0</v>
      </c>
      <c r="AW115">
        <f t="shared" si="118"/>
        <v>0</v>
      </c>
      <c r="AX115">
        <f t="shared" si="118"/>
        <v>0</v>
      </c>
      <c r="AY115">
        <f t="shared" si="119"/>
        <v>0</v>
      </c>
    </row>
    <row r="116" spans="1:51" ht="15" x14ac:dyDescent="0.25">
      <c r="A116" s="1"/>
      <c r="B116" s="2"/>
      <c r="C116" s="1" t="s">
        <v>13</v>
      </c>
      <c r="D116" s="285">
        <v>0</v>
      </c>
      <c r="E116" s="286">
        <v>0</v>
      </c>
      <c r="F116" s="286">
        <v>0</v>
      </c>
      <c r="G116" s="286">
        <v>0</v>
      </c>
      <c r="H116" s="287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 s="20"/>
      <c r="P116" s="20"/>
      <c r="Q116" s="147"/>
      <c r="R116" s="197">
        <v>6.531704360902256</v>
      </c>
      <c r="S116" s="197">
        <v>78.227142857142866</v>
      </c>
      <c r="T116" s="197">
        <v>0.5825685654008439</v>
      </c>
      <c r="U116" s="197">
        <v>0.90789473684210531</v>
      </c>
      <c r="V116" s="20">
        <f t="shared" si="110"/>
        <v>0</v>
      </c>
      <c r="W116" s="20">
        <f t="shared" si="110"/>
        <v>0</v>
      </c>
      <c r="X116" s="20">
        <f t="shared" si="110"/>
        <v>0</v>
      </c>
      <c r="Y116" s="20">
        <f t="shared" si="110"/>
        <v>0</v>
      </c>
      <c r="Z116" s="20">
        <f t="shared" si="111"/>
        <v>0</v>
      </c>
      <c r="AA116" s="20">
        <f t="shared" si="111"/>
        <v>0</v>
      </c>
      <c r="AB116" s="20">
        <f t="shared" si="111"/>
        <v>0</v>
      </c>
      <c r="AC116" s="20">
        <f t="shared" si="111"/>
        <v>0</v>
      </c>
      <c r="AD116" s="20">
        <f t="shared" si="112"/>
        <v>0</v>
      </c>
      <c r="AE116" s="20">
        <f t="shared" si="113"/>
        <v>0</v>
      </c>
      <c r="AF116" s="20">
        <f t="shared" si="113"/>
        <v>0</v>
      </c>
      <c r="AG116" s="20">
        <f t="shared" si="113"/>
        <v>0</v>
      </c>
      <c r="AH116" s="20">
        <f t="shared" si="113"/>
        <v>0</v>
      </c>
      <c r="AI116" s="20">
        <f t="shared" si="114"/>
        <v>0</v>
      </c>
      <c r="AJ116" s="20">
        <f t="shared" si="114"/>
        <v>0</v>
      </c>
      <c r="AK116" s="20">
        <f t="shared" si="114"/>
        <v>0</v>
      </c>
      <c r="AL116" s="20">
        <f t="shared" si="114"/>
        <v>0</v>
      </c>
      <c r="AM116" s="20">
        <f t="shared" si="115"/>
        <v>0</v>
      </c>
      <c r="AO116">
        <f t="shared" si="116"/>
        <v>0</v>
      </c>
      <c r="AP116">
        <f t="shared" si="116"/>
        <v>0</v>
      </c>
      <c r="AQ116">
        <f t="shared" si="116"/>
        <v>0</v>
      </c>
      <c r="AR116">
        <f t="shared" si="116"/>
        <v>0</v>
      </c>
      <c r="AS116">
        <f t="shared" si="117"/>
        <v>0</v>
      </c>
      <c r="AU116">
        <f t="shared" si="118"/>
        <v>0</v>
      </c>
      <c r="AV116">
        <f t="shared" si="118"/>
        <v>0</v>
      </c>
      <c r="AW116">
        <f t="shared" si="118"/>
        <v>0</v>
      </c>
      <c r="AX116">
        <f t="shared" si="118"/>
        <v>0</v>
      </c>
      <c r="AY116">
        <f t="shared" si="119"/>
        <v>0</v>
      </c>
    </row>
    <row r="117" spans="1:51" ht="15" x14ac:dyDescent="0.25">
      <c r="A117" s="7"/>
      <c r="B117" s="8" t="s">
        <v>14</v>
      </c>
      <c r="C117" s="7"/>
      <c r="D117" s="288">
        <f>SUM(D111:D116)</f>
        <v>0</v>
      </c>
      <c r="E117" s="289">
        <f>SUM(E111:E116)</f>
        <v>0</v>
      </c>
      <c r="F117" s="289">
        <f>SUM(F111:F116)</f>
        <v>0</v>
      </c>
      <c r="G117" s="289">
        <f>SUM(G111:G116)</f>
        <v>0</v>
      </c>
      <c r="H117" s="290">
        <f>SUM(H111:H116)</f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 s="20"/>
      <c r="P117" s="20"/>
      <c r="Q117" s="147"/>
      <c r="R117" s="197"/>
      <c r="S117" s="197"/>
      <c r="T117" s="197"/>
      <c r="U117" s="197"/>
    </row>
    <row r="118" spans="1:51" ht="15" x14ac:dyDescent="0.25">
      <c r="A118" s="10"/>
      <c r="B118" s="9" t="s">
        <v>15</v>
      </c>
      <c r="C118" s="5"/>
      <c r="D118" s="291"/>
      <c r="E118" s="292"/>
      <c r="F118" s="292"/>
      <c r="G118" s="292"/>
      <c r="H118" s="293">
        <f>SUM(D117:H117)</f>
        <v>0</v>
      </c>
      <c r="N118">
        <v>0</v>
      </c>
      <c r="O118" s="20"/>
      <c r="P118" s="20"/>
      <c r="Q118" s="147"/>
      <c r="R118" s="197"/>
      <c r="S118" s="197"/>
      <c r="T118" s="197"/>
      <c r="U118" s="197"/>
    </row>
    <row r="119" spans="1:51" ht="15.75" thickBot="1" x14ac:dyDescent="0.3">
      <c r="A119" s="1"/>
      <c r="B119" s="2"/>
      <c r="C119" s="1"/>
      <c r="D119" s="297"/>
      <c r="E119" s="298"/>
      <c r="F119" s="298"/>
      <c r="G119" s="298"/>
      <c r="H119" s="299"/>
      <c r="O119" s="20"/>
      <c r="P119" s="20"/>
      <c r="Q119" s="147"/>
      <c r="R119" s="197"/>
      <c r="S119" s="197"/>
      <c r="T119" s="197"/>
      <c r="U119" s="197"/>
    </row>
    <row r="120" spans="1:51" ht="15" x14ac:dyDescent="0.25">
      <c r="A120" s="1">
        <v>13</v>
      </c>
      <c r="B120" s="2" t="s">
        <v>27</v>
      </c>
      <c r="C120" s="1" t="s">
        <v>8</v>
      </c>
      <c r="D120" s="282">
        <v>0</v>
      </c>
      <c r="E120" s="283">
        <v>0</v>
      </c>
      <c r="F120" s="283">
        <v>0</v>
      </c>
      <c r="G120" s="283">
        <v>0.85633649999999994</v>
      </c>
      <c r="H120" s="284">
        <v>3.2119332100000002</v>
      </c>
      <c r="J120">
        <v>0</v>
      </c>
      <c r="K120">
        <v>0</v>
      </c>
      <c r="L120">
        <v>0</v>
      </c>
      <c r="M120">
        <v>0.85633649999999994</v>
      </c>
      <c r="N120">
        <v>1.8145753216600002</v>
      </c>
      <c r="O120" s="20"/>
      <c r="P120" s="20"/>
      <c r="Q120" s="147">
        <v>2.0563993246906598E-2</v>
      </c>
      <c r="R120" s="197">
        <v>0.49226666666666663</v>
      </c>
      <c r="S120" s="197">
        <v>2.8337500000000002</v>
      </c>
      <c r="T120" s="197">
        <v>0.68718466195761863</v>
      </c>
      <c r="U120" s="197">
        <v>0.90789473684210531</v>
      </c>
      <c r="V120" s="20">
        <f t="shared" ref="V120:Y125" si="120">IF(K120&gt;0,((E120-K120)*$Q120*$R120*10)+(K120*$O$12*$Q120*$R120*10),(E120*$Q120*$R120*10))</f>
        <v>0</v>
      </c>
      <c r="W120" s="20">
        <f t="shared" si="120"/>
        <v>0</v>
      </c>
      <c r="X120" s="20">
        <f t="shared" si="120"/>
        <v>3.1879201423372819E-2</v>
      </c>
      <c r="Y120" s="20">
        <f t="shared" si="120"/>
        <v>0.20900606131393556</v>
      </c>
      <c r="Z120" s="20">
        <f t="shared" ref="Z120:AC125" si="121">V120*(EXP(1.01-0.34*LN(Z$8))*(1-$T120)+(1*$T120))</f>
        <v>0</v>
      </c>
      <c r="AA120" s="20">
        <f t="shared" si="121"/>
        <v>0</v>
      </c>
      <c r="AB120" s="20">
        <f t="shared" si="121"/>
        <v>2.5212112304526243E-2</v>
      </c>
      <c r="AC120" s="20">
        <f t="shared" si="121"/>
        <v>0.1606407620902062</v>
      </c>
      <c r="AD120" s="20">
        <f t="shared" ref="AD120:AD125" si="122">SUM(Z120:AC120)</f>
        <v>0.18585287439473244</v>
      </c>
      <c r="AE120" s="20">
        <f t="shared" ref="AE120:AH125" si="123">IF(K120&gt;0,((E120-K120)*$Q120*$S120*10)+(K120*$P$12*$Q120*$S120)*10,(E120*$Q120*$S120*10))</f>
        <v>0</v>
      </c>
      <c r="AF120" s="20">
        <f t="shared" si="123"/>
        <v>0</v>
      </c>
      <c r="AG120" s="20">
        <f t="shared" si="123"/>
        <v>0.28899454995192542</v>
      </c>
      <c r="AH120" s="20">
        <f t="shared" si="123"/>
        <v>1.4266642489222889</v>
      </c>
      <c r="AI120" s="20">
        <f t="shared" ref="AI120:AL125" si="124">AE120*(EXP(1.01-0.34*LN(AI$8))*(1-$T120)+(1*$T120))</f>
        <v>0</v>
      </c>
      <c r="AJ120" s="20">
        <f t="shared" si="124"/>
        <v>0</v>
      </c>
      <c r="AK120" s="20">
        <f t="shared" si="124"/>
        <v>0.22855538167408357</v>
      </c>
      <c r="AL120" s="20">
        <f t="shared" si="124"/>
        <v>1.096525290955509</v>
      </c>
      <c r="AM120" s="20">
        <f t="shared" ref="AM120:AM125" si="125">SUM(AI120:AL120)</f>
        <v>1.3250806726295925</v>
      </c>
      <c r="AO120">
        <f t="shared" ref="AO120:AR125" si="126">Z120*AO$10</f>
        <v>0</v>
      </c>
      <c r="AP120">
        <f t="shared" si="126"/>
        <v>0</v>
      </c>
      <c r="AQ120">
        <f t="shared" si="126"/>
        <v>2.9875926083758639E-2</v>
      </c>
      <c r="AR120">
        <f t="shared" si="126"/>
        <v>0.18009971674164565</v>
      </c>
      <c r="AS120">
        <f t="shared" ref="AS120:AS125" si="127">SUM(AO120:AR120)</f>
        <v>0.20997564282540429</v>
      </c>
      <c r="AU120">
        <f t="shared" ref="AU120:AX125" si="128">AI120*AU$10</f>
        <v>0</v>
      </c>
      <c r="AV120">
        <f t="shared" si="128"/>
        <v>0</v>
      </c>
      <c r="AW120">
        <f t="shared" si="128"/>
        <v>0.27083425642659475</v>
      </c>
      <c r="AX120">
        <f t="shared" si="128"/>
        <v>1.2293510795861555</v>
      </c>
      <c r="AY120">
        <f t="shared" ref="AY120:AY125" si="129">SUM(AU120:AX120)</f>
        <v>1.5001853360127502</v>
      </c>
    </row>
    <row r="121" spans="1:51" ht="15" x14ac:dyDescent="0.25">
      <c r="A121" s="1"/>
      <c r="B121" s="2"/>
      <c r="C121" s="1" t="s">
        <v>9</v>
      </c>
      <c r="D121" s="285">
        <v>0</v>
      </c>
      <c r="E121" s="286">
        <v>0</v>
      </c>
      <c r="F121" s="286">
        <v>0</v>
      </c>
      <c r="G121" s="286">
        <v>0</v>
      </c>
      <c r="H121" s="287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20"/>
      <c r="P121" s="20"/>
      <c r="Q121" s="147"/>
      <c r="R121" s="197">
        <v>0.49226666666666663</v>
      </c>
      <c r="S121" s="197">
        <v>2.8337500000000002</v>
      </c>
      <c r="T121" s="197">
        <v>0.68718466195761863</v>
      </c>
      <c r="U121" s="197">
        <v>0.90789473684210531</v>
      </c>
      <c r="V121" s="20">
        <f t="shared" si="120"/>
        <v>0</v>
      </c>
      <c r="W121" s="20">
        <f t="shared" si="120"/>
        <v>0</v>
      </c>
      <c r="X121" s="20">
        <f t="shared" si="120"/>
        <v>0</v>
      </c>
      <c r="Y121" s="20">
        <f t="shared" si="120"/>
        <v>0</v>
      </c>
      <c r="Z121" s="20">
        <f t="shared" si="121"/>
        <v>0</v>
      </c>
      <c r="AA121" s="20">
        <f t="shared" si="121"/>
        <v>0</v>
      </c>
      <c r="AB121" s="20">
        <f t="shared" si="121"/>
        <v>0</v>
      </c>
      <c r="AC121" s="20">
        <f t="shared" si="121"/>
        <v>0</v>
      </c>
      <c r="AD121" s="20">
        <f t="shared" si="122"/>
        <v>0</v>
      </c>
      <c r="AE121" s="20">
        <f t="shared" si="123"/>
        <v>0</v>
      </c>
      <c r="AF121" s="20">
        <f t="shared" si="123"/>
        <v>0</v>
      </c>
      <c r="AG121" s="20">
        <f t="shared" si="123"/>
        <v>0</v>
      </c>
      <c r="AH121" s="20">
        <f t="shared" si="123"/>
        <v>0</v>
      </c>
      <c r="AI121" s="20">
        <f t="shared" si="124"/>
        <v>0</v>
      </c>
      <c r="AJ121" s="20">
        <f t="shared" si="124"/>
        <v>0</v>
      </c>
      <c r="AK121" s="20">
        <f t="shared" si="124"/>
        <v>0</v>
      </c>
      <c r="AL121" s="20">
        <f t="shared" si="124"/>
        <v>0</v>
      </c>
      <c r="AM121" s="20">
        <f t="shared" si="125"/>
        <v>0</v>
      </c>
      <c r="AO121">
        <f t="shared" si="126"/>
        <v>0</v>
      </c>
      <c r="AP121">
        <f t="shared" si="126"/>
        <v>0</v>
      </c>
      <c r="AQ121">
        <f t="shared" si="126"/>
        <v>0</v>
      </c>
      <c r="AR121">
        <f t="shared" si="126"/>
        <v>0</v>
      </c>
      <c r="AS121">
        <f t="shared" si="127"/>
        <v>0</v>
      </c>
      <c r="AU121">
        <f t="shared" si="128"/>
        <v>0</v>
      </c>
      <c r="AV121">
        <f t="shared" si="128"/>
        <v>0</v>
      </c>
      <c r="AW121">
        <f t="shared" si="128"/>
        <v>0</v>
      </c>
      <c r="AX121">
        <f t="shared" si="128"/>
        <v>0</v>
      </c>
      <c r="AY121">
        <f t="shared" si="129"/>
        <v>0</v>
      </c>
    </row>
    <row r="122" spans="1:51" ht="15" x14ac:dyDescent="0.25">
      <c r="A122" s="1"/>
      <c r="B122" s="2"/>
      <c r="C122" s="1" t="s">
        <v>10</v>
      </c>
      <c r="D122" s="285">
        <v>0</v>
      </c>
      <c r="E122" s="286">
        <v>0</v>
      </c>
      <c r="F122" s="286">
        <v>0</v>
      </c>
      <c r="G122" s="286">
        <v>0</v>
      </c>
      <c r="H122" s="287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s="20"/>
      <c r="P122" s="20"/>
      <c r="Q122" s="147"/>
      <c r="R122" s="197">
        <v>0.49226666666666663</v>
      </c>
      <c r="S122" s="197">
        <v>2.8337500000000002</v>
      </c>
      <c r="T122" s="197">
        <v>0.68718466195761863</v>
      </c>
      <c r="U122" s="197">
        <v>0.90789473684210531</v>
      </c>
      <c r="V122" s="20">
        <f t="shared" si="120"/>
        <v>0</v>
      </c>
      <c r="W122" s="20">
        <f t="shared" si="120"/>
        <v>0</v>
      </c>
      <c r="X122" s="20">
        <f t="shared" si="120"/>
        <v>0</v>
      </c>
      <c r="Y122" s="20">
        <f t="shared" si="120"/>
        <v>0</v>
      </c>
      <c r="Z122" s="20">
        <f t="shared" si="121"/>
        <v>0</v>
      </c>
      <c r="AA122" s="20">
        <f t="shared" si="121"/>
        <v>0</v>
      </c>
      <c r="AB122" s="20">
        <f t="shared" si="121"/>
        <v>0</v>
      </c>
      <c r="AC122" s="20">
        <f t="shared" si="121"/>
        <v>0</v>
      </c>
      <c r="AD122" s="20">
        <f t="shared" si="122"/>
        <v>0</v>
      </c>
      <c r="AE122" s="20">
        <f t="shared" si="123"/>
        <v>0</v>
      </c>
      <c r="AF122" s="20">
        <f t="shared" si="123"/>
        <v>0</v>
      </c>
      <c r="AG122" s="20">
        <f t="shared" si="123"/>
        <v>0</v>
      </c>
      <c r="AH122" s="20">
        <f t="shared" si="123"/>
        <v>0</v>
      </c>
      <c r="AI122" s="20">
        <f t="shared" si="124"/>
        <v>0</v>
      </c>
      <c r="AJ122" s="20">
        <f t="shared" si="124"/>
        <v>0</v>
      </c>
      <c r="AK122" s="20">
        <f t="shared" si="124"/>
        <v>0</v>
      </c>
      <c r="AL122" s="20">
        <f t="shared" si="124"/>
        <v>0</v>
      </c>
      <c r="AM122" s="20">
        <f t="shared" si="125"/>
        <v>0</v>
      </c>
      <c r="AO122">
        <f t="shared" si="126"/>
        <v>0</v>
      </c>
      <c r="AP122">
        <f t="shared" si="126"/>
        <v>0</v>
      </c>
      <c r="AQ122">
        <f t="shared" si="126"/>
        <v>0</v>
      </c>
      <c r="AR122">
        <f t="shared" si="126"/>
        <v>0</v>
      </c>
      <c r="AS122">
        <f t="shared" si="127"/>
        <v>0</v>
      </c>
      <c r="AU122">
        <f t="shared" si="128"/>
        <v>0</v>
      </c>
      <c r="AV122">
        <f t="shared" si="128"/>
        <v>0</v>
      </c>
      <c r="AW122">
        <f t="shared" si="128"/>
        <v>0</v>
      </c>
      <c r="AX122">
        <f t="shared" si="128"/>
        <v>0</v>
      </c>
      <c r="AY122">
        <f t="shared" si="129"/>
        <v>0</v>
      </c>
    </row>
    <row r="123" spans="1:51" ht="15" x14ac:dyDescent="0.25">
      <c r="A123" s="1"/>
      <c r="B123" s="2"/>
      <c r="C123" s="1" t="s">
        <v>11</v>
      </c>
      <c r="D123" s="285">
        <v>0</v>
      </c>
      <c r="E123" s="286">
        <v>0</v>
      </c>
      <c r="F123" s="286">
        <v>0</v>
      </c>
      <c r="G123" s="286">
        <v>0</v>
      </c>
      <c r="H123" s="287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 s="20"/>
      <c r="P123" s="20"/>
      <c r="Q123" s="147"/>
      <c r="R123" s="197">
        <v>0.49226666666666663</v>
      </c>
      <c r="S123" s="197">
        <v>2.8337500000000002</v>
      </c>
      <c r="T123" s="197">
        <v>0.68718466195761863</v>
      </c>
      <c r="U123" s="197">
        <v>0.90789473684210531</v>
      </c>
      <c r="V123" s="20">
        <f t="shared" si="120"/>
        <v>0</v>
      </c>
      <c r="W123" s="20">
        <f t="shared" si="120"/>
        <v>0</v>
      </c>
      <c r="X123" s="20">
        <f t="shared" si="120"/>
        <v>0</v>
      </c>
      <c r="Y123" s="20">
        <f t="shared" si="120"/>
        <v>0</v>
      </c>
      <c r="Z123" s="20">
        <f t="shared" si="121"/>
        <v>0</v>
      </c>
      <c r="AA123" s="20">
        <f t="shared" si="121"/>
        <v>0</v>
      </c>
      <c r="AB123" s="20">
        <f t="shared" si="121"/>
        <v>0</v>
      </c>
      <c r="AC123" s="20">
        <f t="shared" si="121"/>
        <v>0</v>
      </c>
      <c r="AD123" s="20">
        <f t="shared" si="122"/>
        <v>0</v>
      </c>
      <c r="AE123" s="20">
        <f t="shared" si="123"/>
        <v>0</v>
      </c>
      <c r="AF123" s="20">
        <f t="shared" si="123"/>
        <v>0</v>
      </c>
      <c r="AG123" s="20">
        <f t="shared" si="123"/>
        <v>0</v>
      </c>
      <c r="AH123" s="20">
        <f t="shared" si="123"/>
        <v>0</v>
      </c>
      <c r="AI123" s="20">
        <f t="shared" si="124"/>
        <v>0</v>
      </c>
      <c r="AJ123" s="20">
        <f t="shared" si="124"/>
        <v>0</v>
      </c>
      <c r="AK123" s="20">
        <f t="shared" si="124"/>
        <v>0</v>
      </c>
      <c r="AL123" s="20">
        <f t="shared" si="124"/>
        <v>0</v>
      </c>
      <c r="AM123" s="20">
        <f t="shared" si="125"/>
        <v>0</v>
      </c>
      <c r="AO123">
        <f t="shared" si="126"/>
        <v>0</v>
      </c>
      <c r="AP123">
        <f t="shared" si="126"/>
        <v>0</v>
      </c>
      <c r="AQ123">
        <f t="shared" si="126"/>
        <v>0</v>
      </c>
      <c r="AR123">
        <f t="shared" si="126"/>
        <v>0</v>
      </c>
      <c r="AS123">
        <f t="shared" si="127"/>
        <v>0</v>
      </c>
      <c r="AU123">
        <f t="shared" si="128"/>
        <v>0</v>
      </c>
      <c r="AV123">
        <f t="shared" si="128"/>
        <v>0</v>
      </c>
      <c r="AW123">
        <f t="shared" si="128"/>
        <v>0</v>
      </c>
      <c r="AX123">
        <f t="shared" si="128"/>
        <v>0</v>
      </c>
      <c r="AY123">
        <f t="shared" si="129"/>
        <v>0</v>
      </c>
    </row>
    <row r="124" spans="1:51" ht="15" x14ac:dyDescent="0.25">
      <c r="A124" s="1"/>
      <c r="B124" s="2"/>
      <c r="C124" s="1" t="s">
        <v>12</v>
      </c>
      <c r="D124" s="285">
        <v>0</v>
      </c>
      <c r="E124" s="286">
        <v>0</v>
      </c>
      <c r="F124" s="286">
        <v>0</v>
      </c>
      <c r="G124" s="286">
        <v>0</v>
      </c>
      <c r="H124" s="287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 s="20"/>
      <c r="P124" s="20"/>
      <c r="Q124" s="147"/>
      <c r="R124" s="197">
        <v>0.49226666666666663</v>
      </c>
      <c r="S124" s="197">
        <v>2.8337500000000002</v>
      </c>
      <c r="T124" s="197">
        <v>0.68718466195761863</v>
      </c>
      <c r="U124" s="197">
        <v>0.90789473684210531</v>
      </c>
      <c r="V124" s="20">
        <f t="shared" si="120"/>
        <v>0</v>
      </c>
      <c r="W124" s="20">
        <f t="shared" si="120"/>
        <v>0</v>
      </c>
      <c r="X124" s="20">
        <f t="shared" si="120"/>
        <v>0</v>
      </c>
      <c r="Y124" s="20">
        <f t="shared" si="120"/>
        <v>0</v>
      </c>
      <c r="Z124" s="20">
        <f t="shared" si="121"/>
        <v>0</v>
      </c>
      <c r="AA124" s="20">
        <f t="shared" si="121"/>
        <v>0</v>
      </c>
      <c r="AB124" s="20">
        <f t="shared" si="121"/>
        <v>0</v>
      </c>
      <c r="AC124" s="20">
        <f t="shared" si="121"/>
        <v>0</v>
      </c>
      <c r="AD124" s="20">
        <f t="shared" si="122"/>
        <v>0</v>
      </c>
      <c r="AE124" s="20">
        <f t="shared" si="123"/>
        <v>0</v>
      </c>
      <c r="AF124" s="20">
        <f t="shared" si="123"/>
        <v>0</v>
      </c>
      <c r="AG124" s="20">
        <f t="shared" si="123"/>
        <v>0</v>
      </c>
      <c r="AH124" s="20">
        <f t="shared" si="123"/>
        <v>0</v>
      </c>
      <c r="AI124" s="20">
        <f t="shared" si="124"/>
        <v>0</v>
      </c>
      <c r="AJ124" s="20">
        <f t="shared" si="124"/>
        <v>0</v>
      </c>
      <c r="AK124" s="20">
        <f t="shared" si="124"/>
        <v>0</v>
      </c>
      <c r="AL124" s="20">
        <f t="shared" si="124"/>
        <v>0</v>
      </c>
      <c r="AM124" s="20">
        <f t="shared" si="125"/>
        <v>0</v>
      </c>
      <c r="AO124">
        <f t="shared" si="126"/>
        <v>0</v>
      </c>
      <c r="AP124">
        <f t="shared" si="126"/>
        <v>0</v>
      </c>
      <c r="AQ124">
        <f t="shared" si="126"/>
        <v>0</v>
      </c>
      <c r="AR124">
        <f t="shared" si="126"/>
        <v>0</v>
      </c>
      <c r="AS124">
        <f t="shared" si="127"/>
        <v>0</v>
      </c>
      <c r="AU124">
        <f t="shared" si="128"/>
        <v>0</v>
      </c>
      <c r="AV124">
        <f t="shared" si="128"/>
        <v>0</v>
      </c>
      <c r="AW124">
        <f t="shared" si="128"/>
        <v>0</v>
      </c>
      <c r="AX124">
        <f t="shared" si="128"/>
        <v>0</v>
      </c>
      <c r="AY124">
        <f t="shared" si="129"/>
        <v>0</v>
      </c>
    </row>
    <row r="125" spans="1:51" ht="15" x14ac:dyDescent="0.25">
      <c r="A125" s="1"/>
      <c r="B125" s="2"/>
      <c r="C125" s="1" t="s">
        <v>13</v>
      </c>
      <c r="D125" s="285">
        <v>0</v>
      </c>
      <c r="E125" s="286">
        <v>0</v>
      </c>
      <c r="F125" s="286">
        <v>0</v>
      </c>
      <c r="G125" s="286">
        <v>0</v>
      </c>
      <c r="H125" s="287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20"/>
      <c r="P125" s="20"/>
      <c r="Q125" s="147"/>
      <c r="R125" s="197">
        <v>0.49226666666666663</v>
      </c>
      <c r="S125" s="197">
        <v>2.8337500000000002</v>
      </c>
      <c r="T125" s="197">
        <v>0.68718466195761863</v>
      </c>
      <c r="U125" s="197">
        <v>0.90789473684210531</v>
      </c>
      <c r="V125" s="20">
        <f t="shared" si="120"/>
        <v>0</v>
      </c>
      <c r="W125" s="20">
        <f t="shared" si="120"/>
        <v>0</v>
      </c>
      <c r="X125" s="20">
        <f t="shared" si="120"/>
        <v>0</v>
      </c>
      <c r="Y125" s="20">
        <f t="shared" si="120"/>
        <v>0</v>
      </c>
      <c r="Z125" s="20">
        <f t="shared" si="121"/>
        <v>0</v>
      </c>
      <c r="AA125" s="20">
        <f t="shared" si="121"/>
        <v>0</v>
      </c>
      <c r="AB125" s="20">
        <f t="shared" si="121"/>
        <v>0</v>
      </c>
      <c r="AC125" s="20">
        <f t="shared" si="121"/>
        <v>0</v>
      </c>
      <c r="AD125" s="20">
        <f t="shared" si="122"/>
        <v>0</v>
      </c>
      <c r="AE125" s="20">
        <f t="shared" si="123"/>
        <v>0</v>
      </c>
      <c r="AF125" s="20">
        <f t="shared" si="123"/>
        <v>0</v>
      </c>
      <c r="AG125" s="20">
        <f t="shared" si="123"/>
        <v>0</v>
      </c>
      <c r="AH125" s="20">
        <f t="shared" si="123"/>
        <v>0</v>
      </c>
      <c r="AI125" s="20">
        <f t="shared" si="124"/>
        <v>0</v>
      </c>
      <c r="AJ125" s="20">
        <f t="shared" si="124"/>
        <v>0</v>
      </c>
      <c r="AK125" s="20">
        <f t="shared" si="124"/>
        <v>0</v>
      </c>
      <c r="AL125" s="20">
        <f t="shared" si="124"/>
        <v>0</v>
      </c>
      <c r="AM125" s="20">
        <f t="shared" si="125"/>
        <v>0</v>
      </c>
      <c r="AO125">
        <f t="shared" si="126"/>
        <v>0</v>
      </c>
      <c r="AP125">
        <f t="shared" si="126"/>
        <v>0</v>
      </c>
      <c r="AQ125">
        <f t="shared" si="126"/>
        <v>0</v>
      </c>
      <c r="AR125">
        <f t="shared" si="126"/>
        <v>0</v>
      </c>
      <c r="AS125">
        <f t="shared" si="127"/>
        <v>0</v>
      </c>
      <c r="AU125">
        <f t="shared" si="128"/>
        <v>0</v>
      </c>
      <c r="AV125">
        <f t="shared" si="128"/>
        <v>0</v>
      </c>
      <c r="AW125">
        <f t="shared" si="128"/>
        <v>0</v>
      </c>
      <c r="AX125">
        <f t="shared" si="128"/>
        <v>0</v>
      </c>
      <c r="AY125">
        <f t="shared" si="129"/>
        <v>0</v>
      </c>
    </row>
    <row r="126" spans="1:51" ht="15" x14ac:dyDescent="0.25">
      <c r="A126" s="7"/>
      <c r="B126" s="8" t="s">
        <v>14</v>
      </c>
      <c r="C126" s="7"/>
      <c r="D126" s="288">
        <f>SUM(D120:D125)</f>
        <v>0</v>
      </c>
      <c r="E126" s="289">
        <f>SUM(E120:E125)</f>
        <v>0</v>
      </c>
      <c r="F126" s="289">
        <f>SUM(F120:F125)</f>
        <v>0</v>
      </c>
      <c r="G126" s="289">
        <f>SUM(G120:G125)</f>
        <v>0.85633649999999994</v>
      </c>
      <c r="H126" s="290">
        <f>SUM(H120:H125)</f>
        <v>3.2119332100000002</v>
      </c>
      <c r="J126">
        <v>0</v>
      </c>
      <c r="K126">
        <v>0</v>
      </c>
      <c r="L126">
        <v>0</v>
      </c>
      <c r="M126">
        <v>0.85633649999999994</v>
      </c>
      <c r="N126">
        <v>1.8145753216600002</v>
      </c>
      <c r="O126" s="20"/>
      <c r="P126" s="20"/>
      <c r="Q126" s="147"/>
      <c r="R126" s="197"/>
      <c r="S126" s="197"/>
      <c r="T126" s="197"/>
      <c r="U126" s="197"/>
    </row>
    <row r="127" spans="1:51" ht="15" x14ac:dyDescent="0.25">
      <c r="A127" s="10"/>
      <c r="B127" s="9" t="s">
        <v>15</v>
      </c>
      <c r="C127" s="5"/>
      <c r="D127" s="291"/>
      <c r="E127" s="292"/>
      <c r="F127" s="292"/>
      <c r="G127" s="292"/>
      <c r="H127" s="293">
        <f>SUM(D126:H126)</f>
        <v>4.06826971</v>
      </c>
      <c r="N127">
        <v>2.6709118216600003</v>
      </c>
      <c r="O127" s="20"/>
      <c r="P127" s="20"/>
      <c r="Q127" s="147"/>
      <c r="R127" s="197"/>
      <c r="S127" s="197"/>
      <c r="T127" s="197"/>
      <c r="U127" s="197"/>
    </row>
    <row r="128" spans="1:51" ht="15.75" thickBot="1" x14ac:dyDescent="0.3">
      <c r="A128" s="1"/>
      <c r="B128" s="2"/>
      <c r="C128" s="1"/>
      <c r="D128" s="294"/>
      <c r="E128" s="295"/>
      <c r="F128" s="295"/>
      <c r="G128" s="295"/>
      <c r="H128" s="296"/>
      <c r="O128" s="20"/>
      <c r="P128" s="20"/>
      <c r="Q128" s="147"/>
      <c r="R128" s="197"/>
      <c r="S128" s="197"/>
      <c r="T128" s="197"/>
      <c r="U128" s="197"/>
    </row>
    <row r="129" spans="1:51" ht="15" x14ac:dyDescent="0.25">
      <c r="A129" s="1">
        <v>14</v>
      </c>
      <c r="B129" s="2" t="s">
        <v>28</v>
      </c>
      <c r="C129" s="1" t="s">
        <v>8</v>
      </c>
      <c r="D129" s="285">
        <v>0</v>
      </c>
      <c r="E129" s="286">
        <v>205.75650567</v>
      </c>
      <c r="F129" s="286">
        <v>125.23605369000001</v>
      </c>
      <c r="G129" s="286">
        <v>88.385856290000007</v>
      </c>
      <c r="H129" s="287">
        <v>151.35131722</v>
      </c>
      <c r="J129">
        <v>0</v>
      </c>
      <c r="K129">
        <v>203.79153314417979</v>
      </c>
      <c r="L129">
        <v>65.246735951449409</v>
      </c>
      <c r="M129">
        <v>-27.193078708682066</v>
      </c>
      <c r="N129">
        <v>-33.440094379870033</v>
      </c>
      <c r="O129" s="20"/>
      <c r="P129" s="20"/>
      <c r="Q129" s="147">
        <v>2.0563993246906598E-2</v>
      </c>
      <c r="R129" s="197">
        <v>5.6499999999999995E-2</v>
      </c>
      <c r="S129" s="197">
        <v>1.25</v>
      </c>
      <c r="T129" s="197">
        <v>0.50078889239507718</v>
      </c>
      <c r="U129" s="197">
        <v>0.75268470790377973</v>
      </c>
      <c r="V129" s="20">
        <f t="shared" ref="V129:Y134" si="130">E129*$Q129*$R129*10</f>
        <v>2.3906140971043128</v>
      </c>
      <c r="W129" s="20">
        <f t="shared" si="130"/>
        <v>1.4550746497279716</v>
      </c>
      <c r="X129" s="20">
        <f t="shared" si="130"/>
        <v>1.0269248758063338</v>
      </c>
      <c r="Y129" s="20">
        <f t="shared" si="130"/>
        <v>1.7584989178507113</v>
      </c>
      <c r="Z129" s="20">
        <f t="shared" ref="Z129:AC134" si="131">V129*(EXP(1.01-0.34*LN(Z$8))*(1-$T129)+(1*$T129))</f>
        <v>1.5600721967129065</v>
      </c>
      <c r="AA129" s="20">
        <f t="shared" si="131"/>
        <v>0.96408607604650165</v>
      </c>
      <c r="AB129" s="20">
        <f t="shared" si="131"/>
        <v>0.68418573680459438</v>
      </c>
      <c r="AC129" s="20">
        <f t="shared" si="131"/>
        <v>1.1090973932512838</v>
      </c>
      <c r="AD129" s="20">
        <f t="shared" ref="AD129:AD134" si="132">SUM(Z129:AC129)</f>
        <v>4.3174414028152865</v>
      </c>
      <c r="AE129" s="20">
        <f t="shared" ref="AE129:AH134" si="133">E129*$Q129*$S129*10</f>
        <v>52.889692413812242</v>
      </c>
      <c r="AF129" s="20">
        <f t="shared" si="133"/>
        <v>32.191917029379901</v>
      </c>
      <c r="AG129" s="20">
        <f t="shared" si="133"/>
        <v>22.719576898370217</v>
      </c>
      <c r="AH129" s="20">
        <f t="shared" si="133"/>
        <v>38.904843315281227</v>
      </c>
      <c r="AI129" s="20">
        <f t="shared" ref="AI129:AL134" si="134">AE129*(EXP(1.01-0.34*LN(AI$8))*(1-$T129)+(1*$T129))</f>
        <v>34.51487160869263</v>
      </c>
      <c r="AJ129" s="20">
        <f t="shared" si="134"/>
        <v>21.329337965630565</v>
      </c>
      <c r="AK129" s="20">
        <f t="shared" si="134"/>
        <v>15.136852584172441</v>
      </c>
      <c r="AL129" s="20">
        <f t="shared" si="134"/>
        <v>24.537552948037256</v>
      </c>
      <c r="AM129" s="20">
        <f t="shared" ref="AM129:AM134" si="135">SUM(AI129:AL129)</f>
        <v>95.518615106532891</v>
      </c>
      <c r="AO129">
        <f t="shared" ref="AO129:AR134" si="136">Z129*AO$10</f>
        <v>2.1531378506452348</v>
      </c>
      <c r="AP129">
        <f t="shared" si="136"/>
        <v>1.1375311621233202</v>
      </c>
      <c r="AQ129">
        <f t="shared" si="136"/>
        <v>0.81074851061433517</v>
      </c>
      <c r="AR129">
        <f t="shared" si="136"/>
        <v>1.2434460828272669</v>
      </c>
      <c r="AS129">
        <f t="shared" ref="AS129:AS134" si="137">SUM(AO129:AR129)</f>
        <v>5.3448636062101578</v>
      </c>
      <c r="AU129">
        <f t="shared" ref="AU129:AX134" si="138">AI129*AU$10</f>
        <v>47.635793155868036</v>
      </c>
      <c r="AV129">
        <f t="shared" si="138"/>
        <v>25.166618631046902</v>
      </c>
      <c r="AW129">
        <f t="shared" si="138"/>
        <v>17.936913951644581</v>
      </c>
      <c r="AX129">
        <f t="shared" si="138"/>
        <v>27.509869089098828</v>
      </c>
      <c r="AY129">
        <f t="shared" ref="AY129:AY134" si="139">SUM(AU129:AX129)</f>
        <v>118.24919482765836</v>
      </c>
    </row>
    <row r="130" spans="1:51" ht="15" x14ac:dyDescent="0.25">
      <c r="A130" s="1"/>
      <c r="B130" s="2"/>
      <c r="C130" s="1" t="s">
        <v>9</v>
      </c>
      <c r="D130" s="285">
        <v>0</v>
      </c>
      <c r="E130" s="286">
        <v>12.3301552</v>
      </c>
      <c r="F130" s="286">
        <v>3.0073229399999999</v>
      </c>
      <c r="G130" s="286">
        <v>5.9471532500000004</v>
      </c>
      <c r="H130" s="287">
        <v>16.722947560000001</v>
      </c>
      <c r="J130">
        <v>0</v>
      </c>
      <c r="K130">
        <v>9.17773939892</v>
      </c>
      <c r="L130">
        <v>-1.2248109612200002</v>
      </c>
      <c r="M130">
        <v>-1.7604358408086993</v>
      </c>
      <c r="N130">
        <v>11.570974827964051</v>
      </c>
      <c r="O130" s="20"/>
      <c r="P130" s="20"/>
      <c r="Q130" s="147">
        <v>3.2127986493813196E-2</v>
      </c>
      <c r="R130" s="197">
        <v>5.6499999999999995E-2</v>
      </c>
      <c r="S130" s="197">
        <v>1.25</v>
      </c>
      <c r="T130" s="197">
        <v>0.50078889239507718</v>
      </c>
      <c r="U130" s="197">
        <v>0.75268470790377973</v>
      </c>
      <c r="V130" s="20">
        <f t="shared" si="130"/>
        <v>0.22382082874870457</v>
      </c>
      <c r="W130" s="20">
        <f t="shared" si="130"/>
        <v>5.4589865401352841E-2</v>
      </c>
      <c r="X130" s="20">
        <f t="shared" si="130"/>
        <v>0.10795458350034004</v>
      </c>
      <c r="Y130" s="20">
        <f t="shared" si="130"/>
        <v>0.30356016783960088</v>
      </c>
      <c r="Z130" s="20">
        <f t="shared" si="131"/>
        <v>0.14606148788256673</v>
      </c>
      <c r="AA130" s="20">
        <f t="shared" si="131"/>
        <v>3.6169504524414656E-2</v>
      </c>
      <c r="AB130" s="20">
        <f t="shared" si="131"/>
        <v>7.1924429910822985E-2</v>
      </c>
      <c r="AC130" s="20">
        <f t="shared" si="131"/>
        <v>0.19145749106136553</v>
      </c>
      <c r="AD130" s="20">
        <f t="shared" si="132"/>
        <v>0.44561291337916986</v>
      </c>
      <c r="AE130" s="20">
        <f t="shared" si="133"/>
        <v>4.9517882466527565</v>
      </c>
      <c r="AF130" s="20">
        <f t="shared" si="133"/>
        <v>1.2077403849856825</v>
      </c>
      <c r="AG130" s="20">
        <f t="shared" si="133"/>
        <v>2.388375741157966</v>
      </c>
      <c r="AH130" s="20">
        <f t="shared" si="133"/>
        <v>6.715932916805329</v>
      </c>
      <c r="AI130" s="20">
        <f t="shared" si="134"/>
        <v>3.2314488469594411</v>
      </c>
      <c r="AJ130" s="20">
        <f t="shared" si="134"/>
        <v>0.80021027708881998</v>
      </c>
      <c r="AK130" s="20">
        <f t="shared" si="134"/>
        <v>1.5912484493544912</v>
      </c>
      <c r="AL130" s="20">
        <f t="shared" si="134"/>
        <v>4.235785200472689</v>
      </c>
      <c r="AM130" s="20">
        <f t="shared" si="135"/>
        <v>9.8586927738754415</v>
      </c>
      <c r="AO130">
        <f t="shared" si="136"/>
        <v>0.20158715650734021</v>
      </c>
      <c r="AP130">
        <f t="shared" si="136"/>
        <v>4.2676623527023692E-2</v>
      </c>
      <c r="AQ130">
        <f t="shared" si="136"/>
        <v>8.522923131856977E-2</v>
      </c>
      <c r="AR130">
        <f t="shared" si="136"/>
        <v>0.21464937951959778</v>
      </c>
      <c r="AS130">
        <f t="shared" si="137"/>
        <v>0.54414239087253147</v>
      </c>
      <c r="AU130">
        <f t="shared" si="138"/>
        <v>4.4598928430827485</v>
      </c>
      <c r="AV130">
        <f t="shared" si="138"/>
        <v>0.94417308688105539</v>
      </c>
      <c r="AW130">
        <f t="shared" si="138"/>
        <v>1.8856024628002168</v>
      </c>
      <c r="AX130">
        <f t="shared" si="138"/>
        <v>4.7488800778672084</v>
      </c>
      <c r="AY130">
        <f t="shared" si="139"/>
        <v>12.03854847063123</v>
      </c>
    </row>
    <row r="131" spans="1:51" ht="15" x14ac:dyDescent="0.25">
      <c r="A131" s="1"/>
      <c r="B131" s="2"/>
      <c r="C131" s="1" t="s">
        <v>10</v>
      </c>
      <c r="D131" s="285">
        <v>0</v>
      </c>
      <c r="E131" s="286">
        <v>13.047018769999999</v>
      </c>
      <c r="F131" s="286">
        <v>0</v>
      </c>
      <c r="G131" s="286">
        <v>9.8751932300000007</v>
      </c>
      <c r="H131" s="287">
        <v>20.371878110000001</v>
      </c>
      <c r="J131">
        <v>0</v>
      </c>
      <c r="K131">
        <v>10.92853275565</v>
      </c>
      <c r="L131">
        <v>0</v>
      </c>
      <c r="M131">
        <v>-6.000383137154703</v>
      </c>
      <c r="N131">
        <v>4.4073456085640021</v>
      </c>
      <c r="O131" s="20"/>
      <c r="P131" s="20"/>
      <c r="Q131" s="147">
        <v>4.3691979740719797E-2</v>
      </c>
      <c r="R131" s="197">
        <v>5.6499999999999995E-2</v>
      </c>
      <c r="S131" s="197">
        <v>1.25</v>
      </c>
      <c r="T131" s="197">
        <v>0.50078889239507718</v>
      </c>
      <c r="U131" s="197">
        <v>0.75268470790377973</v>
      </c>
      <c r="V131" s="20">
        <f t="shared" si="130"/>
        <v>0.32207829507323144</v>
      </c>
      <c r="W131" s="20">
        <f t="shared" si="130"/>
        <v>0</v>
      </c>
      <c r="X131" s="20">
        <f t="shared" si="130"/>
        <v>0.24377870953558212</v>
      </c>
      <c r="Y131" s="20">
        <f t="shared" si="130"/>
        <v>0.50289954239933121</v>
      </c>
      <c r="Z131" s="20">
        <f t="shared" si="131"/>
        <v>0.21018256100684204</v>
      </c>
      <c r="AA131" s="20">
        <f t="shared" si="131"/>
        <v>0</v>
      </c>
      <c r="AB131" s="20">
        <f t="shared" si="131"/>
        <v>0.16241686215840592</v>
      </c>
      <c r="AC131" s="20">
        <f t="shared" si="131"/>
        <v>0.31718220914464812</v>
      </c>
      <c r="AD131" s="20">
        <f t="shared" si="132"/>
        <v>0.68978163230989609</v>
      </c>
      <c r="AE131" s="20">
        <f t="shared" si="133"/>
        <v>7.1256259971953861</v>
      </c>
      <c r="AF131" s="20">
        <f t="shared" si="133"/>
        <v>0</v>
      </c>
      <c r="AG131" s="20">
        <f t="shared" si="133"/>
        <v>5.3933342817606666</v>
      </c>
      <c r="AH131" s="20">
        <f t="shared" si="133"/>
        <v>11.126096070781664</v>
      </c>
      <c r="AI131" s="20">
        <f t="shared" si="134"/>
        <v>4.6500566594434085</v>
      </c>
      <c r="AJ131" s="20">
        <f t="shared" si="134"/>
        <v>0</v>
      </c>
      <c r="AK131" s="20">
        <f t="shared" si="134"/>
        <v>3.5932934105842018</v>
      </c>
      <c r="AL131" s="20">
        <f t="shared" si="134"/>
        <v>7.0173055120497372</v>
      </c>
      <c r="AM131" s="20">
        <f t="shared" si="135"/>
        <v>15.260655582077348</v>
      </c>
      <c r="AO131">
        <f t="shared" si="136"/>
        <v>0.29008402854875315</v>
      </c>
      <c r="AP131">
        <f t="shared" si="136"/>
        <v>0</v>
      </c>
      <c r="AQ131">
        <f t="shared" si="136"/>
        <v>0.19246123093499884</v>
      </c>
      <c r="AR131">
        <f t="shared" si="136"/>
        <v>0.35560355465920224</v>
      </c>
      <c r="AS131">
        <f t="shared" si="137"/>
        <v>0.83814881414295428</v>
      </c>
      <c r="AU131">
        <f t="shared" si="138"/>
        <v>6.4177882422290526</v>
      </c>
      <c r="AV131">
        <f t="shared" si="138"/>
        <v>0</v>
      </c>
      <c r="AW131">
        <f t="shared" si="138"/>
        <v>4.2579918348451073</v>
      </c>
      <c r="AX131">
        <f t="shared" si="138"/>
        <v>7.8673352800708454</v>
      </c>
      <c r="AY131">
        <f t="shared" si="139"/>
        <v>18.543115357145005</v>
      </c>
    </row>
    <row r="132" spans="1:51" ht="15" x14ac:dyDescent="0.25">
      <c r="A132" s="1"/>
      <c r="B132" s="2"/>
      <c r="C132" s="1" t="s">
        <v>11</v>
      </c>
      <c r="D132" s="285">
        <v>0</v>
      </c>
      <c r="E132" s="286">
        <v>3.6542285300000001</v>
      </c>
      <c r="F132" s="286">
        <v>0</v>
      </c>
      <c r="G132" s="286">
        <v>0.52885936</v>
      </c>
      <c r="H132" s="287">
        <v>1.53279024</v>
      </c>
      <c r="J132">
        <v>0</v>
      </c>
      <c r="K132">
        <v>3.6106651612824003</v>
      </c>
      <c r="L132">
        <v>0</v>
      </c>
      <c r="M132">
        <v>-0.93481941024640114</v>
      </c>
      <c r="N132">
        <v>0.52758528633285007</v>
      </c>
      <c r="O132" s="20"/>
      <c r="P132" s="20"/>
      <c r="Q132" s="147">
        <v>5.5255972987626391E-2</v>
      </c>
      <c r="R132" s="197">
        <v>5.6499999999999995E-2</v>
      </c>
      <c r="S132" s="197">
        <v>1.25</v>
      </c>
      <c r="T132" s="197">
        <v>0.50078889239507718</v>
      </c>
      <c r="U132" s="197">
        <v>0.75268470790377973</v>
      </c>
      <c r="V132" s="20">
        <f t="shared" si="130"/>
        <v>0.11408364341352592</v>
      </c>
      <c r="W132" s="20">
        <f t="shared" si="130"/>
        <v>0</v>
      </c>
      <c r="X132" s="20">
        <f t="shared" si="130"/>
        <v>1.6510790758383558E-2</v>
      </c>
      <c r="Y132" s="20">
        <f t="shared" si="130"/>
        <v>4.7853136094882613E-2</v>
      </c>
      <c r="Z132" s="20">
        <f t="shared" si="131"/>
        <v>7.4448954519565569E-2</v>
      </c>
      <c r="AA132" s="20">
        <f t="shared" si="131"/>
        <v>0</v>
      </c>
      <c r="AB132" s="20">
        <f t="shared" si="131"/>
        <v>1.100026672484806E-2</v>
      </c>
      <c r="AC132" s="20">
        <f t="shared" si="131"/>
        <v>3.0181302907255445E-2</v>
      </c>
      <c r="AD132" s="20">
        <f t="shared" si="132"/>
        <v>0.11563052415166908</v>
      </c>
      <c r="AE132" s="20">
        <f t="shared" si="133"/>
        <v>2.5239744118036711</v>
      </c>
      <c r="AF132" s="20">
        <f t="shared" si="133"/>
        <v>0</v>
      </c>
      <c r="AG132" s="20">
        <f t="shared" si="133"/>
        <v>0.36528298138016724</v>
      </c>
      <c r="AH132" s="20">
        <f t="shared" si="133"/>
        <v>1.0586977012142171</v>
      </c>
      <c r="AI132" s="20">
        <f t="shared" si="134"/>
        <v>1.647100763707203</v>
      </c>
      <c r="AJ132" s="20">
        <f t="shared" si="134"/>
        <v>0</v>
      </c>
      <c r="AK132" s="20">
        <f t="shared" si="134"/>
        <v>0.24336873285062083</v>
      </c>
      <c r="AL132" s="20">
        <f t="shared" si="134"/>
        <v>0.66772794042600536</v>
      </c>
      <c r="AM132" s="20">
        <f t="shared" si="135"/>
        <v>2.5581974369838294</v>
      </c>
      <c r="AO132">
        <f t="shared" si="136"/>
        <v>0.1027509254089613</v>
      </c>
      <c r="AP132">
        <f t="shared" si="136"/>
        <v>0</v>
      </c>
      <c r="AQ132">
        <f t="shared" si="136"/>
        <v>1.3035129766346083E-2</v>
      </c>
      <c r="AR132">
        <f t="shared" si="136"/>
        <v>3.3837265422322765E-2</v>
      </c>
      <c r="AS132">
        <f t="shared" si="137"/>
        <v>0.14962332059763014</v>
      </c>
      <c r="AU132">
        <f t="shared" si="138"/>
        <v>2.2732505621451615</v>
      </c>
      <c r="AV132">
        <f t="shared" si="138"/>
        <v>0</v>
      </c>
      <c r="AW132">
        <f t="shared" si="138"/>
        <v>0.2883878266890727</v>
      </c>
      <c r="AX132">
        <f t="shared" si="138"/>
        <v>0.74861206686554793</v>
      </c>
      <c r="AY132">
        <f t="shared" si="139"/>
        <v>3.3102504556997823</v>
      </c>
    </row>
    <row r="133" spans="1:51" ht="15" x14ac:dyDescent="0.25">
      <c r="A133" s="1"/>
      <c r="B133" s="2"/>
      <c r="C133" s="1" t="s">
        <v>12</v>
      </c>
      <c r="D133" s="285">
        <v>0</v>
      </c>
      <c r="E133" s="286">
        <v>0</v>
      </c>
      <c r="F133" s="286">
        <v>6.1662000000000002E-4</v>
      </c>
      <c r="G133" s="286">
        <v>3.8841319999999999E-2</v>
      </c>
      <c r="H133" s="287">
        <v>0.95121202999999999</v>
      </c>
      <c r="J133">
        <v>0</v>
      </c>
      <c r="K133">
        <v>-6.23391774727E-2</v>
      </c>
      <c r="L133">
        <v>1.5121812209100002E-4</v>
      </c>
      <c r="M133">
        <v>3.7657015823829999E-2</v>
      </c>
      <c r="N133">
        <v>0.93438461692219998</v>
      </c>
      <c r="O133" s="20"/>
      <c r="P133" s="20"/>
      <c r="Q133" s="147">
        <v>5.5255972987626384E-2</v>
      </c>
      <c r="R133" s="197">
        <v>5.6499999999999995E-2</v>
      </c>
      <c r="S133" s="197">
        <v>1.25</v>
      </c>
      <c r="T133" s="197">
        <v>0.50078889239507718</v>
      </c>
      <c r="U133" s="197">
        <v>0.75268470790377973</v>
      </c>
      <c r="V133" s="20">
        <f t="shared" si="130"/>
        <v>0</v>
      </c>
      <c r="W133" s="20">
        <f t="shared" si="130"/>
        <v>1.9250645005951055E-5</v>
      </c>
      <c r="X133" s="20">
        <f t="shared" si="130"/>
        <v>1.2126114347289201E-3</v>
      </c>
      <c r="Y133" s="20">
        <f t="shared" si="130"/>
        <v>2.9696482622879668E-2</v>
      </c>
      <c r="Z133" s="20">
        <f t="shared" si="131"/>
        <v>0</v>
      </c>
      <c r="AA133" s="20">
        <f t="shared" si="131"/>
        <v>1.2754863682506749E-5</v>
      </c>
      <c r="AB133" s="20">
        <f t="shared" si="131"/>
        <v>8.0789887115768444E-4</v>
      </c>
      <c r="AC133" s="20">
        <f t="shared" si="131"/>
        <v>1.8729776362912742E-2</v>
      </c>
      <c r="AD133" s="20">
        <f t="shared" si="132"/>
        <v>1.9550430097752931E-2</v>
      </c>
      <c r="AE133" s="20">
        <f t="shared" si="133"/>
        <v>0</v>
      </c>
      <c r="AF133" s="20">
        <f t="shared" si="133"/>
        <v>4.2589922579537728E-4</v>
      </c>
      <c r="AG133" s="20">
        <f t="shared" si="133"/>
        <v>2.6827686609046907E-2</v>
      </c>
      <c r="AH133" s="20">
        <f t="shared" si="133"/>
        <v>0.65700182793981576</v>
      </c>
      <c r="AI133" s="20">
        <f t="shared" si="134"/>
        <v>0</v>
      </c>
      <c r="AJ133" s="20">
        <f t="shared" si="134"/>
        <v>2.8218724961298115E-4</v>
      </c>
      <c r="AK133" s="20">
        <f t="shared" si="134"/>
        <v>1.7873868830922224E-2</v>
      </c>
      <c r="AL133" s="20">
        <f t="shared" si="134"/>
        <v>0.41437558325028195</v>
      </c>
      <c r="AM133" s="20">
        <f t="shared" si="135"/>
        <v>0.43253163933081717</v>
      </c>
      <c r="AO133">
        <f t="shared" si="136"/>
        <v>0</v>
      </c>
      <c r="AP133">
        <f t="shared" si="136"/>
        <v>1.504954305219797E-5</v>
      </c>
      <c r="AQ133">
        <f t="shared" si="136"/>
        <v>9.5734647959369286E-4</v>
      </c>
      <c r="AR133">
        <f t="shared" si="136"/>
        <v>2.0998577034269505E-2</v>
      </c>
      <c r="AS133">
        <f t="shared" si="137"/>
        <v>2.1970973056915397E-2</v>
      </c>
      <c r="AU133">
        <f t="shared" si="138"/>
        <v>0</v>
      </c>
      <c r="AV133">
        <f t="shared" si="138"/>
        <v>3.329544923052648E-4</v>
      </c>
      <c r="AW133">
        <f t="shared" si="138"/>
        <v>2.1180231849417985E-2</v>
      </c>
      <c r="AX133">
        <f t="shared" si="138"/>
        <v>0.46457028836879444</v>
      </c>
      <c r="AY133">
        <f t="shared" si="139"/>
        <v>0.48608347471051772</v>
      </c>
    </row>
    <row r="134" spans="1:51" ht="15" x14ac:dyDescent="0.25">
      <c r="A134" s="1"/>
      <c r="B134" s="2"/>
      <c r="C134" s="1" t="s">
        <v>13</v>
      </c>
      <c r="D134" s="285">
        <v>0</v>
      </c>
      <c r="E134" s="286">
        <v>0</v>
      </c>
      <c r="F134" s="286">
        <v>0</v>
      </c>
      <c r="G134" s="286">
        <v>0</v>
      </c>
      <c r="H134" s="287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20"/>
      <c r="P134" s="20"/>
      <c r="Q134" s="147"/>
      <c r="R134" s="197">
        <v>5.6499999999999995E-2</v>
      </c>
      <c r="S134" s="197">
        <v>1.25</v>
      </c>
      <c r="T134" s="197">
        <v>0.50078889239507718</v>
      </c>
      <c r="U134" s="197">
        <v>0.75268470790377973</v>
      </c>
      <c r="V134" s="20">
        <f t="shared" si="130"/>
        <v>0</v>
      </c>
      <c r="W134" s="20">
        <f t="shared" si="130"/>
        <v>0</v>
      </c>
      <c r="X134" s="20">
        <f t="shared" si="130"/>
        <v>0</v>
      </c>
      <c r="Y134" s="20">
        <f t="shared" si="130"/>
        <v>0</v>
      </c>
      <c r="Z134" s="20">
        <f t="shared" si="131"/>
        <v>0</v>
      </c>
      <c r="AA134" s="20">
        <f t="shared" si="131"/>
        <v>0</v>
      </c>
      <c r="AB134" s="20">
        <f t="shared" si="131"/>
        <v>0</v>
      </c>
      <c r="AC134" s="20">
        <f t="shared" si="131"/>
        <v>0</v>
      </c>
      <c r="AD134" s="20">
        <f t="shared" si="132"/>
        <v>0</v>
      </c>
      <c r="AE134" s="20">
        <f t="shared" si="133"/>
        <v>0</v>
      </c>
      <c r="AF134" s="20">
        <f t="shared" si="133"/>
        <v>0</v>
      </c>
      <c r="AG134" s="20">
        <f t="shared" si="133"/>
        <v>0</v>
      </c>
      <c r="AH134" s="20">
        <f t="shared" si="133"/>
        <v>0</v>
      </c>
      <c r="AI134" s="20">
        <f t="shared" si="134"/>
        <v>0</v>
      </c>
      <c r="AJ134" s="20">
        <f t="shared" si="134"/>
        <v>0</v>
      </c>
      <c r="AK134" s="20">
        <f t="shared" si="134"/>
        <v>0</v>
      </c>
      <c r="AL134" s="20">
        <f t="shared" si="134"/>
        <v>0</v>
      </c>
      <c r="AM134" s="20">
        <f t="shared" si="135"/>
        <v>0</v>
      </c>
      <c r="AO134">
        <f t="shared" si="136"/>
        <v>0</v>
      </c>
      <c r="AP134">
        <f t="shared" si="136"/>
        <v>0</v>
      </c>
      <c r="AQ134">
        <f t="shared" si="136"/>
        <v>0</v>
      </c>
      <c r="AR134">
        <f t="shared" si="136"/>
        <v>0</v>
      </c>
      <c r="AS134">
        <f t="shared" si="137"/>
        <v>0</v>
      </c>
      <c r="AU134">
        <f t="shared" si="138"/>
        <v>0</v>
      </c>
      <c r="AV134">
        <f t="shared" si="138"/>
        <v>0</v>
      </c>
      <c r="AW134">
        <f t="shared" si="138"/>
        <v>0</v>
      </c>
      <c r="AX134">
        <f t="shared" si="138"/>
        <v>0</v>
      </c>
      <c r="AY134">
        <f t="shared" si="139"/>
        <v>0</v>
      </c>
    </row>
    <row r="135" spans="1:51" ht="15" x14ac:dyDescent="0.25">
      <c r="A135" s="7"/>
      <c r="B135" s="8" t="s">
        <v>14</v>
      </c>
      <c r="C135" s="7"/>
      <c r="D135" s="288">
        <f>SUM(D129:D134)</f>
        <v>0</v>
      </c>
      <c r="E135" s="289">
        <f>SUM(E129:E134)</f>
        <v>234.78790817000001</v>
      </c>
      <c r="F135" s="289">
        <f>SUM(F129:F134)</f>
        <v>128.24399324999999</v>
      </c>
      <c r="G135" s="289">
        <f>SUM(G129:G134)</f>
        <v>104.77590345000002</v>
      </c>
      <c r="H135" s="290">
        <f>SUM(H129:H134)</f>
        <v>190.93014516</v>
      </c>
      <c r="J135">
        <v>0</v>
      </c>
      <c r="K135">
        <v>227.44613128255952</v>
      </c>
      <c r="L135">
        <v>64.022076208351493</v>
      </c>
      <c r="M135">
        <v>-35.851060081068034</v>
      </c>
      <c r="N135">
        <v>-15.99980404008693</v>
      </c>
      <c r="O135" s="20"/>
      <c r="P135" s="20"/>
      <c r="Q135" s="147"/>
      <c r="R135" s="197"/>
      <c r="S135" s="197"/>
      <c r="T135" s="197"/>
      <c r="U135" s="197"/>
    </row>
    <row r="136" spans="1:51" ht="15" x14ac:dyDescent="0.25">
      <c r="A136" s="10"/>
      <c r="B136" s="9" t="s">
        <v>15</v>
      </c>
      <c r="C136" s="5"/>
      <c r="D136" s="291"/>
      <c r="E136" s="292"/>
      <c r="F136" s="292"/>
      <c r="G136" s="292"/>
      <c r="H136" s="293">
        <f>SUM(D135:H135)</f>
        <v>658.73795003000009</v>
      </c>
      <c r="N136">
        <v>239.61734336975607</v>
      </c>
      <c r="O136" s="20"/>
      <c r="P136" s="20"/>
      <c r="Q136" s="147"/>
      <c r="R136" s="197"/>
      <c r="S136" s="197"/>
      <c r="T136" s="197"/>
      <c r="U136" s="197"/>
    </row>
    <row r="137" spans="1:51" ht="15.75" thickBot="1" x14ac:dyDescent="0.3">
      <c r="A137" s="1"/>
      <c r="B137" s="2"/>
      <c r="C137" s="1"/>
      <c r="D137" s="297"/>
      <c r="E137" s="298"/>
      <c r="F137" s="298"/>
      <c r="G137" s="298"/>
      <c r="H137" s="299"/>
      <c r="O137" s="20"/>
      <c r="P137" s="20"/>
      <c r="Q137" s="147"/>
      <c r="R137" s="197"/>
      <c r="S137" s="197"/>
      <c r="T137" s="197"/>
      <c r="U137" s="197"/>
    </row>
    <row r="138" spans="1:51" ht="15" x14ac:dyDescent="0.25">
      <c r="A138" s="1">
        <v>15</v>
      </c>
      <c r="B138" s="2" t="s">
        <v>29</v>
      </c>
      <c r="C138" s="1" t="s">
        <v>8</v>
      </c>
      <c r="D138" s="282">
        <v>2.8999999999999998E-7</v>
      </c>
      <c r="E138" s="283">
        <v>0.74276288000000001</v>
      </c>
      <c r="F138" s="283">
        <v>2.1326700700000001</v>
      </c>
      <c r="G138" s="283">
        <v>2.1078223500000002</v>
      </c>
      <c r="H138" s="284">
        <v>2.7190599600000001</v>
      </c>
      <c r="J138">
        <v>2.8999999999999998E-7</v>
      </c>
      <c r="K138">
        <v>-1.3670043037932302</v>
      </c>
      <c r="L138">
        <v>0.11639199987680016</v>
      </c>
      <c r="M138">
        <v>1.7483973642800001</v>
      </c>
      <c r="N138">
        <v>-1.1583838125034203</v>
      </c>
      <c r="O138" s="20"/>
      <c r="P138" s="20"/>
      <c r="Q138" s="147">
        <v>0.76675212018892525</v>
      </c>
      <c r="R138" s="197">
        <v>1.2861473139312608E-2</v>
      </c>
      <c r="S138" s="197">
        <v>0.49282807343291918</v>
      </c>
      <c r="T138" s="197">
        <v>0.11808671869809276</v>
      </c>
      <c r="U138" s="197">
        <v>0.41263016220713056</v>
      </c>
      <c r="V138" s="20">
        <f t="shared" ref="V138:Y143" si="140">E138*$Q138*$R138*10</f>
        <v>7.3248020426187777E-2</v>
      </c>
      <c r="W138" s="20">
        <f t="shared" si="140"/>
        <v>0.21031457690734265</v>
      </c>
      <c r="X138" s="20">
        <f t="shared" si="140"/>
        <v>0.20786420364406893</v>
      </c>
      <c r="Y138" s="20">
        <f t="shared" si="140"/>
        <v>0.26814177828879837</v>
      </c>
      <c r="Z138" s="20">
        <f t="shared" ref="Z138:AC143" si="141">V138*(EXP(1.01-0.34*LN(Z$8))*(1-$T138)+(1*$T138))</f>
        <v>2.8291819225904725E-2</v>
      </c>
      <c r="AA138" s="20">
        <f t="shared" si="141"/>
        <v>8.4943565782749419E-2</v>
      </c>
      <c r="AB138" s="20">
        <f t="shared" si="141"/>
        <v>8.5304874232096151E-2</v>
      </c>
      <c r="AC138" s="20">
        <f t="shared" si="141"/>
        <v>9.3206529599064919E-2</v>
      </c>
      <c r="AD138" s="20">
        <f t="shared" ref="AD138:AD143" si="142">SUM(Z138:AC138)</f>
        <v>0.2917467888398152</v>
      </c>
      <c r="AE138" s="20">
        <f t="shared" ref="AE138:AH143" si="143">E138*$Q138*$S138*10</f>
        <v>2.8067298666646017</v>
      </c>
      <c r="AF138" s="20">
        <f t="shared" si="143"/>
        <v>8.0588690447356317</v>
      </c>
      <c r="AG138" s="20">
        <f t="shared" si="143"/>
        <v>7.9649752332375137</v>
      </c>
      <c r="AH138" s="20">
        <f t="shared" si="143"/>
        <v>10.27470139458754</v>
      </c>
      <c r="AI138" s="20">
        <f t="shared" ref="AI138:AL143" si="144">AE138*(EXP(1.01-0.34*LN(AI$8))*(1-$T138)+(1*$T138))</f>
        <v>1.0840906490250029</v>
      </c>
      <c r="AJ138" s="20">
        <f t="shared" si="144"/>
        <v>3.2548817248062307</v>
      </c>
      <c r="AK138" s="20">
        <f t="shared" si="144"/>
        <v>3.2687264022454201</v>
      </c>
      <c r="AL138" s="20">
        <f t="shared" si="144"/>
        <v>3.5715033508308163</v>
      </c>
      <c r="AM138" s="20">
        <f t="shared" ref="AM138:AM143" si="145">SUM(AI138:AL138)</f>
        <v>11.17920212690747</v>
      </c>
      <c r="AO138">
        <f t="shared" ref="AO138:AR143" si="146">Z138*AO$10</f>
        <v>3.9047030622851475E-2</v>
      </c>
      <c r="AP138">
        <f t="shared" si="146"/>
        <v>0.10022544200201579</v>
      </c>
      <c r="AQ138">
        <f t="shared" si="146"/>
        <v>0.10108483122554143</v>
      </c>
      <c r="AR138">
        <f t="shared" si="146"/>
        <v>0.10449694934737132</v>
      </c>
      <c r="AS138">
        <f t="shared" ref="AS138:AS143" si="147">SUM(AO138:AR138)</f>
        <v>0.34485425319778001</v>
      </c>
      <c r="AU138">
        <f t="shared" ref="AU138:AX143" si="148">AI138*AU$10</f>
        <v>1.4962106336261081</v>
      </c>
      <c r="AV138">
        <f t="shared" si="148"/>
        <v>3.840455207252885</v>
      </c>
      <c r="AW138">
        <f t="shared" si="148"/>
        <v>3.873385426891923</v>
      </c>
      <c r="AX138">
        <f t="shared" si="148"/>
        <v>4.0041315383281786</v>
      </c>
      <c r="AY138">
        <f t="shared" ref="AY138:AY143" si="149">SUM(AU138:AX138)</f>
        <v>13.214182806099096</v>
      </c>
    </row>
    <row r="139" spans="1:51" ht="15" x14ac:dyDescent="0.25">
      <c r="A139" s="1"/>
      <c r="B139" s="2"/>
      <c r="C139" s="1" t="s">
        <v>9</v>
      </c>
      <c r="D139" s="285">
        <v>0</v>
      </c>
      <c r="E139" s="286">
        <v>0.99528508000000004</v>
      </c>
      <c r="F139" s="286">
        <v>8.0709839999999993</v>
      </c>
      <c r="G139" s="286">
        <v>0</v>
      </c>
      <c r="H139" s="287">
        <v>4.0279706199999996</v>
      </c>
      <c r="J139">
        <v>0</v>
      </c>
      <c r="K139">
        <v>0.67071804207000008</v>
      </c>
      <c r="L139">
        <v>5.5814322178129991</v>
      </c>
      <c r="M139">
        <v>0</v>
      </c>
      <c r="N139">
        <v>0.24564055415049957</v>
      </c>
      <c r="O139" s="20"/>
      <c r="P139" s="20"/>
      <c r="Q139" s="147">
        <v>0.76850424037785048</v>
      </c>
      <c r="R139" s="197">
        <v>1.2861473139312608E-2</v>
      </c>
      <c r="S139" s="197">
        <v>0.49282807343291918</v>
      </c>
      <c r="T139" s="197">
        <v>0.11808671869809276</v>
      </c>
      <c r="U139" s="197">
        <v>0.41263016220713056</v>
      </c>
      <c r="V139" s="20">
        <f t="shared" si="140"/>
        <v>9.8374939201138017E-2</v>
      </c>
      <c r="W139" s="20">
        <f t="shared" si="140"/>
        <v>0.79774385876793974</v>
      </c>
      <c r="X139" s="20">
        <f t="shared" si="140"/>
        <v>0</v>
      </c>
      <c r="Y139" s="20">
        <f t="shared" si="140"/>
        <v>0.3981285089157271</v>
      </c>
      <c r="Z139" s="20">
        <f t="shared" si="141"/>
        <v>3.7997013162186531E-2</v>
      </c>
      <c r="AA139" s="20">
        <f t="shared" si="141"/>
        <v>0.32219929279981852</v>
      </c>
      <c r="AB139" s="20">
        <f t="shared" si="141"/>
        <v>0</v>
      </c>
      <c r="AC139" s="20">
        <f t="shared" si="141"/>
        <v>0.13839013408241985</v>
      </c>
      <c r="AD139" s="20">
        <f t="shared" si="142"/>
        <v>0.49858644004442487</v>
      </c>
      <c r="AE139" s="20">
        <f t="shared" si="143"/>
        <v>3.7695473322092998</v>
      </c>
      <c r="AF139" s="20">
        <f t="shared" si="143"/>
        <v>30.568082267950743</v>
      </c>
      <c r="AG139" s="20">
        <f t="shared" si="143"/>
        <v>0</v>
      </c>
      <c r="AH139" s="20">
        <f t="shared" si="143"/>
        <v>15.25555462444834</v>
      </c>
      <c r="AI139" s="20">
        <f t="shared" si="144"/>
        <v>1.4559758893938404</v>
      </c>
      <c r="AJ139" s="20">
        <f t="shared" si="144"/>
        <v>12.346086254040896</v>
      </c>
      <c r="AK139" s="20">
        <f t="shared" si="144"/>
        <v>0</v>
      </c>
      <c r="AL139" s="20">
        <f t="shared" si="144"/>
        <v>5.3028562454088739</v>
      </c>
      <c r="AM139" s="20">
        <f t="shared" si="145"/>
        <v>19.104918388843611</v>
      </c>
      <c r="AO139">
        <f t="shared" si="146"/>
        <v>5.2441680214127082E-2</v>
      </c>
      <c r="AP139">
        <f t="shared" si="146"/>
        <v>0.38016495111813142</v>
      </c>
      <c r="AQ139">
        <f t="shared" si="146"/>
        <v>0</v>
      </c>
      <c r="AR139">
        <f t="shared" si="146"/>
        <v>0.15515379548614408</v>
      </c>
      <c r="AS139">
        <f t="shared" si="147"/>
        <v>0.58776042681840257</v>
      </c>
      <c r="AU139">
        <f t="shared" si="148"/>
        <v>2.0094690512952225</v>
      </c>
      <c r="AV139">
        <f t="shared" si="148"/>
        <v>14.567224019898083</v>
      </c>
      <c r="AW139">
        <f t="shared" si="148"/>
        <v>0</v>
      </c>
      <c r="AX139">
        <f t="shared" si="148"/>
        <v>5.9452090197599423</v>
      </c>
      <c r="AY139">
        <f t="shared" si="149"/>
        <v>22.521902090953247</v>
      </c>
    </row>
    <row r="140" spans="1:51" ht="15" x14ac:dyDescent="0.25">
      <c r="A140" s="1"/>
      <c r="B140" s="2"/>
      <c r="C140" s="1" t="s">
        <v>10</v>
      </c>
      <c r="D140" s="285">
        <v>0</v>
      </c>
      <c r="E140" s="286">
        <v>0.88419579000000004</v>
      </c>
      <c r="F140" s="286">
        <v>0.2260906</v>
      </c>
      <c r="G140" s="286">
        <v>2.8523884399999999</v>
      </c>
      <c r="H140" s="287">
        <v>1.2091729099999999</v>
      </c>
      <c r="J140">
        <v>0</v>
      </c>
      <c r="K140">
        <v>-3.3081961745840993E-2</v>
      </c>
      <c r="L140">
        <v>-9.0744787999999993E-2</v>
      </c>
      <c r="M140">
        <v>2.8523884399999999</v>
      </c>
      <c r="N140">
        <v>-0.60437976020900019</v>
      </c>
      <c r="O140" s="20"/>
      <c r="P140" s="20"/>
      <c r="Q140" s="147">
        <v>0.7702563605667756</v>
      </c>
      <c r="R140" s="197">
        <v>1.2861473139312608E-2</v>
      </c>
      <c r="S140" s="197">
        <v>0.49282807343291918</v>
      </c>
      <c r="T140" s="197">
        <v>0.11808671869809276</v>
      </c>
      <c r="U140" s="197">
        <v>0.41263016220713056</v>
      </c>
      <c r="V140" s="20">
        <f t="shared" si="140"/>
        <v>8.7594018581435978E-2</v>
      </c>
      <c r="W140" s="20">
        <f t="shared" si="140"/>
        <v>2.2397962579631839E-2</v>
      </c>
      <c r="X140" s="20">
        <f t="shared" si="140"/>
        <v>0.28257561146590982</v>
      </c>
      <c r="Y140" s="20">
        <f t="shared" si="140"/>
        <v>0.11978830429254703</v>
      </c>
      <c r="Z140" s="20">
        <f t="shared" si="141"/>
        <v>3.3832916228416152E-2</v>
      </c>
      <c r="AA140" s="20">
        <f t="shared" si="141"/>
        <v>9.046271712401183E-3</v>
      </c>
      <c r="AB140" s="20">
        <f t="shared" si="141"/>
        <v>0.11596550331692911</v>
      </c>
      <c r="AC140" s="20">
        <f t="shared" si="141"/>
        <v>4.1638614470736877E-2</v>
      </c>
      <c r="AD140" s="20">
        <f t="shared" si="142"/>
        <v>0.20048330572848333</v>
      </c>
      <c r="AE140" s="20">
        <f t="shared" si="143"/>
        <v>3.3564422173215851</v>
      </c>
      <c r="AF140" s="20">
        <f t="shared" si="143"/>
        <v>0.85824886678047574</v>
      </c>
      <c r="AG140" s="20">
        <f t="shared" si="143"/>
        <v>10.827779422265804</v>
      </c>
      <c r="AH140" s="20">
        <f t="shared" si="143"/>
        <v>4.5900682281755643</v>
      </c>
      <c r="AI140" s="20">
        <f t="shared" si="144"/>
        <v>1.296415328388955</v>
      </c>
      <c r="AJ140" s="20">
        <f t="shared" si="144"/>
        <v>0.34663654866612459</v>
      </c>
      <c r="AK140" s="20">
        <f t="shared" si="144"/>
        <v>4.4435855026336002</v>
      </c>
      <c r="AL140" s="20">
        <f t="shared" si="144"/>
        <v>1.5955153758635514</v>
      </c>
      <c r="AM140" s="20">
        <f t="shared" si="145"/>
        <v>7.6821527555522318</v>
      </c>
      <c r="AO140">
        <f t="shared" si="146"/>
        <v>4.6694590598179833E-2</v>
      </c>
      <c r="AP140">
        <f t="shared" si="146"/>
        <v>1.0673752302377083E-2</v>
      </c>
      <c r="AQ140">
        <f t="shared" si="146"/>
        <v>0.13741715741685229</v>
      </c>
      <c r="AR140">
        <f t="shared" si="146"/>
        <v>4.6682439588298603E-2</v>
      </c>
      <c r="AS140">
        <f t="shared" si="147"/>
        <v>0.24146793990570781</v>
      </c>
      <c r="AU140">
        <f t="shared" si="148"/>
        <v>1.7892511126038697</v>
      </c>
      <c r="AV140">
        <f t="shared" si="148"/>
        <v>0.4089986214255566</v>
      </c>
      <c r="AW140">
        <f t="shared" si="148"/>
        <v>5.2655735632158693</v>
      </c>
      <c r="AX140">
        <f t="shared" si="148"/>
        <v>1.7887855081800867</v>
      </c>
      <c r="AY140">
        <f t="shared" si="149"/>
        <v>9.2526088054253819</v>
      </c>
    </row>
    <row r="141" spans="1:51" ht="15" x14ac:dyDescent="0.25">
      <c r="A141" s="1"/>
      <c r="B141" s="2"/>
      <c r="C141" s="1" t="s">
        <v>11</v>
      </c>
      <c r="D141" s="285">
        <v>0</v>
      </c>
      <c r="E141" s="286">
        <v>0.43953955</v>
      </c>
      <c r="F141" s="286">
        <v>0</v>
      </c>
      <c r="G141" s="286">
        <v>1.73005024</v>
      </c>
      <c r="H141" s="287">
        <v>0.12323297</v>
      </c>
      <c r="J141">
        <v>0</v>
      </c>
      <c r="K141">
        <v>0.17753138272800001</v>
      </c>
      <c r="L141">
        <v>0</v>
      </c>
      <c r="M141">
        <v>0.59518854873799998</v>
      </c>
      <c r="N141">
        <v>-2.8028399382600017E-2</v>
      </c>
      <c r="O141" s="20"/>
      <c r="P141" s="20"/>
      <c r="Q141" s="147">
        <v>0.77200848075570105</v>
      </c>
      <c r="R141" s="197">
        <v>1.2861473139312608E-2</v>
      </c>
      <c r="S141" s="197">
        <v>0.49282807343291918</v>
      </c>
      <c r="T141" s="197">
        <v>0.11808671869809276</v>
      </c>
      <c r="U141" s="197">
        <v>0.41263016220713056</v>
      </c>
      <c r="V141" s="20">
        <f t="shared" si="140"/>
        <v>4.3642613043262425E-2</v>
      </c>
      <c r="W141" s="20">
        <f t="shared" si="140"/>
        <v>0</v>
      </c>
      <c r="X141" s="20">
        <f t="shared" si="140"/>
        <v>0.1717795660702735</v>
      </c>
      <c r="Y141" s="20">
        <f t="shared" si="140"/>
        <v>1.2236006575248955E-2</v>
      </c>
      <c r="Z141" s="20">
        <f t="shared" si="141"/>
        <v>1.6856823045618436E-2</v>
      </c>
      <c r="AA141" s="20">
        <f t="shared" si="141"/>
        <v>0</v>
      </c>
      <c r="AB141" s="20">
        <f t="shared" si="141"/>
        <v>7.0496189446647178E-2</v>
      </c>
      <c r="AC141" s="20">
        <f t="shared" si="141"/>
        <v>4.2532563045880947E-3</v>
      </c>
      <c r="AD141" s="20">
        <f t="shared" si="142"/>
        <v>9.1606268796853713E-2</v>
      </c>
      <c r="AE141" s="20">
        <f t="shared" si="143"/>
        <v>1.6723049274928501</v>
      </c>
      <c r="AF141" s="20">
        <f t="shared" si="143"/>
        <v>0</v>
      </c>
      <c r="AG141" s="20">
        <f t="shared" si="143"/>
        <v>6.582278070681439</v>
      </c>
      <c r="AH141" s="20">
        <f t="shared" si="143"/>
        <v>0.46886134128448415</v>
      </c>
      <c r="AI141" s="20">
        <f t="shared" si="144"/>
        <v>0.64592255768733575</v>
      </c>
      <c r="AJ141" s="20">
        <f t="shared" si="144"/>
        <v>0</v>
      </c>
      <c r="AK141" s="20">
        <f t="shared" si="144"/>
        <v>2.7012847481023514</v>
      </c>
      <c r="AL141" s="20">
        <f t="shared" si="144"/>
        <v>0.16297698465034444</v>
      </c>
      <c r="AM141" s="20">
        <f t="shared" si="145"/>
        <v>3.5101842904400313</v>
      </c>
      <c r="AO141">
        <f t="shared" si="146"/>
        <v>2.3264989798308142E-2</v>
      </c>
      <c r="AP141">
        <f t="shared" si="146"/>
        <v>0</v>
      </c>
      <c r="AQ141">
        <f t="shared" si="146"/>
        <v>8.3536790557472221E-2</v>
      </c>
      <c r="AR141">
        <f t="shared" si="146"/>
        <v>4.7684675154602988E-3</v>
      </c>
      <c r="AS141">
        <f t="shared" si="147"/>
        <v>0.11157024787124066</v>
      </c>
      <c r="AU141">
        <f t="shared" si="148"/>
        <v>0.89147176039194453</v>
      </c>
      <c r="AV141">
        <f t="shared" si="148"/>
        <v>0</v>
      </c>
      <c r="AW141">
        <f t="shared" si="148"/>
        <v>3.2009766770316199</v>
      </c>
      <c r="AX141">
        <f t="shared" si="148"/>
        <v>0.1827189337812789</v>
      </c>
      <c r="AY141">
        <f t="shared" si="149"/>
        <v>4.2751673712048426</v>
      </c>
    </row>
    <row r="142" spans="1:51" ht="15" x14ac:dyDescent="0.25">
      <c r="A142" s="1"/>
      <c r="B142" s="2"/>
      <c r="C142" s="1" t="s">
        <v>12</v>
      </c>
      <c r="D142" s="285">
        <v>0</v>
      </c>
      <c r="E142" s="286">
        <v>6.0469334300000002</v>
      </c>
      <c r="F142" s="286">
        <v>123.17674611</v>
      </c>
      <c r="G142" s="286">
        <v>3.4736843799999999</v>
      </c>
      <c r="H142" s="287">
        <v>18.900544279999998</v>
      </c>
      <c r="J142">
        <v>-1.5613202036099999E-5</v>
      </c>
      <c r="K142">
        <v>2.4036797743580003</v>
      </c>
      <c r="L142">
        <v>5.9536632966499923</v>
      </c>
      <c r="M142">
        <v>3.333351149836</v>
      </c>
      <c r="N142">
        <v>0.22494520368259785</v>
      </c>
      <c r="O142" s="20"/>
      <c r="P142" s="20"/>
      <c r="Q142" s="147">
        <v>0.77200848075570083</v>
      </c>
      <c r="R142" s="197">
        <v>1.2861473139312608E-2</v>
      </c>
      <c r="S142" s="197">
        <v>0.49282807343291918</v>
      </c>
      <c r="T142" s="197">
        <v>0.11808671869809276</v>
      </c>
      <c r="U142" s="197">
        <v>0.41263016220713056</v>
      </c>
      <c r="V142" s="20">
        <f t="shared" si="140"/>
        <v>0.600410078646751</v>
      </c>
      <c r="W142" s="20">
        <f t="shared" si="140"/>
        <v>12.230424011688841</v>
      </c>
      <c r="X142" s="20">
        <f t="shared" si="140"/>
        <v>0.34490790016681072</v>
      </c>
      <c r="Y142" s="20">
        <f t="shared" si="140"/>
        <v>1.8766664804545727</v>
      </c>
      <c r="Z142" s="20">
        <f t="shared" si="141"/>
        <v>0.23190651853318894</v>
      </c>
      <c r="AA142" s="20">
        <f t="shared" si="141"/>
        <v>4.9397233509188041</v>
      </c>
      <c r="AB142" s="20">
        <f t="shared" si="141"/>
        <v>0.14154589645346896</v>
      </c>
      <c r="AC142" s="20">
        <f t="shared" si="141"/>
        <v>0.65233240032319617</v>
      </c>
      <c r="AD142" s="20">
        <f t="shared" si="142"/>
        <v>5.9655081662286582</v>
      </c>
      <c r="AE142" s="20">
        <f t="shared" si="143"/>
        <v>23.006613560054468</v>
      </c>
      <c r="AF142" s="20">
        <f t="shared" si="143"/>
        <v>468.64742768264807</v>
      </c>
      <c r="AG142" s="20">
        <f t="shared" si="143"/>
        <v>13.216238459608343</v>
      </c>
      <c r="AH142" s="20">
        <f t="shared" si="143"/>
        <v>71.91041928249868</v>
      </c>
      <c r="AI142" s="20">
        <f t="shared" si="144"/>
        <v>8.886232666140403</v>
      </c>
      <c r="AJ142" s="20">
        <f t="shared" si="144"/>
        <v>189.28114345500458</v>
      </c>
      <c r="AK142" s="20">
        <f t="shared" si="144"/>
        <v>5.423779274418858</v>
      </c>
      <c r="AL142" s="20">
        <f t="shared" si="144"/>
        <v>24.996181744258166</v>
      </c>
      <c r="AM142" s="20">
        <f t="shared" si="145"/>
        <v>228.58733713982201</v>
      </c>
      <c r="AO142">
        <f t="shared" si="146"/>
        <v>0.3200664071299123</v>
      </c>
      <c r="AP142">
        <f t="shared" si="146"/>
        <v>5.8284103292736882</v>
      </c>
      <c r="AQ142">
        <f t="shared" si="146"/>
        <v>0.16772949004927321</v>
      </c>
      <c r="AR142">
        <f t="shared" si="146"/>
        <v>0.7313516133198682</v>
      </c>
      <c r="AS142">
        <f t="shared" si="147"/>
        <v>7.0475578397727423</v>
      </c>
      <c r="AU142">
        <f t="shared" si="148"/>
        <v>12.264357985111916</v>
      </c>
      <c r="AV142">
        <f t="shared" si="148"/>
        <v>223.33399935133679</v>
      </c>
      <c r="AW142">
        <f t="shared" si="148"/>
        <v>6.427086582034196</v>
      </c>
      <c r="AX142">
        <f t="shared" si="148"/>
        <v>28.024053130647168</v>
      </c>
      <c r="AY142">
        <f t="shared" si="149"/>
        <v>270.04949704913008</v>
      </c>
    </row>
    <row r="143" spans="1:51" ht="15" x14ac:dyDescent="0.25">
      <c r="A143" s="1"/>
      <c r="B143" s="2"/>
      <c r="C143" s="1" t="s">
        <v>13</v>
      </c>
      <c r="D143" s="285">
        <v>0</v>
      </c>
      <c r="E143" s="286">
        <v>0</v>
      </c>
      <c r="F143" s="286">
        <v>0</v>
      </c>
      <c r="G143" s="286">
        <v>0</v>
      </c>
      <c r="H143" s="287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20"/>
      <c r="P143" s="20"/>
      <c r="Q143" s="147"/>
      <c r="R143" s="197">
        <v>1.2861473139312608E-2</v>
      </c>
      <c r="S143" s="197">
        <v>0.49282807343291918</v>
      </c>
      <c r="T143" s="197">
        <v>0.11808671869809276</v>
      </c>
      <c r="U143" s="197">
        <v>0.41263016220713056</v>
      </c>
      <c r="V143" s="20">
        <f t="shared" si="140"/>
        <v>0</v>
      </c>
      <c r="W143" s="20">
        <f t="shared" si="140"/>
        <v>0</v>
      </c>
      <c r="X143" s="20">
        <f t="shared" si="140"/>
        <v>0</v>
      </c>
      <c r="Y143" s="20">
        <f t="shared" si="140"/>
        <v>0</v>
      </c>
      <c r="Z143" s="20">
        <f t="shared" si="141"/>
        <v>0</v>
      </c>
      <c r="AA143" s="20">
        <f t="shared" si="141"/>
        <v>0</v>
      </c>
      <c r="AB143" s="20">
        <f t="shared" si="141"/>
        <v>0</v>
      </c>
      <c r="AC143" s="20">
        <f t="shared" si="141"/>
        <v>0</v>
      </c>
      <c r="AD143" s="20">
        <f t="shared" si="142"/>
        <v>0</v>
      </c>
      <c r="AE143" s="20">
        <f t="shared" si="143"/>
        <v>0</v>
      </c>
      <c r="AF143" s="20">
        <f t="shared" si="143"/>
        <v>0</v>
      </c>
      <c r="AG143" s="20">
        <f t="shared" si="143"/>
        <v>0</v>
      </c>
      <c r="AH143" s="20">
        <f t="shared" si="143"/>
        <v>0</v>
      </c>
      <c r="AI143" s="20">
        <f t="shared" si="144"/>
        <v>0</v>
      </c>
      <c r="AJ143" s="20">
        <f t="shared" si="144"/>
        <v>0</v>
      </c>
      <c r="AK143" s="20">
        <f t="shared" si="144"/>
        <v>0</v>
      </c>
      <c r="AL143" s="20">
        <f t="shared" si="144"/>
        <v>0</v>
      </c>
      <c r="AM143" s="20">
        <f t="shared" si="145"/>
        <v>0</v>
      </c>
      <c r="AO143">
        <f t="shared" si="146"/>
        <v>0</v>
      </c>
      <c r="AP143">
        <f t="shared" si="146"/>
        <v>0</v>
      </c>
      <c r="AQ143">
        <f t="shared" si="146"/>
        <v>0</v>
      </c>
      <c r="AR143">
        <f t="shared" si="146"/>
        <v>0</v>
      </c>
      <c r="AS143">
        <f t="shared" si="147"/>
        <v>0</v>
      </c>
      <c r="AU143">
        <f t="shared" si="148"/>
        <v>0</v>
      </c>
      <c r="AV143">
        <f t="shared" si="148"/>
        <v>0</v>
      </c>
      <c r="AW143">
        <f t="shared" si="148"/>
        <v>0</v>
      </c>
      <c r="AX143">
        <f t="shared" si="148"/>
        <v>0</v>
      </c>
      <c r="AY143">
        <f t="shared" si="149"/>
        <v>0</v>
      </c>
    </row>
    <row r="144" spans="1:51" ht="15" x14ac:dyDescent="0.25">
      <c r="A144" s="7"/>
      <c r="B144" s="8" t="s">
        <v>14</v>
      </c>
      <c r="C144" s="7"/>
      <c r="D144" s="288">
        <f>SUM(D138:D143)</f>
        <v>2.8999999999999998E-7</v>
      </c>
      <c r="E144" s="289">
        <f>SUM(E138:E143)</f>
        <v>9.1087167300000011</v>
      </c>
      <c r="F144" s="289">
        <f>SUM(F138:F143)</f>
        <v>133.60649078</v>
      </c>
      <c r="G144" s="289">
        <f>SUM(G138:G143)</f>
        <v>10.16394541</v>
      </c>
      <c r="H144" s="290">
        <f>SUM(H138:H143)</f>
        <v>26.979980739999998</v>
      </c>
      <c r="J144">
        <v>-1.53232020361E-5</v>
      </c>
      <c r="K144">
        <v>1.8518429336169291</v>
      </c>
      <c r="L144">
        <v>11.560742726339791</v>
      </c>
      <c r="M144">
        <v>8.5293255028540003</v>
      </c>
      <c r="N144">
        <v>-1.3202062142619231</v>
      </c>
      <c r="O144" s="20"/>
      <c r="P144" s="20"/>
      <c r="Q144" s="147"/>
      <c r="R144" s="197"/>
      <c r="S144" s="197"/>
      <c r="T144" s="197"/>
      <c r="U144" s="197"/>
    </row>
    <row r="145" spans="1:51" ht="15" x14ac:dyDescent="0.25">
      <c r="A145" s="10"/>
      <c r="B145" s="9" t="s">
        <v>15</v>
      </c>
      <c r="C145" s="5"/>
      <c r="D145" s="291"/>
      <c r="E145" s="292"/>
      <c r="F145" s="292"/>
      <c r="G145" s="292"/>
      <c r="H145" s="293">
        <f>SUM(D144:H144)</f>
        <v>179.85913395</v>
      </c>
      <c r="N145">
        <v>20.621689625346761</v>
      </c>
      <c r="O145" s="20"/>
      <c r="P145" s="20"/>
      <c r="Q145" s="147"/>
      <c r="R145" s="197"/>
      <c r="S145" s="197"/>
      <c r="T145" s="197"/>
      <c r="U145" s="197"/>
    </row>
    <row r="146" spans="1:51" ht="15.75" thickBot="1" x14ac:dyDescent="0.3">
      <c r="A146" s="1"/>
      <c r="B146" s="2"/>
      <c r="C146" s="1"/>
      <c r="D146" s="294"/>
      <c r="E146" s="295"/>
      <c r="F146" s="295"/>
      <c r="G146" s="295"/>
      <c r="H146" s="296"/>
      <c r="O146" s="20"/>
      <c r="P146" s="20"/>
      <c r="Q146" s="147"/>
      <c r="R146" s="197"/>
      <c r="S146" s="197"/>
      <c r="T146" s="197"/>
      <c r="U146" s="197"/>
    </row>
    <row r="147" spans="1:51" ht="15" x14ac:dyDescent="0.25">
      <c r="A147" s="1">
        <v>16</v>
      </c>
      <c r="B147" s="2" t="s">
        <v>30</v>
      </c>
      <c r="C147" s="1" t="s">
        <v>8</v>
      </c>
      <c r="D147" s="285">
        <v>2.2000000000000001E-7</v>
      </c>
      <c r="E147" s="286">
        <v>5.45373777</v>
      </c>
      <c r="F147" s="286">
        <v>4.9587283800000002</v>
      </c>
      <c r="G147" s="286">
        <v>7.9732721599999996</v>
      </c>
      <c r="H147" s="287">
        <v>6.0085408899999999</v>
      </c>
      <c r="J147">
        <v>2.2000000000000001E-7</v>
      </c>
      <c r="K147">
        <v>2.6633107807999998</v>
      </c>
      <c r="L147">
        <v>-1.0630718480597299</v>
      </c>
      <c r="M147">
        <v>1.4502093472370987</v>
      </c>
      <c r="N147">
        <v>-3.6833894152023179</v>
      </c>
      <c r="O147" s="20"/>
      <c r="P147" s="20"/>
      <c r="Q147" s="147">
        <v>0.67792020031487543</v>
      </c>
      <c r="R147" s="197">
        <v>5.6499999999999995E-2</v>
      </c>
      <c r="S147" s="197">
        <v>1.25</v>
      </c>
      <c r="T147" s="197">
        <v>0.50650413159351704</v>
      </c>
      <c r="U147" s="197">
        <v>0.77519673403474398</v>
      </c>
      <c r="V147" s="20">
        <f t="shared" ref="V147:Y152" si="150">E147*$Q147*$R147*10</f>
        <v>2.088917435849309</v>
      </c>
      <c r="W147" s="20">
        <f t="shared" si="150"/>
        <v>1.8993165072223115</v>
      </c>
      <c r="X147" s="20">
        <f t="shared" si="150"/>
        <v>3.0539618768278038</v>
      </c>
      <c r="Y147" s="20">
        <f t="shared" si="150"/>
        <v>2.3014208527181395</v>
      </c>
      <c r="Z147" s="20">
        <f t="shared" ref="Z147:AC152" si="151">V147*(EXP(1.01-0.34*LN(Z$8))*(1-$T147)+(1*$T147))</f>
        <v>1.371498844147405</v>
      </c>
      <c r="AA147" s="20">
        <f t="shared" si="151"/>
        <v>1.265763823878719</v>
      </c>
      <c r="AB147" s="20">
        <f t="shared" si="151"/>
        <v>2.0463624315835109</v>
      </c>
      <c r="AC147" s="20">
        <f t="shared" si="151"/>
        <v>1.4612521037690724</v>
      </c>
      <c r="AD147" s="20">
        <f t="shared" ref="AD147:AD152" si="152">SUM(Z147:AC147)</f>
        <v>6.1448772033787078</v>
      </c>
      <c r="AE147" s="20">
        <f t="shared" ref="AE147:AH152" si="153">E147*$Q147*$S147*10</f>
        <v>46.214987518790025</v>
      </c>
      <c r="AF147" s="20">
        <f t="shared" si="153"/>
        <v>42.020276708458219</v>
      </c>
      <c r="AG147" s="20">
        <f t="shared" si="153"/>
        <v>67.565528248402728</v>
      </c>
      <c r="AH147" s="20">
        <f t="shared" si="153"/>
        <v>50.916390546861493</v>
      </c>
      <c r="AI147" s="20">
        <f t="shared" ref="AI147:AL152" si="154">AE147*(EXP(1.01-0.34*LN(AI$8))*(1-$T147)+(1*$T147))</f>
        <v>30.342894782022235</v>
      </c>
      <c r="AJ147" s="20">
        <f t="shared" si="154"/>
        <v>28.003624422095555</v>
      </c>
      <c r="AK147" s="20">
        <f t="shared" si="154"/>
        <v>45.273505123528992</v>
      </c>
      <c r="AL147" s="20">
        <f t="shared" si="154"/>
        <v>32.328586366572402</v>
      </c>
      <c r="AM147" s="20">
        <f t="shared" ref="AM147:AM152" si="155">SUM(AI147:AL147)</f>
        <v>135.94861069421918</v>
      </c>
      <c r="AO147">
        <f t="shared" ref="AO147:AR152" si="156">Z147*AO$10</f>
        <v>1.8928778294184294</v>
      </c>
      <c r="AP147">
        <f t="shared" si="156"/>
        <v>1.4934826145969224</v>
      </c>
      <c r="AQ147">
        <f t="shared" si="156"/>
        <v>2.4249048238450794</v>
      </c>
      <c r="AR147">
        <f t="shared" si="156"/>
        <v>1.6382584753249783</v>
      </c>
      <c r="AS147">
        <f t="shared" ref="AS147:AS152" si="157">SUM(AO147:AR147)</f>
        <v>7.4495237431854093</v>
      </c>
      <c r="AU147">
        <f t="shared" ref="AU147:AX152" si="158">AI147*AU$10</f>
        <v>41.87782808447853</v>
      </c>
      <c r="AV147">
        <f t="shared" si="158"/>
        <v>33.041650765418645</v>
      </c>
      <c r="AW147">
        <f t="shared" si="158"/>
        <v>53.648336810731834</v>
      </c>
      <c r="AX147">
        <f t="shared" si="158"/>
        <v>36.244656533738457</v>
      </c>
      <c r="AY147">
        <f t="shared" ref="AY147:AY152" si="159">SUM(AU147:AX147)</f>
        <v>164.81247219436747</v>
      </c>
    </row>
    <row r="148" spans="1:51" ht="15" x14ac:dyDescent="0.25">
      <c r="A148" s="1"/>
      <c r="B148" s="2"/>
      <c r="C148" s="1" t="s">
        <v>9</v>
      </c>
      <c r="D148" s="285">
        <v>0</v>
      </c>
      <c r="E148" s="286">
        <v>41.935854540000001</v>
      </c>
      <c r="F148" s="286">
        <v>14.96406541</v>
      </c>
      <c r="G148" s="286">
        <v>2.8986047899999998</v>
      </c>
      <c r="H148" s="287">
        <v>126.15924793000001</v>
      </c>
      <c r="J148">
        <v>0</v>
      </c>
      <c r="K148">
        <v>4.5738231290820011</v>
      </c>
      <c r="L148">
        <v>-6.2654238883294013</v>
      </c>
      <c r="M148">
        <v>0.97063325629679964</v>
      </c>
      <c r="N148">
        <v>-5.1351474589921651</v>
      </c>
      <c r="O148" s="20"/>
      <c r="P148" s="20"/>
      <c r="Q148" s="147">
        <v>0.68084040062975093</v>
      </c>
      <c r="R148" s="197">
        <v>5.6499999999999995E-2</v>
      </c>
      <c r="S148" s="197">
        <v>1.25</v>
      </c>
      <c r="T148" s="197">
        <v>0.50650413159351704</v>
      </c>
      <c r="U148" s="197">
        <v>0.77519673403474398</v>
      </c>
      <c r="V148" s="20">
        <f t="shared" si="150"/>
        <v>16.131667563256975</v>
      </c>
      <c r="W148" s="20">
        <f t="shared" si="150"/>
        <v>5.7562992631687218</v>
      </c>
      <c r="X148" s="20">
        <f t="shared" si="150"/>
        <v>1.1150202942673668</v>
      </c>
      <c r="Y148" s="20">
        <f t="shared" si="150"/>
        <v>48.530286790652241</v>
      </c>
      <c r="Z148" s="20">
        <f t="shared" si="151"/>
        <v>10.59140157360109</v>
      </c>
      <c r="AA148" s="20">
        <f t="shared" si="151"/>
        <v>3.8361775612609192</v>
      </c>
      <c r="AB148" s="20">
        <f t="shared" si="151"/>
        <v>0.74713952978745224</v>
      </c>
      <c r="AC148" s="20">
        <f t="shared" si="151"/>
        <v>30.813566143541909</v>
      </c>
      <c r="AD148" s="20">
        <f t="shared" si="152"/>
        <v>45.988284808191366</v>
      </c>
      <c r="AE148" s="20">
        <f t="shared" si="153"/>
        <v>356.89530007205695</v>
      </c>
      <c r="AF148" s="20">
        <f t="shared" si="153"/>
        <v>127.35175360992748</v>
      </c>
      <c r="AG148" s="20">
        <f t="shared" si="153"/>
        <v>24.668590581136435</v>
      </c>
      <c r="AH148" s="20">
        <f t="shared" si="153"/>
        <v>1073.678911297616</v>
      </c>
      <c r="AI148" s="20">
        <f t="shared" si="154"/>
        <v>234.32304366374092</v>
      </c>
      <c r="AJ148" s="20">
        <f t="shared" si="154"/>
        <v>84.871184983648661</v>
      </c>
      <c r="AK148" s="20">
        <f t="shared" si="154"/>
        <v>16.529635614766644</v>
      </c>
      <c r="AL148" s="20">
        <f t="shared" si="154"/>
        <v>681.7160651226086</v>
      </c>
      <c r="AM148" s="20">
        <f t="shared" si="155"/>
        <v>1017.4399293847648</v>
      </c>
      <c r="AO148">
        <f t="shared" si="156"/>
        <v>14.617751452499393</v>
      </c>
      <c r="AP148">
        <f t="shared" si="156"/>
        <v>4.5263297829871947</v>
      </c>
      <c r="AQ148">
        <f t="shared" si="156"/>
        <v>0.88534768910167083</v>
      </c>
      <c r="AR148">
        <f t="shared" si="156"/>
        <v>34.54611682641039</v>
      </c>
      <c r="AS148">
        <f t="shared" si="157"/>
        <v>54.57554575099865</v>
      </c>
      <c r="AU148">
        <f t="shared" si="158"/>
        <v>323.40158080750871</v>
      </c>
      <c r="AV148">
        <f t="shared" si="158"/>
        <v>100.14003944661935</v>
      </c>
      <c r="AW148">
        <f t="shared" si="158"/>
        <v>19.587338254461745</v>
      </c>
      <c r="AX148">
        <f t="shared" si="158"/>
        <v>764.29462005332721</v>
      </c>
      <c r="AY148">
        <f t="shared" si="159"/>
        <v>1207.4235785619171</v>
      </c>
    </row>
    <row r="149" spans="1:51" ht="15" x14ac:dyDescent="0.25">
      <c r="A149" s="1"/>
      <c r="B149" s="2"/>
      <c r="C149" s="1" t="s">
        <v>10</v>
      </c>
      <c r="D149" s="285">
        <v>0</v>
      </c>
      <c r="E149" s="286">
        <v>5.2743174799999997</v>
      </c>
      <c r="F149" s="286">
        <v>1.365359E-2</v>
      </c>
      <c r="G149" s="286">
        <v>4.8973834099999998</v>
      </c>
      <c r="H149" s="287">
        <v>5.7491299800000002</v>
      </c>
      <c r="J149">
        <v>0</v>
      </c>
      <c r="K149">
        <v>-0.8971836360248</v>
      </c>
      <c r="L149">
        <v>-1.1367706362200001E-2</v>
      </c>
      <c r="M149">
        <v>0.49997130005349977</v>
      </c>
      <c r="N149">
        <v>-1.6893558908485096</v>
      </c>
      <c r="O149" s="20"/>
      <c r="P149" s="20"/>
      <c r="Q149" s="147">
        <v>0.68376060094462621</v>
      </c>
      <c r="R149" s="197">
        <v>5.6499999999999995E-2</v>
      </c>
      <c r="S149" s="197">
        <v>1.25</v>
      </c>
      <c r="T149" s="197">
        <v>0.50650413159351704</v>
      </c>
      <c r="U149" s="197">
        <v>0.77519673403474398</v>
      </c>
      <c r="V149" s="20">
        <f t="shared" si="150"/>
        <v>2.0375993266791133</v>
      </c>
      <c r="W149" s="20">
        <f t="shared" si="150"/>
        <v>5.2747196004501199E-3</v>
      </c>
      <c r="X149" s="20">
        <f t="shared" si="150"/>
        <v>1.8919803702649807</v>
      </c>
      <c r="Y149" s="20">
        <f t="shared" si="150"/>
        <v>2.221031142068965</v>
      </c>
      <c r="Z149" s="20">
        <f t="shared" si="151"/>
        <v>1.3378054457378419</v>
      </c>
      <c r="AA149" s="20">
        <f t="shared" si="151"/>
        <v>3.5152378373828849E-3</v>
      </c>
      <c r="AB149" s="20">
        <f t="shared" si="151"/>
        <v>1.2677556915102315</v>
      </c>
      <c r="AC149" s="20">
        <f t="shared" si="151"/>
        <v>1.4102098818874234</v>
      </c>
      <c r="AD149" s="20">
        <f t="shared" si="152"/>
        <v>4.0192862569728796</v>
      </c>
      <c r="AE149" s="20">
        <f t="shared" si="153"/>
        <v>45.079631121219322</v>
      </c>
      <c r="AF149" s="20">
        <f t="shared" si="153"/>
        <v>0.11669733629314424</v>
      </c>
      <c r="AG149" s="20">
        <f t="shared" si="153"/>
        <v>41.857972793473039</v>
      </c>
      <c r="AH149" s="20">
        <f t="shared" si="153"/>
        <v>49.137857125419586</v>
      </c>
      <c r="AI149" s="20">
        <f t="shared" si="154"/>
        <v>29.597465613669069</v>
      </c>
      <c r="AJ149" s="20">
        <f t="shared" si="154"/>
        <v>7.7770748614665597E-2</v>
      </c>
      <c r="AK149" s="20">
        <f t="shared" si="154"/>
        <v>28.04769229004938</v>
      </c>
      <c r="AL149" s="20">
        <f t="shared" si="154"/>
        <v>31.199333670075742</v>
      </c>
      <c r="AM149" s="20">
        <f t="shared" si="155"/>
        <v>88.922262322408855</v>
      </c>
      <c r="AO149">
        <f t="shared" si="156"/>
        <v>1.846375794714294</v>
      </c>
      <c r="AP149">
        <f t="shared" si="156"/>
        <v>4.1476510050801182E-3</v>
      </c>
      <c r="AQ149">
        <f t="shared" si="156"/>
        <v>1.5022690234893314</v>
      </c>
      <c r="AR149">
        <f t="shared" si="156"/>
        <v>1.5810333377998762</v>
      </c>
      <c r="AS149">
        <f t="shared" si="157"/>
        <v>4.9338258070085814</v>
      </c>
      <c r="AU149">
        <f t="shared" si="158"/>
        <v>40.849022006953412</v>
      </c>
      <c r="AV149">
        <f t="shared" si="158"/>
        <v>9.1762190377878722E-2</v>
      </c>
      <c r="AW149">
        <f t="shared" si="158"/>
        <v>33.236040342684333</v>
      </c>
      <c r="AX149">
        <f t="shared" si="158"/>
        <v>34.978613668138863</v>
      </c>
      <c r="AY149">
        <f t="shared" si="159"/>
        <v>109.15543820815448</v>
      </c>
    </row>
    <row r="150" spans="1:51" ht="15" x14ac:dyDescent="0.25">
      <c r="A150" s="1"/>
      <c r="B150" s="2"/>
      <c r="C150" s="1" t="s">
        <v>11</v>
      </c>
      <c r="D150" s="285">
        <v>0</v>
      </c>
      <c r="E150" s="286">
        <v>66.577786029999999</v>
      </c>
      <c r="F150" s="286">
        <v>0</v>
      </c>
      <c r="G150" s="286">
        <v>6.3816839099999996</v>
      </c>
      <c r="H150" s="287">
        <v>12.503161629999999</v>
      </c>
      <c r="J150">
        <v>0</v>
      </c>
      <c r="K150">
        <v>5.5479843179559936</v>
      </c>
      <c r="L150">
        <v>0</v>
      </c>
      <c r="M150">
        <v>-1.6756596079230004</v>
      </c>
      <c r="N150">
        <v>-1.0813139623608574</v>
      </c>
      <c r="O150" s="20"/>
      <c r="P150" s="20"/>
      <c r="Q150" s="147">
        <v>0.68668080125950159</v>
      </c>
      <c r="R150" s="197">
        <v>5.6499999999999995E-2</v>
      </c>
      <c r="S150" s="197">
        <v>1.25</v>
      </c>
      <c r="T150" s="197">
        <v>0.50650413159351704</v>
      </c>
      <c r="U150" s="197">
        <v>0.77519673403474398</v>
      </c>
      <c r="V150" s="20">
        <f t="shared" si="150"/>
        <v>25.830493413297688</v>
      </c>
      <c r="W150" s="20">
        <f t="shared" si="150"/>
        <v>0</v>
      </c>
      <c r="X150" s="20">
        <f t="shared" si="150"/>
        <v>2.4759315986975725</v>
      </c>
      <c r="Y150" s="20">
        <f t="shared" si="150"/>
        <v>4.8509097911964814</v>
      </c>
      <c r="Z150" s="20">
        <f t="shared" si="151"/>
        <v>16.95925901719102</v>
      </c>
      <c r="AA150" s="20">
        <f t="shared" si="151"/>
        <v>0</v>
      </c>
      <c r="AB150" s="20">
        <f t="shared" si="151"/>
        <v>1.6590427815058459</v>
      </c>
      <c r="AC150" s="20">
        <f t="shared" si="151"/>
        <v>3.0800112587873487</v>
      </c>
      <c r="AD150" s="20">
        <f t="shared" si="152"/>
        <v>21.698313057484214</v>
      </c>
      <c r="AE150" s="20">
        <f t="shared" si="153"/>
        <v>571.47109321455071</v>
      </c>
      <c r="AF150" s="20">
        <f t="shared" si="153"/>
        <v>0</v>
      </c>
      <c r="AG150" s="20">
        <f t="shared" si="153"/>
        <v>54.777247758795859</v>
      </c>
      <c r="AH150" s="20">
        <f t="shared" si="153"/>
        <v>107.32101307956817</v>
      </c>
      <c r="AI150" s="20">
        <f t="shared" si="154"/>
        <v>375.20484551307567</v>
      </c>
      <c r="AJ150" s="20">
        <f t="shared" si="154"/>
        <v>0</v>
      </c>
      <c r="AK150" s="20">
        <f t="shared" si="154"/>
        <v>36.704486316501026</v>
      </c>
      <c r="AL150" s="20">
        <f t="shared" si="154"/>
        <v>68.141842008569668</v>
      </c>
      <c r="AM150" s="20">
        <f t="shared" si="155"/>
        <v>480.05117383814633</v>
      </c>
      <c r="AO150">
        <f t="shared" si="156"/>
        <v>23.40636708079883</v>
      </c>
      <c r="AP150">
        <f t="shared" si="156"/>
        <v>0</v>
      </c>
      <c r="AQ150">
        <f t="shared" si="156"/>
        <v>1.9659375982219338</v>
      </c>
      <c r="AR150">
        <f t="shared" si="156"/>
        <v>3.4531033596391287</v>
      </c>
      <c r="AS150">
        <f t="shared" si="157"/>
        <v>28.825408038659894</v>
      </c>
      <c r="AU150">
        <f t="shared" si="158"/>
        <v>517.83997966369088</v>
      </c>
      <c r="AV150">
        <f t="shared" si="158"/>
        <v>0</v>
      </c>
      <c r="AW150">
        <f t="shared" si="158"/>
        <v>43.494194650927753</v>
      </c>
      <c r="AX150">
        <f t="shared" si="158"/>
        <v>76.396092027414355</v>
      </c>
      <c r="AY150">
        <f t="shared" si="159"/>
        <v>637.73026634203302</v>
      </c>
    </row>
    <row r="151" spans="1:51" ht="15" x14ac:dyDescent="0.25">
      <c r="A151" s="1"/>
      <c r="B151" s="2"/>
      <c r="C151" s="1" t="s">
        <v>12</v>
      </c>
      <c r="D151" s="285">
        <v>0</v>
      </c>
      <c r="E151" s="286">
        <v>4.1764414299999997</v>
      </c>
      <c r="F151" s="286">
        <v>4.6641048300000003</v>
      </c>
      <c r="G151" s="286">
        <v>1.17776418</v>
      </c>
      <c r="H151" s="287">
        <v>14.44994544</v>
      </c>
      <c r="J151">
        <v>0</v>
      </c>
      <c r="K151">
        <v>3.3621401326199996</v>
      </c>
      <c r="L151">
        <v>-5.8425427582538996</v>
      </c>
      <c r="M151">
        <v>-0.17859052863429992</v>
      </c>
      <c r="N151">
        <v>-0.16637524561381589</v>
      </c>
      <c r="O151" s="20"/>
      <c r="P151" s="20"/>
      <c r="Q151" s="147">
        <v>0.68668080125950159</v>
      </c>
      <c r="R151" s="197">
        <v>5.6499999999999995E-2</v>
      </c>
      <c r="S151" s="197">
        <v>1.25</v>
      </c>
      <c r="T151" s="197">
        <v>0.50650413159351704</v>
      </c>
      <c r="U151" s="197">
        <v>0.77519673403474398</v>
      </c>
      <c r="V151" s="20">
        <f t="shared" si="150"/>
        <v>1.6203534133746647</v>
      </c>
      <c r="W151" s="20">
        <f t="shared" si="150"/>
        <v>1.8095544516298321</v>
      </c>
      <c r="X151" s="20">
        <f t="shared" si="150"/>
        <v>0.456942648711684</v>
      </c>
      <c r="Y151" s="20">
        <f t="shared" si="150"/>
        <v>5.6062125637858342</v>
      </c>
      <c r="Z151" s="20">
        <f t="shared" si="151"/>
        <v>1.0638586262027681</v>
      </c>
      <c r="AA151" s="20">
        <f t="shared" si="151"/>
        <v>1.2059435873389373</v>
      </c>
      <c r="AB151" s="20">
        <f t="shared" si="151"/>
        <v>0.30618269232722811</v>
      </c>
      <c r="AC151" s="20">
        <f t="shared" si="151"/>
        <v>3.5595792457225817</v>
      </c>
      <c r="AD151" s="20">
        <f t="shared" si="152"/>
        <v>6.1355641515915149</v>
      </c>
      <c r="AE151" s="20">
        <f t="shared" si="153"/>
        <v>35.848526844572234</v>
      </c>
      <c r="AF151" s="20">
        <f t="shared" si="153"/>
        <v>40.034390522783895</v>
      </c>
      <c r="AG151" s="20">
        <f t="shared" si="153"/>
        <v>10.109350635214248</v>
      </c>
      <c r="AH151" s="20">
        <f t="shared" si="153"/>
        <v>124.03125141119102</v>
      </c>
      <c r="AI151" s="20">
        <f t="shared" si="154"/>
        <v>23.53669526997275</v>
      </c>
      <c r="AJ151" s="20">
        <f t="shared" si="154"/>
        <v>26.680167861480911</v>
      </c>
      <c r="AK151" s="20">
        <f t="shared" si="154"/>
        <v>6.7739533700714194</v>
      </c>
      <c r="AL151" s="20">
        <f t="shared" si="154"/>
        <v>78.751753223950914</v>
      </c>
      <c r="AM151" s="20">
        <f t="shared" si="155"/>
        <v>135.74256972547599</v>
      </c>
      <c r="AO151">
        <f t="shared" si="156"/>
        <v>1.4682873527513778</v>
      </c>
      <c r="AP151">
        <f t="shared" si="156"/>
        <v>1.4229003451499487</v>
      </c>
      <c r="AQ151">
        <f t="shared" si="156"/>
        <v>0.36282130483974812</v>
      </c>
      <c r="AR151">
        <f t="shared" si="156"/>
        <v>3.9907630263487301</v>
      </c>
      <c r="AS151">
        <f t="shared" si="157"/>
        <v>7.2447720290898046</v>
      </c>
      <c r="AU151">
        <f t="shared" si="158"/>
        <v>32.484233467950844</v>
      </c>
      <c r="AV151">
        <f t="shared" si="158"/>
        <v>31.480096131636031</v>
      </c>
      <c r="AW151">
        <f t="shared" si="158"/>
        <v>8.027020018578499</v>
      </c>
      <c r="AX151">
        <f t="shared" si="158"/>
        <v>88.291217397095792</v>
      </c>
      <c r="AY151">
        <f t="shared" si="159"/>
        <v>160.28256701526118</v>
      </c>
    </row>
    <row r="152" spans="1:51" ht="15" x14ac:dyDescent="0.25">
      <c r="A152" s="1"/>
      <c r="B152" s="2"/>
      <c r="C152" s="1" t="s">
        <v>13</v>
      </c>
      <c r="D152" s="285">
        <v>0</v>
      </c>
      <c r="E152" s="286">
        <v>0</v>
      </c>
      <c r="F152" s="286">
        <v>0</v>
      </c>
      <c r="G152" s="286">
        <v>0</v>
      </c>
      <c r="H152" s="287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20"/>
      <c r="P152" s="20"/>
      <c r="Q152" s="147"/>
      <c r="R152" s="197">
        <v>5.6499999999999995E-2</v>
      </c>
      <c r="S152" s="197">
        <v>1.25</v>
      </c>
      <c r="T152" s="197">
        <v>0.50650413159351704</v>
      </c>
      <c r="U152" s="197">
        <v>0.77519673403474398</v>
      </c>
      <c r="V152" s="20">
        <f t="shared" si="150"/>
        <v>0</v>
      </c>
      <c r="W152" s="20">
        <f t="shared" si="150"/>
        <v>0</v>
      </c>
      <c r="X152" s="20">
        <f t="shared" si="150"/>
        <v>0</v>
      </c>
      <c r="Y152" s="20">
        <f t="shared" si="150"/>
        <v>0</v>
      </c>
      <c r="Z152" s="20">
        <f t="shared" si="151"/>
        <v>0</v>
      </c>
      <c r="AA152" s="20">
        <f t="shared" si="151"/>
        <v>0</v>
      </c>
      <c r="AB152" s="20">
        <f t="shared" si="151"/>
        <v>0</v>
      </c>
      <c r="AC152" s="20">
        <f t="shared" si="151"/>
        <v>0</v>
      </c>
      <c r="AD152" s="20">
        <f t="shared" si="152"/>
        <v>0</v>
      </c>
      <c r="AE152" s="20">
        <f t="shared" si="153"/>
        <v>0</v>
      </c>
      <c r="AF152" s="20">
        <f t="shared" si="153"/>
        <v>0</v>
      </c>
      <c r="AG152" s="20">
        <f t="shared" si="153"/>
        <v>0</v>
      </c>
      <c r="AH152" s="20">
        <f t="shared" si="153"/>
        <v>0</v>
      </c>
      <c r="AI152" s="20">
        <f t="shared" si="154"/>
        <v>0</v>
      </c>
      <c r="AJ152" s="20">
        <f t="shared" si="154"/>
        <v>0</v>
      </c>
      <c r="AK152" s="20">
        <f t="shared" si="154"/>
        <v>0</v>
      </c>
      <c r="AL152" s="20">
        <f t="shared" si="154"/>
        <v>0</v>
      </c>
      <c r="AM152" s="20">
        <f t="shared" si="155"/>
        <v>0</v>
      </c>
      <c r="AO152">
        <f t="shared" si="156"/>
        <v>0</v>
      </c>
      <c r="AP152">
        <f t="shared" si="156"/>
        <v>0</v>
      </c>
      <c r="AQ152">
        <f t="shared" si="156"/>
        <v>0</v>
      </c>
      <c r="AR152">
        <f t="shared" si="156"/>
        <v>0</v>
      </c>
      <c r="AS152">
        <f t="shared" si="157"/>
        <v>0</v>
      </c>
      <c r="AU152">
        <f t="shared" si="158"/>
        <v>0</v>
      </c>
      <c r="AV152">
        <f t="shared" si="158"/>
        <v>0</v>
      </c>
      <c r="AW152">
        <f t="shared" si="158"/>
        <v>0</v>
      </c>
      <c r="AX152">
        <f t="shared" si="158"/>
        <v>0</v>
      </c>
      <c r="AY152">
        <f t="shared" si="159"/>
        <v>0</v>
      </c>
    </row>
    <row r="153" spans="1:51" ht="15" x14ac:dyDescent="0.25">
      <c r="A153" s="7"/>
      <c r="B153" s="8" t="s">
        <v>14</v>
      </c>
      <c r="C153" s="7"/>
      <c r="D153" s="288">
        <f>SUM(D147:D152)</f>
        <v>2.2000000000000001E-7</v>
      </c>
      <c r="E153" s="289">
        <f>SUM(E147:E152)</f>
        <v>123.41813724999999</v>
      </c>
      <c r="F153" s="289">
        <f>SUM(F147:F152)</f>
        <v>24.60055221</v>
      </c>
      <c r="G153" s="289">
        <f>SUM(G147:G152)</f>
        <v>23.328708449999997</v>
      </c>
      <c r="H153" s="290">
        <f>SUM(H147:H152)</f>
        <v>164.87002586999998</v>
      </c>
      <c r="J153">
        <v>2.2000000000000001E-7</v>
      </c>
      <c r="K153">
        <v>15.250074724433194</v>
      </c>
      <c r="L153">
        <v>-13.182406201005231</v>
      </c>
      <c r="M153">
        <v>1.0665637670300978</v>
      </c>
      <c r="N153">
        <v>-11.755581973017666</v>
      </c>
      <c r="O153" s="20"/>
      <c r="P153" s="20"/>
      <c r="Q153" s="147"/>
      <c r="R153" s="197"/>
      <c r="S153" s="197"/>
      <c r="T153" s="197"/>
      <c r="U153" s="197"/>
    </row>
    <row r="154" spans="1:51" ht="15" x14ac:dyDescent="0.25">
      <c r="A154" s="10"/>
      <c r="B154" s="9" t="s">
        <v>15</v>
      </c>
      <c r="C154" s="5"/>
      <c r="D154" s="291"/>
      <c r="E154" s="292"/>
      <c r="F154" s="292"/>
      <c r="G154" s="292"/>
      <c r="H154" s="293">
        <f>SUM(D153:H153)</f>
        <v>336.21742399999994</v>
      </c>
      <c r="N154">
        <v>-8.6213494625596034</v>
      </c>
      <c r="O154" s="20"/>
      <c r="P154" s="20"/>
      <c r="Q154" s="147"/>
      <c r="R154" s="197"/>
      <c r="S154" s="197"/>
      <c r="T154" s="197"/>
      <c r="U154" s="197"/>
    </row>
    <row r="155" spans="1:51" ht="15.75" thickBot="1" x14ac:dyDescent="0.3">
      <c r="A155" s="1"/>
      <c r="B155" s="2"/>
      <c r="C155" s="1"/>
      <c r="D155" s="297"/>
      <c r="E155" s="298"/>
      <c r="F155" s="298"/>
      <c r="G155" s="298"/>
      <c r="H155" s="299"/>
      <c r="O155" s="20"/>
      <c r="P155" s="20"/>
      <c r="Q155" s="147"/>
      <c r="R155" s="197"/>
      <c r="S155" s="197"/>
      <c r="T155" s="197"/>
      <c r="U155" s="197"/>
    </row>
    <row r="156" spans="1:51" ht="15" x14ac:dyDescent="0.25">
      <c r="A156" s="1">
        <v>17</v>
      </c>
      <c r="B156" s="2" t="s">
        <v>31</v>
      </c>
      <c r="C156" s="1" t="s">
        <v>8</v>
      </c>
      <c r="D156" s="282">
        <v>0</v>
      </c>
      <c r="E156" s="283">
        <v>0</v>
      </c>
      <c r="F156" s="283">
        <v>0</v>
      </c>
      <c r="G156" s="283">
        <v>0</v>
      </c>
      <c r="H156" s="284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 s="20"/>
      <c r="P156" s="20"/>
      <c r="Q156" s="147"/>
      <c r="R156" s="197"/>
      <c r="S156" s="197"/>
      <c r="T156" s="197"/>
      <c r="U156" s="197"/>
      <c r="V156" s="20">
        <f t="shared" ref="V156:Y161" si="160">IF(K156&gt;0,((E156-K156)*$Q156*$R156*10)+(K156*$O$12*$Q156*$R156*10),(E156*$Q156*$R156*10))</f>
        <v>0</v>
      </c>
      <c r="W156" s="20">
        <f t="shared" si="160"/>
        <v>0</v>
      </c>
      <c r="X156" s="20">
        <f t="shared" si="160"/>
        <v>0</v>
      </c>
      <c r="Y156" s="20">
        <f t="shared" si="160"/>
        <v>0</v>
      </c>
      <c r="Z156" s="20">
        <f t="shared" ref="Z156:AC161" si="161">V156*(EXP(1.01-0.34*LN(Z$8))*(1-$T156)+(1*$T156))</f>
        <v>0</v>
      </c>
      <c r="AA156" s="20">
        <f t="shared" si="161"/>
        <v>0</v>
      </c>
      <c r="AB156" s="20">
        <f t="shared" si="161"/>
        <v>0</v>
      </c>
      <c r="AC156" s="20">
        <f t="shared" si="161"/>
        <v>0</v>
      </c>
      <c r="AD156" s="20">
        <f t="shared" ref="AD156:AD161" si="162">SUM(Z156:AC156)</f>
        <v>0</v>
      </c>
      <c r="AE156" s="20">
        <f t="shared" ref="AE156:AH161" si="163">IF(K156&gt;0,((E156-K156)*$Q156*$S156*10)+(K156*$P$12*$Q156*$S156)*10,(E156*$Q156*$S156*10))</f>
        <v>0</v>
      </c>
      <c r="AF156" s="20">
        <f t="shared" si="163"/>
        <v>0</v>
      </c>
      <c r="AG156" s="20">
        <f t="shared" si="163"/>
        <v>0</v>
      </c>
      <c r="AH156" s="20">
        <f t="shared" si="163"/>
        <v>0</v>
      </c>
      <c r="AI156" s="20">
        <f t="shared" ref="AI156:AL161" si="164">AE156*(EXP(1.01-0.34*LN(AI$8))*(1-$T156)+(1*$T156))</f>
        <v>0</v>
      </c>
      <c r="AJ156" s="20">
        <f t="shared" si="164"/>
        <v>0</v>
      </c>
      <c r="AK156" s="20">
        <f t="shared" si="164"/>
        <v>0</v>
      </c>
      <c r="AL156" s="20">
        <f t="shared" si="164"/>
        <v>0</v>
      </c>
      <c r="AM156" s="20">
        <f t="shared" ref="AM156:AM161" si="165">SUM(AI156:AL156)</f>
        <v>0</v>
      </c>
      <c r="AO156">
        <f t="shared" ref="AO156:AR161" si="166">Z156*AO$10</f>
        <v>0</v>
      </c>
      <c r="AP156">
        <f t="shared" si="166"/>
        <v>0</v>
      </c>
      <c r="AQ156">
        <f t="shared" si="166"/>
        <v>0</v>
      </c>
      <c r="AR156">
        <f t="shared" si="166"/>
        <v>0</v>
      </c>
      <c r="AS156">
        <f t="shared" ref="AS156:AS161" si="167">SUM(AO156:AR156)</f>
        <v>0</v>
      </c>
      <c r="AU156">
        <f t="shared" ref="AU156:AX161" si="168">AI156*AU$10</f>
        <v>0</v>
      </c>
      <c r="AV156">
        <f t="shared" si="168"/>
        <v>0</v>
      </c>
      <c r="AW156">
        <f t="shared" si="168"/>
        <v>0</v>
      </c>
      <c r="AX156">
        <f t="shared" si="168"/>
        <v>0</v>
      </c>
      <c r="AY156">
        <f t="shared" ref="AY156:AY161" si="169">SUM(AU156:AX156)</f>
        <v>0</v>
      </c>
    </row>
    <row r="157" spans="1:51" ht="15" x14ac:dyDescent="0.25">
      <c r="A157" s="1"/>
      <c r="B157" s="2"/>
      <c r="C157" s="1" t="s">
        <v>9</v>
      </c>
      <c r="D157" s="285">
        <v>0</v>
      </c>
      <c r="E157" s="286">
        <v>0</v>
      </c>
      <c r="F157" s="286">
        <v>0</v>
      </c>
      <c r="G157" s="286">
        <v>0</v>
      </c>
      <c r="H157" s="28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 s="20"/>
      <c r="P157" s="20"/>
      <c r="Q157" s="147"/>
      <c r="R157" s="197"/>
      <c r="S157" s="197"/>
      <c r="T157" s="197"/>
      <c r="U157" s="197"/>
      <c r="V157" s="20">
        <f t="shared" si="160"/>
        <v>0</v>
      </c>
      <c r="W157" s="20">
        <f t="shared" si="160"/>
        <v>0</v>
      </c>
      <c r="X157" s="20">
        <f t="shared" si="160"/>
        <v>0</v>
      </c>
      <c r="Y157" s="20">
        <f t="shared" si="160"/>
        <v>0</v>
      </c>
      <c r="Z157" s="20">
        <f t="shared" si="161"/>
        <v>0</v>
      </c>
      <c r="AA157" s="20">
        <f t="shared" si="161"/>
        <v>0</v>
      </c>
      <c r="AB157" s="20">
        <f t="shared" si="161"/>
        <v>0</v>
      </c>
      <c r="AC157" s="20">
        <f t="shared" si="161"/>
        <v>0</v>
      </c>
      <c r="AD157" s="20">
        <f t="shared" si="162"/>
        <v>0</v>
      </c>
      <c r="AE157" s="20">
        <f t="shared" si="163"/>
        <v>0</v>
      </c>
      <c r="AF157" s="20">
        <f t="shared" si="163"/>
        <v>0</v>
      </c>
      <c r="AG157" s="20">
        <f t="shared" si="163"/>
        <v>0</v>
      </c>
      <c r="AH157" s="20">
        <f t="shared" si="163"/>
        <v>0</v>
      </c>
      <c r="AI157" s="20">
        <f t="shared" si="164"/>
        <v>0</v>
      </c>
      <c r="AJ157" s="20">
        <f t="shared" si="164"/>
        <v>0</v>
      </c>
      <c r="AK157" s="20">
        <f t="shared" si="164"/>
        <v>0</v>
      </c>
      <c r="AL157" s="20">
        <f t="shared" si="164"/>
        <v>0</v>
      </c>
      <c r="AM157" s="20">
        <f t="shared" si="165"/>
        <v>0</v>
      </c>
      <c r="AO157">
        <f t="shared" si="166"/>
        <v>0</v>
      </c>
      <c r="AP157">
        <f t="shared" si="166"/>
        <v>0</v>
      </c>
      <c r="AQ157">
        <f t="shared" si="166"/>
        <v>0</v>
      </c>
      <c r="AR157">
        <f t="shared" si="166"/>
        <v>0</v>
      </c>
      <c r="AS157">
        <f t="shared" si="167"/>
        <v>0</v>
      </c>
      <c r="AU157">
        <f t="shared" si="168"/>
        <v>0</v>
      </c>
      <c r="AV157">
        <f t="shared" si="168"/>
        <v>0</v>
      </c>
      <c r="AW157">
        <f t="shared" si="168"/>
        <v>0</v>
      </c>
      <c r="AX157">
        <f t="shared" si="168"/>
        <v>0</v>
      </c>
      <c r="AY157">
        <f t="shared" si="169"/>
        <v>0</v>
      </c>
    </row>
    <row r="158" spans="1:51" ht="15" x14ac:dyDescent="0.25">
      <c r="A158" s="1"/>
      <c r="B158" s="2"/>
      <c r="C158" s="1" t="s">
        <v>10</v>
      </c>
      <c r="D158" s="285">
        <v>0</v>
      </c>
      <c r="E158" s="286">
        <v>0</v>
      </c>
      <c r="F158" s="286">
        <v>0</v>
      </c>
      <c r="G158" s="286">
        <v>0</v>
      </c>
      <c r="H158" s="287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 s="20"/>
      <c r="P158" s="20"/>
      <c r="Q158" s="147"/>
      <c r="R158" s="197"/>
      <c r="S158" s="197"/>
      <c r="T158" s="197"/>
      <c r="U158" s="197"/>
      <c r="V158" s="20">
        <f t="shared" si="160"/>
        <v>0</v>
      </c>
      <c r="W158" s="20">
        <f t="shared" si="160"/>
        <v>0</v>
      </c>
      <c r="X158" s="20">
        <f t="shared" si="160"/>
        <v>0</v>
      </c>
      <c r="Y158" s="20">
        <f t="shared" si="160"/>
        <v>0</v>
      </c>
      <c r="Z158" s="20">
        <f t="shared" si="161"/>
        <v>0</v>
      </c>
      <c r="AA158" s="20">
        <f t="shared" si="161"/>
        <v>0</v>
      </c>
      <c r="AB158" s="20">
        <f t="shared" si="161"/>
        <v>0</v>
      </c>
      <c r="AC158" s="20">
        <f t="shared" si="161"/>
        <v>0</v>
      </c>
      <c r="AD158" s="20">
        <f t="shared" si="162"/>
        <v>0</v>
      </c>
      <c r="AE158" s="20">
        <f t="shared" si="163"/>
        <v>0</v>
      </c>
      <c r="AF158" s="20">
        <f t="shared" si="163"/>
        <v>0</v>
      </c>
      <c r="AG158" s="20">
        <f t="shared" si="163"/>
        <v>0</v>
      </c>
      <c r="AH158" s="20">
        <f t="shared" si="163"/>
        <v>0</v>
      </c>
      <c r="AI158" s="20">
        <f t="shared" si="164"/>
        <v>0</v>
      </c>
      <c r="AJ158" s="20">
        <f t="shared" si="164"/>
        <v>0</v>
      </c>
      <c r="AK158" s="20">
        <f t="shared" si="164"/>
        <v>0</v>
      </c>
      <c r="AL158" s="20">
        <f t="shared" si="164"/>
        <v>0</v>
      </c>
      <c r="AM158" s="20">
        <f t="shared" si="165"/>
        <v>0</v>
      </c>
      <c r="AO158">
        <f t="shared" si="166"/>
        <v>0</v>
      </c>
      <c r="AP158">
        <f t="shared" si="166"/>
        <v>0</v>
      </c>
      <c r="AQ158">
        <f t="shared" si="166"/>
        <v>0</v>
      </c>
      <c r="AR158">
        <f t="shared" si="166"/>
        <v>0</v>
      </c>
      <c r="AS158">
        <f t="shared" si="167"/>
        <v>0</v>
      </c>
      <c r="AU158">
        <f t="shared" si="168"/>
        <v>0</v>
      </c>
      <c r="AV158">
        <f t="shared" si="168"/>
        <v>0</v>
      </c>
      <c r="AW158">
        <f t="shared" si="168"/>
        <v>0</v>
      </c>
      <c r="AX158">
        <f t="shared" si="168"/>
        <v>0</v>
      </c>
      <c r="AY158">
        <f t="shared" si="169"/>
        <v>0</v>
      </c>
    </row>
    <row r="159" spans="1:51" ht="15" x14ac:dyDescent="0.25">
      <c r="A159" s="1"/>
      <c r="B159" s="2"/>
      <c r="C159" s="1" t="s">
        <v>11</v>
      </c>
      <c r="D159" s="285">
        <v>0</v>
      </c>
      <c r="E159" s="286">
        <v>0</v>
      </c>
      <c r="F159" s="286">
        <v>0</v>
      </c>
      <c r="G159" s="286">
        <v>0</v>
      </c>
      <c r="H159" s="287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 s="20"/>
      <c r="P159" s="20"/>
      <c r="Q159" s="147"/>
      <c r="R159" s="197"/>
      <c r="S159" s="197"/>
      <c r="T159" s="197"/>
      <c r="U159" s="197"/>
      <c r="V159" s="20">
        <f t="shared" si="160"/>
        <v>0</v>
      </c>
      <c r="W159" s="20">
        <f t="shared" si="160"/>
        <v>0</v>
      </c>
      <c r="X159" s="20">
        <f t="shared" si="160"/>
        <v>0</v>
      </c>
      <c r="Y159" s="20">
        <f t="shared" si="160"/>
        <v>0</v>
      </c>
      <c r="Z159" s="20">
        <f t="shared" si="161"/>
        <v>0</v>
      </c>
      <c r="AA159" s="20">
        <f t="shared" si="161"/>
        <v>0</v>
      </c>
      <c r="AB159" s="20">
        <f t="shared" si="161"/>
        <v>0</v>
      </c>
      <c r="AC159" s="20">
        <f t="shared" si="161"/>
        <v>0</v>
      </c>
      <c r="AD159" s="20">
        <f t="shared" si="162"/>
        <v>0</v>
      </c>
      <c r="AE159" s="20">
        <f t="shared" si="163"/>
        <v>0</v>
      </c>
      <c r="AF159" s="20">
        <f t="shared" si="163"/>
        <v>0</v>
      </c>
      <c r="AG159" s="20">
        <f t="shared" si="163"/>
        <v>0</v>
      </c>
      <c r="AH159" s="20">
        <f t="shared" si="163"/>
        <v>0</v>
      </c>
      <c r="AI159" s="20">
        <f t="shared" si="164"/>
        <v>0</v>
      </c>
      <c r="AJ159" s="20">
        <f t="shared" si="164"/>
        <v>0</v>
      </c>
      <c r="AK159" s="20">
        <f t="shared" si="164"/>
        <v>0</v>
      </c>
      <c r="AL159" s="20">
        <f t="shared" si="164"/>
        <v>0</v>
      </c>
      <c r="AM159" s="20">
        <f t="shared" si="165"/>
        <v>0</v>
      </c>
      <c r="AO159">
        <f t="shared" si="166"/>
        <v>0</v>
      </c>
      <c r="AP159">
        <f t="shared" si="166"/>
        <v>0</v>
      </c>
      <c r="AQ159">
        <f t="shared" si="166"/>
        <v>0</v>
      </c>
      <c r="AR159">
        <f t="shared" si="166"/>
        <v>0</v>
      </c>
      <c r="AS159">
        <f t="shared" si="167"/>
        <v>0</v>
      </c>
      <c r="AU159">
        <f t="shared" si="168"/>
        <v>0</v>
      </c>
      <c r="AV159">
        <f t="shared" si="168"/>
        <v>0</v>
      </c>
      <c r="AW159">
        <f t="shared" si="168"/>
        <v>0</v>
      </c>
      <c r="AX159">
        <f t="shared" si="168"/>
        <v>0</v>
      </c>
      <c r="AY159">
        <f t="shared" si="169"/>
        <v>0</v>
      </c>
    </row>
    <row r="160" spans="1:51" ht="15" x14ac:dyDescent="0.25">
      <c r="A160" s="1"/>
      <c r="B160" s="2"/>
      <c r="C160" s="1" t="s">
        <v>12</v>
      </c>
      <c r="D160" s="285">
        <v>0</v>
      </c>
      <c r="E160" s="286">
        <v>0</v>
      </c>
      <c r="F160" s="286">
        <v>0</v>
      </c>
      <c r="G160" s="286">
        <v>0</v>
      </c>
      <c r="H160" s="287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 s="20"/>
      <c r="P160" s="20"/>
      <c r="Q160" s="147"/>
      <c r="R160" s="197"/>
      <c r="S160" s="197"/>
      <c r="T160" s="197"/>
      <c r="U160" s="197"/>
      <c r="V160" s="20">
        <f t="shared" si="160"/>
        <v>0</v>
      </c>
      <c r="W160" s="20">
        <f t="shared" si="160"/>
        <v>0</v>
      </c>
      <c r="X160" s="20">
        <f t="shared" si="160"/>
        <v>0</v>
      </c>
      <c r="Y160" s="20">
        <f t="shared" si="160"/>
        <v>0</v>
      </c>
      <c r="Z160" s="20">
        <f t="shared" si="161"/>
        <v>0</v>
      </c>
      <c r="AA160" s="20">
        <f t="shared" si="161"/>
        <v>0</v>
      </c>
      <c r="AB160" s="20">
        <f t="shared" si="161"/>
        <v>0</v>
      </c>
      <c r="AC160" s="20">
        <f t="shared" si="161"/>
        <v>0</v>
      </c>
      <c r="AD160" s="20">
        <f t="shared" si="162"/>
        <v>0</v>
      </c>
      <c r="AE160" s="20">
        <f t="shared" si="163"/>
        <v>0</v>
      </c>
      <c r="AF160" s="20">
        <f t="shared" si="163"/>
        <v>0</v>
      </c>
      <c r="AG160" s="20">
        <f t="shared" si="163"/>
        <v>0</v>
      </c>
      <c r="AH160" s="20">
        <f t="shared" si="163"/>
        <v>0</v>
      </c>
      <c r="AI160" s="20">
        <f t="shared" si="164"/>
        <v>0</v>
      </c>
      <c r="AJ160" s="20">
        <f t="shared" si="164"/>
        <v>0</v>
      </c>
      <c r="AK160" s="20">
        <f t="shared" si="164"/>
        <v>0</v>
      </c>
      <c r="AL160" s="20">
        <f t="shared" si="164"/>
        <v>0</v>
      </c>
      <c r="AM160" s="20">
        <f t="shared" si="165"/>
        <v>0</v>
      </c>
      <c r="AO160">
        <f t="shared" si="166"/>
        <v>0</v>
      </c>
      <c r="AP160">
        <f t="shared" si="166"/>
        <v>0</v>
      </c>
      <c r="AQ160">
        <f t="shared" si="166"/>
        <v>0</v>
      </c>
      <c r="AR160">
        <f t="shared" si="166"/>
        <v>0</v>
      </c>
      <c r="AS160">
        <f t="shared" si="167"/>
        <v>0</v>
      </c>
      <c r="AU160">
        <f t="shared" si="168"/>
        <v>0</v>
      </c>
      <c r="AV160">
        <f t="shared" si="168"/>
        <v>0</v>
      </c>
      <c r="AW160">
        <f t="shared" si="168"/>
        <v>0</v>
      </c>
      <c r="AX160">
        <f t="shared" si="168"/>
        <v>0</v>
      </c>
      <c r="AY160">
        <f t="shared" si="169"/>
        <v>0</v>
      </c>
    </row>
    <row r="161" spans="1:51" ht="15" x14ac:dyDescent="0.25">
      <c r="A161" s="1"/>
      <c r="B161" s="2"/>
      <c r="C161" s="1" t="s">
        <v>13</v>
      </c>
      <c r="D161" s="285">
        <v>0</v>
      </c>
      <c r="E161" s="285">
        <v>0</v>
      </c>
      <c r="F161" s="285">
        <v>0</v>
      </c>
      <c r="G161" s="285">
        <v>0</v>
      </c>
      <c r="H161" s="285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 s="20"/>
      <c r="P161" s="20"/>
      <c r="Q161" s="147"/>
      <c r="R161" s="197"/>
      <c r="S161" s="197"/>
      <c r="T161" s="197"/>
      <c r="U161" s="197"/>
      <c r="V161" s="20">
        <f t="shared" si="160"/>
        <v>0</v>
      </c>
      <c r="W161" s="20">
        <f t="shared" si="160"/>
        <v>0</v>
      </c>
      <c r="X161" s="20">
        <f t="shared" si="160"/>
        <v>0</v>
      </c>
      <c r="Y161" s="20">
        <f t="shared" si="160"/>
        <v>0</v>
      </c>
      <c r="Z161" s="20">
        <f t="shared" si="161"/>
        <v>0</v>
      </c>
      <c r="AA161" s="20">
        <f t="shared" si="161"/>
        <v>0</v>
      </c>
      <c r="AB161" s="20">
        <f t="shared" si="161"/>
        <v>0</v>
      </c>
      <c r="AC161" s="20">
        <f t="shared" si="161"/>
        <v>0</v>
      </c>
      <c r="AD161" s="20">
        <f t="shared" si="162"/>
        <v>0</v>
      </c>
      <c r="AE161" s="20">
        <f t="shared" si="163"/>
        <v>0</v>
      </c>
      <c r="AF161" s="20">
        <f t="shared" si="163"/>
        <v>0</v>
      </c>
      <c r="AG161" s="20">
        <f t="shared" si="163"/>
        <v>0</v>
      </c>
      <c r="AH161" s="20">
        <f t="shared" si="163"/>
        <v>0</v>
      </c>
      <c r="AI161" s="20">
        <f t="shared" si="164"/>
        <v>0</v>
      </c>
      <c r="AJ161" s="20">
        <f t="shared" si="164"/>
        <v>0</v>
      </c>
      <c r="AK161" s="20">
        <f t="shared" si="164"/>
        <v>0</v>
      </c>
      <c r="AL161" s="20">
        <f t="shared" si="164"/>
        <v>0</v>
      </c>
      <c r="AM161" s="20">
        <f t="shared" si="165"/>
        <v>0</v>
      </c>
      <c r="AO161">
        <f t="shared" si="166"/>
        <v>0</v>
      </c>
      <c r="AP161">
        <f t="shared" si="166"/>
        <v>0</v>
      </c>
      <c r="AQ161">
        <f t="shared" si="166"/>
        <v>0</v>
      </c>
      <c r="AR161">
        <f t="shared" si="166"/>
        <v>0</v>
      </c>
      <c r="AS161">
        <f t="shared" si="167"/>
        <v>0</v>
      </c>
      <c r="AU161">
        <f t="shared" si="168"/>
        <v>0</v>
      </c>
      <c r="AV161">
        <f t="shared" si="168"/>
        <v>0</v>
      </c>
      <c r="AW161">
        <f t="shared" si="168"/>
        <v>0</v>
      </c>
      <c r="AX161">
        <f t="shared" si="168"/>
        <v>0</v>
      </c>
      <c r="AY161">
        <f t="shared" si="169"/>
        <v>0</v>
      </c>
    </row>
    <row r="162" spans="1:51" ht="15" x14ac:dyDescent="0.25">
      <c r="A162" s="7"/>
      <c r="B162" s="8" t="s">
        <v>14</v>
      </c>
      <c r="C162" s="7"/>
      <c r="D162" s="288">
        <f>SUM(D156:D161)</f>
        <v>0</v>
      </c>
      <c r="E162" s="289">
        <f>SUM(E156:E160)</f>
        <v>0</v>
      </c>
      <c r="F162" s="289">
        <f>SUM(F156:F160)</f>
        <v>0</v>
      </c>
      <c r="G162" s="289">
        <f>SUM(G156:G160)</f>
        <v>0</v>
      </c>
      <c r="H162" s="290">
        <f>SUM(H156:H160)</f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 s="20"/>
      <c r="P162" s="20"/>
      <c r="Q162" s="147"/>
      <c r="R162" s="197"/>
      <c r="S162" s="197"/>
      <c r="T162" s="197"/>
      <c r="U162" s="197"/>
    </row>
    <row r="163" spans="1:51" ht="15" x14ac:dyDescent="0.25">
      <c r="A163" s="10"/>
      <c r="B163" s="9" t="s">
        <v>15</v>
      </c>
      <c r="C163" s="5"/>
      <c r="D163" s="291"/>
      <c r="E163" s="292"/>
      <c r="F163" s="292"/>
      <c r="G163" s="292"/>
      <c r="H163" s="293">
        <f>SUM(D162:H162)</f>
        <v>0</v>
      </c>
      <c r="N163">
        <v>0</v>
      </c>
      <c r="O163" s="20"/>
      <c r="P163" s="20"/>
      <c r="Q163" s="147"/>
      <c r="R163" s="197"/>
      <c r="S163" s="197"/>
      <c r="T163" s="197"/>
      <c r="U163" s="197"/>
    </row>
    <row r="164" spans="1:51" ht="15.75" thickBot="1" x14ac:dyDescent="0.3">
      <c r="A164" s="1"/>
      <c r="B164" s="2"/>
      <c r="C164" s="1"/>
      <c r="D164" s="294"/>
      <c r="E164" s="295"/>
      <c r="F164" s="295"/>
      <c r="G164" s="295"/>
      <c r="H164" s="296"/>
      <c r="O164" s="20"/>
      <c r="P164" s="20"/>
      <c r="Q164" s="147"/>
      <c r="R164" s="197"/>
      <c r="S164" s="197"/>
      <c r="T164" s="197"/>
      <c r="U164" s="197"/>
    </row>
    <row r="165" spans="1:51" ht="15" x14ac:dyDescent="0.25">
      <c r="A165" s="1">
        <v>18</v>
      </c>
      <c r="B165" s="2" t="s">
        <v>709</v>
      </c>
      <c r="C165" s="1" t="s">
        <v>8</v>
      </c>
      <c r="D165" s="285">
        <v>0</v>
      </c>
      <c r="E165" s="286">
        <v>0</v>
      </c>
      <c r="F165" s="286">
        <v>0</v>
      </c>
      <c r="G165" s="286">
        <v>0</v>
      </c>
      <c r="H165" s="287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 s="20"/>
      <c r="P165" s="20"/>
      <c r="Q165" s="147"/>
      <c r="R165" s="197">
        <v>0.66599999999999993</v>
      </c>
      <c r="S165" s="197">
        <v>4.5549999999999997</v>
      </c>
      <c r="T165" s="197">
        <v>0.60039794540960334</v>
      </c>
      <c r="U165" s="197">
        <v>0.90789473684210531</v>
      </c>
      <c r="V165" s="20">
        <f t="shared" ref="V165:Y170" si="170">IF(K165&gt;0,((E165-K165)*$Q165*$R165*10)+(K165*$O$12*$Q165*$R165*10),(E165*$Q165*$R165*10))</f>
        <v>0</v>
      </c>
      <c r="W165" s="20">
        <f t="shared" si="170"/>
        <v>0</v>
      </c>
      <c r="X165" s="20">
        <f t="shared" si="170"/>
        <v>0</v>
      </c>
      <c r="Y165" s="20">
        <f t="shared" si="170"/>
        <v>0</v>
      </c>
      <c r="Z165" s="20">
        <f t="shared" ref="Z165:AC170" si="171">V165*(EXP(1.01-0.34*LN(Z$8))*(1-$T165)+(1*$T165))</f>
        <v>0</v>
      </c>
      <c r="AA165" s="20">
        <f t="shared" si="171"/>
        <v>0</v>
      </c>
      <c r="AB165" s="20">
        <f t="shared" si="171"/>
        <v>0</v>
      </c>
      <c r="AC165" s="20">
        <f t="shared" si="171"/>
        <v>0</v>
      </c>
      <c r="AD165" s="20">
        <f t="shared" ref="AD165:AD170" si="172">SUM(Z165:AC165)</f>
        <v>0</v>
      </c>
      <c r="AE165" s="20">
        <f t="shared" ref="AE165:AH170" si="173">IF(K165&gt;0,((E165-K165)*$Q165*$S165*10)+(K165*$P$12*$Q165*$S165)*10,(E165*$Q165*$S165*10))</f>
        <v>0</v>
      </c>
      <c r="AF165" s="20">
        <f t="shared" si="173"/>
        <v>0</v>
      </c>
      <c r="AG165" s="20">
        <f t="shared" si="173"/>
        <v>0</v>
      </c>
      <c r="AH165" s="20">
        <f t="shared" si="173"/>
        <v>0</v>
      </c>
      <c r="AI165" s="20">
        <f t="shared" ref="AI165:AL170" si="174">AE165*(EXP(1.01-0.34*LN(AI$8))*(1-$T165)+(1*$T165))</f>
        <v>0</v>
      </c>
      <c r="AJ165" s="20">
        <f t="shared" si="174"/>
        <v>0</v>
      </c>
      <c r="AK165" s="20">
        <f t="shared" si="174"/>
        <v>0</v>
      </c>
      <c r="AL165" s="20">
        <f t="shared" si="174"/>
        <v>0</v>
      </c>
      <c r="AM165" s="20">
        <f t="shared" ref="AM165:AM170" si="175">SUM(AI165:AL165)</f>
        <v>0</v>
      </c>
      <c r="AO165">
        <f t="shared" ref="AO165:AR170" si="176">Z165*AO$10</f>
        <v>0</v>
      </c>
      <c r="AP165">
        <f t="shared" si="176"/>
        <v>0</v>
      </c>
      <c r="AQ165">
        <f t="shared" si="176"/>
        <v>0</v>
      </c>
      <c r="AR165">
        <f t="shared" si="176"/>
        <v>0</v>
      </c>
      <c r="AS165">
        <f t="shared" ref="AS165:AS170" si="177">SUM(AO165:AR165)</f>
        <v>0</v>
      </c>
      <c r="AU165">
        <f t="shared" ref="AU165:AX170" si="178">AI165*AU$10</f>
        <v>0</v>
      </c>
      <c r="AV165">
        <f t="shared" si="178"/>
        <v>0</v>
      </c>
      <c r="AW165">
        <f t="shared" si="178"/>
        <v>0</v>
      </c>
      <c r="AX165">
        <f t="shared" si="178"/>
        <v>0</v>
      </c>
      <c r="AY165">
        <f t="shared" ref="AY165:AY170" si="179">SUM(AU165:AX165)</f>
        <v>0</v>
      </c>
    </row>
    <row r="166" spans="1:51" ht="15" x14ac:dyDescent="0.25">
      <c r="A166" s="1"/>
      <c r="B166" s="2"/>
      <c r="C166" s="1" t="s">
        <v>9</v>
      </c>
      <c r="D166" s="285">
        <v>0</v>
      </c>
      <c r="E166" s="286">
        <v>0</v>
      </c>
      <c r="F166" s="286">
        <v>0</v>
      </c>
      <c r="G166" s="286">
        <v>0</v>
      </c>
      <c r="H166" s="287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 s="20"/>
      <c r="P166" s="20"/>
      <c r="Q166" s="147"/>
      <c r="R166" s="197">
        <v>0.66599999999999993</v>
      </c>
      <c r="S166" s="197">
        <v>4.5549999999999997</v>
      </c>
      <c r="T166" s="197">
        <v>0.60039794540960334</v>
      </c>
      <c r="U166" s="197">
        <v>0.90789473684210531</v>
      </c>
      <c r="V166" s="20">
        <f t="shared" si="170"/>
        <v>0</v>
      </c>
      <c r="W166" s="20">
        <f t="shared" si="170"/>
        <v>0</v>
      </c>
      <c r="X166" s="20">
        <f t="shared" si="170"/>
        <v>0</v>
      </c>
      <c r="Y166" s="20">
        <f t="shared" si="170"/>
        <v>0</v>
      </c>
      <c r="Z166" s="20">
        <f t="shared" si="171"/>
        <v>0</v>
      </c>
      <c r="AA166" s="20">
        <f t="shared" si="171"/>
        <v>0</v>
      </c>
      <c r="AB166" s="20">
        <f t="shared" si="171"/>
        <v>0</v>
      </c>
      <c r="AC166" s="20">
        <f t="shared" si="171"/>
        <v>0</v>
      </c>
      <c r="AD166" s="20">
        <f t="shared" si="172"/>
        <v>0</v>
      </c>
      <c r="AE166" s="20">
        <f t="shared" si="173"/>
        <v>0</v>
      </c>
      <c r="AF166" s="20">
        <f t="shared" si="173"/>
        <v>0</v>
      </c>
      <c r="AG166" s="20">
        <f t="shared" si="173"/>
        <v>0</v>
      </c>
      <c r="AH166" s="20">
        <f t="shared" si="173"/>
        <v>0</v>
      </c>
      <c r="AI166" s="20">
        <f t="shared" si="174"/>
        <v>0</v>
      </c>
      <c r="AJ166" s="20">
        <f t="shared" si="174"/>
        <v>0</v>
      </c>
      <c r="AK166" s="20">
        <f t="shared" si="174"/>
        <v>0</v>
      </c>
      <c r="AL166" s="20">
        <f t="shared" si="174"/>
        <v>0</v>
      </c>
      <c r="AM166" s="20">
        <f t="shared" si="175"/>
        <v>0</v>
      </c>
      <c r="AO166">
        <f t="shared" si="176"/>
        <v>0</v>
      </c>
      <c r="AP166">
        <f t="shared" si="176"/>
        <v>0</v>
      </c>
      <c r="AQ166">
        <f t="shared" si="176"/>
        <v>0</v>
      </c>
      <c r="AR166">
        <f t="shared" si="176"/>
        <v>0</v>
      </c>
      <c r="AS166">
        <f t="shared" si="177"/>
        <v>0</v>
      </c>
      <c r="AU166">
        <f t="shared" si="178"/>
        <v>0</v>
      </c>
      <c r="AV166">
        <f t="shared" si="178"/>
        <v>0</v>
      </c>
      <c r="AW166">
        <f t="shared" si="178"/>
        <v>0</v>
      </c>
      <c r="AX166">
        <f t="shared" si="178"/>
        <v>0</v>
      </c>
      <c r="AY166">
        <f t="shared" si="179"/>
        <v>0</v>
      </c>
    </row>
    <row r="167" spans="1:51" ht="15" x14ac:dyDescent="0.25">
      <c r="A167" s="1"/>
      <c r="B167" s="2"/>
      <c r="C167" s="1" t="s">
        <v>10</v>
      </c>
      <c r="D167" s="285">
        <v>0</v>
      </c>
      <c r="E167" s="286">
        <v>0</v>
      </c>
      <c r="F167" s="286">
        <v>0</v>
      </c>
      <c r="G167" s="286">
        <v>0</v>
      </c>
      <c r="H167" s="28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 s="20"/>
      <c r="P167" s="20"/>
      <c r="Q167" s="147"/>
      <c r="R167" s="197">
        <v>0.66599999999999993</v>
      </c>
      <c r="S167" s="197">
        <v>4.5549999999999997</v>
      </c>
      <c r="T167" s="197">
        <v>0.60039794540960334</v>
      </c>
      <c r="U167" s="197">
        <v>0.90789473684210531</v>
      </c>
      <c r="V167" s="20">
        <f t="shared" si="170"/>
        <v>0</v>
      </c>
      <c r="W167" s="20">
        <f t="shared" si="170"/>
        <v>0</v>
      </c>
      <c r="X167" s="20">
        <f t="shared" si="170"/>
        <v>0</v>
      </c>
      <c r="Y167" s="20">
        <f t="shared" si="170"/>
        <v>0</v>
      </c>
      <c r="Z167" s="20">
        <f t="shared" si="171"/>
        <v>0</v>
      </c>
      <c r="AA167" s="20">
        <f t="shared" si="171"/>
        <v>0</v>
      </c>
      <c r="AB167" s="20">
        <f t="shared" si="171"/>
        <v>0</v>
      </c>
      <c r="AC167" s="20">
        <f t="shared" si="171"/>
        <v>0</v>
      </c>
      <c r="AD167" s="20">
        <f t="shared" si="172"/>
        <v>0</v>
      </c>
      <c r="AE167" s="20">
        <f t="shared" si="173"/>
        <v>0</v>
      </c>
      <c r="AF167" s="20">
        <f t="shared" si="173"/>
        <v>0</v>
      </c>
      <c r="AG167" s="20">
        <f t="shared" si="173"/>
        <v>0</v>
      </c>
      <c r="AH167" s="20">
        <f t="shared" si="173"/>
        <v>0</v>
      </c>
      <c r="AI167" s="20">
        <f t="shared" si="174"/>
        <v>0</v>
      </c>
      <c r="AJ167" s="20">
        <f t="shared" si="174"/>
        <v>0</v>
      </c>
      <c r="AK167" s="20">
        <f t="shared" si="174"/>
        <v>0</v>
      </c>
      <c r="AL167" s="20">
        <f t="shared" si="174"/>
        <v>0</v>
      </c>
      <c r="AM167" s="20">
        <f t="shared" si="175"/>
        <v>0</v>
      </c>
      <c r="AO167">
        <f t="shared" si="176"/>
        <v>0</v>
      </c>
      <c r="AP167">
        <f t="shared" si="176"/>
        <v>0</v>
      </c>
      <c r="AQ167">
        <f t="shared" si="176"/>
        <v>0</v>
      </c>
      <c r="AR167">
        <f t="shared" si="176"/>
        <v>0</v>
      </c>
      <c r="AS167">
        <f t="shared" si="177"/>
        <v>0</v>
      </c>
      <c r="AU167">
        <f t="shared" si="178"/>
        <v>0</v>
      </c>
      <c r="AV167">
        <f t="shared" si="178"/>
        <v>0</v>
      </c>
      <c r="AW167">
        <f t="shared" si="178"/>
        <v>0</v>
      </c>
      <c r="AX167">
        <f t="shared" si="178"/>
        <v>0</v>
      </c>
      <c r="AY167">
        <f t="shared" si="179"/>
        <v>0</v>
      </c>
    </row>
    <row r="168" spans="1:51" ht="15" x14ac:dyDescent="0.25">
      <c r="A168" s="1"/>
      <c r="B168" s="2"/>
      <c r="C168" s="1" t="s">
        <v>11</v>
      </c>
      <c r="D168" s="285">
        <v>0</v>
      </c>
      <c r="E168" s="286">
        <v>0</v>
      </c>
      <c r="F168" s="286">
        <v>0</v>
      </c>
      <c r="G168" s="286">
        <v>0</v>
      </c>
      <c r="H168" s="287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 s="20"/>
      <c r="P168" s="20"/>
      <c r="Q168" s="147"/>
      <c r="R168" s="197">
        <v>0.66599999999999993</v>
      </c>
      <c r="S168" s="197">
        <v>4.5549999999999997</v>
      </c>
      <c r="T168" s="197">
        <v>0.60039794540960334</v>
      </c>
      <c r="U168" s="197">
        <v>0.90789473684210531</v>
      </c>
      <c r="V168" s="20">
        <f t="shared" si="170"/>
        <v>0</v>
      </c>
      <c r="W168" s="20">
        <f t="shared" si="170"/>
        <v>0</v>
      </c>
      <c r="X168" s="20">
        <f t="shared" si="170"/>
        <v>0</v>
      </c>
      <c r="Y168" s="20">
        <f t="shared" si="170"/>
        <v>0</v>
      </c>
      <c r="Z168" s="20">
        <f t="shared" si="171"/>
        <v>0</v>
      </c>
      <c r="AA168" s="20">
        <f t="shared" si="171"/>
        <v>0</v>
      </c>
      <c r="AB168" s="20">
        <f t="shared" si="171"/>
        <v>0</v>
      </c>
      <c r="AC168" s="20">
        <f t="shared" si="171"/>
        <v>0</v>
      </c>
      <c r="AD168" s="20">
        <f t="shared" si="172"/>
        <v>0</v>
      </c>
      <c r="AE168" s="20">
        <f t="shared" si="173"/>
        <v>0</v>
      </c>
      <c r="AF168" s="20">
        <f t="shared" si="173"/>
        <v>0</v>
      </c>
      <c r="AG168" s="20">
        <f t="shared" si="173"/>
        <v>0</v>
      </c>
      <c r="AH168" s="20">
        <f t="shared" si="173"/>
        <v>0</v>
      </c>
      <c r="AI168" s="20">
        <f t="shared" si="174"/>
        <v>0</v>
      </c>
      <c r="AJ168" s="20">
        <f t="shared" si="174"/>
        <v>0</v>
      </c>
      <c r="AK168" s="20">
        <f t="shared" si="174"/>
        <v>0</v>
      </c>
      <c r="AL168" s="20">
        <f t="shared" si="174"/>
        <v>0</v>
      </c>
      <c r="AM168" s="20">
        <f t="shared" si="175"/>
        <v>0</v>
      </c>
      <c r="AO168">
        <f t="shared" si="176"/>
        <v>0</v>
      </c>
      <c r="AP168">
        <f t="shared" si="176"/>
        <v>0</v>
      </c>
      <c r="AQ168">
        <f t="shared" si="176"/>
        <v>0</v>
      </c>
      <c r="AR168">
        <f t="shared" si="176"/>
        <v>0</v>
      </c>
      <c r="AS168">
        <f t="shared" si="177"/>
        <v>0</v>
      </c>
      <c r="AU168">
        <f t="shared" si="178"/>
        <v>0</v>
      </c>
      <c r="AV168">
        <f t="shared" si="178"/>
        <v>0</v>
      </c>
      <c r="AW168">
        <f t="shared" si="178"/>
        <v>0</v>
      </c>
      <c r="AX168">
        <f t="shared" si="178"/>
        <v>0</v>
      </c>
      <c r="AY168">
        <f t="shared" si="179"/>
        <v>0</v>
      </c>
    </row>
    <row r="169" spans="1:51" ht="15" x14ac:dyDescent="0.25">
      <c r="A169" s="1"/>
      <c r="B169" s="2"/>
      <c r="C169" s="1" t="s">
        <v>12</v>
      </c>
      <c r="D169" s="285">
        <v>0</v>
      </c>
      <c r="E169" s="286">
        <v>0</v>
      </c>
      <c r="F169" s="286">
        <v>0</v>
      </c>
      <c r="G169" s="286">
        <v>0</v>
      </c>
      <c r="H169" s="287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 s="20"/>
      <c r="P169" s="20"/>
      <c r="Q169" s="147"/>
      <c r="R169" s="197">
        <v>0.66599999999999993</v>
      </c>
      <c r="S169" s="197">
        <v>4.5549999999999997</v>
      </c>
      <c r="T169" s="197">
        <v>0.60039794540960334</v>
      </c>
      <c r="U169" s="197">
        <v>0.90789473684210531</v>
      </c>
      <c r="V169" s="20">
        <f t="shared" si="170"/>
        <v>0</v>
      </c>
      <c r="W169" s="20">
        <f t="shared" si="170"/>
        <v>0</v>
      </c>
      <c r="X169" s="20">
        <f t="shared" si="170"/>
        <v>0</v>
      </c>
      <c r="Y169" s="20">
        <f t="shared" si="170"/>
        <v>0</v>
      </c>
      <c r="Z169" s="20">
        <f t="shared" si="171"/>
        <v>0</v>
      </c>
      <c r="AA169" s="20">
        <f t="shared" si="171"/>
        <v>0</v>
      </c>
      <c r="AB169" s="20">
        <f t="shared" si="171"/>
        <v>0</v>
      </c>
      <c r="AC169" s="20">
        <f t="shared" si="171"/>
        <v>0</v>
      </c>
      <c r="AD169" s="20">
        <f t="shared" si="172"/>
        <v>0</v>
      </c>
      <c r="AE169" s="20">
        <f t="shared" si="173"/>
        <v>0</v>
      </c>
      <c r="AF169" s="20">
        <f t="shared" si="173"/>
        <v>0</v>
      </c>
      <c r="AG169" s="20">
        <f t="shared" si="173"/>
        <v>0</v>
      </c>
      <c r="AH169" s="20">
        <f t="shared" si="173"/>
        <v>0</v>
      </c>
      <c r="AI169" s="20">
        <f t="shared" si="174"/>
        <v>0</v>
      </c>
      <c r="AJ169" s="20">
        <f t="shared" si="174"/>
        <v>0</v>
      </c>
      <c r="AK169" s="20">
        <f t="shared" si="174"/>
        <v>0</v>
      </c>
      <c r="AL169" s="20">
        <f t="shared" si="174"/>
        <v>0</v>
      </c>
      <c r="AM169" s="20">
        <f t="shared" si="175"/>
        <v>0</v>
      </c>
      <c r="AO169">
        <f t="shared" si="176"/>
        <v>0</v>
      </c>
      <c r="AP169">
        <f t="shared" si="176"/>
        <v>0</v>
      </c>
      <c r="AQ169">
        <f t="shared" si="176"/>
        <v>0</v>
      </c>
      <c r="AR169">
        <f t="shared" si="176"/>
        <v>0</v>
      </c>
      <c r="AS169">
        <f t="shared" si="177"/>
        <v>0</v>
      </c>
      <c r="AU169">
        <f t="shared" si="178"/>
        <v>0</v>
      </c>
      <c r="AV169">
        <f t="shared" si="178"/>
        <v>0</v>
      </c>
      <c r="AW169">
        <f t="shared" si="178"/>
        <v>0</v>
      </c>
      <c r="AX169">
        <f t="shared" si="178"/>
        <v>0</v>
      </c>
      <c r="AY169">
        <f t="shared" si="179"/>
        <v>0</v>
      </c>
    </row>
    <row r="170" spans="1:51" ht="15" x14ac:dyDescent="0.25">
      <c r="A170" s="1"/>
      <c r="B170" s="2"/>
      <c r="C170" s="1" t="s">
        <v>13</v>
      </c>
      <c r="D170" s="285">
        <v>0</v>
      </c>
      <c r="E170" s="286">
        <v>0</v>
      </c>
      <c r="F170" s="286">
        <v>0</v>
      </c>
      <c r="G170" s="286">
        <v>0</v>
      </c>
      <c r="H170" s="287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 s="20"/>
      <c r="P170" s="20"/>
      <c r="Q170" s="147"/>
      <c r="R170" s="197">
        <v>0.66599999999999993</v>
      </c>
      <c r="S170" s="197">
        <v>4.5549999999999997</v>
      </c>
      <c r="T170" s="197">
        <v>0.60039794540960334</v>
      </c>
      <c r="U170" s="197">
        <v>0.90789473684210531</v>
      </c>
      <c r="V170" s="20">
        <f t="shared" si="170"/>
        <v>0</v>
      </c>
      <c r="W170" s="20">
        <f t="shared" si="170"/>
        <v>0</v>
      </c>
      <c r="X170" s="20">
        <f t="shared" si="170"/>
        <v>0</v>
      </c>
      <c r="Y170" s="20">
        <f t="shared" si="170"/>
        <v>0</v>
      </c>
      <c r="Z170" s="20">
        <f t="shared" si="171"/>
        <v>0</v>
      </c>
      <c r="AA170" s="20">
        <f t="shared" si="171"/>
        <v>0</v>
      </c>
      <c r="AB170" s="20">
        <f t="shared" si="171"/>
        <v>0</v>
      </c>
      <c r="AC170" s="20">
        <f t="shared" si="171"/>
        <v>0</v>
      </c>
      <c r="AD170" s="20">
        <f t="shared" si="172"/>
        <v>0</v>
      </c>
      <c r="AE170" s="20">
        <f t="shared" si="173"/>
        <v>0</v>
      </c>
      <c r="AF170" s="20">
        <f t="shared" si="173"/>
        <v>0</v>
      </c>
      <c r="AG170" s="20">
        <f t="shared" si="173"/>
        <v>0</v>
      </c>
      <c r="AH170" s="20">
        <f t="shared" si="173"/>
        <v>0</v>
      </c>
      <c r="AI170" s="20">
        <f t="shared" si="174"/>
        <v>0</v>
      </c>
      <c r="AJ170" s="20">
        <f t="shared" si="174"/>
        <v>0</v>
      </c>
      <c r="AK170" s="20">
        <f t="shared" si="174"/>
        <v>0</v>
      </c>
      <c r="AL170" s="20">
        <f t="shared" si="174"/>
        <v>0</v>
      </c>
      <c r="AM170" s="20">
        <f t="shared" si="175"/>
        <v>0</v>
      </c>
      <c r="AO170">
        <f t="shared" si="176"/>
        <v>0</v>
      </c>
      <c r="AP170">
        <f t="shared" si="176"/>
        <v>0</v>
      </c>
      <c r="AQ170">
        <f t="shared" si="176"/>
        <v>0</v>
      </c>
      <c r="AR170">
        <f t="shared" si="176"/>
        <v>0</v>
      </c>
      <c r="AS170">
        <f t="shared" si="177"/>
        <v>0</v>
      </c>
      <c r="AU170">
        <f t="shared" si="178"/>
        <v>0</v>
      </c>
      <c r="AV170">
        <f t="shared" si="178"/>
        <v>0</v>
      </c>
      <c r="AW170">
        <f t="shared" si="178"/>
        <v>0</v>
      </c>
      <c r="AX170">
        <f t="shared" si="178"/>
        <v>0</v>
      </c>
      <c r="AY170">
        <f t="shared" si="179"/>
        <v>0</v>
      </c>
    </row>
    <row r="171" spans="1:51" ht="15" x14ac:dyDescent="0.25">
      <c r="A171" s="7"/>
      <c r="B171" s="8" t="s">
        <v>14</v>
      </c>
      <c r="C171" s="7"/>
      <c r="D171" s="288">
        <f>SUM(D165:D170)</f>
        <v>0</v>
      </c>
      <c r="E171" s="289">
        <f>SUM(E165:E170)</f>
        <v>0</v>
      </c>
      <c r="F171" s="289">
        <f>SUM(F165:F170)</f>
        <v>0</v>
      </c>
      <c r="G171" s="289">
        <f>SUM(G165:G170)</f>
        <v>0</v>
      </c>
      <c r="H171" s="290">
        <f>SUM(H165:H170)</f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 s="20"/>
      <c r="P171" s="20"/>
      <c r="Q171" s="147"/>
      <c r="R171" s="20"/>
      <c r="S171" s="20"/>
      <c r="T171" s="20"/>
      <c r="U171" s="20"/>
    </row>
    <row r="172" spans="1:51" ht="15" x14ac:dyDescent="0.25">
      <c r="A172" s="1"/>
      <c r="B172" s="9" t="s">
        <v>15</v>
      </c>
      <c r="C172" s="5"/>
      <c r="D172" s="291"/>
      <c r="E172" s="292"/>
      <c r="F172" s="292"/>
      <c r="G172" s="292"/>
      <c r="H172" s="293">
        <f>SUM(D171:H171)</f>
        <v>0</v>
      </c>
      <c r="N172">
        <v>0</v>
      </c>
      <c r="O172" s="20"/>
      <c r="P172" s="20"/>
      <c r="Q172" s="147"/>
      <c r="R172" s="20"/>
      <c r="S172" s="20"/>
      <c r="T172" s="20"/>
      <c r="U172" s="20"/>
    </row>
    <row r="173" spans="1:51" ht="15.75" thickBot="1" x14ac:dyDescent="0.3">
      <c r="A173" s="1"/>
      <c r="B173" s="2"/>
      <c r="C173" s="1"/>
      <c r="D173" s="297"/>
      <c r="E173" s="298"/>
      <c r="F173" s="298"/>
      <c r="G173" s="298"/>
      <c r="H173" s="299"/>
      <c r="O173" s="20"/>
      <c r="P173" s="20"/>
      <c r="Q173" s="147"/>
      <c r="R173" s="20"/>
      <c r="S173" s="20"/>
      <c r="T173" s="20"/>
      <c r="U173" s="20"/>
    </row>
    <row r="174" spans="1:51" ht="15" x14ac:dyDescent="0.25">
      <c r="A174" s="1">
        <v>19</v>
      </c>
      <c r="B174" s="2" t="s">
        <v>526</v>
      </c>
      <c r="C174" s="1" t="s">
        <v>8</v>
      </c>
      <c r="D174" s="282">
        <v>10.362623149999999</v>
      </c>
      <c r="E174" s="283">
        <v>0</v>
      </c>
      <c r="F174" s="283">
        <v>0</v>
      </c>
      <c r="G174" s="283">
        <v>0</v>
      </c>
      <c r="H174" s="284">
        <v>0</v>
      </c>
      <c r="J174">
        <v>-1.1042644558756365E-6</v>
      </c>
      <c r="K174">
        <v>0</v>
      </c>
      <c r="L174">
        <v>0</v>
      </c>
      <c r="M174">
        <v>0</v>
      </c>
      <c r="N174">
        <v>-7.2965769813300004E-10</v>
      </c>
      <c r="O174" s="20"/>
      <c r="P174" s="20"/>
      <c r="Q174" s="146">
        <v>0.9</v>
      </c>
      <c r="R174" s="20"/>
      <c r="S174" s="20"/>
      <c r="T174" s="20"/>
      <c r="U174" s="20"/>
    </row>
    <row r="175" spans="1:51" ht="15" x14ac:dyDescent="0.25">
      <c r="A175" s="1"/>
      <c r="B175" s="2"/>
      <c r="C175" s="1" t="s">
        <v>9</v>
      </c>
      <c r="D175" s="285">
        <v>5.0702140199999999</v>
      </c>
      <c r="E175" s="286">
        <v>0</v>
      </c>
      <c r="F175" s="286">
        <v>0</v>
      </c>
      <c r="G175" s="286">
        <v>0</v>
      </c>
      <c r="H175" s="287">
        <v>0</v>
      </c>
      <c r="J175">
        <v>-5.9277974084892548E-7</v>
      </c>
      <c r="K175">
        <v>0</v>
      </c>
      <c r="L175">
        <v>0</v>
      </c>
      <c r="M175">
        <v>0</v>
      </c>
      <c r="N175">
        <v>0</v>
      </c>
      <c r="O175" s="20"/>
      <c r="P175" s="20"/>
      <c r="Q175" s="147">
        <v>0.90000000000000013</v>
      </c>
      <c r="R175" s="20"/>
      <c r="S175" s="20"/>
      <c r="T175" s="20"/>
      <c r="U175" s="20"/>
    </row>
    <row r="176" spans="1:51" ht="15" x14ac:dyDescent="0.25">
      <c r="A176" s="1"/>
      <c r="B176" s="2"/>
      <c r="C176" s="1" t="s">
        <v>10</v>
      </c>
      <c r="D176" s="285">
        <v>6.0503388200000003</v>
      </c>
      <c r="E176" s="286">
        <v>0</v>
      </c>
      <c r="F176" s="286">
        <v>0</v>
      </c>
      <c r="G176" s="286">
        <v>0</v>
      </c>
      <c r="H176" s="287">
        <v>0</v>
      </c>
      <c r="J176">
        <v>-1.5226914760191335E-6</v>
      </c>
      <c r="K176">
        <v>0</v>
      </c>
      <c r="L176">
        <v>0</v>
      </c>
      <c r="M176">
        <v>0</v>
      </c>
      <c r="N176">
        <v>0</v>
      </c>
      <c r="O176" s="20"/>
      <c r="P176" s="20"/>
      <c r="Q176" s="146">
        <v>0.9</v>
      </c>
      <c r="R176" s="20"/>
      <c r="S176" s="20"/>
      <c r="T176" s="20"/>
      <c r="U176" s="20"/>
    </row>
    <row r="177" spans="1:21" ht="15" x14ac:dyDescent="0.25">
      <c r="A177" s="1"/>
      <c r="B177" s="2"/>
      <c r="C177" s="1" t="s">
        <v>11</v>
      </c>
      <c r="D177" s="285">
        <v>1.9530215</v>
      </c>
      <c r="E177" s="286">
        <v>0</v>
      </c>
      <c r="F177" s="286">
        <v>0</v>
      </c>
      <c r="G177" s="286">
        <v>0</v>
      </c>
      <c r="H177" s="287">
        <v>0</v>
      </c>
      <c r="J177">
        <v>3.9409888019648065E-7</v>
      </c>
      <c r="K177">
        <v>0</v>
      </c>
      <c r="L177">
        <v>0</v>
      </c>
      <c r="M177">
        <v>0</v>
      </c>
      <c r="N177">
        <v>0</v>
      </c>
      <c r="O177" s="20"/>
      <c r="P177" s="20"/>
      <c r="Q177" s="146">
        <v>0.89999999999999991</v>
      </c>
      <c r="R177" s="20"/>
      <c r="S177" s="20"/>
      <c r="T177" s="20"/>
      <c r="U177" s="20"/>
    </row>
    <row r="178" spans="1:21" ht="15" x14ac:dyDescent="0.25">
      <c r="A178" s="1"/>
      <c r="B178" s="2"/>
      <c r="C178" s="1" t="s">
        <v>12</v>
      </c>
      <c r="D178" s="285">
        <v>2239.5971424999998</v>
      </c>
      <c r="E178" s="286">
        <v>0</v>
      </c>
      <c r="F178" s="286">
        <v>0</v>
      </c>
      <c r="G178" s="286">
        <v>0</v>
      </c>
      <c r="H178" s="287">
        <v>0</v>
      </c>
      <c r="J178">
        <v>2.0651242266467307E-5</v>
      </c>
      <c r="K178">
        <v>0</v>
      </c>
      <c r="L178">
        <v>0</v>
      </c>
      <c r="M178">
        <v>0</v>
      </c>
      <c r="N178">
        <v>-1.1895432099971E-6</v>
      </c>
      <c r="O178" s="20"/>
      <c r="P178" s="20"/>
      <c r="Q178" s="146">
        <v>0.9</v>
      </c>
      <c r="R178" s="20"/>
      <c r="S178" s="20"/>
      <c r="T178" s="20"/>
      <c r="U178" s="20"/>
    </row>
    <row r="179" spans="1:21" ht="15" x14ac:dyDescent="0.25">
      <c r="A179" s="1"/>
      <c r="B179" s="2"/>
      <c r="C179" s="1" t="s">
        <v>13</v>
      </c>
      <c r="D179" s="285">
        <v>0</v>
      </c>
      <c r="E179" s="286">
        <v>0</v>
      </c>
      <c r="F179" s="286">
        <v>0</v>
      </c>
      <c r="G179" s="286">
        <v>0</v>
      </c>
      <c r="H179" s="287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 s="20"/>
      <c r="P179" s="20"/>
      <c r="Q179" s="146"/>
      <c r="R179" s="20"/>
      <c r="S179" s="20"/>
      <c r="T179" s="20"/>
      <c r="U179" s="20"/>
    </row>
    <row r="180" spans="1:21" ht="15" x14ac:dyDescent="0.25">
      <c r="A180" s="7"/>
      <c r="B180" s="8" t="s">
        <v>14</v>
      </c>
      <c r="C180" s="7"/>
      <c r="D180" s="288">
        <f>SUM(D174:D179)</f>
        <v>2263.0333399899996</v>
      </c>
      <c r="E180" s="289">
        <f>SUM(E174:E179)</f>
        <v>0</v>
      </c>
      <c r="F180" s="289">
        <f>SUM(F174:F179)</f>
        <v>0</v>
      </c>
      <c r="G180" s="289">
        <f>SUM(G174:G179)</f>
        <v>0</v>
      </c>
      <c r="H180" s="290">
        <f>SUM(H174:H179)</f>
        <v>0</v>
      </c>
      <c r="J180">
        <v>1.7825605473920092E-5</v>
      </c>
      <c r="K180">
        <v>0</v>
      </c>
      <c r="L180">
        <v>0</v>
      </c>
      <c r="M180">
        <v>0</v>
      </c>
      <c r="N180">
        <v>-1.190272867695233E-6</v>
      </c>
    </row>
    <row r="181" spans="1:21" ht="15" x14ac:dyDescent="0.25">
      <c r="A181" s="5"/>
      <c r="B181" s="9" t="s">
        <v>15</v>
      </c>
      <c r="C181" s="5"/>
      <c r="D181" s="185"/>
      <c r="E181" s="185"/>
      <c r="F181" s="185"/>
      <c r="G181" s="185"/>
      <c r="H181" s="235">
        <f>SUM(D180:H180)</f>
        <v>2263.0333399899996</v>
      </c>
    </row>
    <row r="182" spans="1:21" s="79" customFormat="1" ht="15" x14ac:dyDescent="0.25">
      <c r="A182" s="199"/>
      <c r="B182" s="198" t="s">
        <v>661</v>
      </c>
      <c r="C182" s="199"/>
    </row>
  </sheetData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Y182"/>
  <sheetViews>
    <sheetView defaultGridColor="0" colorId="11" zoomScale="75" workbookViewId="0">
      <pane xSplit="3" ySplit="11" topLeftCell="D12" activePane="bottomRight" state="frozen"/>
      <selection pane="topRight" activeCell="D1" sqref="D1"/>
      <selection pane="bottomLeft" activeCell="A14" sqref="A14"/>
      <selection pane="bottomRight" activeCell="BA20" sqref="BA20"/>
    </sheetView>
  </sheetViews>
  <sheetFormatPr defaultRowHeight="12.75" x14ac:dyDescent="0.2"/>
  <cols>
    <col min="2" max="2" width="26.42578125" bestFit="1" customWidth="1"/>
    <col min="4" max="8" width="13.7109375" customWidth="1"/>
    <col min="10" max="14" width="13.5703125" customWidth="1"/>
    <col min="15" max="15" width="12" bestFit="1" customWidth="1"/>
    <col min="17" max="17" width="15.7109375" style="108" bestFit="1" customWidth="1"/>
    <col min="18" max="19" width="12" bestFit="1" customWidth="1"/>
    <col min="20" max="21" width="12" customWidth="1"/>
    <col min="22" max="25" width="11.5703125" customWidth="1"/>
    <col min="26" max="29" width="10.7109375" customWidth="1"/>
    <col min="30" max="30" width="11.42578125" customWidth="1"/>
    <col min="31" max="34" width="13.42578125" customWidth="1"/>
    <col min="35" max="39" width="10.85546875" customWidth="1"/>
    <col min="45" max="45" width="28.140625" customWidth="1"/>
    <col min="51" max="51" width="28.42578125" customWidth="1"/>
  </cols>
  <sheetData>
    <row r="1" spans="1:51" ht="15" x14ac:dyDescent="0.25">
      <c r="A1" s="15"/>
      <c r="B1" s="16"/>
    </row>
    <row r="2" spans="1:51" ht="15" x14ac:dyDescent="0.25">
      <c r="A2" s="15"/>
      <c r="B2" s="16"/>
      <c r="V2" s="99"/>
      <c r="W2" s="99"/>
      <c r="X2" s="99"/>
      <c r="Y2" s="99"/>
      <c r="Z2" s="26"/>
      <c r="AA2" s="26"/>
      <c r="AB2" s="26"/>
      <c r="AC2" s="26"/>
      <c r="AD2" s="26"/>
      <c r="AE2" s="28"/>
      <c r="AF2" s="28"/>
      <c r="AG2" s="28"/>
      <c r="AH2" s="28"/>
      <c r="AI2" s="124"/>
      <c r="AJ2" s="124"/>
      <c r="AK2" s="124"/>
      <c r="AL2" s="124"/>
      <c r="AM2" s="124"/>
    </row>
    <row r="3" spans="1:51" ht="78.75" x14ac:dyDescent="0.25">
      <c r="B3" s="16"/>
      <c r="D3" s="179" t="s">
        <v>759</v>
      </c>
      <c r="E3" s="179"/>
      <c r="F3" s="179"/>
      <c r="G3" s="179"/>
      <c r="H3" s="179"/>
      <c r="J3" s="181" t="s">
        <v>758</v>
      </c>
      <c r="K3" s="181"/>
      <c r="L3" s="181"/>
      <c r="M3" s="181"/>
      <c r="N3" s="181"/>
      <c r="V3" s="99" t="s">
        <v>534</v>
      </c>
      <c r="W3" s="99"/>
      <c r="X3" s="99"/>
      <c r="Y3" s="99"/>
      <c r="Z3" s="26" t="s">
        <v>535</v>
      </c>
      <c r="AA3" s="26"/>
      <c r="AB3" s="26"/>
      <c r="AC3" s="26"/>
      <c r="AD3" s="125"/>
      <c r="AE3" s="28" t="s">
        <v>536</v>
      </c>
      <c r="AF3" s="28"/>
      <c r="AG3" s="28"/>
      <c r="AH3" s="28"/>
      <c r="AI3" s="124" t="s">
        <v>537</v>
      </c>
      <c r="AJ3" s="131"/>
      <c r="AK3" s="131"/>
      <c r="AL3" s="131"/>
      <c r="AM3" s="131"/>
    </row>
    <row r="4" spans="1:51" ht="15.75" x14ac:dyDescent="0.25">
      <c r="D4" s="180"/>
      <c r="E4" s="180"/>
      <c r="F4" s="180"/>
      <c r="G4" s="180"/>
      <c r="H4" s="180"/>
      <c r="J4" s="182"/>
      <c r="K4" s="182"/>
      <c r="L4" s="182"/>
      <c r="M4" s="182"/>
      <c r="N4" s="182"/>
      <c r="V4" s="101" t="s">
        <v>40</v>
      </c>
      <c r="W4" s="101"/>
      <c r="X4" s="101"/>
      <c r="Y4" s="101"/>
      <c r="Z4" s="27" t="s">
        <v>40</v>
      </c>
      <c r="AA4" s="27"/>
      <c r="AB4" s="27"/>
      <c r="AC4" s="27"/>
      <c r="AD4" s="126"/>
      <c r="AE4" s="30" t="s">
        <v>40</v>
      </c>
      <c r="AF4" s="30"/>
      <c r="AG4" s="30"/>
      <c r="AH4" s="30"/>
      <c r="AI4" s="132" t="s">
        <v>40</v>
      </c>
      <c r="AJ4" s="133"/>
      <c r="AK4" s="133"/>
      <c r="AL4" s="133"/>
      <c r="AM4" s="133"/>
    </row>
    <row r="5" spans="1:51" ht="94.5" x14ac:dyDescent="0.25">
      <c r="A5" s="1"/>
      <c r="B5" s="2"/>
      <c r="C5" s="3"/>
      <c r="D5" s="103" t="s">
        <v>524</v>
      </c>
      <c r="E5" s="229"/>
      <c r="F5" s="229"/>
      <c r="G5" s="229"/>
      <c r="H5" s="229"/>
      <c r="J5" s="115" t="s">
        <v>524</v>
      </c>
      <c r="K5" s="232"/>
      <c r="L5" s="232"/>
      <c r="M5" s="232"/>
      <c r="N5" s="232"/>
      <c r="V5" s="103" t="s">
        <v>524</v>
      </c>
      <c r="W5" s="103"/>
      <c r="X5" s="103"/>
      <c r="Y5" s="103"/>
      <c r="Z5" s="93" t="s">
        <v>524</v>
      </c>
      <c r="AA5" s="236"/>
      <c r="AB5" s="236"/>
      <c r="AC5" s="236"/>
      <c r="AD5" s="127"/>
      <c r="AE5" s="90" t="s">
        <v>524</v>
      </c>
      <c r="AF5" s="90"/>
      <c r="AG5" s="90"/>
      <c r="AH5" s="90"/>
      <c r="AI5" s="134" t="s">
        <v>524</v>
      </c>
      <c r="AJ5" s="135"/>
      <c r="AK5" s="135"/>
      <c r="AL5" s="135"/>
      <c r="AM5" s="135"/>
      <c r="AO5" s="240" t="s">
        <v>727</v>
      </c>
      <c r="AP5" s="241"/>
      <c r="AQ5" s="241"/>
      <c r="AR5" s="241"/>
      <c r="AS5" s="242" t="s">
        <v>727</v>
      </c>
      <c r="AU5" s="244" t="s">
        <v>728</v>
      </c>
      <c r="AV5" s="245"/>
      <c r="AW5" s="245"/>
      <c r="AX5" s="245"/>
      <c r="AY5" s="246" t="s">
        <v>728</v>
      </c>
    </row>
    <row r="6" spans="1:51" ht="39" x14ac:dyDescent="0.25">
      <c r="A6" s="1"/>
      <c r="B6" s="2" t="s">
        <v>0</v>
      </c>
      <c r="C6" s="3"/>
      <c r="D6" s="234" t="s">
        <v>716</v>
      </c>
      <c r="E6" s="234" t="s">
        <v>717</v>
      </c>
      <c r="F6" s="234" t="s">
        <v>718</v>
      </c>
      <c r="G6" s="234" t="s">
        <v>719</v>
      </c>
      <c r="H6" s="234" t="s">
        <v>720</v>
      </c>
      <c r="J6" s="117" t="s">
        <v>716</v>
      </c>
      <c r="K6" s="117" t="s">
        <v>717</v>
      </c>
      <c r="L6" s="117" t="s">
        <v>718</v>
      </c>
      <c r="M6" s="117" t="s">
        <v>719</v>
      </c>
      <c r="N6" s="117" t="s">
        <v>720</v>
      </c>
      <c r="O6" s="17" t="s">
        <v>35</v>
      </c>
      <c r="P6" s="18"/>
      <c r="Q6" s="146">
        <v>2010</v>
      </c>
      <c r="R6" s="22" t="s">
        <v>38</v>
      </c>
      <c r="S6" s="22" t="s">
        <v>39</v>
      </c>
      <c r="T6" s="196" t="s">
        <v>659</v>
      </c>
      <c r="U6" s="196" t="s">
        <v>660</v>
      </c>
      <c r="V6" s="105" t="s">
        <v>717</v>
      </c>
      <c r="W6" s="105" t="s">
        <v>718</v>
      </c>
      <c r="X6" s="105" t="s">
        <v>719</v>
      </c>
      <c r="Y6" s="105" t="s">
        <v>720</v>
      </c>
      <c r="Z6" s="78" t="s">
        <v>717</v>
      </c>
      <c r="AA6" s="78" t="s">
        <v>718</v>
      </c>
      <c r="AB6" s="78" t="s">
        <v>719</v>
      </c>
      <c r="AC6" s="78" t="s">
        <v>720</v>
      </c>
      <c r="AD6" s="128" t="s">
        <v>42</v>
      </c>
      <c r="AE6" s="72" t="s">
        <v>717</v>
      </c>
      <c r="AF6" s="72" t="s">
        <v>718</v>
      </c>
      <c r="AG6" s="72" t="s">
        <v>719</v>
      </c>
      <c r="AH6" s="72" t="s">
        <v>720</v>
      </c>
      <c r="AI6" s="137" t="s">
        <v>717</v>
      </c>
      <c r="AJ6" s="137" t="s">
        <v>718</v>
      </c>
      <c r="AK6" s="137" t="s">
        <v>719</v>
      </c>
      <c r="AL6" s="137" t="s">
        <v>720</v>
      </c>
      <c r="AM6" s="137" t="s">
        <v>42</v>
      </c>
      <c r="AO6" s="118" t="s">
        <v>717</v>
      </c>
      <c r="AP6" s="118" t="s">
        <v>718</v>
      </c>
      <c r="AQ6" s="118" t="s">
        <v>719</v>
      </c>
      <c r="AR6" s="118" t="s">
        <v>720</v>
      </c>
      <c r="AS6" s="129"/>
      <c r="AU6" s="118" t="s">
        <v>717</v>
      </c>
      <c r="AV6" s="118" t="s">
        <v>718</v>
      </c>
      <c r="AW6" s="118" t="s">
        <v>719</v>
      </c>
      <c r="AX6" s="118" t="s">
        <v>720</v>
      </c>
      <c r="AY6" s="247"/>
    </row>
    <row r="7" spans="1:51" ht="26.25" x14ac:dyDescent="0.25">
      <c r="A7" s="1"/>
      <c r="B7" s="2" t="s">
        <v>1</v>
      </c>
      <c r="C7" s="2"/>
      <c r="D7" s="107" t="s">
        <v>721</v>
      </c>
      <c r="E7" s="107" t="s">
        <v>722</v>
      </c>
      <c r="F7" s="107" t="s">
        <v>723</v>
      </c>
      <c r="G7" s="107" t="s">
        <v>724</v>
      </c>
      <c r="H7" s="107" t="s">
        <v>725</v>
      </c>
      <c r="J7" s="119" t="s">
        <v>721</v>
      </c>
      <c r="K7" s="233" t="s">
        <v>722</v>
      </c>
      <c r="L7" s="233" t="s">
        <v>723</v>
      </c>
      <c r="M7" s="233" t="s">
        <v>724</v>
      </c>
      <c r="N7" s="233" t="s">
        <v>725</v>
      </c>
      <c r="O7" s="21" t="s">
        <v>36</v>
      </c>
      <c r="P7" s="21" t="s">
        <v>37</v>
      </c>
      <c r="Q7" s="148" t="s">
        <v>538</v>
      </c>
      <c r="R7" s="22"/>
      <c r="S7" s="22"/>
      <c r="T7" s="22"/>
      <c r="U7" s="22"/>
      <c r="V7" s="107" t="s">
        <v>722</v>
      </c>
      <c r="W7" s="107" t="s">
        <v>723</v>
      </c>
      <c r="X7" s="107" t="s">
        <v>724</v>
      </c>
      <c r="Y7" s="107" t="s">
        <v>725</v>
      </c>
      <c r="Z7" s="237" t="s">
        <v>722</v>
      </c>
      <c r="AA7" s="237" t="s">
        <v>723</v>
      </c>
      <c r="AB7" s="237" t="s">
        <v>724</v>
      </c>
      <c r="AC7" s="237" t="s">
        <v>725</v>
      </c>
      <c r="AD7" s="129"/>
      <c r="AE7" s="91" t="s">
        <v>722</v>
      </c>
      <c r="AF7" s="91" t="s">
        <v>723</v>
      </c>
      <c r="AG7" s="91" t="s">
        <v>724</v>
      </c>
      <c r="AH7" s="91" t="s">
        <v>725</v>
      </c>
      <c r="AI7" s="139" t="s">
        <v>722</v>
      </c>
      <c r="AJ7" s="139" t="s">
        <v>723</v>
      </c>
      <c r="AK7" s="139" t="s">
        <v>724</v>
      </c>
      <c r="AL7" s="139" t="s">
        <v>725</v>
      </c>
      <c r="AM7" s="139"/>
      <c r="AS7" s="129"/>
      <c r="AY7" s="247"/>
    </row>
    <row r="8" spans="1:51" ht="15.75" x14ac:dyDescent="0.25">
      <c r="A8" s="1"/>
      <c r="B8" s="2" t="s">
        <v>4</v>
      </c>
      <c r="C8" s="2"/>
      <c r="D8" s="107"/>
      <c r="E8" s="230"/>
      <c r="F8" s="230"/>
      <c r="G8" s="230"/>
      <c r="H8" s="230"/>
      <c r="J8" s="183"/>
      <c r="K8" s="183"/>
      <c r="L8" s="183"/>
      <c r="M8" s="183"/>
      <c r="N8" s="183"/>
      <c r="O8" s="20"/>
      <c r="P8" s="20"/>
      <c r="Q8" s="145"/>
      <c r="R8" s="20"/>
      <c r="S8" s="20"/>
      <c r="T8" s="20"/>
      <c r="U8" s="20"/>
      <c r="V8" s="107"/>
      <c r="W8" s="107"/>
      <c r="X8" s="107"/>
      <c r="Y8" s="107"/>
      <c r="Z8" s="237">
        <v>646.83176063829774</v>
      </c>
      <c r="AA8" s="237">
        <v>536.30093137254926</v>
      </c>
      <c r="AB8" s="237">
        <v>501.97975742574283</v>
      </c>
      <c r="AC8" s="237">
        <v>1022.2701422018349</v>
      </c>
      <c r="AD8" s="129"/>
      <c r="AE8" s="91"/>
      <c r="AF8" s="91"/>
      <c r="AG8" s="91"/>
      <c r="AH8" s="91"/>
      <c r="AI8" s="139">
        <v>646.83176063829774</v>
      </c>
      <c r="AJ8" s="139">
        <v>536.30093137254926</v>
      </c>
      <c r="AK8" s="139">
        <v>501.97975742574283</v>
      </c>
      <c r="AL8" s="139">
        <v>1022.2701422018349</v>
      </c>
      <c r="AM8" s="139"/>
      <c r="AS8" s="129"/>
      <c r="AY8" s="247"/>
    </row>
    <row r="9" spans="1:51" ht="15.75" x14ac:dyDescent="0.25">
      <c r="A9" s="1"/>
      <c r="B9" s="15" t="s">
        <v>558</v>
      </c>
      <c r="C9" s="2"/>
      <c r="D9" s="109"/>
      <c r="E9" s="231"/>
      <c r="F9" s="231"/>
      <c r="G9" s="231"/>
      <c r="H9" s="231"/>
      <c r="J9" s="119"/>
      <c r="K9" s="233"/>
      <c r="L9" s="233"/>
      <c r="M9" s="233"/>
      <c r="N9" s="233"/>
      <c r="O9" s="21"/>
      <c r="P9" s="21"/>
      <c r="Q9" s="145"/>
      <c r="R9" s="20"/>
      <c r="S9" s="20"/>
      <c r="T9" s="20"/>
      <c r="U9" s="20"/>
      <c r="V9" s="109"/>
      <c r="W9" s="109"/>
      <c r="X9" s="109"/>
      <c r="Y9" s="109"/>
      <c r="Z9" s="238"/>
      <c r="AA9" s="238"/>
      <c r="AB9" s="238"/>
      <c r="AC9" s="238"/>
      <c r="AD9" s="129"/>
      <c r="AE9" s="92"/>
      <c r="AF9" s="92"/>
      <c r="AG9" s="92"/>
      <c r="AH9" s="92"/>
      <c r="AI9" s="139"/>
      <c r="AJ9" s="139"/>
      <c r="AK9" s="139"/>
      <c r="AL9" s="139"/>
      <c r="AM9" s="139"/>
      <c r="AO9" s="239">
        <v>2010</v>
      </c>
      <c r="AP9" s="239">
        <v>2010</v>
      </c>
      <c r="AQ9" s="239">
        <v>2010</v>
      </c>
      <c r="AR9" s="239">
        <v>2010</v>
      </c>
      <c r="AS9" s="243">
        <v>2010</v>
      </c>
      <c r="AU9" s="239">
        <v>2010</v>
      </c>
      <c r="AV9" s="239">
        <v>2010</v>
      </c>
      <c r="AW9" s="239">
        <v>2010</v>
      </c>
      <c r="AX9" s="239">
        <v>2010</v>
      </c>
      <c r="AY9" s="248">
        <v>2010</v>
      </c>
    </row>
    <row r="10" spans="1:51" ht="15" x14ac:dyDescent="0.2">
      <c r="B10" s="15" t="s">
        <v>726</v>
      </c>
      <c r="AO10" s="239">
        <v>1.1664163746915257</v>
      </c>
      <c r="AP10" s="239">
        <v>1.1919897995438109</v>
      </c>
      <c r="AQ10" s="239">
        <v>1.1964856810769582</v>
      </c>
      <c r="AR10" s="239">
        <v>1.1942906942240943</v>
      </c>
      <c r="AU10" s="239">
        <v>1.1664163746915257</v>
      </c>
      <c r="AV10" s="239">
        <v>1.1919897995438109</v>
      </c>
      <c r="AW10" s="239">
        <v>1.1964856810769582</v>
      </c>
      <c r="AX10" s="239">
        <v>1.1942906942240943</v>
      </c>
    </row>
    <row r="11" spans="1:51" ht="27.75" thickBot="1" x14ac:dyDescent="0.3">
      <c r="A11" s="1"/>
      <c r="B11" s="2" t="s">
        <v>5</v>
      </c>
      <c r="C11" s="4" t="s">
        <v>6</v>
      </c>
      <c r="D11" s="107"/>
      <c r="E11" s="230"/>
      <c r="F11" s="230"/>
      <c r="G11" s="230"/>
      <c r="H11" s="230"/>
      <c r="J11" s="183"/>
      <c r="K11" s="183"/>
      <c r="L11" s="183"/>
      <c r="M11" s="183"/>
      <c r="N11" s="183"/>
      <c r="O11" s="20"/>
      <c r="P11" s="20"/>
      <c r="Q11" s="147"/>
      <c r="R11" s="20"/>
      <c r="S11" s="20"/>
      <c r="T11" s="20"/>
      <c r="U11" s="20"/>
      <c r="V11" s="230"/>
      <c r="W11" s="230"/>
      <c r="X11" s="230"/>
      <c r="Y11" s="230"/>
      <c r="Z11" s="130"/>
      <c r="AA11" s="130"/>
      <c r="AB11" s="130"/>
      <c r="AC11" s="130"/>
      <c r="AD11" s="129"/>
      <c r="AE11" s="91"/>
      <c r="AF11" s="91"/>
      <c r="AG11" s="91"/>
      <c r="AH11" s="91"/>
      <c r="AI11" s="139"/>
      <c r="AJ11" s="139"/>
      <c r="AK11" s="139"/>
      <c r="AL11" s="139"/>
      <c r="AM11" s="139"/>
    </row>
    <row r="12" spans="1:51" ht="15" x14ac:dyDescent="0.25">
      <c r="A12" s="1">
        <v>1</v>
      </c>
      <c r="B12" s="2" t="s">
        <v>7</v>
      </c>
      <c r="C12" s="3" t="s">
        <v>8</v>
      </c>
      <c r="D12" s="282">
        <v>0</v>
      </c>
      <c r="E12" s="283">
        <v>59.619004480000001</v>
      </c>
      <c r="F12" s="283">
        <v>103.33968289000001</v>
      </c>
      <c r="G12" s="283">
        <v>131.82942186</v>
      </c>
      <c r="H12" s="284">
        <v>286.90933188000002</v>
      </c>
      <c r="J12">
        <v>0</v>
      </c>
      <c r="K12">
        <v>-9.079778811340006</v>
      </c>
      <c r="L12">
        <v>-29.116011425489972</v>
      </c>
      <c r="M12">
        <v>85.872521085660992</v>
      </c>
      <c r="N12">
        <v>89.873884540558521</v>
      </c>
      <c r="O12" s="20">
        <v>0.36775204520040022</v>
      </c>
      <c r="P12" s="20">
        <v>0.57913019816794442</v>
      </c>
      <c r="Q12" s="147">
        <v>4.6082501924296061E-2</v>
      </c>
      <c r="R12" s="197">
        <v>0.17699999999999999</v>
      </c>
      <c r="S12" s="197">
        <v>1.77</v>
      </c>
      <c r="T12" s="197">
        <v>0.50078889239507718</v>
      </c>
      <c r="U12" s="197">
        <v>0.75268470790377973</v>
      </c>
      <c r="V12" s="20">
        <f t="shared" ref="V12:Y17" si="0">IF(K12&gt;0,((E12-K12)*$Q12*$R12*10)+(K12*$O$12*$Q12*$R12*10),(E12*$Q12*$R12*10))</f>
        <v>4.8628854129533616</v>
      </c>
      <c r="W12" s="20">
        <f t="shared" si="0"/>
        <v>8.4290075100731876</v>
      </c>
      <c r="X12" s="20">
        <f t="shared" si="0"/>
        <v>6.324360350899271</v>
      </c>
      <c r="Y12" s="20">
        <f t="shared" si="0"/>
        <v>18.767262564920635</v>
      </c>
      <c r="Z12" s="20">
        <f t="shared" ref="Z12:AC17" si="1">V12*(EXP(1.01-0.34*LN(Z$8))*(1-$T12)+(1*$T12))</f>
        <v>3.1734324405342411</v>
      </c>
      <c r="AA12" s="20">
        <f t="shared" si="1"/>
        <v>5.5847916647246754</v>
      </c>
      <c r="AB12" s="20">
        <f t="shared" si="1"/>
        <v>4.2135868440232525</v>
      </c>
      <c r="AC12" s="20">
        <f t="shared" si="1"/>
        <v>11.83664190971254</v>
      </c>
      <c r="AD12" s="20">
        <f t="shared" ref="AD12:AD17" si="2">SUM(Z12:AC12)</f>
        <v>24.808452858994709</v>
      </c>
      <c r="AE12" s="20">
        <f t="shared" ref="AE12:AH17" si="3">IF(K12&gt;0,((E12-K12)*$Q12*$S12*10)+(K12*$P$12*$Q12*$S12)*10,(E12*$Q12*$S12*10))</f>
        <v>48.628854129533615</v>
      </c>
      <c r="AF12" s="20">
        <f t="shared" si="3"/>
        <v>84.290075100731883</v>
      </c>
      <c r="AG12" s="20">
        <f t="shared" si="3"/>
        <v>78.049122246231434</v>
      </c>
      <c r="AH12" s="20">
        <f t="shared" si="3"/>
        <v>203.16803052064731</v>
      </c>
      <c r="AI12" s="20">
        <f t="shared" ref="AI12:AL17" si="4">AE12*(EXP(1.01-0.34*LN(AI$8))*(1-$T12)+(1*$T12))</f>
        <v>31.734324405342409</v>
      </c>
      <c r="AJ12" s="20">
        <f t="shared" si="4"/>
        <v>55.847916647246755</v>
      </c>
      <c r="AK12" s="20">
        <f t="shared" si="4"/>
        <v>52.000002599080432</v>
      </c>
      <c r="AL12" s="20">
        <f t="shared" si="4"/>
        <v>128.13947779840316</v>
      </c>
      <c r="AM12" s="20">
        <f t="shared" ref="AM12:AM17" si="5">SUM(AI12:AL12)</f>
        <v>267.72172145007278</v>
      </c>
      <c r="AO12">
        <f t="shared" ref="AO12:AR17" si="6">Z12*AO$10</f>
        <v>3.7015435626164304</v>
      </c>
      <c r="AP12">
        <f t="shared" si="6"/>
        <v>6.657014696929112</v>
      </c>
      <c r="AQ12">
        <f t="shared" si="6"/>
        <v>5.0414963248480724</v>
      </c>
      <c r="AR12">
        <f t="shared" si="6"/>
        <v>14.136391283632598</v>
      </c>
      <c r="AS12">
        <f t="shared" ref="AS12:AS17" si="7">SUM(AO12:AR12)</f>
        <v>29.536445868026213</v>
      </c>
      <c r="AU12">
        <f t="shared" ref="AU12:AX17" si="8">AI12*AU$10</f>
        <v>37.015435626164297</v>
      </c>
      <c r="AV12">
        <f t="shared" si="8"/>
        <v>66.570146969291116</v>
      </c>
      <c r="AW12">
        <f t="shared" si="8"/>
        <v>62.217258525764343</v>
      </c>
      <c r="AX12">
        <f t="shared" si="8"/>
        <v>153.03578589736784</v>
      </c>
      <c r="AY12">
        <f t="shared" ref="AY12:AY17" si="9">SUM(AU12:AX12)</f>
        <v>318.8386270185876</v>
      </c>
    </row>
    <row r="13" spans="1:51" ht="15" x14ac:dyDescent="0.25">
      <c r="A13" s="1"/>
      <c r="B13" s="2"/>
      <c r="C13" s="1" t="s">
        <v>9</v>
      </c>
      <c r="D13" s="285">
        <v>0</v>
      </c>
      <c r="E13" s="286">
        <v>16.468376460000002</v>
      </c>
      <c r="F13" s="286">
        <v>2.3555724800000002</v>
      </c>
      <c r="G13" s="286">
        <v>1.3500851700000001</v>
      </c>
      <c r="H13" s="287">
        <v>4.5430571000000004</v>
      </c>
      <c r="J13">
        <v>0</v>
      </c>
      <c r="K13">
        <v>-18.377520842300001</v>
      </c>
      <c r="L13">
        <v>-0.27297732333999969</v>
      </c>
      <c r="M13">
        <v>0.83979939983900009</v>
      </c>
      <c r="N13">
        <v>-4.5675684421400007</v>
      </c>
      <c r="O13" s="20"/>
      <c r="P13" s="20"/>
      <c r="Q13" s="147">
        <v>4.716500384859211E-2</v>
      </c>
      <c r="R13" s="197">
        <v>0.17699999999999999</v>
      </c>
      <c r="S13" s="197">
        <v>1.77</v>
      </c>
      <c r="T13" s="197">
        <v>0.50078889239507718</v>
      </c>
      <c r="U13" s="197">
        <v>0.75268470790377973</v>
      </c>
      <c r="V13" s="20">
        <f t="shared" si="0"/>
        <v>1.3748139392352556</v>
      </c>
      <c r="W13" s="20">
        <f t="shared" si="0"/>
        <v>0.19664803560016267</v>
      </c>
      <c r="X13" s="20">
        <f t="shared" si="0"/>
        <v>6.8382132679480401E-2</v>
      </c>
      <c r="Y13" s="20">
        <f t="shared" si="0"/>
        <v>0.3792637509223965</v>
      </c>
      <c r="Z13" s="20">
        <f t="shared" si="1"/>
        <v>0.89717909923321359</v>
      </c>
      <c r="AA13" s="20">
        <f t="shared" si="1"/>
        <v>0.13029271937316542</v>
      </c>
      <c r="AB13" s="20">
        <f t="shared" si="1"/>
        <v>4.5559398680301462E-2</v>
      </c>
      <c r="AC13" s="20">
        <f t="shared" si="1"/>
        <v>0.2392042629271863</v>
      </c>
      <c r="AD13" s="20">
        <f t="shared" si="2"/>
        <v>1.3122354802138667</v>
      </c>
      <c r="AE13" s="20">
        <f t="shared" si="3"/>
        <v>13.748139392352559</v>
      </c>
      <c r="AF13" s="20">
        <f t="shared" si="3"/>
        <v>1.9664803560016266</v>
      </c>
      <c r="AG13" s="20">
        <f t="shared" si="3"/>
        <v>0.83201470531151833</v>
      </c>
      <c r="AH13" s="20">
        <f t="shared" si="3"/>
        <v>3.7926375092239653</v>
      </c>
      <c r="AI13" s="20">
        <f t="shared" si="4"/>
        <v>8.9717909923321386</v>
      </c>
      <c r="AJ13" s="20">
        <f t="shared" si="4"/>
        <v>1.3029271937316542</v>
      </c>
      <c r="AK13" s="20">
        <f t="shared" si="4"/>
        <v>0.55432739784285157</v>
      </c>
      <c r="AL13" s="20">
        <f t="shared" si="4"/>
        <v>2.3920426292718631</v>
      </c>
      <c r="AM13" s="20">
        <f t="shared" si="5"/>
        <v>13.221088213178508</v>
      </c>
      <c r="AO13">
        <f t="shared" si="6"/>
        <v>1.0464843923766136</v>
      </c>
      <c r="AP13">
        <f t="shared" si="6"/>
        <v>0.15530759244763745</v>
      </c>
      <c r="AQ13">
        <f t="shared" si="6"/>
        <v>5.4511168159457161E-2</v>
      </c>
      <c r="AR13">
        <f t="shared" si="6"/>
        <v>0.28567942523267209</v>
      </c>
      <c r="AS13">
        <f t="shared" si="7"/>
        <v>1.5419825782163805</v>
      </c>
      <c r="AU13">
        <f t="shared" si="8"/>
        <v>10.464843923766139</v>
      </c>
      <c r="AV13">
        <f t="shared" si="8"/>
        <v>1.5530759244763745</v>
      </c>
      <c r="AW13">
        <f t="shared" si="8"/>
        <v>0.66324479414762216</v>
      </c>
      <c r="AX13">
        <f t="shared" si="8"/>
        <v>2.8567942523267211</v>
      </c>
      <c r="AY13">
        <f t="shared" si="9"/>
        <v>15.537958894716859</v>
      </c>
    </row>
    <row r="14" spans="1:51" ht="15" x14ac:dyDescent="0.25">
      <c r="A14" s="1"/>
      <c r="B14" s="2"/>
      <c r="C14" s="1" t="s">
        <v>10</v>
      </c>
      <c r="D14" s="285">
        <v>0</v>
      </c>
      <c r="E14" s="286">
        <v>25.549139530000001</v>
      </c>
      <c r="F14" s="286">
        <v>1.74590717</v>
      </c>
      <c r="G14" s="286">
        <v>7.3518532800000003</v>
      </c>
      <c r="H14" s="287">
        <v>31.52930001</v>
      </c>
      <c r="J14">
        <v>0</v>
      </c>
      <c r="K14">
        <v>-23.779906410477995</v>
      </c>
      <c r="L14">
        <v>0.10211229999999993</v>
      </c>
      <c r="M14">
        <v>3.1334984716888004</v>
      </c>
      <c r="N14">
        <v>3.4199885461904991</v>
      </c>
      <c r="O14" s="20"/>
      <c r="P14" s="20"/>
      <c r="Q14" s="147">
        <v>4.8247505772888173E-2</v>
      </c>
      <c r="R14" s="197">
        <v>0.17699999999999999</v>
      </c>
      <c r="S14" s="197">
        <v>1.77</v>
      </c>
      <c r="T14" s="197">
        <v>0.50078889239507718</v>
      </c>
      <c r="U14" s="197">
        <v>0.75268470790377973</v>
      </c>
      <c r="V14" s="20">
        <f t="shared" si="0"/>
        <v>2.1818475948298208</v>
      </c>
      <c r="W14" s="20">
        <f t="shared" si="0"/>
        <v>0.14358380389718511</v>
      </c>
      <c r="X14" s="20">
        <f t="shared" si="0"/>
        <v>0.45864794717433249</v>
      </c>
      <c r="Y14" s="20">
        <f t="shared" si="0"/>
        <v>2.5078872121888063</v>
      </c>
      <c r="Z14" s="20">
        <f t="shared" si="1"/>
        <v>1.4238348942566308</v>
      </c>
      <c r="AA14" s="20">
        <f t="shared" si="1"/>
        <v>9.5134051101052955E-2</v>
      </c>
      <c r="AB14" s="20">
        <f t="shared" si="1"/>
        <v>0.30557287204187317</v>
      </c>
      <c r="AC14" s="20">
        <f t="shared" si="1"/>
        <v>1.5817417579116022</v>
      </c>
      <c r="AD14" s="20">
        <f t="shared" si="2"/>
        <v>3.4062835753111589</v>
      </c>
      <c r="AE14" s="20">
        <f t="shared" si="3"/>
        <v>21.818475948298207</v>
      </c>
      <c r="AF14" s="20">
        <f t="shared" si="3"/>
        <v>1.4542706258807379</v>
      </c>
      <c r="AG14" s="20">
        <f t="shared" si="3"/>
        <v>5.152116352983561</v>
      </c>
      <c r="AH14" s="20">
        <f t="shared" si="3"/>
        <v>25.696224155923659</v>
      </c>
      <c r="AI14" s="20">
        <f t="shared" si="4"/>
        <v>14.238348942566308</v>
      </c>
      <c r="AJ14" s="20">
        <f t="shared" si="4"/>
        <v>0.96355335547709831</v>
      </c>
      <c r="AK14" s="20">
        <f t="shared" si="4"/>
        <v>3.4325826612207142</v>
      </c>
      <c r="AL14" s="20">
        <f t="shared" si="4"/>
        <v>16.206785763945003</v>
      </c>
      <c r="AM14" s="20">
        <f t="shared" si="5"/>
        <v>34.841270723209121</v>
      </c>
      <c r="AO14">
        <f t="shared" si="6"/>
        <v>1.6607843355181111</v>
      </c>
      <c r="AP14">
        <f t="shared" si="6"/>
        <v>0.11339881850173478</v>
      </c>
      <c r="AQ14">
        <f t="shared" si="6"/>
        <v>0.36561356592366279</v>
      </c>
      <c r="AR14">
        <f t="shared" si="6"/>
        <v>1.8890594621394867</v>
      </c>
      <c r="AS14">
        <f t="shared" si="7"/>
        <v>4.0288561820829951</v>
      </c>
      <c r="AU14">
        <f t="shared" si="8"/>
        <v>16.60784335518111</v>
      </c>
      <c r="AV14">
        <f t="shared" si="8"/>
        <v>1.1485457710449127</v>
      </c>
      <c r="AW14">
        <f t="shared" si="8"/>
        <v>4.1070360032636239</v>
      </c>
      <c r="AX14">
        <f t="shared" si="8"/>
        <v>19.355613421163046</v>
      </c>
      <c r="AY14">
        <f t="shared" si="9"/>
        <v>41.219038550652691</v>
      </c>
    </row>
    <row r="15" spans="1:51" ht="15" x14ac:dyDescent="0.25">
      <c r="A15" s="1"/>
      <c r="B15" s="2"/>
      <c r="C15" s="1" t="s">
        <v>11</v>
      </c>
      <c r="D15" s="285">
        <v>0</v>
      </c>
      <c r="E15" s="286">
        <v>5.49007735</v>
      </c>
      <c r="F15" s="286">
        <v>0</v>
      </c>
      <c r="G15" s="286">
        <v>0.88141493000000004</v>
      </c>
      <c r="H15" s="287">
        <v>4.6729596600000001</v>
      </c>
      <c r="J15">
        <v>0</v>
      </c>
      <c r="K15">
        <v>3.9938709975900002</v>
      </c>
      <c r="L15">
        <v>0</v>
      </c>
      <c r="M15">
        <v>0.51122100110900004</v>
      </c>
      <c r="N15">
        <v>1.5881206718100001</v>
      </c>
      <c r="O15" s="20"/>
      <c r="P15" s="20"/>
      <c r="Q15" s="147">
        <v>4.9330007697184215E-2</v>
      </c>
      <c r="R15" s="197">
        <v>0.17699999999999999</v>
      </c>
      <c r="S15" s="197">
        <v>1.77</v>
      </c>
      <c r="T15" s="197">
        <v>0.50078889239507718</v>
      </c>
      <c r="U15" s="197">
        <v>0.75268470790377973</v>
      </c>
      <c r="V15" s="20">
        <f t="shared" si="0"/>
        <v>0.25888290497636596</v>
      </c>
      <c r="W15" s="20">
        <f t="shared" si="0"/>
        <v>0</v>
      </c>
      <c r="X15" s="20">
        <f t="shared" si="0"/>
        <v>4.8738432415819738E-2</v>
      </c>
      <c r="Y15" s="20">
        <f t="shared" si="0"/>
        <v>0.32034444754148711</v>
      </c>
      <c r="Z15" s="20">
        <f t="shared" si="1"/>
        <v>0.16894237457526171</v>
      </c>
      <c r="AA15" s="20">
        <f t="shared" si="1"/>
        <v>0</v>
      </c>
      <c r="AB15" s="20">
        <f t="shared" si="1"/>
        <v>3.2471840033026181E-2</v>
      </c>
      <c r="AC15" s="20">
        <f t="shared" si="1"/>
        <v>0.20204345200566612</v>
      </c>
      <c r="AD15" s="20">
        <f t="shared" si="2"/>
        <v>0.40345766661395399</v>
      </c>
      <c r="AE15" s="20">
        <f t="shared" si="3"/>
        <v>3.3259497055667002</v>
      </c>
      <c r="AF15" s="20">
        <f t="shared" si="3"/>
        <v>0</v>
      </c>
      <c r="AG15" s="20">
        <f t="shared" si="3"/>
        <v>0.58173678567363996</v>
      </c>
      <c r="AH15" s="20">
        <f t="shared" si="3"/>
        <v>3.496552728486976</v>
      </c>
      <c r="AI15" s="20">
        <f t="shared" si="4"/>
        <v>2.1704555618596273</v>
      </c>
      <c r="AJ15" s="20">
        <f t="shared" si="4"/>
        <v>0</v>
      </c>
      <c r="AK15" s="20">
        <f t="shared" si="4"/>
        <v>0.3875804556978294</v>
      </c>
      <c r="AL15" s="20">
        <f t="shared" si="4"/>
        <v>2.2052999164027893</v>
      </c>
      <c r="AM15" s="20">
        <f t="shared" si="5"/>
        <v>4.7633359339602457</v>
      </c>
      <c r="AO15">
        <f t="shared" si="6"/>
        <v>0.19705715208385455</v>
      </c>
      <c r="AP15">
        <f t="shared" si="6"/>
        <v>0</v>
      </c>
      <c r="AQ15">
        <f t="shared" si="6"/>
        <v>3.8852091637737368E-2</v>
      </c>
      <c r="AR15">
        <f t="shared" si="6"/>
        <v>0.24129861455927945</v>
      </c>
      <c r="AS15">
        <f t="shared" si="7"/>
        <v>0.47720785828087137</v>
      </c>
      <c r="AU15">
        <f t="shared" si="8"/>
        <v>2.531654907893365</v>
      </c>
      <c r="AV15">
        <f t="shared" si="8"/>
        <v>0</v>
      </c>
      <c r="AW15">
        <f t="shared" si="8"/>
        <v>0.46373446550773523</v>
      </c>
      <c r="AX15">
        <f t="shared" si="8"/>
        <v>2.6337691681330244</v>
      </c>
      <c r="AY15">
        <f t="shared" si="9"/>
        <v>5.6291585415341245</v>
      </c>
    </row>
    <row r="16" spans="1:51" ht="15" x14ac:dyDescent="0.25">
      <c r="A16" s="5"/>
      <c r="B16" s="6"/>
      <c r="C16" s="5" t="s">
        <v>12</v>
      </c>
      <c r="D16" s="285">
        <v>0</v>
      </c>
      <c r="E16" s="286">
        <v>0.53741125000000001</v>
      </c>
      <c r="F16" s="286">
        <v>1.67781421</v>
      </c>
      <c r="G16" s="286">
        <v>0.18883026999999999</v>
      </c>
      <c r="H16" s="287">
        <v>1.40021354</v>
      </c>
      <c r="J16">
        <v>0</v>
      </c>
      <c r="K16">
        <v>0.53741125000000001</v>
      </c>
      <c r="L16">
        <v>0.66395307587289998</v>
      </c>
      <c r="M16">
        <v>0.18883026999999999</v>
      </c>
      <c r="N16">
        <v>-7.2158026833202271E-3</v>
      </c>
      <c r="O16" s="20"/>
      <c r="P16" s="20"/>
      <c r="Q16" s="147">
        <v>4.9330007697184229E-2</v>
      </c>
      <c r="R16" s="197">
        <v>0.17699999999999999</v>
      </c>
      <c r="S16" s="197">
        <v>1.77</v>
      </c>
      <c r="T16" s="197">
        <v>0.50078889239507718</v>
      </c>
      <c r="U16" s="197">
        <v>0.75268470790377973</v>
      </c>
      <c r="V16" s="20">
        <f t="shared" si="0"/>
        <v>1.7256245067281888E-2</v>
      </c>
      <c r="W16" s="20">
        <f t="shared" si="0"/>
        <v>0.10984388225616168</v>
      </c>
      <c r="X16" s="20">
        <f t="shared" si="0"/>
        <v>6.0633293687860227E-3</v>
      </c>
      <c r="Y16" s="20">
        <f t="shared" si="0"/>
        <v>0.12225840412944577</v>
      </c>
      <c r="Z16" s="20">
        <f t="shared" si="1"/>
        <v>1.1261118296649966E-2</v>
      </c>
      <c r="AA16" s="20">
        <f t="shared" si="1"/>
        <v>7.277905462915929E-2</v>
      </c>
      <c r="AB16" s="20">
        <f t="shared" si="1"/>
        <v>4.0396757050163712E-3</v>
      </c>
      <c r="AC16" s="20">
        <f t="shared" si="1"/>
        <v>7.7109218519599815E-2</v>
      </c>
      <c r="AD16" s="20">
        <f t="shared" si="2"/>
        <v>0.16518906715042544</v>
      </c>
      <c r="AE16" s="20">
        <f t="shared" si="3"/>
        <v>0.27174866206396553</v>
      </c>
      <c r="AF16" s="20">
        <f t="shared" si="3"/>
        <v>1.2209799679829891</v>
      </c>
      <c r="AG16" s="20">
        <f t="shared" si="3"/>
        <v>9.5484367380990587E-2</v>
      </c>
      <c r="AH16" s="20">
        <f t="shared" si="3"/>
        <v>1.222584041294458</v>
      </c>
      <c r="AI16" s="20">
        <f t="shared" si="4"/>
        <v>0.17733833858565476</v>
      </c>
      <c r="AJ16" s="20">
        <f t="shared" si="4"/>
        <v>0.80898240271326927</v>
      </c>
      <c r="AK16" s="20">
        <f t="shared" si="4"/>
        <v>6.3616184386017266E-2</v>
      </c>
      <c r="AL16" s="20">
        <f t="shared" si="4"/>
        <v>0.77109218519599831</v>
      </c>
      <c r="AM16" s="20">
        <f t="shared" si="5"/>
        <v>1.8210291108809398</v>
      </c>
      <c r="AO16">
        <f t="shared" si="6"/>
        <v>1.3135152778550862E-2</v>
      </c>
      <c r="AP16">
        <f t="shared" si="6"/>
        <v>8.6751890738399645E-2</v>
      </c>
      <c r="AQ16">
        <f t="shared" si="6"/>
        <v>4.8334141372465538E-3</v>
      </c>
      <c r="AR16">
        <f t="shared" si="6"/>
        <v>9.2090822116850254E-2</v>
      </c>
      <c r="AS16">
        <f t="shared" si="7"/>
        <v>0.19681127977104731</v>
      </c>
      <c r="AU16">
        <f t="shared" si="8"/>
        <v>0.20685034198689772</v>
      </c>
      <c r="AV16">
        <f t="shared" si="8"/>
        <v>0.9642987720446603</v>
      </c>
      <c r="AW16">
        <f t="shared" si="8"/>
        <v>7.6115853702621222E-2</v>
      </c>
      <c r="AX16">
        <f t="shared" si="8"/>
        <v>0.92090822116850268</v>
      </c>
      <c r="AY16">
        <f t="shared" si="9"/>
        <v>2.1681731889026818</v>
      </c>
    </row>
    <row r="17" spans="1:51" ht="15" x14ac:dyDescent="0.25">
      <c r="A17" s="5"/>
      <c r="B17" s="6"/>
      <c r="C17" s="5" t="s">
        <v>13</v>
      </c>
      <c r="D17" s="285">
        <v>0</v>
      </c>
      <c r="E17" s="286">
        <v>0</v>
      </c>
      <c r="F17" s="286">
        <v>0</v>
      </c>
      <c r="G17" s="286">
        <v>0</v>
      </c>
      <c r="H17" s="287">
        <v>0</v>
      </c>
      <c r="J17">
        <v>0</v>
      </c>
      <c r="K17">
        <v>0</v>
      </c>
      <c r="L17">
        <v>0</v>
      </c>
      <c r="M17">
        <v>0</v>
      </c>
      <c r="N17">
        <v>0</v>
      </c>
      <c r="O17" s="20"/>
      <c r="P17" s="20"/>
      <c r="Q17" s="147"/>
      <c r="R17" s="197">
        <v>0.17699999999999999</v>
      </c>
      <c r="S17" s="197">
        <v>1.77</v>
      </c>
      <c r="T17" s="197">
        <v>0.50078889239507718</v>
      </c>
      <c r="U17" s="197">
        <v>0.75268470790377973</v>
      </c>
      <c r="V17" s="20">
        <f t="shared" si="0"/>
        <v>0</v>
      </c>
      <c r="W17" s="20">
        <f t="shared" si="0"/>
        <v>0</v>
      </c>
      <c r="X17" s="20">
        <f t="shared" si="0"/>
        <v>0</v>
      </c>
      <c r="Y17" s="20">
        <f t="shared" si="0"/>
        <v>0</v>
      </c>
      <c r="Z17" s="20">
        <f t="shared" si="1"/>
        <v>0</v>
      </c>
      <c r="AA17" s="20">
        <f t="shared" si="1"/>
        <v>0</v>
      </c>
      <c r="AB17" s="20">
        <f t="shared" si="1"/>
        <v>0</v>
      </c>
      <c r="AC17" s="20">
        <f t="shared" si="1"/>
        <v>0</v>
      </c>
      <c r="AD17" s="20">
        <f t="shared" si="2"/>
        <v>0</v>
      </c>
      <c r="AE17" s="20">
        <f t="shared" si="3"/>
        <v>0</v>
      </c>
      <c r="AF17" s="20">
        <f t="shared" si="3"/>
        <v>0</v>
      </c>
      <c r="AG17" s="20">
        <f t="shared" si="3"/>
        <v>0</v>
      </c>
      <c r="AH17" s="20">
        <f t="shared" si="3"/>
        <v>0</v>
      </c>
      <c r="AI17" s="20">
        <f t="shared" si="4"/>
        <v>0</v>
      </c>
      <c r="AJ17" s="20">
        <f t="shared" si="4"/>
        <v>0</v>
      </c>
      <c r="AK17" s="20">
        <f t="shared" si="4"/>
        <v>0</v>
      </c>
      <c r="AL17" s="20">
        <f t="shared" si="4"/>
        <v>0</v>
      </c>
      <c r="AM17" s="20">
        <f t="shared" si="5"/>
        <v>0</v>
      </c>
      <c r="AO17">
        <f t="shared" si="6"/>
        <v>0</v>
      </c>
      <c r="AP17">
        <f t="shared" si="6"/>
        <v>0</v>
      </c>
      <c r="AQ17">
        <f t="shared" si="6"/>
        <v>0</v>
      </c>
      <c r="AR17">
        <f t="shared" si="6"/>
        <v>0</v>
      </c>
      <c r="AS17">
        <f t="shared" si="7"/>
        <v>0</v>
      </c>
      <c r="AU17">
        <f t="shared" si="8"/>
        <v>0</v>
      </c>
      <c r="AV17">
        <f t="shared" si="8"/>
        <v>0</v>
      </c>
      <c r="AW17">
        <f t="shared" si="8"/>
        <v>0</v>
      </c>
      <c r="AX17">
        <f t="shared" si="8"/>
        <v>0</v>
      </c>
      <c r="AY17">
        <f t="shared" si="9"/>
        <v>0</v>
      </c>
    </row>
    <row r="18" spans="1:51" ht="15" x14ac:dyDescent="0.25">
      <c r="A18" s="7"/>
      <c r="B18" s="8" t="s">
        <v>14</v>
      </c>
      <c r="C18" s="7"/>
      <c r="D18" s="288">
        <f>SUM(D12:D17)</f>
        <v>0</v>
      </c>
      <c r="E18" s="289">
        <f>SUM(E12:E17)</f>
        <v>107.66400907000001</v>
      </c>
      <c r="F18" s="289">
        <f>SUM(F12:F17)</f>
        <v>109.11897675</v>
      </c>
      <c r="G18" s="289">
        <f>SUM(G12:G17)</f>
        <v>141.60160551000001</v>
      </c>
      <c r="H18" s="290">
        <f>SUM(H12:H17)</f>
        <v>329.05486218999999</v>
      </c>
      <c r="J18">
        <v>0</v>
      </c>
      <c r="K18">
        <v>-46.705923816527999</v>
      </c>
      <c r="L18">
        <v>-28.622923372957072</v>
      </c>
      <c r="M18">
        <v>90.545870228297787</v>
      </c>
      <c r="N18">
        <v>90.3072095137357</v>
      </c>
      <c r="O18" s="20"/>
      <c r="P18" s="20"/>
      <c r="Q18" s="147"/>
      <c r="R18" s="197"/>
      <c r="S18" s="197"/>
      <c r="T18" s="197"/>
      <c r="U18" s="197"/>
    </row>
    <row r="19" spans="1:51" ht="15" x14ac:dyDescent="0.25">
      <c r="A19" s="5"/>
      <c r="B19" s="9" t="s">
        <v>15</v>
      </c>
      <c r="C19" s="5"/>
      <c r="D19" s="291"/>
      <c r="E19" s="292"/>
      <c r="F19" s="292"/>
      <c r="G19" s="292"/>
      <c r="H19" s="293">
        <f>SUM(D18:H18)</f>
        <v>687.43945352000003</v>
      </c>
      <c r="N19">
        <v>105.52423255254841</v>
      </c>
      <c r="O19" s="20"/>
      <c r="P19" s="20"/>
      <c r="Q19" s="147"/>
      <c r="R19" s="197"/>
      <c r="S19" s="197"/>
      <c r="T19" s="197"/>
      <c r="U19" s="197"/>
    </row>
    <row r="20" spans="1:51" ht="15.75" thickBot="1" x14ac:dyDescent="0.3">
      <c r="A20" s="1"/>
      <c r="B20" s="2"/>
      <c r="C20" s="1"/>
      <c r="D20" s="294"/>
      <c r="E20" s="295"/>
      <c r="F20" s="295"/>
      <c r="G20" s="295"/>
      <c r="H20" s="296"/>
      <c r="O20" s="20"/>
      <c r="P20" s="20"/>
      <c r="Q20" s="147"/>
      <c r="R20" s="197"/>
      <c r="S20" s="197"/>
      <c r="T20" s="197"/>
      <c r="U20" s="197"/>
    </row>
    <row r="21" spans="1:51" ht="15" x14ac:dyDescent="0.25">
      <c r="A21" s="1">
        <v>2</v>
      </c>
      <c r="B21" s="2" t="s">
        <v>16</v>
      </c>
      <c r="C21" s="1" t="s">
        <v>8</v>
      </c>
      <c r="D21" s="285">
        <v>4.0000000000000001E-8</v>
      </c>
      <c r="E21" s="286">
        <v>22.754948899999999</v>
      </c>
      <c r="F21" s="286">
        <v>36.947473600000002</v>
      </c>
      <c r="G21" s="286">
        <v>1.79408514</v>
      </c>
      <c r="H21" s="287">
        <v>109.38445659</v>
      </c>
      <c r="J21">
        <v>4.0000000000000001E-8</v>
      </c>
      <c r="K21">
        <v>7.4074821020299986</v>
      </c>
      <c r="L21">
        <v>14.755486059700001</v>
      </c>
      <c r="M21">
        <v>-27.071073666</v>
      </c>
      <c r="N21">
        <v>32.206011137549979</v>
      </c>
      <c r="O21" s="20"/>
      <c r="P21" s="20"/>
      <c r="Q21" s="147">
        <v>0.13596855435331753</v>
      </c>
      <c r="R21" s="197">
        <v>0.3</v>
      </c>
      <c r="S21" s="197">
        <v>2.29</v>
      </c>
      <c r="T21" s="197">
        <v>0.50078889239507718</v>
      </c>
      <c r="U21" s="197">
        <v>0.75268470790377973</v>
      </c>
      <c r="V21" s="20">
        <f t="shared" ref="V21:Y26" si="10">IF(K21&gt;0,((E21-K21)*$Q21*$R21*10)+(K21*$O$12*$Q21*$R21*10),(E21*$Q21*$R21*10))</f>
        <v>7.3715012463486413</v>
      </c>
      <c r="W21" s="20">
        <f t="shared" si="10"/>
        <v>11.265680437992959</v>
      </c>
      <c r="X21" s="20">
        <f t="shared" si="10"/>
        <v>0.73181748861770779</v>
      </c>
      <c r="Y21" s="20">
        <f t="shared" si="10"/>
        <v>36.312688853011977</v>
      </c>
      <c r="Z21" s="20">
        <f t="shared" ref="Z21:AC26" si="11">V21*(EXP(1.01-0.34*LN(Z$8))*(1-$T21)+(1*$T21))</f>
        <v>4.8105104694198815</v>
      </c>
      <c r="AA21" s="20">
        <f t="shared" si="11"/>
        <v>7.4642807154182513</v>
      </c>
      <c r="AB21" s="20">
        <f t="shared" si="11"/>
        <v>0.48757129119425507</v>
      </c>
      <c r="AC21" s="20">
        <f t="shared" si="11"/>
        <v>22.902663254433484</v>
      </c>
      <c r="AD21" s="20">
        <f t="shared" ref="AD21:AD26" si="12">SUM(Z21:AC21)</f>
        <v>35.665025730465871</v>
      </c>
      <c r="AE21" s="20">
        <f t="shared" ref="AE21:AH26" si="13">IF(K21&gt;0,((E21-K21)*$Q21*$S21*10)+(K21*$P$12*$Q21*$S21)*10,(E21*$Q21*$S21*10))</f>
        <v>61.144463527483964</v>
      </c>
      <c r="AF21" s="20">
        <f t="shared" si="13"/>
        <v>95.706222336299859</v>
      </c>
      <c r="AG21" s="20">
        <f t="shared" si="13"/>
        <v>5.5862068297818368</v>
      </c>
      <c r="AH21" s="20">
        <f t="shared" si="13"/>
        <v>298.3836923017389</v>
      </c>
      <c r="AI21" s="20">
        <f t="shared" ref="AI21:AL26" si="14">AE21*(EXP(1.01-0.34*LN(AI$8))*(1-$T21)+(1*$T21))</f>
        <v>39.901788267582461</v>
      </c>
      <c r="AJ21" s="20">
        <f t="shared" si="14"/>
        <v>63.411891865951489</v>
      </c>
      <c r="AK21" s="20">
        <f t="shared" si="14"/>
        <v>3.721794189449481</v>
      </c>
      <c r="AL21" s="20">
        <f t="shared" si="14"/>
        <v>188.19265224515016</v>
      </c>
      <c r="AM21" s="20">
        <f t="shared" ref="AM21:AM26" si="15">SUM(AI21:AL21)</f>
        <v>295.22812656813358</v>
      </c>
      <c r="AO21">
        <f t="shared" ref="AO21:AR26" si="16">Z21*AO$10</f>
        <v>5.6110581821563681</v>
      </c>
      <c r="AP21">
        <f t="shared" si="16"/>
        <v>8.8973464737101349</v>
      </c>
      <c r="AQ21">
        <f t="shared" si="16"/>
        <v>0.58337206841813016</v>
      </c>
      <c r="AR21">
        <f t="shared" si="16"/>
        <v>27.352437597718019</v>
      </c>
      <c r="AS21">
        <f t="shared" ref="AS21:AS26" si="17">SUM(AO21:AR21)</f>
        <v>42.444214322002651</v>
      </c>
      <c r="AU21">
        <f t="shared" ref="AU21:AX26" si="18">AI21*AU$10</f>
        <v>46.54209921478239</v>
      </c>
      <c r="AV21">
        <f t="shared" si="18"/>
        <v>75.586328273989324</v>
      </c>
      <c r="AW21">
        <f t="shared" si="18"/>
        <v>4.4530734555917277</v>
      </c>
      <c r="AX21">
        <f t="shared" si="18"/>
        <v>224.75673329773394</v>
      </c>
      <c r="AY21">
        <f t="shared" ref="AY21:AY26" si="19">SUM(AU21:AX21)</f>
        <v>351.33823424209737</v>
      </c>
    </row>
    <row r="22" spans="1:51" ht="15" x14ac:dyDescent="0.25">
      <c r="A22" s="1"/>
      <c r="B22" s="2"/>
      <c r="C22" s="1" t="s">
        <v>9</v>
      </c>
      <c r="D22" s="285">
        <v>0</v>
      </c>
      <c r="E22" s="286">
        <v>23.523934709999999</v>
      </c>
      <c r="F22" s="286">
        <v>0.88824144999999999</v>
      </c>
      <c r="G22" s="286">
        <v>0</v>
      </c>
      <c r="H22" s="287">
        <v>5.99048392</v>
      </c>
      <c r="J22">
        <v>0</v>
      </c>
      <c r="K22">
        <v>22.265284125969998</v>
      </c>
      <c r="L22">
        <v>0.88824144999999999</v>
      </c>
      <c r="M22">
        <v>0</v>
      </c>
      <c r="N22">
        <v>5.99048392</v>
      </c>
      <c r="O22" s="20"/>
      <c r="P22" s="20"/>
      <c r="Q22" s="147">
        <v>0.13693710870663506</v>
      </c>
      <c r="R22" s="197">
        <v>0.3</v>
      </c>
      <c r="S22" s="197">
        <v>2.29</v>
      </c>
      <c r="T22" s="197">
        <v>0.50078889239507718</v>
      </c>
      <c r="U22" s="197">
        <v>0.75268470790377973</v>
      </c>
      <c r="V22" s="20">
        <f t="shared" si="10"/>
        <v>3.8808336854718597</v>
      </c>
      <c r="W22" s="20">
        <f t="shared" si="10"/>
        <v>0.13419259184092244</v>
      </c>
      <c r="X22" s="20">
        <f t="shared" si="10"/>
        <v>0</v>
      </c>
      <c r="Y22" s="20">
        <f t="shared" si="10"/>
        <v>0.90502257421804511</v>
      </c>
      <c r="Z22" s="20">
        <f t="shared" si="11"/>
        <v>2.5325629678604504</v>
      </c>
      <c r="AA22" s="20">
        <f t="shared" si="11"/>
        <v>8.8911733378497948E-2</v>
      </c>
      <c r="AB22" s="20">
        <f t="shared" si="11"/>
        <v>0</v>
      </c>
      <c r="AC22" s="20">
        <f t="shared" si="11"/>
        <v>0.57080397815974937</v>
      </c>
      <c r="AD22" s="20">
        <f t="shared" si="12"/>
        <v>3.1922786793986977</v>
      </c>
      <c r="AE22" s="20">
        <f t="shared" si="13"/>
        <v>44.382290817673066</v>
      </c>
      <c r="AF22" s="20">
        <f t="shared" si="13"/>
        <v>1.6131096282788651</v>
      </c>
      <c r="AG22" s="20">
        <f t="shared" si="13"/>
        <v>0</v>
      </c>
      <c r="AH22" s="20">
        <f t="shared" si="13"/>
        <v>10.87914472962472</v>
      </c>
      <c r="AI22" s="20">
        <f t="shared" si="14"/>
        <v>28.963092794837248</v>
      </c>
      <c r="AJ22" s="20">
        <f t="shared" si="14"/>
        <v>1.0687950147787568</v>
      </c>
      <c r="AK22" s="20">
        <f t="shared" si="14"/>
        <v>0</v>
      </c>
      <c r="AL22" s="20">
        <f t="shared" si="14"/>
        <v>6.8615515983243682</v>
      </c>
      <c r="AM22" s="20">
        <f t="shared" si="15"/>
        <v>36.893439407940377</v>
      </c>
      <c r="AO22">
        <f t="shared" si="16"/>
        <v>2.9540229156497975</v>
      </c>
      <c r="AP22">
        <f t="shared" si="16"/>
        <v>0.10598187924692853</v>
      </c>
      <c r="AQ22">
        <f t="shared" si="16"/>
        <v>0</v>
      </c>
      <c r="AR22">
        <f t="shared" si="16"/>
        <v>0.68170587934228177</v>
      </c>
      <c r="AS22">
        <f t="shared" si="17"/>
        <v>3.7417106742390076</v>
      </c>
      <c r="AU22">
        <f t="shared" si="18"/>
        <v>33.783025697608309</v>
      </c>
      <c r="AV22">
        <f t="shared" si="18"/>
        <v>1.2739927554195547</v>
      </c>
      <c r="AW22">
        <f t="shared" si="18"/>
        <v>0</v>
      </c>
      <c r="AX22">
        <f t="shared" si="18"/>
        <v>8.1946872218172526</v>
      </c>
      <c r="AY22">
        <f t="shared" si="19"/>
        <v>43.25170567484512</v>
      </c>
    </row>
    <row r="23" spans="1:51" ht="15" x14ac:dyDescent="0.25">
      <c r="A23" s="1"/>
      <c r="B23" s="2"/>
      <c r="C23" s="1" t="s">
        <v>10</v>
      </c>
      <c r="D23" s="285">
        <v>0</v>
      </c>
      <c r="E23" s="286">
        <v>21.99833061</v>
      </c>
      <c r="F23" s="286">
        <v>0</v>
      </c>
      <c r="G23" s="286">
        <v>0.20472351999999999</v>
      </c>
      <c r="H23" s="287">
        <v>1.57032422</v>
      </c>
      <c r="J23">
        <v>0</v>
      </c>
      <c r="K23">
        <v>19.940238007249999</v>
      </c>
      <c r="L23">
        <v>0</v>
      </c>
      <c r="M23">
        <v>-1.02222272788</v>
      </c>
      <c r="N23">
        <v>1.1131592694234009</v>
      </c>
      <c r="O23" s="20"/>
      <c r="P23" s="20"/>
      <c r="Q23" s="147">
        <v>0.13790566305995258</v>
      </c>
      <c r="R23" s="197">
        <v>0.3</v>
      </c>
      <c r="S23" s="197">
        <v>2.29</v>
      </c>
      <c r="T23" s="197">
        <v>0.50078889239507718</v>
      </c>
      <c r="U23" s="197">
        <v>0.75268470790377973</v>
      </c>
      <c r="V23" s="20">
        <f t="shared" si="10"/>
        <v>3.885280748706708</v>
      </c>
      <c r="W23" s="20">
        <f t="shared" si="10"/>
        <v>0</v>
      </c>
      <c r="X23" s="20">
        <f t="shared" si="10"/>
        <v>8.4697598308702396E-2</v>
      </c>
      <c r="Y23" s="20">
        <f t="shared" si="10"/>
        <v>0.35849882329167526</v>
      </c>
      <c r="Z23" s="20">
        <f t="shared" si="11"/>
        <v>2.5354650421509493</v>
      </c>
      <c r="AA23" s="20">
        <f t="shared" si="11"/>
        <v>0</v>
      </c>
      <c r="AB23" s="20">
        <f t="shared" si="11"/>
        <v>5.6429530601172818E-2</v>
      </c>
      <c r="AC23" s="20">
        <f t="shared" si="11"/>
        <v>0.22610767988553576</v>
      </c>
      <c r="AD23" s="20">
        <f t="shared" si="12"/>
        <v>2.8180022526376578</v>
      </c>
      <c r="AE23" s="20">
        <f t="shared" si="13"/>
        <v>42.968561400588314</v>
      </c>
      <c r="AF23" s="20">
        <f t="shared" si="13"/>
        <v>0</v>
      </c>
      <c r="AG23" s="20">
        <f t="shared" si="13"/>
        <v>0.64652500042309491</v>
      </c>
      <c r="AH23" s="20">
        <f t="shared" si="13"/>
        <v>3.4796200192985718</v>
      </c>
      <c r="AI23" s="20">
        <f t="shared" si="14"/>
        <v>28.040518147619803</v>
      </c>
      <c r="AJ23" s="20">
        <f t="shared" si="14"/>
        <v>0</v>
      </c>
      <c r="AK23" s="20">
        <f t="shared" si="14"/>
        <v>0.4307454169222858</v>
      </c>
      <c r="AL23" s="20">
        <f t="shared" si="14"/>
        <v>2.1946203399578432</v>
      </c>
      <c r="AM23" s="20">
        <f t="shared" si="15"/>
        <v>30.665883904499932</v>
      </c>
      <c r="AO23">
        <f t="shared" si="16"/>
        <v>2.9574079426228068</v>
      </c>
      <c r="AP23">
        <f t="shared" si="16"/>
        <v>0</v>
      </c>
      <c r="AQ23">
        <f t="shared" si="16"/>
        <v>6.7517125354197308E-2</v>
      </c>
      <c r="AR23">
        <f t="shared" si="16"/>
        <v>0.27003829797989576</v>
      </c>
      <c r="AS23">
        <f t="shared" si="17"/>
        <v>3.2949633659569</v>
      </c>
      <c r="AU23">
        <f t="shared" si="18"/>
        <v>32.706919522218627</v>
      </c>
      <c r="AV23">
        <f t="shared" si="18"/>
        <v>0</v>
      </c>
      <c r="AW23">
        <f t="shared" si="18"/>
        <v>0.51538072353703945</v>
      </c>
      <c r="AX23">
        <f t="shared" si="18"/>
        <v>2.6210146493665705</v>
      </c>
      <c r="AY23">
        <f t="shared" si="19"/>
        <v>35.843314895122241</v>
      </c>
    </row>
    <row r="24" spans="1:51" ht="15" x14ac:dyDescent="0.25">
      <c r="A24" s="1"/>
      <c r="B24" s="2"/>
      <c r="C24" s="1" t="s">
        <v>11</v>
      </c>
      <c r="D24" s="285">
        <v>0</v>
      </c>
      <c r="E24" s="286">
        <v>8.9315889999999995E-2</v>
      </c>
      <c r="F24" s="286">
        <v>0</v>
      </c>
      <c r="G24" s="286">
        <v>0</v>
      </c>
      <c r="H24" s="287">
        <v>0.1163059</v>
      </c>
      <c r="J24">
        <v>0</v>
      </c>
      <c r="K24">
        <v>-0.372491127423</v>
      </c>
      <c r="L24">
        <v>0</v>
      </c>
      <c r="M24">
        <v>0</v>
      </c>
      <c r="N24">
        <v>2.6938042983200003E-2</v>
      </c>
      <c r="O24" s="20"/>
      <c r="P24" s="20"/>
      <c r="Q24" s="147">
        <v>0.13887421741327008</v>
      </c>
      <c r="R24" s="197">
        <v>0.3</v>
      </c>
      <c r="S24" s="197">
        <v>2.29</v>
      </c>
      <c r="T24" s="197">
        <v>0.50078889239507718</v>
      </c>
      <c r="U24" s="197">
        <v>0.75268470790377973</v>
      </c>
      <c r="V24" s="20">
        <f t="shared" si="10"/>
        <v>3.7211022978959139E-2</v>
      </c>
      <c r="W24" s="20">
        <f t="shared" si="10"/>
        <v>0</v>
      </c>
      <c r="X24" s="20">
        <f t="shared" si="10"/>
        <v>0</v>
      </c>
      <c r="Y24" s="20">
        <f t="shared" si="10"/>
        <v>4.1359954419163139E-2</v>
      </c>
      <c r="Z24" s="20">
        <f t="shared" si="11"/>
        <v>2.4283251082236956E-2</v>
      </c>
      <c r="AA24" s="20">
        <f t="shared" si="11"/>
        <v>0</v>
      </c>
      <c r="AB24" s="20">
        <f t="shared" si="11"/>
        <v>0</v>
      </c>
      <c r="AC24" s="20">
        <f t="shared" si="11"/>
        <v>2.6086008450521038E-2</v>
      </c>
      <c r="AD24" s="20">
        <f t="shared" si="12"/>
        <v>5.036925953275799E-2</v>
      </c>
      <c r="AE24" s="20">
        <f t="shared" si="13"/>
        <v>0.28404414207272144</v>
      </c>
      <c r="AF24" s="20">
        <f t="shared" si="13"/>
        <v>0</v>
      </c>
      <c r="AG24" s="20">
        <f t="shared" si="13"/>
        <v>0</v>
      </c>
      <c r="AH24" s="20">
        <f t="shared" si="13"/>
        <v>0.33382285082911867</v>
      </c>
      <c r="AI24" s="20">
        <f t="shared" si="14"/>
        <v>0.18536214992774211</v>
      </c>
      <c r="AJ24" s="20">
        <f t="shared" si="14"/>
        <v>0</v>
      </c>
      <c r="AK24" s="20">
        <f t="shared" si="14"/>
        <v>0</v>
      </c>
      <c r="AL24" s="20">
        <f t="shared" si="14"/>
        <v>0.21054437389976238</v>
      </c>
      <c r="AM24" s="20">
        <f t="shared" si="15"/>
        <v>0.39590652382750446</v>
      </c>
      <c r="AO24">
        <f t="shared" si="16"/>
        <v>2.8324381693066898E-2</v>
      </c>
      <c r="AP24">
        <f t="shared" si="16"/>
        <v>0</v>
      </c>
      <c r="AQ24">
        <f t="shared" si="16"/>
        <v>0</v>
      </c>
      <c r="AR24">
        <f t="shared" si="16"/>
        <v>3.1154277141908361E-2</v>
      </c>
      <c r="AS24">
        <f t="shared" si="17"/>
        <v>5.9478658834975259E-2</v>
      </c>
      <c r="AU24">
        <f t="shared" si="18"/>
        <v>0.216209446923744</v>
      </c>
      <c r="AV24">
        <f t="shared" si="18"/>
        <v>0</v>
      </c>
      <c r="AW24">
        <f t="shared" si="18"/>
        <v>0</v>
      </c>
      <c r="AX24">
        <f t="shared" si="18"/>
        <v>0.25145118646972447</v>
      </c>
      <c r="AY24">
        <f t="shared" si="19"/>
        <v>0.46766063339346847</v>
      </c>
    </row>
    <row r="25" spans="1:51" ht="15" x14ac:dyDescent="0.25">
      <c r="A25" s="1"/>
      <c r="B25" s="2"/>
      <c r="C25" s="1" t="s">
        <v>12</v>
      </c>
      <c r="D25" s="285">
        <v>0</v>
      </c>
      <c r="E25" s="286">
        <v>0.35930684000000002</v>
      </c>
      <c r="F25" s="286">
        <v>0.23843792</v>
      </c>
      <c r="G25" s="286">
        <v>0</v>
      </c>
      <c r="H25" s="287">
        <v>3.2241675500000002</v>
      </c>
      <c r="J25">
        <v>0</v>
      </c>
      <c r="K25">
        <v>0.15206683195700002</v>
      </c>
      <c r="L25">
        <v>0.23843792</v>
      </c>
      <c r="M25">
        <v>0</v>
      </c>
      <c r="N25">
        <v>1.8653058131290001</v>
      </c>
      <c r="O25" s="20"/>
      <c r="P25" s="20"/>
      <c r="Q25" s="147">
        <v>0.13887421741327008</v>
      </c>
      <c r="R25" s="197">
        <v>0.3</v>
      </c>
      <c r="S25" s="197">
        <v>2.29</v>
      </c>
      <c r="T25" s="197">
        <v>0.50078889239507718</v>
      </c>
      <c r="U25" s="197">
        <v>0.75268470790377973</v>
      </c>
      <c r="V25" s="20">
        <f t="shared" si="10"/>
        <v>0.10963962391191237</v>
      </c>
      <c r="W25" s="20">
        <f t="shared" si="10"/>
        <v>3.6531987521746516E-2</v>
      </c>
      <c r="X25" s="20">
        <f t="shared" si="10"/>
        <v>0</v>
      </c>
      <c r="Y25" s="20">
        <f t="shared" si="10"/>
        <v>0.85192323314077512</v>
      </c>
      <c r="Z25" s="20">
        <f t="shared" si="11"/>
        <v>7.154886651518419E-2</v>
      </c>
      <c r="AA25" s="20">
        <f t="shared" si="11"/>
        <v>2.4204930315159287E-2</v>
      </c>
      <c r="AB25" s="20">
        <f t="shared" si="11"/>
        <v>0</v>
      </c>
      <c r="AC25" s="20">
        <f t="shared" si="11"/>
        <v>0.53731385759479566</v>
      </c>
      <c r="AD25" s="20">
        <f t="shared" si="12"/>
        <v>0.63306765442513913</v>
      </c>
      <c r="AE25" s="20">
        <f t="shared" si="13"/>
        <v>0.93913952120631317</v>
      </c>
      <c r="AF25" s="20">
        <f t="shared" si="13"/>
        <v>0.43914570844082734</v>
      </c>
      <c r="AG25" s="20">
        <f t="shared" si="13"/>
        <v>0</v>
      </c>
      <c r="AH25" s="20">
        <f t="shared" si="13"/>
        <v>7.7569265636112785</v>
      </c>
      <c r="AI25" s="20">
        <f t="shared" si="14"/>
        <v>0.61286573087764673</v>
      </c>
      <c r="AJ25" s="20">
        <f t="shared" si="14"/>
        <v>0.29096394672433384</v>
      </c>
      <c r="AK25" s="20">
        <f t="shared" si="14"/>
        <v>0</v>
      </c>
      <c r="AL25" s="20">
        <f t="shared" si="14"/>
        <v>4.892347071704755</v>
      </c>
      <c r="AM25" s="20">
        <f t="shared" si="15"/>
        <v>5.7961767493067358</v>
      </c>
      <c r="AO25">
        <f t="shared" si="16"/>
        <v>8.3455769493929036E-2</v>
      </c>
      <c r="AP25">
        <f t="shared" si="16"/>
        <v>2.885203003433863E-2</v>
      </c>
      <c r="AQ25">
        <f t="shared" si="16"/>
        <v>0</v>
      </c>
      <c r="AR25">
        <f t="shared" si="16"/>
        <v>0.64170894000311463</v>
      </c>
      <c r="AS25">
        <f t="shared" si="17"/>
        <v>0.75401673953138226</v>
      </c>
      <c r="AU25">
        <f t="shared" si="18"/>
        <v>0.71485662398297689</v>
      </c>
      <c r="AV25">
        <f t="shared" si="18"/>
        <v>0.34682605653041476</v>
      </c>
      <c r="AW25">
        <f t="shared" si="18"/>
        <v>0</v>
      </c>
      <c r="AX25">
        <f t="shared" si="18"/>
        <v>5.8428845806514866</v>
      </c>
      <c r="AY25">
        <f t="shared" si="19"/>
        <v>6.9045672611648783</v>
      </c>
    </row>
    <row r="26" spans="1:51" ht="15" x14ac:dyDescent="0.25">
      <c r="A26" s="1"/>
      <c r="B26" s="2"/>
      <c r="C26" s="1" t="s">
        <v>13</v>
      </c>
      <c r="D26" s="285">
        <v>0</v>
      </c>
      <c r="E26" s="286">
        <v>0</v>
      </c>
      <c r="F26" s="286">
        <v>0</v>
      </c>
      <c r="G26" s="286">
        <v>0</v>
      </c>
      <c r="H26" s="287">
        <v>0</v>
      </c>
      <c r="J26">
        <v>0</v>
      </c>
      <c r="K26">
        <v>0</v>
      </c>
      <c r="L26">
        <v>0</v>
      </c>
      <c r="M26">
        <v>0</v>
      </c>
      <c r="N26">
        <v>0</v>
      </c>
      <c r="O26" s="20"/>
      <c r="P26" s="20"/>
      <c r="Q26" s="147"/>
      <c r="R26" s="197">
        <v>0.3</v>
      </c>
      <c r="S26" s="197">
        <v>2.29</v>
      </c>
      <c r="T26" s="197">
        <v>0.50078889239507718</v>
      </c>
      <c r="U26" s="197">
        <v>0.75268470790377973</v>
      </c>
      <c r="V26" s="20">
        <f t="shared" si="10"/>
        <v>0</v>
      </c>
      <c r="W26" s="20">
        <f t="shared" si="10"/>
        <v>0</v>
      </c>
      <c r="X26" s="20">
        <f t="shared" si="10"/>
        <v>0</v>
      </c>
      <c r="Y26" s="20">
        <f t="shared" si="10"/>
        <v>0</v>
      </c>
      <c r="Z26" s="20">
        <f t="shared" si="11"/>
        <v>0</v>
      </c>
      <c r="AA26" s="20">
        <f t="shared" si="11"/>
        <v>0</v>
      </c>
      <c r="AB26" s="20">
        <f t="shared" si="11"/>
        <v>0</v>
      </c>
      <c r="AC26" s="20">
        <f t="shared" si="11"/>
        <v>0</v>
      </c>
      <c r="AD26" s="20">
        <f t="shared" si="12"/>
        <v>0</v>
      </c>
      <c r="AE26" s="20">
        <f t="shared" si="13"/>
        <v>0</v>
      </c>
      <c r="AF26" s="20">
        <f t="shared" si="13"/>
        <v>0</v>
      </c>
      <c r="AG26" s="20">
        <f t="shared" si="13"/>
        <v>0</v>
      </c>
      <c r="AH26" s="20">
        <f t="shared" si="13"/>
        <v>0</v>
      </c>
      <c r="AI26" s="20">
        <f t="shared" si="14"/>
        <v>0</v>
      </c>
      <c r="AJ26" s="20">
        <f t="shared" si="14"/>
        <v>0</v>
      </c>
      <c r="AK26" s="20">
        <f t="shared" si="14"/>
        <v>0</v>
      </c>
      <c r="AL26" s="20">
        <f t="shared" si="14"/>
        <v>0</v>
      </c>
      <c r="AM26" s="20">
        <f t="shared" si="15"/>
        <v>0</v>
      </c>
      <c r="AO26">
        <f t="shared" si="16"/>
        <v>0</v>
      </c>
      <c r="AP26">
        <f t="shared" si="16"/>
        <v>0</v>
      </c>
      <c r="AQ26">
        <f t="shared" si="16"/>
        <v>0</v>
      </c>
      <c r="AR26">
        <f t="shared" si="16"/>
        <v>0</v>
      </c>
      <c r="AS26">
        <f t="shared" si="17"/>
        <v>0</v>
      </c>
      <c r="AU26">
        <f t="shared" si="18"/>
        <v>0</v>
      </c>
      <c r="AV26">
        <f t="shared" si="18"/>
        <v>0</v>
      </c>
      <c r="AW26">
        <f t="shared" si="18"/>
        <v>0</v>
      </c>
      <c r="AX26">
        <f t="shared" si="18"/>
        <v>0</v>
      </c>
      <c r="AY26">
        <f t="shared" si="19"/>
        <v>0</v>
      </c>
    </row>
    <row r="27" spans="1:51" ht="15" x14ac:dyDescent="0.25">
      <c r="A27" s="7"/>
      <c r="B27" s="8" t="s">
        <v>14</v>
      </c>
      <c r="C27" s="7"/>
      <c r="D27" s="288">
        <f>SUM(D21:D26)</f>
        <v>4.0000000000000001E-8</v>
      </c>
      <c r="E27" s="289">
        <f>SUM(E21:E26)</f>
        <v>68.725836949999987</v>
      </c>
      <c r="F27" s="289">
        <f>SUM(F21:F26)</f>
        <v>38.074152970000007</v>
      </c>
      <c r="G27" s="289">
        <f>SUM(G21:G26)</f>
        <v>1.9988086599999999</v>
      </c>
      <c r="H27" s="290">
        <f>SUM(H21:H26)</f>
        <v>120.28573818000001</v>
      </c>
      <c r="J27">
        <v>4.0000000000000001E-8</v>
      </c>
      <c r="K27">
        <v>49.392579939784</v>
      </c>
      <c r="L27">
        <v>15.882165429700002</v>
      </c>
      <c r="M27">
        <v>-28.093296393879999</v>
      </c>
      <c r="N27">
        <v>41.201898183085575</v>
      </c>
      <c r="O27" s="20"/>
      <c r="P27" s="20"/>
      <c r="Q27" s="147"/>
      <c r="R27" s="197"/>
      <c r="S27" s="197"/>
      <c r="T27" s="197"/>
      <c r="U27" s="197"/>
    </row>
    <row r="28" spans="1:51" ht="15" x14ac:dyDescent="0.25">
      <c r="A28" s="5"/>
      <c r="B28" s="9" t="s">
        <v>15</v>
      </c>
      <c r="C28" s="5"/>
      <c r="D28" s="291"/>
      <c r="E28" s="292"/>
      <c r="F28" s="292"/>
      <c r="G28" s="292"/>
      <c r="H28" s="293">
        <f>SUM(D27:H27)</f>
        <v>229.08453680000002</v>
      </c>
      <c r="N28">
        <v>78.383347198689592</v>
      </c>
      <c r="O28" s="20"/>
      <c r="P28" s="20"/>
      <c r="Q28" s="147"/>
      <c r="R28" s="197"/>
      <c r="S28" s="197"/>
      <c r="T28" s="197"/>
      <c r="U28" s="197"/>
    </row>
    <row r="29" spans="1:51" ht="15.75" thickBot="1" x14ac:dyDescent="0.3">
      <c r="A29" s="1"/>
      <c r="B29" s="2"/>
      <c r="C29" s="1"/>
      <c r="D29" s="297"/>
      <c r="E29" s="298"/>
      <c r="F29" s="298"/>
      <c r="G29" s="298"/>
      <c r="H29" s="299"/>
      <c r="O29" s="20"/>
      <c r="P29" s="20"/>
      <c r="Q29" s="147"/>
      <c r="R29" s="197"/>
      <c r="S29" s="197"/>
      <c r="T29" s="197"/>
      <c r="U29" s="197"/>
    </row>
    <row r="30" spans="1:51" ht="15" x14ac:dyDescent="0.25">
      <c r="A30" s="1">
        <v>3</v>
      </c>
      <c r="B30" s="2" t="s">
        <v>17</v>
      </c>
      <c r="C30" s="1" t="s">
        <v>8</v>
      </c>
      <c r="D30" s="282">
        <v>0</v>
      </c>
      <c r="E30" s="283">
        <v>0</v>
      </c>
      <c r="F30" s="283">
        <v>0</v>
      </c>
      <c r="G30" s="283">
        <v>0</v>
      </c>
      <c r="H30" s="284">
        <v>6.1000772200000002</v>
      </c>
      <c r="J30">
        <v>0</v>
      </c>
      <c r="K30">
        <v>0</v>
      </c>
      <c r="L30">
        <v>0</v>
      </c>
      <c r="M30">
        <v>0</v>
      </c>
      <c r="N30">
        <v>1.4420044916599997</v>
      </c>
      <c r="O30" s="20"/>
      <c r="P30" s="20"/>
      <c r="Q30" s="147">
        <v>0.22585460678233898</v>
      </c>
      <c r="R30" s="197">
        <v>0.49</v>
      </c>
      <c r="S30" s="197">
        <v>2.42</v>
      </c>
      <c r="T30" s="197">
        <v>0.50078889239507718</v>
      </c>
      <c r="U30" s="197">
        <v>0.75268470790377973</v>
      </c>
      <c r="V30" s="20">
        <f t="shared" ref="V30:Y35" si="20">IF(K30&gt;0,((E30-K30)*$Q30*$R30*10)+(K30*$O$12*$Q30*$R30*10),(E30*$Q30*$R30*10))</f>
        <v>0</v>
      </c>
      <c r="W30" s="20">
        <f t="shared" si="20"/>
        <v>0</v>
      </c>
      <c r="X30" s="20">
        <f t="shared" si="20"/>
        <v>0</v>
      </c>
      <c r="Y30" s="20">
        <f t="shared" si="20"/>
        <v>5.741907735528426</v>
      </c>
      <c r="Z30" s="20">
        <f t="shared" ref="Z30:AC35" si="21">V30*(EXP(1.01-0.34*LN(Z$8))*(1-$T30)+(1*$T30))</f>
        <v>0</v>
      </c>
      <c r="AA30" s="20">
        <f t="shared" si="21"/>
        <v>0</v>
      </c>
      <c r="AB30" s="20">
        <f t="shared" si="21"/>
        <v>0</v>
      </c>
      <c r="AC30" s="20">
        <f t="shared" si="21"/>
        <v>3.6214608022321242</v>
      </c>
      <c r="AD30" s="20">
        <f t="shared" ref="AD30:AD35" si="22">SUM(Z30:AC30)</f>
        <v>3.6214608022321242</v>
      </c>
      <c r="AE30" s="20">
        <f t="shared" ref="AE30:AH35" si="23">IF(K30&gt;0,((E30-K30)*$Q30*$S30*10)+(K30*$P$12*$Q30*$S30)*10,(E30*$Q30*$S30*10))</f>
        <v>0</v>
      </c>
      <c r="AF30" s="20">
        <f t="shared" si="23"/>
        <v>0</v>
      </c>
      <c r="AG30" s="20">
        <f t="shared" si="23"/>
        <v>0</v>
      </c>
      <c r="AH30" s="20">
        <f t="shared" si="23"/>
        <v>30.023978092550646</v>
      </c>
      <c r="AI30" s="20">
        <f t="shared" ref="AI30:AL35" si="24">AE30*(EXP(1.01-0.34*LN(AI$8))*(1-$T30)+(1*$T30))</f>
        <v>0</v>
      </c>
      <c r="AJ30" s="20">
        <f t="shared" si="24"/>
        <v>0</v>
      </c>
      <c r="AK30" s="20">
        <f t="shared" si="24"/>
        <v>0</v>
      </c>
      <c r="AL30" s="20">
        <f t="shared" si="24"/>
        <v>18.936330013885488</v>
      </c>
      <c r="AM30" s="20">
        <f t="shared" ref="AM30:AM35" si="25">SUM(AI30:AL30)</f>
        <v>18.936330013885488</v>
      </c>
      <c r="AO30">
        <f t="shared" ref="AO30:AR35" si="26">Z30*AO$10</f>
        <v>0</v>
      </c>
      <c r="AP30">
        <f t="shared" si="26"/>
        <v>0</v>
      </c>
      <c r="AQ30">
        <f t="shared" si="26"/>
        <v>0</v>
      </c>
      <c r="AR30">
        <f t="shared" si="26"/>
        <v>4.3250769356031489</v>
      </c>
      <c r="AS30">
        <f t="shared" ref="AS30:AS35" si="27">SUM(AO30:AR30)</f>
        <v>4.3250769356031489</v>
      </c>
      <c r="AU30">
        <f t="shared" ref="AU30:AX35" si="28">AI30*AU$10</f>
        <v>0</v>
      </c>
      <c r="AV30">
        <f t="shared" si="28"/>
        <v>0</v>
      </c>
      <c r="AW30">
        <f t="shared" si="28"/>
        <v>0</v>
      </c>
      <c r="AX30">
        <f t="shared" si="28"/>
        <v>22.615482718339852</v>
      </c>
      <c r="AY30">
        <f t="shared" ref="AY30:AY35" si="29">SUM(AU30:AX30)</f>
        <v>22.615482718339852</v>
      </c>
    </row>
    <row r="31" spans="1:51" ht="15" x14ac:dyDescent="0.25">
      <c r="A31" s="1"/>
      <c r="B31" s="2"/>
      <c r="C31" s="1" t="s">
        <v>9</v>
      </c>
      <c r="D31" s="285">
        <v>0</v>
      </c>
      <c r="E31" s="286">
        <v>0</v>
      </c>
      <c r="F31" s="286">
        <v>0</v>
      </c>
      <c r="G31" s="286">
        <v>0</v>
      </c>
      <c r="H31" s="287">
        <v>0</v>
      </c>
      <c r="J31">
        <v>0</v>
      </c>
      <c r="K31">
        <v>0</v>
      </c>
      <c r="L31">
        <v>0</v>
      </c>
      <c r="M31">
        <v>0</v>
      </c>
      <c r="N31">
        <v>0</v>
      </c>
      <c r="O31" s="20"/>
      <c r="P31" s="20"/>
      <c r="Q31" s="147"/>
      <c r="R31" s="197">
        <v>0.49</v>
      </c>
      <c r="S31" s="197">
        <v>2.42</v>
      </c>
      <c r="T31" s="197">
        <v>0.50078889239507718</v>
      </c>
      <c r="U31" s="197">
        <v>0.75268470790377973</v>
      </c>
      <c r="V31" s="20">
        <f t="shared" si="20"/>
        <v>0</v>
      </c>
      <c r="W31" s="20">
        <f t="shared" si="20"/>
        <v>0</v>
      </c>
      <c r="X31" s="20">
        <f t="shared" si="20"/>
        <v>0</v>
      </c>
      <c r="Y31" s="20">
        <f t="shared" si="20"/>
        <v>0</v>
      </c>
      <c r="Z31" s="20">
        <f t="shared" si="21"/>
        <v>0</v>
      </c>
      <c r="AA31" s="20">
        <f t="shared" si="21"/>
        <v>0</v>
      </c>
      <c r="AB31" s="20">
        <f t="shared" si="21"/>
        <v>0</v>
      </c>
      <c r="AC31" s="20">
        <f t="shared" si="21"/>
        <v>0</v>
      </c>
      <c r="AD31" s="20">
        <f t="shared" si="22"/>
        <v>0</v>
      </c>
      <c r="AE31" s="20">
        <f t="shared" si="23"/>
        <v>0</v>
      </c>
      <c r="AF31" s="20">
        <f t="shared" si="23"/>
        <v>0</v>
      </c>
      <c r="AG31" s="20">
        <f t="shared" si="23"/>
        <v>0</v>
      </c>
      <c r="AH31" s="20">
        <f t="shared" si="23"/>
        <v>0</v>
      </c>
      <c r="AI31" s="20">
        <f t="shared" si="24"/>
        <v>0</v>
      </c>
      <c r="AJ31" s="20">
        <f t="shared" si="24"/>
        <v>0</v>
      </c>
      <c r="AK31" s="20">
        <f t="shared" si="24"/>
        <v>0</v>
      </c>
      <c r="AL31" s="20">
        <f t="shared" si="24"/>
        <v>0</v>
      </c>
      <c r="AM31" s="20">
        <f t="shared" si="25"/>
        <v>0</v>
      </c>
      <c r="AO31">
        <f t="shared" si="26"/>
        <v>0</v>
      </c>
      <c r="AP31">
        <f t="shared" si="26"/>
        <v>0</v>
      </c>
      <c r="AQ31">
        <f t="shared" si="26"/>
        <v>0</v>
      </c>
      <c r="AR31">
        <f t="shared" si="26"/>
        <v>0</v>
      </c>
      <c r="AS31">
        <f t="shared" si="27"/>
        <v>0</v>
      </c>
      <c r="AU31">
        <f t="shared" si="28"/>
        <v>0</v>
      </c>
      <c r="AV31">
        <f t="shared" si="28"/>
        <v>0</v>
      </c>
      <c r="AW31">
        <f t="shared" si="28"/>
        <v>0</v>
      </c>
      <c r="AX31">
        <f t="shared" si="28"/>
        <v>0</v>
      </c>
      <c r="AY31">
        <f t="shared" si="29"/>
        <v>0</v>
      </c>
    </row>
    <row r="32" spans="1:51" ht="15" x14ac:dyDescent="0.25">
      <c r="A32" s="1"/>
      <c r="B32" s="2"/>
      <c r="C32" s="1" t="s">
        <v>10</v>
      </c>
      <c r="D32" s="285">
        <v>0</v>
      </c>
      <c r="E32" s="286">
        <v>0</v>
      </c>
      <c r="F32" s="286">
        <v>0</v>
      </c>
      <c r="G32" s="286">
        <v>0</v>
      </c>
      <c r="H32" s="287">
        <v>0.26119365999999999</v>
      </c>
      <c r="J32">
        <v>0</v>
      </c>
      <c r="K32">
        <v>0</v>
      </c>
      <c r="L32">
        <v>0</v>
      </c>
      <c r="M32">
        <v>0</v>
      </c>
      <c r="N32">
        <v>1.8588043421999989E-2</v>
      </c>
      <c r="O32" s="20"/>
      <c r="P32" s="20"/>
      <c r="Q32" s="147">
        <v>0.22756382034701697</v>
      </c>
      <c r="R32" s="197">
        <v>0.49</v>
      </c>
      <c r="S32" s="197">
        <v>2.42</v>
      </c>
      <c r="T32" s="197">
        <v>0.50078889239507718</v>
      </c>
      <c r="U32" s="197">
        <v>0.75268470790377973</v>
      </c>
      <c r="V32" s="20">
        <f t="shared" si="20"/>
        <v>0</v>
      </c>
      <c r="W32" s="20">
        <f t="shared" si="20"/>
        <v>0</v>
      </c>
      <c r="X32" s="20">
        <f t="shared" si="20"/>
        <v>0</v>
      </c>
      <c r="Y32" s="20">
        <f t="shared" si="20"/>
        <v>0.27814281432277199</v>
      </c>
      <c r="Z32" s="20">
        <f t="shared" si="21"/>
        <v>0</v>
      </c>
      <c r="AA32" s="20">
        <f t="shared" si="21"/>
        <v>0</v>
      </c>
      <c r="AB32" s="20">
        <f t="shared" si="21"/>
        <v>0</v>
      </c>
      <c r="AC32" s="20">
        <f t="shared" si="21"/>
        <v>0.17542659093245541</v>
      </c>
      <c r="AD32" s="20">
        <f t="shared" si="22"/>
        <v>0.17542659093245541</v>
      </c>
      <c r="AE32" s="20">
        <f t="shared" si="23"/>
        <v>0</v>
      </c>
      <c r="AF32" s="20">
        <f t="shared" si="23"/>
        <v>0</v>
      </c>
      <c r="AG32" s="20">
        <f t="shared" si="23"/>
        <v>0</v>
      </c>
      <c r="AH32" s="20">
        <f t="shared" si="23"/>
        <v>1.3953226826907694</v>
      </c>
      <c r="AI32" s="20">
        <f t="shared" si="24"/>
        <v>0</v>
      </c>
      <c r="AJ32" s="20">
        <f t="shared" si="24"/>
        <v>0</v>
      </c>
      <c r="AK32" s="20">
        <f t="shared" si="24"/>
        <v>0</v>
      </c>
      <c r="AL32" s="20">
        <f t="shared" si="24"/>
        <v>0.88003963744724956</v>
      </c>
      <c r="AM32" s="20">
        <f t="shared" si="25"/>
        <v>0.88003963744724956</v>
      </c>
      <c r="AO32">
        <f t="shared" si="26"/>
        <v>0</v>
      </c>
      <c r="AP32">
        <f t="shared" si="26"/>
        <v>0</v>
      </c>
      <c r="AQ32">
        <f t="shared" si="26"/>
        <v>0</v>
      </c>
      <c r="AR32">
        <f t="shared" si="26"/>
        <v>0.20951034507008837</v>
      </c>
      <c r="AS32">
        <f t="shared" si="27"/>
        <v>0.20951034507008837</v>
      </c>
      <c r="AU32">
        <f t="shared" si="28"/>
        <v>0</v>
      </c>
      <c r="AV32">
        <f t="shared" si="28"/>
        <v>0</v>
      </c>
      <c r="AW32">
        <f t="shared" si="28"/>
        <v>0</v>
      </c>
      <c r="AX32">
        <f t="shared" si="28"/>
        <v>1.0510231495515958</v>
      </c>
      <c r="AY32">
        <f t="shared" si="29"/>
        <v>1.0510231495515958</v>
      </c>
    </row>
    <row r="33" spans="1:51" ht="15" x14ac:dyDescent="0.25">
      <c r="A33" s="1"/>
      <c r="B33" s="2"/>
      <c r="C33" s="1" t="s">
        <v>11</v>
      </c>
      <c r="D33" s="285">
        <v>0</v>
      </c>
      <c r="E33" s="286">
        <v>0</v>
      </c>
      <c r="F33" s="286">
        <v>0</v>
      </c>
      <c r="G33" s="286">
        <v>0</v>
      </c>
      <c r="H33" s="287">
        <v>0</v>
      </c>
      <c r="J33">
        <v>0</v>
      </c>
      <c r="K33">
        <v>0</v>
      </c>
      <c r="L33">
        <v>0</v>
      </c>
      <c r="M33">
        <v>0</v>
      </c>
      <c r="N33">
        <v>0</v>
      </c>
      <c r="O33" s="20"/>
      <c r="P33" s="20"/>
      <c r="Q33" s="147"/>
      <c r="R33" s="197">
        <v>0.49</v>
      </c>
      <c r="S33" s="197">
        <v>2.42</v>
      </c>
      <c r="T33" s="197">
        <v>0.50078889239507718</v>
      </c>
      <c r="U33" s="197">
        <v>0.75268470790377973</v>
      </c>
      <c r="V33" s="20">
        <f t="shared" si="20"/>
        <v>0</v>
      </c>
      <c r="W33" s="20">
        <f t="shared" si="20"/>
        <v>0</v>
      </c>
      <c r="X33" s="20">
        <f t="shared" si="20"/>
        <v>0</v>
      </c>
      <c r="Y33" s="20">
        <f t="shared" si="20"/>
        <v>0</v>
      </c>
      <c r="Z33" s="20">
        <f t="shared" si="21"/>
        <v>0</v>
      </c>
      <c r="AA33" s="20">
        <f t="shared" si="21"/>
        <v>0</v>
      </c>
      <c r="AB33" s="20">
        <f t="shared" si="21"/>
        <v>0</v>
      </c>
      <c r="AC33" s="20">
        <f t="shared" si="21"/>
        <v>0</v>
      </c>
      <c r="AD33" s="20">
        <f t="shared" si="22"/>
        <v>0</v>
      </c>
      <c r="AE33" s="20">
        <f t="shared" si="23"/>
        <v>0</v>
      </c>
      <c r="AF33" s="20">
        <f t="shared" si="23"/>
        <v>0</v>
      </c>
      <c r="AG33" s="20">
        <f t="shared" si="23"/>
        <v>0</v>
      </c>
      <c r="AH33" s="20">
        <f t="shared" si="23"/>
        <v>0</v>
      </c>
      <c r="AI33" s="20">
        <f t="shared" si="24"/>
        <v>0</v>
      </c>
      <c r="AJ33" s="20">
        <f t="shared" si="24"/>
        <v>0</v>
      </c>
      <c r="AK33" s="20">
        <f t="shared" si="24"/>
        <v>0</v>
      </c>
      <c r="AL33" s="20">
        <f t="shared" si="24"/>
        <v>0</v>
      </c>
      <c r="AM33" s="20">
        <f t="shared" si="25"/>
        <v>0</v>
      </c>
      <c r="AO33">
        <f t="shared" si="26"/>
        <v>0</v>
      </c>
      <c r="AP33">
        <f t="shared" si="26"/>
        <v>0</v>
      </c>
      <c r="AQ33">
        <f t="shared" si="26"/>
        <v>0</v>
      </c>
      <c r="AR33">
        <f t="shared" si="26"/>
        <v>0</v>
      </c>
      <c r="AS33">
        <f t="shared" si="27"/>
        <v>0</v>
      </c>
      <c r="AU33">
        <f t="shared" si="28"/>
        <v>0</v>
      </c>
      <c r="AV33">
        <f t="shared" si="28"/>
        <v>0</v>
      </c>
      <c r="AW33">
        <f t="shared" si="28"/>
        <v>0</v>
      </c>
      <c r="AX33">
        <f t="shared" si="28"/>
        <v>0</v>
      </c>
      <c r="AY33">
        <f t="shared" si="29"/>
        <v>0</v>
      </c>
    </row>
    <row r="34" spans="1:51" ht="15" x14ac:dyDescent="0.25">
      <c r="A34" s="1"/>
      <c r="B34" s="2"/>
      <c r="C34" s="1" t="s">
        <v>12</v>
      </c>
      <c r="D34" s="285">
        <v>0</v>
      </c>
      <c r="E34" s="286">
        <v>0</v>
      </c>
      <c r="F34" s="286">
        <v>0</v>
      </c>
      <c r="G34" s="286">
        <v>0</v>
      </c>
      <c r="H34" s="287">
        <v>0</v>
      </c>
      <c r="J34">
        <v>0</v>
      </c>
      <c r="K34">
        <v>0</v>
      </c>
      <c r="L34">
        <v>0</v>
      </c>
      <c r="M34">
        <v>0</v>
      </c>
      <c r="N34">
        <v>0</v>
      </c>
      <c r="O34" s="20"/>
      <c r="P34" s="20"/>
      <c r="Q34" s="147"/>
      <c r="R34" s="197">
        <v>0.49</v>
      </c>
      <c r="S34" s="197">
        <v>2.42</v>
      </c>
      <c r="T34" s="197">
        <v>0.50078889239507718</v>
      </c>
      <c r="U34" s="197">
        <v>0.75268470790377973</v>
      </c>
      <c r="V34" s="20">
        <f t="shared" si="20"/>
        <v>0</v>
      </c>
      <c r="W34" s="20">
        <f t="shared" si="20"/>
        <v>0</v>
      </c>
      <c r="X34" s="20">
        <f t="shared" si="20"/>
        <v>0</v>
      </c>
      <c r="Y34" s="20">
        <f t="shared" si="20"/>
        <v>0</v>
      </c>
      <c r="Z34" s="20">
        <f t="shared" si="21"/>
        <v>0</v>
      </c>
      <c r="AA34" s="20">
        <f t="shared" si="21"/>
        <v>0</v>
      </c>
      <c r="AB34" s="20">
        <f t="shared" si="21"/>
        <v>0</v>
      </c>
      <c r="AC34" s="20">
        <f t="shared" si="21"/>
        <v>0</v>
      </c>
      <c r="AD34" s="20">
        <f t="shared" si="22"/>
        <v>0</v>
      </c>
      <c r="AE34" s="20">
        <f t="shared" si="23"/>
        <v>0</v>
      </c>
      <c r="AF34" s="20">
        <f t="shared" si="23"/>
        <v>0</v>
      </c>
      <c r="AG34" s="20">
        <f t="shared" si="23"/>
        <v>0</v>
      </c>
      <c r="AH34" s="20">
        <f t="shared" si="23"/>
        <v>0</v>
      </c>
      <c r="AI34" s="20">
        <f t="shared" si="24"/>
        <v>0</v>
      </c>
      <c r="AJ34" s="20">
        <f t="shared" si="24"/>
        <v>0</v>
      </c>
      <c r="AK34" s="20">
        <f t="shared" si="24"/>
        <v>0</v>
      </c>
      <c r="AL34" s="20">
        <f t="shared" si="24"/>
        <v>0</v>
      </c>
      <c r="AM34" s="20">
        <f t="shared" si="25"/>
        <v>0</v>
      </c>
      <c r="AO34">
        <f t="shared" si="26"/>
        <v>0</v>
      </c>
      <c r="AP34">
        <f t="shared" si="26"/>
        <v>0</v>
      </c>
      <c r="AQ34">
        <f t="shared" si="26"/>
        <v>0</v>
      </c>
      <c r="AR34">
        <f t="shared" si="26"/>
        <v>0</v>
      </c>
      <c r="AS34">
        <f t="shared" si="27"/>
        <v>0</v>
      </c>
      <c r="AU34">
        <f t="shared" si="28"/>
        <v>0</v>
      </c>
      <c r="AV34">
        <f t="shared" si="28"/>
        <v>0</v>
      </c>
      <c r="AW34">
        <f t="shared" si="28"/>
        <v>0</v>
      </c>
      <c r="AX34">
        <f t="shared" si="28"/>
        <v>0</v>
      </c>
      <c r="AY34">
        <f t="shared" si="29"/>
        <v>0</v>
      </c>
    </row>
    <row r="35" spans="1:51" ht="15" x14ac:dyDescent="0.25">
      <c r="A35" s="1"/>
      <c r="B35" s="2"/>
      <c r="C35" s="1" t="s">
        <v>13</v>
      </c>
      <c r="D35" s="285">
        <v>0</v>
      </c>
      <c r="E35" s="286">
        <v>0</v>
      </c>
      <c r="F35" s="286">
        <v>0</v>
      </c>
      <c r="G35" s="286">
        <v>0</v>
      </c>
      <c r="H35" s="287">
        <v>0</v>
      </c>
      <c r="J35">
        <v>0</v>
      </c>
      <c r="K35">
        <v>0</v>
      </c>
      <c r="L35">
        <v>0</v>
      </c>
      <c r="M35">
        <v>0</v>
      </c>
      <c r="N35">
        <v>0</v>
      </c>
      <c r="O35" s="20"/>
      <c r="P35" s="20"/>
      <c r="Q35" s="147"/>
      <c r="R35" s="197">
        <v>0.49</v>
      </c>
      <c r="S35" s="197">
        <v>2.42</v>
      </c>
      <c r="T35" s="197">
        <v>0.50078889239507718</v>
      </c>
      <c r="U35" s="197">
        <v>0.75268470790377973</v>
      </c>
      <c r="V35" s="20">
        <f t="shared" si="20"/>
        <v>0</v>
      </c>
      <c r="W35" s="20">
        <f t="shared" si="20"/>
        <v>0</v>
      </c>
      <c r="X35" s="20">
        <f t="shared" si="20"/>
        <v>0</v>
      </c>
      <c r="Y35" s="20">
        <f t="shared" si="20"/>
        <v>0</v>
      </c>
      <c r="Z35" s="20">
        <f t="shared" si="21"/>
        <v>0</v>
      </c>
      <c r="AA35" s="20">
        <f t="shared" si="21"/>
        <v>0</v>
      </c>
      <c r="AB35" s="20">
        <f t="shared" si="21"/>
        <v>0</v>
      </c>
      <c r="AC35" s="20">
        <f t="shared" si="21"/>
        <v>0</v>
      </c>
      <c r="AD35" s="20">
        <f t="shared" si="22"/>
        <v>0</v>
      </c>
      <c r="AE35" s="20">
        <f t="shared" si="23"/>
        <v>0</v>
      </c>
      <c r="AF35" s="20">
        <f t="shared" si="23"/>
        <v>0</v>
      </c>
      <c r="AG35" s="20">
        <f t="shared" si="23"/>
        <v>0</v>
      </c>
      <c r="AH35" s="20">
        <f t="shared" si="23"/>
        <v>0</v>
      </c>
      <c r="AI35" s="20">
        <f t="shared" si="24"/>
        <v>0</v>
      </c>
      <c r="AJ35" s="20">
        <f t="shared" si="24"/>
        <v>0</v>
      </c>
      <c r="AK35" s="20">
        <f t="shared" si="24"/>
        <v>0</v>
      </c>
      <c r="AL35" s="20">
        <f t="shared" si="24"/>
        <v>0</v>
      </c>
      <c r="AM35" s="20">
        <f t="shared" si="25"/>
        <v>0</v>
      </c>
      <c r="AO35">
        <f t="shared" si="26"/>
        <v>0</v>
      </c>
      <c r="AP35">
        <f t="shared" si="26"/>
        <v>0</v>
      </c>
      <c r="AQ35">
        <f t="shared" si="26"/>
        <v>0</v>
      </c>
      <c r="AR35">
        <f t="shared" si="26"/>
        <v>0</v>
      </c>
      <c r="AS35">
        <f t="shared" si="27"/>
        <v>0</v>
      </c>
      <c r="AU35">
        <f t="shared" si="28"/>
        <v>0</v>
      </c>
      <c r="AV35">
        <f t="shared" si="28"/>
        <v>0</v>
      </c>
      <c r="AW35">
        <f t="shared" si="28"/>
        <v>0</v>
      </c>
      <c r="AX35">
        <f t="shared" si="28"/>
        <v>0</v>
      </c>
      <c r="AY35">
        <f t="shared" si="29"/>
        <v>0</v>
      </c>
    </row>
    <row r="36" spans="1:51" ht="15" x14ac:dyDescent="0.25">
      <c r="A36" s="7"/>
      <c r="B36" s="8" t="s">
        <v>14</v>
      </c>
      <c r="C36" s="7"/>
      <c r="D36" s="288">
        <f>SUM(D30:D35)</f>
        <v>0</v>
      </c>
      <c r="E36" s="289">
        <f>SUM(E30:E35)</f>
        <v>0</v>
      </c>
      <c r="F36" s="289">
        <f>SUM(F30:F35)</f>
        <v>0</v>
      </c>
      <c r="G36" s="289">
        <f>SUM(G30:G35)</f>
        <v>0</v>
      </c>
      <c r="H36" s="290">
        <f>SUM(H30:H35)</f>
        <v>6.3612708800000002</v>
      </c>
      <c r="J36">
        <v>0</v>
      </c>
      <c r="K36">
        <v>0</v>
      </c>
      <c r="L36">
        <v>0</v>
      </c>
      <c r="M36">
        <v>0</v>
      </c>
      <c r="N36">
        <v>1.4605925350819997</v>
      </c>
      <c r="O36" s="20"/>
      <c r="P36" s="20"/>
      <c r="Q36" s="147"/>
      <c r="R36" s="197"/>
      <c r="S36" s="197"/>
      <c r="T36" s="197"/>
      <c r="U36" s="197"/>
    </row>
    <row r="37" spans="1:51" ht="15" x14ac:dyDescent="0.25">
      <c r="A37" s="5"/>
      <c r="B37" s="9" t="s">
        <v>15</v>
      </c>
      <c r="C37" s="5"/>
      <c r="D37" s="291"/>
      <c r="E37" s="292"/>
      <c r="F37" s="292"/>
      <c r="G37" s="292"/>
      <c r="H37" s="293">
        <f>SUM(D36:H36)</f>
        <v>6.3612708800000002</v>
      </c>
      <c r="N37">
        <v>1.4605925350819997</v>
      </c>
      <c r="O37" s="20"/>
      <c r="P37" s="20"/>
      <c r="Q37" s="147"/>
      <c r="R37" s="197"/>
      <c r="S37" s="197"/>
      <c r="T37" s="197"/>
      <c r="U37" s="197"/>
    </row>
    <row r="38" spans="1:51" ht="15.75" thickBot="1" x14ac:dyDescent="0.3">
      <c r="A38" s="1"/>
      <c r="B38" s="2"/>
      <c r="C38" s="1"/>
      <c r="D38" s="294"/>
      <c r="E38" s="295"/>
      <c r="F38" s="295"/>
      <c r="G38" s="295"/>
      <c r="H38" s="296"/>
      <c r="O38" s="20"/>
      <c r="P38" s="20"/>
      <c r="Q38" s="147"/>
      <c r="R38" s="197"/>
      <c r="S38" s="197"/>
      <c r="T38" s="197"/>
      <c r="U38" s="197"/>
    </row>
    <row r="39" spans="1:51" ht="15" x14ac:dyDescent="0.25">
      <c r="A39" s="1">
        <v>4</v>
      </c>
      <c r="B39" s="2" t="s">
        <v>18</v>
      </c>
      <c r="C39" s="1" t="s">
        <v>8</v>
      </c>
      <c r="D39" s="285">
        <v>0</v>
      </c>
      <c r="E39" s="286">
        <v>0</v>
      </c>
      <c r="F39" s="286">
        <v>9.29167904</v>
      </c>
      <c r="G39" s="286">
        <v>1.2610978799999999</v>
      </c>
      <c r="H39" s="287">
        <v>8.5514406300000001</v>
      </c>
      <c r="J39">
        <v>0</v>
      </c>
      <c r="K39">
        <v>0</v>
      </c>
      <c r="L39">
        <v>9.29167904</v>
      </c>
      <c r="M39">
        <v>1.2610978799999999</v>
      </c>
      <c r="N39">
        <v>-9.9771619833200003</v>
      </c>
      <c r="O39" s="20"/>
      <c r="P39" s="20"/>
      <c r="Q39" s="147">
        <v>0.3606836854258712</v>
      </c>
      <c r="R39" s="197">
        <v>0.19500000000000001</v>
      </c>
      <c r="S39" s="197">
        <v>1.22</v>
      </c>
      <c r="T39" s="197">
        <v>0.4144562334217507</v>
      </c>
      <c r="U39" s="197">
        <v>0.6566321730950142</v>
      </c>
      <c r="V39" s="20">
        <f t="shared" ref="V39:Y44" si="30">IF(K39&gt;0,((E39-K39)*$Q39*$R39*10)+(K39*$O$12*$Q39*$R39*10),(E39*$Q39*$R39*10))</f>
        <v>0</v>
      </c>
      <c r="W39" s="20">
        <f t="shared" si="30"/>
        <v>2.4033133909887452</v>
      </c>
      <c r="X39" s="20">
        <f t="shared" si="30"/>
        <v>0.32618576355296885</v>
      </c>
      <c r="Y39" s="20">
        <f t="shared" si="30"/>
        <v>6.0145119881514217</v>
      </c>
      <c r="Z39" s="20">
        <f t="shared" ref="Z39:AC44" si="31">V39*(EXP(1.01-0.34*LN(Z$8))*(1-$T39)+(1*$T39))</f>
        <v>0</v>
      </c>
      <c r="AA39" s="20">
        <f t="shared" si="31"/>
        <v>1.4521138343729336</v>
      </c>
      <c r="AB39" s="20">
        <f t="shared" si="31"/>
        <v>0.19849333359822727</v>
      </c>
      <c r="AC39" s="20">
        <f t="shared" si="31"/>
        <v>3.4092781197934321</v>
      </c>
      <c r="AD39" s="20">
        <f t="shared" ref="AD39:AD44" si="32">SUM(Z39:AC39)</f>
        <v>5.059885287764593</v>
      </c>
      <c r="AE39" s="20">
        <f t="shared" ref="AE39:AH44" si="33">IF(K39&gt;0,((E39-K39)*$Q39*$S39*10)+(K39*$P$12*$Q39*$S39)*10,(E39*$Q39*$S39*10))</f>
        <v>0</v>
      </c>
      <c r="AF39" s="20">
        <f t="shared" si="33"/>
        <v>23.678639213408992</v>
      </c>
      <c r="AG39" s="20">
        <f t="shared" si="33"/>
        <v>3.2137444249597058</v>
      </c>
      <c r="AH39" s="20">
        <f t="shared" si="33"/>
        <v>37.629254489972993</v>
      </c>
      <c r="AI39" s="20">
        <f t="shared" ref="AI39:AL44" si="34">AE39*(EXP(1.01-0.34*LN(AI$8))*(1-$T39)+(1*$T39))</f>
        <v>0</v>
      </c>
      <c r="AJ39" s="20">
        <f t="shared" si="34"/>
        <v>14.306947945216047</v>
      </c>
      <c r="AK39" s="20">
        <f t="shared" si="34"/>
        <v>1.9556550760970939</v>
      </c>
      <c r="AL39" s="20">
        <f t="shared" si="34"/>
        <v>21.329842595630701</v>
      </c>
      <c r="AM39" s="20">
        <f t="shared" ref="AM39:AM44" si="35">SUM(AI39:AL39)</f>
        <v>37.592445616943841</v>
      </c>
      <c r="AO39">
        <f t="shared" ref="AO39:AR44" si="36">Z39*AO$10</f>
        <v>0</v>
      </c>
      <c r="AP39">
        <f t="shared" si="36"/>
        <v>1.7309048783489878</v>
      </c>
      <c r="AQ39">
        <f t="shared" si="36"/>
        <v>0.23749443143951082</v>
      </c>
      <c r="AR39">
        <f t="shared" si="36"/>
        <v>4.0716691324911132</v>
      </c>
      <c r="AS39">
        <f t="shared" ref="AS39:AS44" si="37">SUM(AO39:AR39)</f>
        <v>6.0400684422796118</v>
      </c>
      <c r="AU39">
        <f t="shared" ref="AU39:AX44" si="38">AI39*AU$10</f>
        <v>0</v>
      </c>
      <c r="AV39">
        <f t="shared" si="38"/>
        <v>17.053736013301812</v>
      </c>
      <c r="AW39">
        <f t="shared" si="38"/>
        <v>2.3399132956756419</v>
      </c>
      <c r="AX39">
        <f t="shared" si="38"/>
        <v>25.474032521226448</v>
      </c>
      <c r="AY39">
        <f t="shared" ref="AY39:AY44" si="39">SUM(AU39:AX39)</f>
        <v>44.867681830203907</v>
      </c>
    </row>
    <row r="40" spans="1:51" ht="15" x14ac:dyDescent="0.25">
      <c r="A40" s="1"/>
      <c r="B40" s="2"/>
      <c r="C40" s="1" t="s">
        <v>9</v>
      </c>
      <c r="D40" s="285">
        <v>0</v>
      </c>
      <c r="E40" s="286">
        <v>5.1513709999999997E-2</v>
      </c>
      <c r="F40" s="286">
        <v>0</v>
      </c>
      <c r="G40" s="286">
        <v>0</v>
      </c>
      <c r="H40" s="287">
        <v>0</v>
      </c>
      <c r="J40">
        <v>0</v>
      </c>
      <c r="K40">
        <v>7.0933910339999948E-3</v>
      </c>
      <c r="L40">
        <v>0</v>
      </c>
      <c r="M40">
        <v>0</v>
      </c>
      <c r="N40">
        <v>0</v>
      </c>
      <c r="O40" s="20"/>
      <c r="P40" s="20"/>
      <c r="Q40" s="147">
        <v>0.36136737085174236</v>
      </c>
      <c r="R40" s="197">
        <v>0.19500000000000001</v>
      </c>
      <c r="S40" s="197">
        <v>1.22</v>
      </c>
      <c r="T40" s="197">
        <v>0.4144562334217507</v>
      </c>
      <c r="U40" s="197">
        <v>0.6566321730950142</v>
      </c>
      <c r="V40" s="20">
        <f t="shared" si="30"/>
        <v>3.3139704145838833E-2</v>
      </c>
      <c r="W40" s="20">
        <f t="shared" si="30"/>
        <v>0</v>
      </c>
      <c r="X40" s="20">
        <f t="shared" si="30"/>
        <v>0</v>
      </c>
      <c r="Y40" s="20">
        <f t="shared" si="30"/>
        <v>0</v>
      </c>
      <c r="Z40" s="20">
        <f t="shared" si="31"/>
        <v>1.9635287762867881E-2</v>
      </c>
      <c r="AA40" s="20">
        <f t="shared" si="31"/>
        <v>0</v>
      </c>
      <c r="AB40" s="20">
        <f t="shared" si="31"/>
        <v>0</v>
      </c>
      <c r="AC40" s="20">
        <f t="shared" si="31"/>
        <v>0</v>
      </c>
      <c r="AD40" s="20">
        <f t="shared" si="32"/>
        <v>1.9635287762867881E-2</v>
      </c>
      <c r="AE40" s="20">
        <f t="shared" si="33"/>
        <v>0.21394590922295675</v>
      </c>
      <c r="AF40" s="20">
        <f t="shared" si="33"/>
        <v>0</v>
      </c>
      <c r="AG40" s="20">
        <f t="shared" si="33"/>
        <v>0</v>
      </c>
      <c r="AH40" s="20">
        <f t="shared" si="33"/>
        <v>0</v>
      </c>
      <c r="AI40" s="20">
        <f t="shared" si="34"/>
        <v>0.12676303550551304</v>
      </c>
      <c r="AJ40" s="20">
        <f t="shared" si="34"/>
        <v>0</v>
      </c>
      <c r="AK40" s="20">
        <f t="shared" si="34"/>
        <v>0</v>
      </c>
      <c r="AL40" s="20">
        <f t="shared" si="34"/>
        <v>0</v>
      </c>
      <c r="AM40" s="20">
        <f t="shared" si="35"/>
        <v>0.12676303550551304</v>
      </c>
      <c r="AO40">
        <f t="shared" si="36"/>
        <v>2.2902921168389233E-2</v>
      </c>
      <c r="AP40">
        <f t="shared" si="36"/>
        <v>0</v>
      </c>
      <c r="AQ40">
        <f t="shared" si="36"/>
        <v>0</v>
      </c>
      <c r="AR40">
        <f t="shared" si="36"/>
        <v>0</v>
      </c>
      <c r="AS40">
        <f t="shared" si="37"/>
        <v>2.2902921168389233E-2</v>
      </c>
      <c r="AU40">
        <f t="shared" si="38"/>
        <v>0.14785848031923368</v>
      </c>
      <c r="AV40">
        <f t="shared" si="38"/>
        <v>0</v>
      </c>
      <c r="AW40">
        <f t="shared" si="38"/>
        <v>0</v>
      </c>
      <c r="AX40">
        <f t="shared" si="38"/>
        <v>0</v>
      </c>
      <c r="AY40">
        <f t="shared" si="39"/>
        <v>0.14785848031923368</v>
      </c>
    </row>
    <row r="41" spans="1:51" ht="15" x14ac:dyDescent="0.25">
      <c r="A41" s="1"/>
      <c r="B41" s="2"/>
      <c r="C41" s="1" t="s">
        <v>10</v>
      </c>
      <c r="D41" s="285">
        <v>0</v>
      </c>
      <c r="E41" s="286">
        <v>0.88866780000000001</v>
      </c>
      <c r="F41" s="286">
        <v>0</v>
      </c>
      <c r="G41" s="286">
        <v>0</v>
      </c>
      <c r="H41" s="287">
        <v>0.76716918999999995</v>
      </c>
      <c r="J41">
        <v>0</v>
      </c>
      <c r="K41">
        <v>-0.21548125997200007</v>
      </c>
      <c r="L41">
        <v>0</v>
      </c>
      <c r="M41">
        <v>0</v>
      </c>
      <c r="N41">
        <v>0.74679570328749989</v>
      </c>
      <c r="O41" s="20"/>
      <c r="P41" s="20"/>
      <c r="Q41" s="147">
        <v>0.36205105627761364</v>
      </c>
      <c r="R41" s="197">
        <v>0.19500000000000001</v>
      </c>
      <c r="S41" s="197">
        <v>1.22</v>
      </c>
      <c r="T41" s="197">
        <v>0.4144562334217507</v>
      </c>
      <c r="U41" s="197">
        <v>0.6566321730950142</v>
      </c>
      <c r="V41" s="20">
        <f t="shared" si="30"/>
        <v>0.62739907555631103</v>
      </c>
      <c r="W41" s="20">
        <f t="shared" si="30"/>
        <v>0</v>
      </c>
      <c r="X41" s="20">
        <f t="shared" si="30"/>
        <v>0</v>
      </c>
      <c r="Y41" s="20">
        <f t="shared" si="30"/>
        <v>0.20827631868368063</v>
      </c>
      <c r="Z41" s="20">
        <f t="shared" si="31"/>
        <v>0.37173419945127373</v>
      </c>
      <c r="AA41" s="20">
        <f t="shared" si="31"/>
        <v>0</v>
      </c>
      <c r="AB41" s="20">
        <f t="shared" si="31"/>
        <v>0</v>
      </c>
      <c r="AC41" s="20">
        <f t="shared" si="31"/>
        <v>0.11805976903167484</v>
      </c>
      <c r="AD41" s="20">
        <f t="shared" si="32"/>
        <v>0.48979396848294854</v>
      </c>
      <c r="AE41" s="20">
        <f t="shared" si="33"/>
        <v>3.9252660111728179</v>
      </c>
      <c r="AF41" s="20">
        <f t="shared" si="33"/>
        <v>0</v>
      </c>
      <c r="AG41" s="20">
        <f t="shared" si="33"/>
        <v>0</v>
      </c>
      <c r="AH41" s="20">
        <f t="shared" si="33"/>
        <v>2.0003169703927228</v>
      </c>
      <c r="AI41" s="20">
        <f t="shared" si="34"/>
        <v>2.325721658105405</v>
      </c>
      <c r="AJ41" s="20">
        <f t="shared" si="34"/>
        <v>0</v>
      </c>
      <c r="AK41" s="20">
        <f t="shared" si="34"/>
        <v>0</v>
      </c>
      <c r="AL41" s="20">
        <f t="shared" si="34"/>
        <v>1.1338637105131837</v>
      </c>
      <c r="AM41" s="20">
        <f t="shared" si="35"/>
        <v>3.4595853686185887</v>
      </c>
      <c r="AO41">
        <f t="shared" si="36"/>
        <v>0.43359685727281122</v>
      </c>
      <c r="AP41">
        <f t="shared" si="36"/>
        <v>0</v>
      </c>
      <c r="AQ41">
        <f t="shared" si="36"/>
        <v>0</v>
      </c>
      <c r="AR41">
        <f t="shared" si="36"/>
        <v>0.14099768351677516</v>
      </c>
      <c r="AS41">
        <f t="shared" si="37"/>
        <v>0.57459454078958638</v>
      </c>
      <c r="AU41">
        <f t="shared" si="38"/>
        <v>2.7127598249888707</v>
      </c>
      <c r="AV41">
        <f t="shared" si="38"/>
        <v>0</v>
      </c>
      <c r="AW41">
        <f t="shared" si="38"/>
        <v>0</v>
      </c>
      <c r="AX41">
        <f t="shared" si="38"/>
        <v>1.3541628779842976</v>
      </c>
      <c r="AY41">
        <f t="shared" si="39"/>
        <v>4.0669227029731685</v>
      </c>
    </row>
    <row r="42" spans="1:51" ht="15" x14ac:dyDescent="0.25">
      <c r="A42" s="1"/>
      <c r="B42" s="2"/>
      <c r="C42" s="1" t="s">
        <v>11</v>
      </c>
      <c r="D42" s="285">
        <v>0</v>
      </c>
      <c r="E42" s="286">
        <v>0</v>
      </c>
      <c r="F42" s="286">
        <v>0</v>
      </c>
      <c r="G42" s="286">
        <v>0</v>
      </c>
      <c r="H42" s="287">
        <v>0</v>
      </c>
      <c r="J42">
        <v>0</v>
      </c>
      <c r="K42">
        <v>0</v>
      </c>
      <c r="L42">
        <v>0</v>
      </c>
      <c r="M42">
        <v>0</v>
      </c>
      <c r="N42">
        <v>0</v>
      </c>
      <c r="O42" s="20"/>
      <c r="P42" s="20"/>
      <c r="Q42" s="147"/>
      <c r="R42" s="197">
        <v>0.19500000000000001</v>
      </c>
      <c r="S42" s="197">
        <v>1.22</v>
      </c>
      <c r="T42" s="197">
        <v>0.4144562334217507</v>
      </c>
      <c r="U42" s="197">
        <v>0.6566321730950142</v>
      </c>
      <c r="V42" s="20">
        <f t="shared" si="30"/>
        <v>0</v>
      </c>
      <c r="W42" s="20">
        <f t="shared" si="30"/>
        <v>0</v>
      </c>
      <c r="X42" s="20">
        <f t="shared" si="30"/>
        <v>0</v>
      </c>
      <c r="Y42" s="20">
        <f t="shared" si="30"/>
        <v>0</v>
      </c>
      <c r="Z42" s="20">
        <f t="shared" si="31"/>
        <v>0</v>
      </c>
      <c r="AA42" s="20">
        <f t="shared" si="31"/>
        <v>0</v>
      </c>
      <c r="AB42" s="20">
        <f t="shared" si="31"/>
        <v>0</v>
      </c>
      <c r="AC42" s="20">
        <f t="shared" si="31"/>
        <v>0</v>
      </c>
      <c r="AD42" s="20">
        <f t="shared" si="32"/>
        <v>0</v>
      </c>
      <c r="AE42" s="20">
        <f t="shared" si="33"/>
        <v>0</v>
      </c>
      <c r="AF42" s="20">
        <f t="shared" si="33"/>
        <v>0</v>
      </c>
      <c r="AG42" s="20">
        <f t="shared" si="33"/>
        <v>0</v>
      </c>
      <c r="AH42" s="20">
        <f t="shared" si="33"/>
        <v>0</v>
      </c>
      <c r="AI42" s="20">
        <f t="shared" si="34"/>
        <v>0</v>
      </c>
      <c r="AJ42" s="20">
        <f t="shared" si="34"/>
        <v>0</v>
      </c>
      <c r="AK42" s="20">
        <f t="shared" si="34"/>
        <v>0</v>
      </c>
      <c r="AL42" s="20">
        <f t="shared" si="34"/>
        <v>0</v>
      </c>
      <c r="AM42" s="20">
        <f t="shared" si="35"/>
        <v>0</v>
      </c>
      <c r="AO42">
        <f t="shared" si="36"/>
        <v>0</v>
      </c>
      <c r="AP42">
        <f t="shared" si="36"/>
        <v>0</v>
      </c>
      <c r="AQ42">
        <f t="shared" si="36"/>
        <v>0</v>
      </c>
      <c r="AR42">
        <f t="shared" si="36"/>
        <v>0</v>
      </c>
      <c r="AS42">
        <f t="shared" si="37"/>
        <v>0</v>
      </c>
      <c r="AU42">
        <f t="shared" si="38"/>
        <v>0</v>
      </c>
      <c r="AV42">
        <f t="shared" si="38"/>
        <v>0</v>
      </c>
      <c r="AW42">
        <f t="shared" si="38"/>
        <v>0</v>
      </c>
      <c r="AX42">
        <f t="shared" si="38"/>
        <v>0</v>
      </c>
      <c r="AY42">
        <f t="shared" si="39"/>
        <v>0</v>
      </c>
    </row>
    <row r="43" spans="1:51" ht="15" x14ac:dyDescent="0.25">
      <c r="A43" s="1"/>
      <c r="B43" s="2"/>
      <c r="C43" s="1" t="s">
        <v>12</v>
      </c>
      <c r="D43" s="285">
        <v>0</v>
      </c>
      <c r="E43" s="286">
        <v>0</v>
      </c>
      <c r="F43" s="286">
        <v>0</v>
      </c>
      <c r="G43" s="286">
        <v>0</v>
      </c>
      <c r="H43" s="287">
        <v>9.0651750000000003E-2</v>
      </c>
      <c r="J43">
        <v>0</v>
      </c>
      <c r="K43">
        <v>0</v>
      </c>
      <c r="L43">
        <v>0</v>
      </c>
      <c r="M43">
        <v>0</v>
      </c>
      <c r="N43">
        <v>9.0651750000000003E-2</v>
      </c>
      <c r="O43" s="20"/>
      <c r="P43" s="20"/>
      <c r="Q43" s="147">
        <v>0.36273474170348469</v>
      </c>
      <c r="R43" s="197">
        <v>0.19500000000000001</v>
      </c>
      <c r="S43" s="197">
        <v>1.22</v>
      </c>
      <c r="T43" s="197">
        <v>0.4144562334217507</v>
      </c>
      <c r="U43" s="197">
        <v>0.6566321730950142</v>
      </c>
      <c r="V43" s="20">
        <f t="shared" si="30"/>
        <v>0</v>
      </c>
      <c r="W43" s="20">
        <f t="shared" si="30"/>
        <v>0</v>
      </c>
      <c r="X43" s="20">
        <f t="shared" si="30"/>
        <v>0</v>
      </c>
      <c r="Y43" s="20">
        <f t="shared" si="30"/>
        <v>2.3580610975760301E-2</v>
      </c>
      <c r="Z43" s="20">
        <f t="shared" si="31"/>
        <v>0</v>
      </c>
      <c r="AA43" s="20">
        <f t="shared" si="31"/>
        <v>0</v>
      </c>
      <c r="AB43" s="20">
        <f t="shared" si="31"/>
        <v>0</v>
      </c>
      <c r="AC43" s="20">
        <f t="shared" si="31"/>
        <v>1.3366481139183733E-2</v>
      </c>
      <c r="AD43" s="20">
        <f t="shared" si="32"/>
        <v>1.3366481139183733E-2</v>
      </c>
      <c r="AE43" s="20">
        <f t="shared" si="33"/>
        <v>0</v>
      </c>
      <c r="AF43" s="20">
        <f t="shared" si="33"/>
        <v>0</v>
      </c>
      <c r="AG43" s="20">
        <f t="shared" si="33"/>
        <v>0</v>
      </c>
      <c r="AH43" s="20">
        <f t="shared" si="33"/>
        <v>0.23232791104994738</v>
      </c>
      <c r="AI43" s="20">
        <f t="shared" si="34"/>
        <v>0</v>
      </c>
      <c r="AJ43" s="20">
        <f t="shared" si="34"/>
        <v>0</v>
      </c>
      <c r="AK43" s="20">
        <f t="shared" si="34"/>
        <v>0</v>
      </c>
      <c r="AL43" s="20">
        <f t="shared" si="34"/>
        <v>0.13169322221325316</v>
      </c>
      <c r="AM43" s="20">
        <f t="shared" si="35"/>
        <v>0.13169322221325316</v>
      </c>
      <c r="AO43">
        <f t="shared" si="36"/>
        <v>0</v>
      </c>
      <c r="AP43">
        <f t="shared" si="36"/>
        <v>0</v>
      </c>
      <c r="AQ43">
        <f t="shared" si="36"/>
        <v>0</v>
      </c>
      <c r="AR43">
        <f t="shared" si="36"/>
        <v>1.5963464039049004E-2</v>
      </c>
      <c r="AS43">
        <f t="shared" si="37"/>
        <v>1.5963464039049004E-2</v>
      </c>
      <c r="AU43">
        <f t="shared" si="38"/>
        <v>0</v>
      </c>
      <c r="AV43">
        <f t="shared" si="38"/>
        <v>0</v>
      </c>
      <c r="AW43">
        <f t="shared" si="38"/>
        <v>0</v>
      </c>
      <c r="AX43">
        <f t="shared" si="38"/>
        <v>0.15727998978167404</v>
      </c>
      <c r="AY43">
        <f t="shared" si="39"/>
        <v>0.15727998978167404</v>
      </c>
    </row>
    <row r="44" spans="1:51" ht="15" x14ac:dyDescent="0.25">
      <c r="A44" s="1"/>
      <c r="B44" s="2"/>
      <c r="C44" s="1" t="s">
        <v>13</v>
      </c>
      <c r="D44" s="285">
        <v>0</v>
      </c>
      <c r="E44" s="286">
        <v>0</v>
      </c>
      <c r="F44" s="286">
        <v>0</v>
      </c>
      <c r="G44" s="286">
        <v>0</v>
      </c>
      <c r="H44" s="287">
        <v>0</v>
      </c>
      <c r="J44">
        <v>0</v>
      </c>
      <c r="K44">
        <v>0</v>
      </c>
      <c r="L44">
        <v>0</v>
      </c>
      <c r="M44">
        <v>0</v>
      </c>
      <c r="N44">
        <v>0</v>
      </c>
      <c r="O44" s="20"/>
      <c r="P44" s="20"/>
      <c r="Q44" s="147"/>
      <c r="R44" s="197">
        <v>0.19500000000000001</v>
      </c>
      <c r="S44" s="197">
        <v>1.22</v>
      </c>
      <c r="T44" s="197">
        <v>0.4144562334217507</v>
      </c>
      <c r="U44" s="197">
        <v>0.6566321730950142</v>
      </c>
      <c r="V44" s="20">
        <f t="shared" si="30"/>
        <v>0</v>
      </c>
      <c r="W44" s="20">
        <f t="shared" si="30"/>
        <v>0</v>
      </c>
      <c r="X44" s="20">
        <f t="shared" si="30"/>
        <v>0</v>
      </c>
      <c r="Y44" s="20">
        <f t="shared" si="30"/>
        <v>0</v>
      </c>
      <c r="Z44" s="20">
        <f t="shared" si="31"/>
        <v>0</v>
      </c>
      <c r="AA44" s="20">
        <f t="shared" si="31"/>
        <v>0</v>
      </c>
      <c r="AB44" s="20">
        <f t="shared" si="31"/>
        <v>0</v>
      </c>
      <c r="AC44" s="20">
        <f t="shared" si="31"/>
        <v>0</v>
      </c>
      <c r="AD44" s="20">
        <f t="shared" si="32"/>
        <v>0</v>
      </c>
      <c r="AE44" s="20">
        <f t="shared" si="33"/>
        <v>0</v>
      </c>
      <c r="AF44" s="20">
        <f t="shared" si="33"/>
        <v>0</v>
      </c>
      <c r="AG44" s="20">
        <f t="shared" si="33"/>
        <v>0</v>
      </c>
      <c r="AH44" s="20">
        <f t="shared" si="33"/>
        <v>0</v>
      </c>
      <c r="AI44" s="20">
        <f t="shared" si="34"/>
        <v>0</v>
      </c>
      <c r="AJ44" s="20">
        <f t="shared" si="34"/>
        <v>0</v>
      </c>
      <c r="AK44" s="20">
        <f t="shared" si="34"/>
        <v>0</v>
      </c>
      <c r="AL44" s="20">
        <f t="shared" si="34"/>
        <v>0</v>
      </c>
      <c r="AM44" s="20">
        <f t="shared" si="35"/>
        <v>0</v>
      </c>
      <c r="AO44">
        <f t="shared" si="36"/>
        <v>0</v>
      </c>
      <c r="AP44">
        <f t="shared" si="36"/>
        <v>0</v>
      </c>
      <c r="AQ44">
        <f t="shared" si="36"/>
        <v>0</v>
      </c>
      <c r="AR44">
        <f t="shared" si="36"/>
        <v>0</v>
      </c>
      <c r="AS44">
        <f t="shared" si="37"/>
        <v>0</v>
      </c>
      <c r="AU44">
        <f t="shared" si="38"/>
        <v>0</v>
      </c>
      <c r="AV44">
        <f t="shared" si="38"/>
        <v>0</v>
      </c>
      <c r="AW44">
        <f t="shared" si="38"/>
        <v>0</v>
      </c>
      <c r="AX44">
        <f t="shared" si="38"/>
        <v>0</v>
      </c>
      <c r="AY44">
        <f t="shared" si="39"/>
        <v>0</v>
      </c>
    </row>
    <row r="45" spans="1:51" ht="15" x14ac:dyDescent="0.25">
      <c r="A45" s="7"/>
      <c r="B45" s="8" t="s">
        <v>14</v>
      </c>
      <c r="C45" s="7"/>
      <c r="D45" s="288">
        <f>SUM(D39:D44)</f>
        <v>0</v>
      </c>
      <c r="E45" s="289">
        <f>SUM(E39:E44)</f>
        <v>0.94018151000000005</v>
      </c>
      <c r="F45" s="289">
        <f>SUM(F39:F44)</f>
        <v>9.29167904</v>
      </c>
      <c r="G45" s="289">
        <f>SUM(G39:G44)</f>
        <v>1.2610978799999999</v>
      </c>
      <c r="H45" s="290">
        <f>SUM(H39:H44)</f>
        <v>9.40926157</v>
      </c>
      <c r="J45">
        <v>0</v>
      </c>
      <c r="K45">
        <v>-0.20838786893800007</v>
      </c>
      <c r="L45">
        <v>9.29167904</v>
      </c>
      <c r="M45">
        <v>1.2610978799999999</v>
      </c>
      <c r="N45">
        <v>-9.1397145300325011</v>
      </c>
      <c r="O45" s="20"/>
      <c r="P45" s="20"/>
      <c r="Q45" s="147"/>
      <c r="R45" s="197"/>
      <c r="S45" s="197"/>
      <c r="T45" s="197"/>
      <c r="U45" s="197"/>
    </row>
    <row r="46" spans="1:51" ht="15" x14ac:dyDescent="0.25">
      <c r="A46" s="10"/>
      <c r="B46" s="9" t="s">
        <v>15</v>
      </c>
      <c r="C46" s="5"/>
      <c r="D46" s="291"/>
      <c r="E46" s="292"/>
      <c r="F46" s="292"/>
      <c r="G46" s="292"/>
      <c r="H46" s="293">
        <f>SUM(D45:H45)</f>
        <v>20.90222</v>
      </c>
      <c r="N46">
        <v>1.2046745210294976</v>
      </c>
      <c r="O46" s="20"/>
      <c r="P46" s="20"/>
      <c r="Q46" s="147"/>
      <c r="R46" s="197"/>
      <c r="S46" s="197"/>
      <c r="T46" s="197"/>
      <c r="U46" s="197"/>
    </row>
    <row r="47" spans="1:51" ht="15.75" thickBot="1" x14ac:dyDescent="0.3">
      <c r="A47" s="1"/>
      <c r="B47" s="2"/>
      <c r="C47" s="1"/>
      <c r="D47" s="297"/>
      <c r="E47" s="298"/>
      <c r="F47" s="298"/>
      <c r="G47" s="298"/>
      <c r="H47" s="299"/>
      <c r="O47" s="20"/>
      <c r="P47" s="20"/>
      <c r="Q47" s="147"/>
      <c r="R47" s="197"/>
      <c r="S47" s="197"/>
      <c r="T47" s="197"/>
      <c r="U47" s="197"/>
    </row>
    <row r="48" spans="1:51" ht="15" x14ac:dyDescent="0.25">
      <c r="A48" s="1">
        <v>5</v>
      </c>
      <c r="B48" s="2" t="s">
        <v>19</v>
      </c>
      <c r="C48" s="1" t="s">
        <v>8</v>
      </c>
      <c r="D48" s="282">
        <v>0</v>
      </c>
      <c r="E48" s="283">
        <v>0.85534902999999995</v>
      </c>
      <c r="F48" s="283">
        <v>0</v>
      </c>
      <c r="G48" s="283">
        <v>3.41090888</v>
      </c>
      <c r="H48" s="284">
        <v>3.39066695</v>
      </c>
      <c r="J48">
        <v>0</v>
      </c>
      <c r="K48">
        <v>0.306432985233</v>
      </c>
      <c r="L48">
        <v>0</v>
      </c>
      <c r="M48">
        <v>0.40126053755000024</v>
      </c>
      <c r="N48">
        <v>3.39066695</v>
      </c>
      <c r="O48" s="20"/>
      <c r="P48" s="20"/>
      <c r="Q48" s="147">
        <v>0.405626711640382</v>
      </c>
      <c r="R48" s="197">
        <v>0.43</v>
      </c>
      <c r="S48" s="197">
        <v>2.83</v>
      </c>
      <c r="T48" s="197">
        <v>0.76744186046511631</v>
      </c>
      <c r="U48" s="197">
        <v>0.76744186046511631</v>
      </c>
      <c r="V48" s="20">
        <f t="shared" ref="V48:Y53" si="40">IF(K48&gt;0,((E48-K48)*$Q48*$R48*10)+(K48*$O$12*$Q48*$R48*10),(E48*$Q48*$R48*10))</f>
        <v>1.1539722295987604</v>
      </c>
      <c r="W48" s="20">
        <f t="shared" si="40"/>
        <v>0</v>
      </c>
      <c r="X48" s="20">
        <f t="shared" si="40"/>
        <v>5.5067942084227468</v>
      </c>
      <c r="Y48" s="20">
        <f t="shared" si="40"/>
        <v>2.1748796621300883</v>
      </c>
      <c r="Z48" s="20">
        <f t="shared" ref="Z48:AC53" si="41">V48*(EXP(1.01-0.34*LN(Z$8))*(1-$T48)+(1*$T48))</f>
        <v>0.96720755599488684</v>
      </c>
      <c r="AA48" s="20">
        <f t="shared" si="41"/>
        <v>0</v>
      </c>
      <c r="AB48" s="20">
        <f t="shared" si="41"/>
        <v>4.6506021826326363</v>
      </c>
      <c r="AC48" s="20">
        <f t="shared" si="41"/>
        <v>1.8007227824914096</v>
      </c>
      <c r="AD48" s="20">
        <f t="shared" ref="AD48:AD53" si="42">SUM(Z48:AC48)</f>
        <v>7.4185325211189328</v>
      </c>
      <c r="AE48" s="20">
        <f t="shared" ref="AE48:AH53" si="43">IF(K48&gt;0,((E48-K48)*$Q48*$S48*10)+(K48*$P$12*$Q48*$S48)*10,(E48*$Q48*$S48*10))</f>
        <v>8.3382947510312562</v>
      </c>
      <c r="AF48" s="20">
        <f t="shared" si="43"/>
        <v>0</v>
      </c>
      <c r="AG48" s="20">
        <f t="shared" si="43"/>
        <v>37.216032310011954</v>
      </c>
      <c r="AH48" s="20">
        <f t="shared" si="43"/>
        <v>22.541059570213623</v>
      </c>
      <c r="AI48" s="20">
        <f t="shared" ref="AI48:AL53" si="44">AE48*(EXP(1.01-0.34*LN(AI$8))*(1-$T48)+(1*$T48))</f>
        <v>6.9887831617179472</v>
      </c>
      <c r="AJ48" s="20">
        <f t="shared" si="44"/>
        <v>0</v>
      </c>
      <c r="AK48" s="20">
        <f t="shared" si="44"/>
        <v>31.429712921747431</v>
      </c>
      <c r="AL48" s="20">
        <f t="shared" si="44"/>
        <v>18.663193286669223</v>
      </c>
      <c r="AM48" s="20">
        <f t="shared" ref="AM48:AM53" si="45">SUM(AI48:AL48)</f>
        <v>57.081689370134598</v>
      </c>
      <c r="AO48">
        <f t="shared" ref="AO48:AR53" si="46">Z48*AO$10</f>
        <v>1.1281667310378067</v>
      </c>
      <c r="AP48">
        <f t="shared" si="46"/>
        <v>0</v>
      </c>
      <c r="AQ48">
        <f t="shared" si="46"/>
        <v>5.5643789199051978</v>
      </c>
      <c r="AR48">
        <f t="shared" si="46"/>
        <v>2.1505864620068085</v>
      </c>
      <c r="AS48">
        <f t="shared" ref="AS48:AS53" si="47">SUM(AO48:AR48)</f>
        <v>8.8431321129498137</v>
      </c>
      <c r="AU48">
        <f t="shared" ref="AU48:AX53" si="48">AI48*AU$10</f>
        <v>8.1518311189962276</v>
      </c>
      <c r="AV48">
        <f t="shared" si="48"/>
        <v>0</v>
      </c>
      <c r="AW48">
        <f t="shared" si="48"/>
        <v>37.605201471230245</v>
      </c>
      <c r="AX48">
        <f t="shared" si="48"/>
        <v>22.289278066774642</v>
      </c>
      <c r="AY48">
        <f t="shared" ref="AY48:AY53" si="49">SUM(AU48:AX48)</f>
        <v>68.046310657001115</v>
      </c>
    </row>
    <row r="49" spans="1:51" ht="15" x14ac:dyDescent="0.25">
      <c r="A49" s="1"/>
      <c r="B49" s="2"/>
      <c r="C49" s="1" t="s">
        <v>9</v>
      </c>
      <c r="D49" s="285">
        <v>0</v>
      </c>
      <c r="E49" s="286">
        <v>3.7575771699999998</v>
      </c>
      <c r="F49" s="286">
        <v>0</v>
      </c>
      <c r="G49" s="286">
        <v>0</v>
      </c>
      <c r="H49" s="287">
        <v>0</v>
      </c>
      <c r="J49">
        <v>0</v>
      </c>
      <c r="K49">
        <v>3.7575771699999998</v>
      </c>
      <c r="L49">
        <v>0</v>
      </c>
      <c r="M49">
        <v>0</v>
      </c>
      <c r="N49">
        <v>0</v>
      </c>
      <c r="O49" s="20"/>
      <c r="P49" s="20"/>
      <c r="Q49" s="147">
        <v>0.40625342328076386</v>
      </c>
      <c r="R49" s="197">
        <v>0.43</v>
      </c>
      <c r="S49" s="197">
        <v>2.83</v>
      </c>
      <c r="T49" s="197">
        <v>0.76744186046511631</v>
      </c>
      <c r="U49" s="197">
        <v>0.76744186046511631</v>
      </c>
      <c r="V49" s="20">
        <f t="shared" si="40"/>
        <v>2.4139512451399678</v>
      </c>
      <c r="W49" s="20">
        <f t="shared" si="40"/>
        <v>0</v>
      </c>
      <c r="X49" s="20">
        <f t="shared" si="40"/>
        <v>0</v>
      </c>
      <c r="Y49" s="20">
        <f t="shared" si="40"/>
        <v>0</v>
      </c>
      <c r="Z49" s="20">
        <f t="shared" si="41"/>
        <v>2.0232652261609938</v>
      </c>
      <c r="AA49" s="20">
        <f t="shared" si="41"/>
        <v>0</v>
      </c>
      <c r="AB49" s="20">
        <f t="shared" si="41"/>
        <v>0</v>
      </c>
      <c r="AC49" s="20">
        <f t="shared" si="41"/>
        <v>0</v>
      </c>
      <c r="AD49" s="20">
        <f t="shared" si="42"/>
        <v>2.0232652261609938</v>
      </c>
      <c r="AE49" s="20">
        <f t="shared" si="43"/>
        <v>25.01886415315456</v>
      </c>
      <c r="AF49" s="20">
        <f t="shared" si="43"/>
        <v>0</v>
      </c>
      <c r="AG49" s="20">
        <f t="shared" si="43"/>
        <v>0</v>
      </c>
      <c r="AH49" s="20">
        <f t="shared" si="43"/>
        <v>0</v>
      </c>
      <c r="AI49" s="20">
        <f t="shared" si="44"/>
        <v>20.969685258157877</v>
      </c>
      <c r="AJ49" s="20">
        <f t="shared" si="44"/>
        <v>0</v>
      </c>
      <c r="AK49" s="20">
        <f t="shared" si="44"/>
        <v>0</v>
      </c>
      <c r="AL49" s="20">
        <f t="shared" si="44"/>
        <v>0</v>
      </c>
      <c r="AM49" s="20">
        <f t="shared" si="45"/>
        <v>20.969685258157877</v>
      </c>
      <c r="AO49">
        <f t="shared" si="46"/>
        <v>2.3599696901381364</v>
      </c>
      <c r="AP49">
        <f t="shared" si="46"/>
        <v>0</v>
      </c>
      <c r="AQ49">
        <f t="shared" si="46"/>
        <v>0</v>
      </c>
      <c r="AR49">
        <f t="shared" si="46"/>
        <v>0</v>
      </c>
      <c r="AS49">
        <f t="shared" si="47"/>
        <v>2.3599696901381364</v>
      </c>
      <c r="AU49">
        <f t="shared" si="48"/>
        <v>24.459384257242842</v>
      </c>
      <c r="AV49">
        <f t="shared" si="48"/>
        <v>0</v>
      </c>
      <c r="AW49">
        <f t="shared" si="48"/>
        <v>0</v>
      </c>
      <c r="AX49">
        <f t="shared" si="48"/>
        <v>0</v>
      </c>
      <c r="AY49">
        <f t="shared" si="49"/>
        <v>24.459384257242842</v>
      </c>
    </row>
    <row r="50" spans="1:51" ht="15" x14ac:dyDescent="0.25">
      <c r="A50" s="1"/>
      <c r="B50" s="2"/>
      <c r="C50" s="1" t="s">
        <v>10</v>
      </c>
      <c r="D50" s="285">
        <v>0</v>
      </c>
      <c r="E50" s="286">
        <v>1.96858654</v>
      </c>
      <c r="F50" s="286">
        <v>0</v>
      </c>
      <c r="G50" s="286">
        <v>0</v>
      </c>
      <c r="H50" s="287">
        <v>0</v>
      </c>
      <c r="J50">
        <v>0</v>
      </c>
      <c r="K50">
        <v>1.96858654</v>
      </c>
      <c r="L50">
        <v>0</v>
      </c>
      <c r="M50">
        <v>0</v>
      </c>
      <c r="N50">
        <v>0</v>
      </c>
      <c r="O50" s="20"/>
      <c r="P50" s="20"/>
      <c r="Q50" s="147">
        <v>0.40688013492114578</v>
      </c>
      <c r="R50" s="197">
        <v>0.43</v>
      </c>
      <c r="S50" s="197">
        <v>2.83</v>
      </c>
      <c r="T50" s="197">
        <v>0.76744186046511631</v>
      </c>
      <c r="U50" s="197">
        <v>0.76744186046511631</v>
      </c>
      <c r="V50" s="20">
        <f t="shared" si="40"/>
        <v>1.2666147770086031</v>
      </c>
      <c r="W50" s="20">
        <f t="shared" si="40"/>
        <v>0</v>
      </c>
      <c r="X50" s="20">
        <f t="shared" si="40"/>
        <v>0</v>
      </c>
      <c r="Y50" s="20">
        <f t="shared" si="40"/>
        <v>0</v>
      </c>
      <c r="Z50" s="20">
        <f t="shared" si="41"/>
        <v>1.0616194665996974</v>
      </c>
      <c r="AA50" s="20">
        <f t="shared" si="41"/>
        <v>0</v>
      </c>
      <c r="AB50" s="20">
        <f t="shared" si="41"/>
        <v>0</v>
      </c>
      <c r="AC50" s="20">
        <f t="shared" si="41"/>
        <v>0</v>
      </c>
      <c r="AD50" s="20">
        <f t="shared" si="42"/>
        <v>1.0616194665996974</v>
      </c>
      <c r="AE50" s="20">
        <f t="shared" si="43"/>
        <v>13.127548911419279</v>
      </c>
      <c r="AF50" s="20">
        <f t="shared" si="43"/>
        <v>0</v>
      </c>
      <c r="AG50" s="20">
        <f t="shared" si="43"/>
        <v>0</v>
      </c>
      <c r="AH50" s="20">
        <f t="shared" si="43"/>
        <v>0</v>
      </c>
      <c r="AI50" s="20">
        <f t="shared" si="44"/>
        <v>11.002920324375557</v>
      </c>
      <c r="AJ50" s="20">
        <f t="shared" si="44"/>
        <v>0</v>
      </c>
      <c r="AK50" s="20">
        <f t="shared" si="44"/>
        <v>0</v>
      </c>
      <c r="AL50" s="20">
        <f t="shared" si="44"/>
        <v>0</v>
      </c>
      <c r="AM50" s="20">
        <f t="shared" si="45"/>
        <v>11.002920324375557</v>
      </c>
      <c r="AO50">
        <f t="shared" si="46"/>
        <v>1.2382903295331704</v>
      </c>
      <c r="AP50">
        <f t="shared" si="46"/>
        <v>0</v>
      </c>
      <c r="AQ50">
        <f t="shared" si="46"/>
        <v>0</v>
      </c>
      <c r="AR50">
        <f t="shared" si="46"/>
        <v>0</v>
      </c>
      <c r="AS50">
        <f t="shared" si="47"/>
        <v>1.2382903295331704</v>
      </c>
      <c r="AU50">
        <f t="shared" si="48"/>
        <v>12.833986435777843</v>
      </c>
      <c r="AV50">
        <f t="shared" si="48"/>
        <v>0</v>
      </c>
      <c r="AW50">
        <f t="shared" si="48"/>
        <v>0</v>
      </c>
      <c r="AX50">
        <f t="shared" si="48"/>
        <v>0</v>
      </c>
      <c r="AY50">
        <f t="shared" si="49"/>
        <v>12.833986435777843</v>
      </c>
    </row>
    <row r="51" spans="1:51" ht="15" x14ac:dyDescent="0.25">
      <c r="A51" s="1"/>
      <c r="B51" s="2"/>
      <c r="C51" s="1" t="s">
        <v>11</v>
      </c>
      <c r="D51" s="285">
        <v>0</v>
      </c>
      <c r="E51" s="286">
        <v>0</v>
      </c>
      <c r="F51" s="286">
        <v>0</v>
      </c>
      <c r="G51" s="286">
        <v>0</v>
      </c>
      <c r="H51" s="287">
        <v>0</v>
      </c>
      <c r="J51">
        <v>0</v>
      </c>
      <c r="K51">
        <v>0</v>
      </c>
      <c r="L51">
        <v>0</v>
      </c>
      <c r="M51">
        <v>0</v>
      </c>
      <c r="N51">
        <v>0</v>
      </c>
      <c r="O51" s="20"/>
      <c r="P51" s="20"/>
      <c r="Q51" s="147"/>
      <c r="R51" s="197">
        <v>0.43</v>
      </c>
      <c r="S51" s="197">
        <v>2.83</v>
      </c>
      <c r="T51" s="197">
        <v>0.76744186046511631</v>
      </c>
      <c r="U51" s="197">
        <v>0.76744186046511631</v>
      </c>
      <c r="V51" s="20">
        <f t="shared" si="40"/>
        <v>0</v>
      </c>
      <c r="W51" s="20">
        <f t="shared" si="40"/>
        <v>0</v>
      </c>
      <c r="X51" s="20">
        <f t="shared" si="40"/>
        <v>0</v>
      </c>
      <c r="Y51" s="20">
        <f t="shared" si="40"/>
        <v>0</v>
      </c>
      <c r="Z51" s="20">
        <f t="shared" si="41"/>
        <v>0</v>
      </c>
      <c r="AA51" s="20">
        <f t="shared" si="41"/>
        <v>0</v>
      </c>
      <c r="AB51" s="20">
        <f t="shared" si="41"/>
        <v>0</v>
      </c>
      <c r="AC51" s="20">
        <f t="shared" si="41"/>
        <v>0</v>
      </c>
      <c r="AD51" s="20">
        <f t="shared" si="42"/>
        <v>0</v>
      </c>
      <c r="AE51" s="20">
        <f t="shared" si="43"/>
        <v>0</v>
      </c>
      <c r="AF51" s="20">
        <f t="shared" si="43"/>
        <v>0</v>
      </c>
      <c r="AG51" s="20">
        <f t="shared" si="43"/>
        <v>0</v>
      </c>
      <c r="AH51" s="20">
        <f t="shared" si="43"/>
        <v>0</v>
      </c>
      <c r="AI51" s="20">
        <f t="shared" si="44"/>
        <v>0</v>
      </c>
      <c r="AJ51" s="20">
        <f t="shared" si="44"/>
        <v>0</v>
      </c>
      <c r="AK51" s="20">
        <f t="shared" si="44"/>
        <v>0</v>
      </c>
      <c r="AL51" s="20">
        <f t="shared" si="44"/>
        <v>0</v>
      </c>
      <c r="AM51" s="20">
        <f t="shared" si="45"/>
        <v>0</v>
      </c>
      <c r="AO51">
        <f t="shared" si="46"/>
        <v>0</v>
      </c>
      <c r="AP51">
        <f t="shared" si="46"/>
        <v>0</v>
      </c>
      <c r="AQ51">
        <f t="shared" si="46"/>
        <v>0</v>
      </c>
      <c r="AR51">
        <f t="shared" si="46"/>
        <v>0</v>
      </c>
      <c r="AS51">
        <f t="shared" si="47"/>
        <v>0</v>
      </c>
      <c r="AU51">
        <f t="shared" si="48"/>
        <v>0</v>
      </c>
      <c r="AV51">
        <f t="shared" si="48"/>
        <v>0</v>
      </c>
      <c r="AW51">
        <f t="shared" si="48"/>
        <v>0</v>
      </c>
      <c r="AX51">
        <f t="shared" si="48"/>
        <v>0</v>
      </c>
      <c r="AY51">
        <f t="shared" si="49"/>
        <v>0</v>
      </c>
    </row>
    <row r="52" spans="1:51" ht="15" x14ac:dyDescent="0.25">
      <c r="A52" s="1"/>
      <c r="B52" s="2"/>
      <c r="C52" s="1" t="s">
        <v>12</v>
      </c>
      <c r="D52" s="285">
        <v>0</v>
      </c>
      <c r="E52" s="286">
        <v>0</v>
      </c>
      <c r="F52" s="286">
        <v>0</v>
      </c>
      <c r="G52" s="286">
        <v>0</v>
      </c>
      <c r="H52" s="287">
        <v>0</v>
      </c>
      <c r="J52">
        <v>0</v>
      </c>
      <c r="K52">
        <v>0</v>
      </c>
      <c r="L52">
        <v>0</v>
      </c>
      <c r="M52">
        <v>0</v>
      </c>
      <c r="N52">
        <v>0</v>
      </c>
      <c r="O52" s="20"/>
      <c r="P52" s="20"/>
      <c r="Q52" s="147"/>
      <c r="R52" s="197">
        <v>0.43</v>
      </c>
      <c r="S52" s="197">
        <v>2.83</v>
      </c>
      <c r="T52" s="197">
        <v>0.76744186046511631</v>
      </c>
      <c r="U52" s="197">
        <v>0.76744186046511631</v>
      </c>
      <c r="V52" s="20">
        <f t="shared" si="40"/>
        <v>0</v>
      </c>
      <c r="W52" s="20">
        <f t="shared" si="40"/>
        <v>0</v>
      </c>
      <c r="X52" s="20">
        <f t="shared" si="40"/>
        <v>0</v>
      </c>
      <c r="Y52" s="20">
        <f t="shared" si="40"/>
        <v>0</v>
      </c>
      <c r="Z52" s="20">
        <f t="shared" si="41"/>
        <v>0</v>
      </c>
      <c r="AA52" s="20">
        <f t="shared" si="41"/>
        <v>0</v>
      </c>
      <c r="AB52" s="20">
        <f t="shared" si="41"/>
        <v>0</v>
      </c>
      <c r="AC52" s="20">
        <f t="shared" si="41"/>
        <v>0</v>
      </c>
      <c r="AD52" s="20">
        <f t="shared" si="42"/>
        <v>0</v>
      </c>
      <c r="AE52" s="20">
        <f t="shared" si="43"/>
        <v>0</v>
      </c>
      <c r="AF52" s="20">
        <f t="shared" si="43"/>
        <v>0</v>
      </c>
      <c r="AG52" s="20">
        <f t="shared" si="43"/>
        <v>0</v>
      </c>
      <c r="AH52" s="20">
        <f t="shared" si="43"/>
        <v>0</v>
      </c>
      <c r="AI52" s="20">
        <f t="shared" si="44"/>
        <v>0</v>
      </c>
      <c r="AJ52" s="20">
        <f t="shared" si="44"/>
        <v>0</v>
      </c>
      <c r="AK52" s="20">
        <f t="shared" si="44"/>
        <v>0</v>
      </c>
      <c r="AL52" s="20">
        <f t="shared" si="44"/>
        <v>0</v>
      </c>
      <c r="AM52" s="20">
        <f t="shared" si="45"/>
        <v>0</v>
      </c>
      <c r="AO52">
        <f t="shared" si="46"/>
        <v>0</v>
      </c>
      <c r="AP52">
        <f t="shared" si="46"/>
        <v>0</v>
      </c>
      <c r="AQ52">
        <f t="shared" si="46"/>
        <v>0</v>
      </c>
      <c r="AR52">
        <f t="shared" si="46"/>
        <v>0</v>
      </c>
      <c r="AS52">
        <f t="shared" si="47"/>
        <v>0</v>
      </c>
      <c r="AU52">
        <f t="shared" si="48"/>
        <v>0</v>
      </c>
      <c r="AV52">
        <f t="shared" si="48"/>
        <v>0</v>
      </c>
      <c r="AW52">
        <f t="shared" si="48"/>
        <v>0</v>
      </c>
      <c r="AX52">
        <f t="shared" si="48"/>
        <v>0</v>
      </c>
      <c r="AY52">
        <f t="shared" si="49"/>
        <v>0</v>
      </c>
    </row>
    <row r="53" spans="1:51" ht="15" x14ac:dyDescent="0.25">
      <c r="A53" s="1"/>
      <c r="B53" s="2"/>
      <c r="C53" s="1" t="s">
        <v>13</v>
      </c>
      <c r="D53" s="285">
        <v>0</v>
      </c>
      <c r="E53" s="286">
        <v>0</v>
      </c>
      <c r="F53" s="286">
        <v>0</v>
      </c>
      <c r="G53" s="286">
        <v>0</v>
      </c>
      <c r="H53" s="287">
        <v>0</v>
      </c>
      <c r="J53">
        <v>0</v>
      </c>
      <c r="K53">
        <v>0</v>
      </c>
      <c r="L53">
        <v>0</v>
      </c>
      <c r="M53">
        <v>0</v>
      </c>
      <c r="N53">
        <v>0</v>
      </c>
      <c r="O53" s="20"/>
      <c r="P53" s="20"/>
      <c r="Q53" s="147"/>
      <c r="R53" s="197">
        <v>0.43</v>
      </c>
      <c r="S53" s="197">
        <v>2.83</v>
      </c>
      <c r="T53" s="197">
        <v>0.76744186046511631</v>
      </c>
      <c r="U53" s="197">
        <v>0.76744186046511631</v>
      </c>
      <c r="V53" s="20">
        <f t="shared" si="40"/>
        <v>0</v>
      </c>
      <c r="W53" s="20">
        <f t="shared" si="40"/>
        <v>0</v>
      </c>
      <c r="X53" s="20">
        <f t="shared" si="40"/>
        <v>0</v>
      </c>
      <c r="Y53" s="20">
        <f t="shared" si="40"/>
        <v>0</v>
      </c>
      <c r="Z53" s="20">
        <f t="shared" si="41"/>
        <v>0</v>
      </c>
      <c r="AA53" s="20">
        <f t="shared" si="41"/>
        <v>0</v>
      </c>
      <c r="AB53" s="20">
        <f t="shared" si="41"/>
        <v>0</v>
      </c>
      <c r="AC53" s="20">
        <f t="shared" si="41"/>
        <v>0</v>
      </c>
      <c r="AD53" s="20">
        <f t="shared" si="42"/>
        <v>0</v>
      </c>
      <c r="AE53" s="20">
        <f t="shared" si="43"/>
        <v>0</v>
      </c>
      <c r="AF53" s="20">
        <f t="shared" si="43"/>
        <v>0</v>
      </c>
      <c r="AG53" s="20">
        <f t="shared" si="43"/>
        <v>0</v>
      </c>
      <c r="AH53" s="20">
        <f t="shared" si="43"/>
        <v>0</v>
      </c>
      <c r="AI53" s="20">
        <f t="shared" si="44"/>
        <v>0</v>
      </c>
      <c r="AJ53" s="20">
        <f t="shared" si="44"/>
        <v>0</v>
      </c>
      <c r="AK53" s="20">
        <f t="shared" si="44"/>
        <v>0</v>
      </c>
      <c r="AL53" s="20">
        <f t="shared" si="44"/>
        <v>0</v>
      </c>
      <c r="AM53" s="20">
        <f t="shared" si="45"/>
        <v>0</v>
      </c>
      <c r="AO53">
        <f t="shared" si="46"/>
        <v>0</v>
      </c>
      <c r="AP53">
        <f t="shared" si="46"/>
        <v>0</v>
      </c>
      <c r="AQ53">
        <f t="shared" si="46"/>
        <v>0</v>
      </c>
      <c r="AR53">
        <f t="shared" si="46"/>
        <v>0</v>
      </c>
      <c r="AS53">
        <f t="shared" si="47"/>
        <v>0</v>
      </c>
      <c r="AU53">
        <f t="shared" si="48"/>
        <v>0</v>
      </c>
      <c r="AV53">
        <f t="shared" si="48"/>
        <v>0</v>
      </c>
      <c r="AW53">
        <f t="shared" si="48"/>
        <v>0</v>
      </c>
      <c r="AX53">
        <f t="shared" si="48"/>
        <v>0</v>
      </c>
      <c r="AY53">
        <f t="shared" si="49"/>
        <v>0</v>
      </c>
    </row>
    <row r="54" spans="1:51" ht="15" x14ac:dyDescent="0.25">
      <c r="A54" s="7"/>
      <c r="B54" s="8" t="s">
        <v>14</v>
      </c>
      <c r="C54" s="7"/>
      <c r="D54" s="288">
        <f>SUM(D48:D53)</f>
        <v>0</v>
      </c>
      <c r="E54" s="289">
        <f>SUM(E48:E53)</f>
        <v>6.5815127399999991</v>
      </c>
      <c r="F54" s="289">
        <f>SUM(F48:F53)</f>
        <v>0</v>
      </c>
      <c r="G54" s="289">
        <f>SUM(G48:G53)</f>
        <v>3.41090888</v>
      </c>
      <c r="H54" s="290">
        <f>SUM(H48:H53)</f>
        <v>3.39066695</v>
      </c>
      <c r="J54">
        <v>0</v>
      </c>
      <c r="K54">
        <v>6.0325966952329999</v>
      </c>
      <c r="L54">
        <v>0</v>
      </c>
      <c r="M54">
        <v>0.40126053755000024</v>
      </c>
      <c r="N54">
        <v>3.39066695</v>
      </c>
      <c r="O54" s="20"/>
      <c r="P54" s="20"/>
      <c r="Q54" s="147"/>
      <c r="R54" s="197"/>
      <c r="S54" s="197"/>
      <c r="T54" s="197"/>
      <c r="U54" s="197"/>
    </row>
    <row r="55" spans="1:51" ht="15" x14ac:dyDescent="0.25">
      <c r="A55" s="10"/>
      <c r="B55" s="9" t="s">
        <v>15</v>
      </c>
      <c r="C55" s="5"/>
      <c r="D55" s="291"/>
      <c r="E55" s="292"/>
      <c r="F55" s="292"/>
      <c r="G55" s="292"/>
      <c r="H55" s="293">
        <f>SUM(D54:H54)</f>
        <v>13.383088569999998</v>
      </c>
      <c r="N55">
        <v>9.8245241827829997</v>
      </c>
      <c r="O55" s="20"/>
      <c r="P55" s="20"/>
      <c r="Q55" s="147"/>
      <c r="R55" s="197"/>
      <c r="S55" s="197"/>
      <c r="T55" s="197"/>
      <c r="U55" s="197"/>
    </row>
    <row r="56" spans="1:51" ht="15.75" thickBot="1" x14ac:dyDescent="0.3">
      <c r="A56" s="1"/>
      <c r="B56" s="2"/>
      <c r="C56" s="1"/>
      <c r="D56" s="294"/>
      <c r="E56" s="295"/>
      <c r="F56" s="295"/>
      <c r="G56" s="295"/>
      <c r="H56" s="296"/>
      <c r="O56" s="20"/>
      <c r="P56" s="20"/>
      <c r="Q56" s="147"/>
      <c r="R56" s="197"/>
      <c r="S56" s="197"/>
      <c r="T56" s="197"/>
      <c r="U56" s="197"/>
    </row>
    <row r="57" spans="1:51" ht="15" x14ac:dyDescent="0.25">
      <c r="A57" s="1">
        <v>6</v>
      </c>
      <c r="B57" s="2" t="s">
        <v>20</v>
      </c>
      <c r="C57" s="1" t="s">
        <v>8</v>
      </c>
      <c r="D57" s="285">
        <v>0</v>
      </c>
      <c r="E57" s="286">
        <v>0</v>
      </c>
      <c r="F57" s="286">
        <v>0</v>
      </c>
      <c r="G57" s="286">
        <v>1.81947269</v>
      </c>
      <c r="H57" s="287">
        <v>0</v>
      </c>
      <c r="J57">
        <v>0</v>
      </c>
      <c r="K57">
        <v>0</v>
      </c>
      <c r="L57">
        <v>0</v>
      </c>
      <c r="M57">
        <v>1.81947269</v>
      </c>
      <c r="N57">
        <v>0</v>
      </c>
      <c r="O57" s="20"/>
      <c r="P57" s="20"/>
      <c r="Q57" s="147">
        <v>0.45056973785489268</v>
      </c>
      <c r="R57" s="197">
        <v>0.33900000000000002</v>
      </c>
      <c r="S57" s="197">
        <v>1.9830000000000001</v>
      </c>
      <c r="T57" s="197">
        <v>0.76146788990825687</v>
      </c>
      <c r="U57" s="197">
        <v>0.76146788990825687</v>
      </c>
      <c r="V57" s="20">
        <f t="shared" ref="V57:Y62" si="50">IF(K57&gt;0,((E57-K57)*$Q57*$R57*10)+(K57*$O$12*$Q57*$R57*10),(E57*$Q57*$R57*10))</f>
        <v>0</v>
      </c>
      <c r="W57" s="20">
        <f t="shared" si="50"/>
        <v>0</v>
      </c>
      <c r="X57" s="20">
        <f t="shared" si="50"/>
        <v>1.0220269677856484</v>
      </c>
      <c r="Y57" s="20">
        <f t="shared" si="50"/>
        <v>0</v>
      </c>
      <c r="Z57" s="20">
        <f t="shared" ref="Z57:AC62" si="51">V57*(EXP(1.01-0.34*LN(Z$8))*(1-$T57)+(1*$T57))</f>
        <v>0</v>
      </c>
      <c r="AA57" s="20">
        <f t="shared" si="51"/>
        <v>0</v>
      </c>
      <c r="AB57" s="20">
        <f t="shared" si="51"/>
        <v>0.85904108361503828</v>
      </c>
      <c r="AC57" s="20">
        <f t="shared" si="51"/>
        <v>0</v>
      </c>
      <c r="AD57" s="20">
        <f t="shared" ref="AD57:AD62" si="52">SUM(Z57:AC57)</f>
        <v>0.85904108361503828</v>
      </c>
      <c r="AE57" s="20">
        <f t="shared" ref="AE57:AH62" si="53">IF(K57&gt;0,((E57-K57)*$Q57*$S57*10)+(K57*$P$12*$Q57*$S57)*10,(E57*$Q57*$S57*10))</f>
        <v>0</v>
      </c>
      <c r="AF57" s="20">
        <f t="shared" si="53"/>
        <v>0</v>
      </c>
      <c r="AG57" s="20">
        <f t="shared" si="53"/>
        <v>9.4147000096605087</v>
      </c>
      <c r="AH57" s="20">
        <f t="shared" si="53"/>
        <v>0</v>
      </c>
      <c r="AI57" s="20">
        <f t="shared" ref="AI57:AL62" si="54">AE57*(EXP(1.01-0.34*LN(AI$8))*(1-$T57)+(1*$T57))</f>
        <v>0</v>
      </c>
      <c r="AJ57" s="20">
        <f t="shared" si="54"/>
        <v>0</v>
      </c>
      <c r="AK57" s="20">
        <f t="shared" si="54"/>
        <v>7.9133079195866243</v>
      </c>
      <c r="AL57" s="20">
        <f t="shared" si="54"/>
        <v>0</v>
      </c>
      <c r="AM57" s="20">
        <f t="shared" ref="AM57:AM62" si="55">SUM(AI57:AL57)</f>
        <v>7.9133079195866243</v>
      </c>
      <c r="AO57">
        <f t="shared" ref="AO57:AR62" si="56">Z57*AO$10</f>
        <v>0</v>
      </c>
      <c r="AP57">
        <f t="shared" si="56"/>
        <v>0</v>
      </c>
      <c r="AQ57">
        <f t="shared" si="56"/>
        <v>1.0278303560022273</v>
      </c>
      <c r="AR57">
        <f t="shared" si="56"/>
        <v>0</v>
      </c>
      <c r="AS57">
        <f t="shared" ref="AS57:AS62" si="57">SUM(AO57:AR57)</f>
        <v>1.0278303560022273</v>
      </c>
      <c r="AU57">
        <f t="shared" ref="AU57:AX62" si="58">AI57*AU$10</f>
        <v>0</v>
      </c>
      <c r="AV57">
        <f t="shared" si="58"/>
        <v>0</v>
      </c>
      <c r="AW57">
        <f t="shared" si="58"/>
        <v>9.4681596157382888</v>
      </c>
      <c r="AX57">
        <f t="shared" si="58"/>
        <v>0</v>
      </c>
      <c r="AY57">
        <f t="shared" ref="AY57:AY62" si="59">SUM(AU57:AX57)</f>
        <v>9.4681596157382888</v>
      </c>
    </row>
    <row r="58" spans="1:51" ht="15" x14ac:dyDescent="0.25">
      <c r="A58" s="1"/>
      <c r="B58" s="2"/>
      <c r="C58" s="1" t="s">
        <v>9</v>
      </c>
      <c r="D58" s="285">
        <v>0</v>
      </c>
      <c r="E58" s="286">
        <v>0</v>
      </c>
      <c r="F58" s="286">
        <v>0</v>
      </c>
      <c r="G58" s="286">
        <v>0</v>
      </c>
      <c r="H58" s="287">
        <v>0</v>
      </c>
      <c r="J58">
        <v>0</v>
      </c>
      <c r="K58">
        <v>0</v>
      </c>
      <c r="L58">
        <v>0</v>
      </c>
      <c r="M58">
        <v>0</v>
      </c>
      <c r="N58">
        <v>0</v>
      </c>
      <c r="O58" s="20"/>
      <c r="P58" s="20"/>
      <c r="Q58" s="147"/>
      <c r="R58" s="197">
        <v>0.33900000000000002</v>
      </c>
      <c r="S58" s="197">
        <v>1.9830000000000001</v>
      </c>
      <c r="T58" s="197">
        <v>0.76146788990825687</v>
      </c>
      <c r="U58" s="197">
        <v>0.76146788990825687</v>
      </c>
      <c r="V58" s="20">
        <f t="shared" si="50"/>
        <v>0</v>
      </c>
      <c r="W58" s="20">
        <f t="shared" si="50"/>
        <v>0</v>
      </c>
      <c r="X58" s="20">
        <f t="shared" si="50"/>
        <v>0</v>
      </c>
      <c r="Y58" s="20">
        <f t="shared" si="50"/>
        <v>0</v>
      </c>
      <c r="Z58" s="20">
        <f t="shared" si="51"/>
        <v>0</v>
      </c>
      <c r="AA58" s="20">
        <f t="shared" si="51"/>
        <v>0</v>
      </c>
      <c r="AB58" s="20">
        <f t="shared" si="51"/>
        <v>0</v>
      </c>
      <c r="AC58" s="20">
        <f t="shared" si="51"/>
        <v>0</v>
      </c>
      <c r="AD58" s="20">
        <f t="shared" si="52"/>
        <v>0</v>
      </c>
      <c r="AE58" s="20">
        <f t="shared" si="53"/>
        <v>0</v>
      </c>
      <c r="AF58" s="20">
        <f t="shared" si="53"/>
        <v>0</v>
      </c>
      <c r="AG58" s="20">
        <f t="shared" si="53"/>
        <v>0</v>
      </c>
      <c r="AH58" s="20">
        <f t="shared" si="53"/>
        <v>0</v>
      </c>
      <c r="AI58" s="20">
        <f t="shared" si="54"/>
        <v>0</v>
      </c>
      <c r="AJ58" s="20">
        <f t="shared" si="54"/>
        <v>0</v>
      </c>
      <c r="AK58" s="20">
        <f t="shared" si="54"/>
        <v>0</v>
      </c>
      <c r="AL58" s="20">
        <f t="shared" si="54"/>
        <v>0</v>
      </c>
      <c r="AM58" s="20">
        <f t="shared" si="55"/>
        <v>0</v>
      </c>
      <c r="AO58">
        <f t="shared" si="56"/>
        <v>0</v>
      </c>
      <c r="AP58">
        <f t="shared" si="56"/>
        <v>0</v>
      </c>
      <c r="AQ58">
        <f t="shared" si="56"/>
        <v>0</v>
      </c>
      <c r="AR58">
        <f t="shared" si="56"/>
        <v>0</v>
      </c>
      <c r="AS58">
        <f t="shared" si="57"/>
        <v>0</v>
      </c>
      <c r="AU58">
        <f t="shared" si="58"/>
        <v>0</v>
      </c>
      <c r="AV58">
        <f t="shared" si="58"/>
        <v>0</v>
      </c>
      <c r="AW58">
        <f t="shared" si="58"/>
        <v>0</v>
      </c>
      <c r="AX58">
        <f t="shared" si="58"/>
        <v>0</v>
      </c>
      <c r="AY58">
        <f t="shared" si="59"/>
        <v>0</v>
      </c>
    </row>
    <row r="59" spans="1:51" ht="15" x14ac:dyDescent="0.25">
      <c r="A59" s="1"/>
      <c r="B59" s="2"/>
      <c r="C59" s="1" t="s">
        <v>10</v>
      </c>
      <c r="D59" s="285">
        <v>0</v>
      </c>
      <c r="E59" s="286">
        <v>0</v>
      </c>
      <c r="F59" s="286">
        <v>0</v>
      </c>
      <c r="G59" s="286">
        <v>0</v>
      </c>
      <c r="H59" s="287">
        <v>0</v>
      </c>
      <c r="J59">
        <v>0</v>
      </c>
      <c r="K59">
        <v>0</v>
      </c>
      <c r="L59">
        <v>0</v>
      </c>
      <c r="M59">
        <v>0</v>
      </c>
      <c r="N59">
        <v>0</v>
      </c>
      <c r="O59" s="20"/>
      <c r="P59" s="20"/>
      <c r="Q59" s="147"/>
      <c r="R59" s="197">
        <v>0.33900000000000002</v>
      </c>
      <c r="S59" s="197">
        <v>1.9830000000000001</v>
      </c>
      <c r="T59" s="197">
        <v>0.76146788990825687</v>
      </c>
      <c r="U59" s="197">
        <v>0.76146788990825687</v>
      </c>
      <c r="V59" s="20">
        <f t="shared" si="50"/>
        <v>0</v>
      </c>
      <c r="W59" s="20">
        <f t="shared" si="50"/>
        <v>0</v>
      </c>
      <c r="X59" s="20">
        <f t="shared" si="50"/>
        <v>0</v>
      </c>
      <c r="Y59" s="20">
        <f t="shared" si="50"/>
        <v>0</v>
      </c>
      <c r="Z59" s="20">
        <f t="shared" si="51"/>
        <v>0</v>
      </c>
      <c r="AA59" s="20">
        <f t="shared" si="51"/>
        <v>0</v>
      </c>
      <c r="AB59" s="20">
        <f t="shared" si="51"/>
        <v>0</v>
      </c>
      <c r="AC59" s="20">
        <f t="shared" si="51"/>
        <v>0</v>
      </c>
      <c r="AD59" s="20">
        <f t="shared" si="52"/>
        <v>0</v>
      </c>
      <c r="AE59" s="20">
        <f t="shared" si="53"/>
        <v>0</v>
      </c>
      <c r="AF59" s="20">
        <f t="shared" si="53"/>
        <v>0</v>
      </c>
      <c r="AG59" s="20">
        <f t="shared" si="53"/>
        <v>0</v>
      </c>
      <c r="AH59" s="20">
        <f t="shared" si="53"/>
        <v>0</v>
      </c>
      <c r="AI59" s="20">
        <f t="shared" si="54"/>
        <v>0</v>
      </c>
      <c r="AJ59" s="20">
        <f t="shared" si="54"/>
        <v>0</v>
      </c>
      <c r="AK59" s="20">
        <f t="shared" si="54"/>
        <v>0</v>
      </c>
      <c r="AL59" s="20">
        <f t="shared" si="54"/>
        <v>0</v>
      </c>
      <c r="AM59" s="20">
        <f t="shared" si="55"/>
        <v>0</v>
      </c>
      <c r="AO59">
        <f t="shared" si="56"/>
        <v>0</v>
      </c>
      <c r="AP59">
        <f t="shared" si="56"/>
        <v>0</v>
      </c>
      <c r="AQ59">
        <f t="shared" si="56"/>
        <v>0</v>
      </c>
      <c r="AR59">
        <f t="shared" si="56"/>
        <v>0</v>
      </c>
      <c r="AS59">
        <f t="shared" si="57"/>
        <v>0</v>
      </c>
      <c r="AU59">
        <f t="shared" si="58"/>
        <v>0</v>
      </c>
      <c r="AV59">
        <f t="shared" si="58"/>
        <v>0</v>
      </c>
      <c r="AW59">
        <f t="shared" si="58"/>
        <v>0</v>
      </c>
      <c r="AX59">
        <f t="shared" si="58"/>
        <v>0</v>
      </c>
      <c r="AY59">
        <f t="shared" si="59"/>
        <v>0</v>
      </c>
    </row>
    <row r="60" spans="1:51" ht="15" x14ac:dyDescent="0.25">
      <c r="A60" s="1"/>
      <c r="B60" s="2"/>
      <c r="C60" s="1" t="s">
        <v>11</v>
      </c>
      <c r="D60" s="285">
        <v>0</v>
      </c>
      <c r="E60" s="286">
        <v>0</v>
      </c>
      <c r="F60" s="286">
        <v>0</v>
      </c>
      <c r="G60" s="286">
        <v>0</v>
      </c>
      <c r="H60" s="287">
        <v>0</v>
      </c>
      <c r="J60">
        <v>0</v>
      </c>
      <c r="K60">
        <v>0</v>
      </c>
      <c r="L60">
        <v>0</v>
      </c>
      <c r="M60">
        <v>0</v>
      </c>
      <c r="N60">
        <v>0</v>
      </c>
      <c r="O60" s="20"/>
      <c r="P60" s="20"/>
      <c r="Q60" s="147"/>
      <c r="R60" s="197">
        <v>0.33900000000000002</v>
      </c>
      <c r="S60" s="197">
        <v>1.9830000000000001</v>
      </c>
      <c r="T60" s="197">
        <v>0.76146788990825687</v>
      </c>
      <c r="U60" s="197">
        <v>0.76146788990825687</v>
      </c>
      <c r="V60" s="20">
        <f t="shared" si="50"/>
        <v>0</v>
      </c>
      <c r="W60" s="20">
        <f t="shared" si="50"/>
        <v>0</v>
      </c>
      <c r="X60" s="20">
        <f t="shared" si="50"/>
        <v>0</v>
      </c>
      <c r="Y60" s="20">
        <f t="shared" si="50"/>
        <v>0</v>
      </c>
      <c r="Z60" s="20">
        <f t="shared" si="51"/>
        <v>0</v>
      </c>
      <c r="AA60" s="20">
        <f t="shared" si="51"/>
        <v>0</v>
      </c>
      <c r="AB60" s="20">
        <f t="shared" si="51"/>
        <v>0</v>
      </c>
      <c r="AC60" s="20">
        <f t="shared" si="51"/>
        <v>0</v>
      </c>
      <c r="AD60" s="20">
        <f t="shared" si="52"/>
        <v>0</v>
      </c>
      <c r="AE60" s="20">
        <f t="shared" si="53"/>
        <v>0</v>
      </c>
      <c r="AF60" s="20">
        <f t="shared" si="53"/>
        <v>0</v>
      </c>
      <c r="AG60" s="20">
        <f t="shared" si="53"/>
        <v>0</v>
      </c>
      <c r="AH60" s="20">
        <f t="shared" si="53"/>
        <v>0</v>
      </c>
      <c r="AI60" s="20">
        <f t="shared" si="54"/>
        <v>0</v>
      </c>
      <c r="AJ60" s="20">
        <f t="shared" si="54"/>
        <v>0</v>
      </c>
      <c r="AK60" s="20">
        <f t="shared" si="54"/>
        <v>0</v>
      </c>
      <c r="AL60" s="20">
        <f t="shared" si="54"/>
        <v>0</v>
      </c>
      <c r="AM60" s="20">
        <f t="shared" si="55"/>
        <v>0</v>
      </c>
      <c r="AO60">
        <f t="shared" si="56"/>
        <v>0</v>
      </c>
      <c r="AP60">
        <f t="shared" si="56"/>
        <v>0</v>
      </c>
      <c r="AQ60">
        <f t="shared" si="56"/>
        <v>0</v>
      </c>
      <c r="AR60">
        <f t="shared" si="56"/>
        <v>0</v>
      </c>
      <c r="AS60">
        <f t="shared" si="57"/>
        <v>0</v>
      </c>
      <c r="AU60">
        <f t="shared" si="58"/>
        <v>0</v>
      </c>
      <c r="AV60">
        <f t="shared" si="58"/>
        <v>0</v>
      </c>
      <c r="AW60">
        <f t="shared" si="58"/>
        <v>0</v>
      </c>
      <c r="AX60">
        <f t="shared" si="58"/>
        <v>0</v>
      </c>
      <c r="AY60">
        <f t="shared" si="59"/>
        <v>0</v>
      </c>
    </row>
    <row r="61" spans="1:51" ht="15" x14ac:dyDescent="0.25">
      <c r="A61" s="1"/>
      <c r="B61" s="2"/>
      <c r="C61" s="1" t="s">
        <v>12</v>
      </c>
      <c r="D61" s="285">
        <v>0</v>
      </c>
      <c r="E61" s="286">
        <v>0</v>
      </c>
      <c r="F61" s="286">
        <v>0</v>
      </c>
      <c r="G61" s="286">
        <v>0</v>
      </c>
      <c r="H61" s="287">
        <v>0</v>
      </c>
      <c r="J61">
        <v>0</v>
      </c>
      <c r="K61">
        <v>0</v>
      </c>
      <c r="L61">
        <v>0</v>
      </c>
      <c r="M61">
        <v>0</v>
      </c>
      <c r="N61">
        <v>0</v>
      </c>
      <c r="O61" s="20"/>
      <c r="P61" s="20"/>
      <c r="Q61" s="147"/>
      <c r="R61" s="197">
        <v>0.33900000000000002</v>
      </c>
      <c r="S61" s="197">
        <v>1.9830000000000001</v>
      </c>
      <c r="T61" s="197">
        <v>0.76146788990825687</v>
      </c>
      <c r="U61" s="197">
        <v>0.76146788990825687</v>
      </c>
      <c r="V61" s="20">
        <f t="shared" si="50"/>
        <v>0</v>
      </c>
      <c r="W61" s="20">
        <f t="shared" si="50"/>
        <v>0</v>
      </c>
      <c r="X61" s="20">
        <f t="shared" si="50"/>
        <v>0</v>
      </c>
      <c r="Y61" s="20">
        <f t="shared" si="50"/>
        <v>0</v>
      </c>
      <c r="Z61" s="20">
        <f t="shared" si="51"/>
        <v>0</v>
      </c>
      <c r="AA61" s="20">
        <f t="shared" si="51"/>
        <v>0</v>
      </c>
      <c r="AB61" s="20">
        <f t="shared" si="51"/>
        <v>0</v>
      </c>
      <c r="AC61" s="20">
        <f t="shared" si="51"/>
        <v>0</v>
      </c>
      <c r="AD61" s="20">
        <f t="shared" si="52"/>
        <v>0</v>
      </c>
      <c r="AE61" s="20">
        <f t="shared" si="53"/>
        <v>0</v>
      </c>
      <c r="AF61" s="20">
        <f t="shared" si="53"/>
        <v>0</v>
      </c>
      <c r="AG61" s="20">
        <f t="shared" si="53"/>
        <v>0</v>
      </c>
      <c r="AH61" s="20">
        <f t="shared" si="53"/>
        <v>0</v>
      </c>
      <c r="AI61" s="20">
        <f t="shared" si="54"/>
        <v>0</v>
      </c>
      <c r="AJ61" s="20">
        <f t="shared" si="54"/>
        <v>0</v>
      </c>
      <c r="AK61" s="20">
        <f t="shared" si="54"/>
        <v>0</v>
      </c>
      <c r="AL61" s="20">
        <f t="shared" si="54"/>
        <v>0</v>
      </c>
      <c r="AM61" s="20">
        <f t="shared" si="55"/>
        <v>0</v>
      </c>
      <c r="AO61">
        <f t="shared" si="56"/>
        <v>0</v>
      </c>
      <c r="AP61">
        <f t="shared" si="56"/>
        <v>0</v>
      </c>
      <c r="AQ61">
        <f t="shared" si="56"/>
        <v>0</v>
      </c>
      <c r="AR61">
        <f t="shared" si="56"/>
        <v>0</v>
      </c>
      <c r="AS61">
        <f t="shared" si="57"/>
        <v>0</v>
      </c>
      <c r="AU61">
        <f t="shared" si="58"/>
        <v>0</v>
      </c>
      <c r="AV61">
        <f t="shared" si="58"/>
        <v>0</v>
      </c>
      <c r="AW61">
        <f t="shared" si="58"/>
        <v>0</v>
      </c>
      <c r="AX61">
        <f t="shared" si="58"/>
        <v>0</v>
      </c>
      <c r="AY61">
        <f t="shared" si="59"/>
        <v>0</v>
      </c>
    </row>
    <row r="62" spans="1:51" ht="15" x14ac:dyDescent="0.25">
      <c r="A62" s="1"/>
      <c r="B62" s="2"/>
      <c r="C62" s="1" t="s">
        <v>13</v>
      </c>
      <c r="D62" s="285">
        <v>0</v>
      </c>
      <c r="E62" s="286">
        <v>0</v>
      </c>
      <c r="F62" s="286">
        <v>0</v>
      </c>
      <c r="G62" s="286">
        <v>0</v>
      </c>
      <c r="H62" s="287">
        <v>0</v>
      </c>
      <c r="J62">
        <v>0</v>
      </c>
      <c r="K62">
        <v>0</v>
      </c>
      <c r="L62">
        <v>0</v>
      </c>
      <c r="M62">
        <v>0</v>
      </c>
      <c r="N62">
        <v>0</v>
      </c>
      <c r="O62" s="20"/>
      <c r="P62" s="20"/>
      <c r="Q62" s="147"/>
      <c r="R62" s="197">
        <v>0.33900000000000002</v>
      </c>
      <c r="S62" s="197">
        <v>1.9830000000000001</v>
      </c>
      <c r="T62" s="197">
        <v>0.76146788990825687</v>
      </c>
      <c r="U62" s="197">
        <v>0.76146788990825687</v>
      </c>
      <c r="V62" s="20">
        <f t="shared" si="50"/>
        <v>0</v>
      </c>
      <c r="W62" s="20">
        <f t="shared" si="50"/>
        <v>0</v>
      </c>
      <c r="X62" s="20">
        <f t="shared" si="50"/>
        <v>0</v>
      </c>
      <c r="Y62" s="20">
        <f t="shared" si="50"/>
        <v>0</v>
      </c>
      <c r="Z62" s="20">
        <f t="shared" si="51"/>
        <v>0</v>
      </c>
      <c r="AA62" s="20">
        <f t="shared" si="51"/>
        <v>0</v>
      </c>
      <c r="AB62" s="20">
        <f t="shared" si="51"/>
        <v>0</v>
      </c>
      <c r="AC62" s="20">
        <f t="shared" si="51"/>
        <v>0</v>
      </c>
      <c r="AD62" s="20">
        <f t="shared" si="52"/>
        <v>0</v>
      </c>
      <c r="AE62" s="20">
        <f t="shared" si="53"/>
        <v>0</v>
      </c>
      <c r="AF62" s="20">
        <f t="shared" si="53"/>
        <v>0</v>
      </c>
      <c r="AG62" s="20">
        <f t="shared" si="53"/>
        <v>0</v>
      </c>
      <c r="AH62" s="20">
        <f t="shared" si="53"/>
        <v>0</v>
      </c>
      <c r="AI62" s="20">
        <f t="shared" si="54"/>
        <v>0</v>
      </c>
      <c r="AJ62" s="20">
        <f t="shared" si="54"/>
        <v>0</v>
      </c>
      <c r="AK62" s="20">
        <f t="shared" si="54"/>
        <v>0</v>
      </c>
      <c r="AL62" s="20">
        <f t="shared" si="54"/>
        <v>0</v>
      </c>
      <c r="AM62" s="20">
        <f t="shared" si="55"/>
        <v>0</v>
      </c>
      <c r="AO62">
        <f t="shared" si="56"/>
        <v>0</v>
      </c>
      <c r="AP62">
        <f t="shared" si="56"/>
        <v>0</v>
      </c>
      <c r="AQ62">
        <f t="shared" si="56"/>
        <v>0</v>
      </c>
      <c r="AR62">
        <f t="shared" si="56"/>
        <v>0</v>
      </c>
      <c r="AS62">
        <f t="shared" si="57"/>
        <v>0</v>
      </c>
      <c r="AU62">
        <f t="shared" si="58"/>
        <v>0</v>
      </c>
      <c r="AV62">
        <f t="shared" si="58"/>
        <v>0</v>
      </c>
      <c r="AW62">
        <f t="shared" si="58"/>
        <v>0</v>
      </c>
      <c r="AX62">
        <f t="shared" si="58"/>
        <v>0</v>
      </c>
      <c r="AY62">
        <f t="shared" si="59"/>
        <v>0</v>
      </c>
    </row>
    <row r="63" spans="1:51" ht="15" x14ac:dyDescent="0.25">
      <c r="A63" s="7"/>
      <c r="B63" s="8" t="s">
        <v>14</v>
      </c>
      <c r="C63" s="7"/>
      <c r="D63" s="288">
        <f>SUM(D57:D62)</f>
        <v>0</v>
      </c>
      <c r="E63" s="289">
        <f>SUM(E57:E62)</f>
        <v>0</v>
      </c>
      <c r="F63" s="289">
        <f>SUM(F57:F62)</f>
        <v>0</v>
      </c>
      <c r="G63" s="289">
        <f>SUM(G57:G62)</f>
        <v>1.81947269</v>
      </c>
      <c r="H63" s="290">
        <f>SUM(H57:H62)</f>
        <v>0</v>
      </c>
      <c r="J63">
        <v>0</v>
      </c>
      <c r="K63">
        <v>0</v>
      </c>
      <c r="L63">
        <v>0</v>
      </c>
      <c r="M63">
        <v>1.81947269</v>
      </c>
      <c r="N63">
        <v>0</v>
      </c>
      <c r="O63" s="20"/>
      <c r="P63" s="20"/>
      <c r="Q63" s="147"/>
      <c r="R63" s="197"/>
      <c r="S63" s="197"/>
      <c r="T63" s="197"/>
      <c r="U63" s="197"/>
    </row>
    <row r="64" spans="1:51" ht="15" x14ac:dyDescent="0.25">
      <c r="A64" s="10"/>
      <c r="B64" s="9" t="s">
        <v>15</v>
      </c>
      <c r="C64" s="5"/>
      <c r="D64" s="291"/>
      <c r="E64" s="292"/>
      <c r="F64" s="292"/>
      <c r="G64" s="292"/>
      <c r="H64" s="293">
        <f>SUM(D63:H63)</f>
        <v>1.81947269</v>
      </c>
      <c r="N64">
        <v>1.81947269</v>
      </c>
      <c r="O64" s="20"/>
      <c r="P64" s="20"/>
      <c r="Q64" s="147"/>
      <c r="R64" s="197"/>
      <c r="S64" s="197"/>
      <c r="T64" s="197"/>
      <c r="U64" s="197"/>
    </row>
    <row r="65" spans="1:51" ht="15.75" thickBot="1" x14ac:dyDescent="0.3">
      <c r="A65" s="3"/>
      <c r="B65" s="11"/>
      <c r="C65" s="3"/>
      <c r="D65" s="297"/>
      <c r="E65" s="298"/>
      <c r="F65" s="298"/>
      <c r="G65" s="298"/>
      <c r="H65" s="299"/>
      <c r="O65" s="20"/>
      <c r="P65" s="20"/>
      <c r="Q65" s="147"/>
      <c r="R65" s="197"/>
      <c r="S65" s="197"/>
      <c r="T65" s="197"/>
      <c r="U65" s="197"/>
    </row>
    <row r="66" spans="1:51" ht="15" x14ac:dyDescent="0.25">
      <c r="A66" s="3">
        <v>7</v>
      </c>
      <c r="B66" s="11" t="s">
        <v>21</v>
      </c>
      <c r="C66" s="3" t="s">
        <v>8</v>
      </c>
      <c r="D66" s="282">
        <v>0</v>
      </c>
      <c r="E66" s="283">
        <v>1.0983453700000001</v>
      </c>
      <c r="F66" s="283">
        <v>9.7564670400000004</v>
      </c>
      <c r="G66" s="283">
        <v>0</v>
      </c>
      <c r="H66" s="284">
        <v>0</v>
      </c>
      <c r="J66">
        <v>0</v>
      </c>
      <c r="K66">
        <v>1.0983453700000001</v>
      </c>
      <c r="L66">
        <v>0.42801480557000104</v>
      </c>
      <c r="M66">
        <v>0</v>
      </c>
      <c r="N66">
        <v>0</v>
      </c>
      <c r="O66" s="20"/>
      <c r="P66" s="20"/>
      <c r="Q66" s="147">
        <v>1.012808095268747E-2</v>
      </c>
      <c r="R66" s="197">
        <v>0.15</v>
      </c>
      <c r="S66" s="197">
        <v>1.18</v>
      </c>
      <c r="T66" s="197">
        <v>0.46666666666666673</v>
      </c>
      <c r="U66" s="197">
        <v>0.6566321730950142</v>
      </c>
      <c r="V66" s="20">
        <f t="shared" ref="V66:Y71" si="60">IF(K66&gt;0,((E66-K66)*$Q66*$R66*10)+(K66*$O$12*$Q66*$R66*10),(E66*$Q66*$R66*10))</f>
        <v>6.1363827909531477E-3</v>
      </c>
      <c r="W66" s="20">
        <f t="shared" si="60"/>
        <v>0.14411026944304089</v>
      </c>
      <c r="X66" s="20">
        <f t="shared" si="60"/>
        <v>0</v>
      </c>
      <c r="Y66" s="20">
        <f t="shared" si="60"/>
        <v>0</v>
      </c>
      <c r="Z66" s="20">
        <f t="shared" ref="Z66:AC71" si="61">V66*(EXP(1.01-0.34*LN(Z$8))*(1-$T66)+(1*$T66))</f>
        <v>3.8587746713077704E-3</v>
      </c>
      <c r="AA66" s="20">
        <f t="shared" si="61"/>
        <v>9.2159075981827293E-2</v>
      </c>
      <c r="AB66" s="20">
        <f t="shared" si="61"/>
        <v>0</v>
      </c>
      <c r="AC66" s="20">
        <f t="shared" si="61"/>
        <v>0</v>
      </c>
      <c r="AD66" s="20">
        <f t="shared" ref="AD66:AD71" si="62">SUM(Z66:AC66)</f>
        <v>9.6017850653135062E-2</v>
      </c>
      <c r="AE66" s="20">
        <f t="shared" ref="AE66:AH71" si="63">IF(K66&gt;0,((E66-K66)*$Q66*$S66*10)+(K66*$P$12*$Q66*$S66)*10,(E66*$Q66*$S66*10))</f>
        <v>7.6019377026904922E-2</v>
      </c>
      <c r="AF66" s="20">
        <f t="shared" si="63"/>
        <v>1.1444800012902427</v>
      </c>
      <c r="AG66" s="20">
        <f t="shared" si="63"/>
        <v>0</v>
      </c>
      <c r="AH66" s="20">
        <f t="shared" si="63"/>
        <v>0</v>
      </c>
      <c r="AI66" s="20">
        <f t="shared" ref="AI66:AL71" si="64">AE66*(EXP(1.01-0.34*LN(AI$8))*(1-$T66)+(1*$T66))</f>
        <v>4.7803674671744616E-2</v>
      </c>
      <c r="AJ66" s="20">
        <f t="shared" si="64"/>
        <v>0.73189939763645795</v>
      </c>
      <c r="AK66" s="20">
        <f t="shared" si="64"/>
        <v>0</v>
      </c>
      <c r="AL66" s="20">
        <f t="shared" si="64"/>
        <v>0</v>
      </c>
      <c r="AM66" s="20">
        <f t="shared" ref="AM66:AM71" si="65">SUM(AI66:AL66)</f>
        <v>0.77970307230820257</v>
      </c>
      <c r="AO66">
        <f t="shared" ref="AO66:AR71" si="66">Z66*AO$10</f>
        <v>4.5009379628582931E-3</v>
      </c>
      <c r="AP66">
        <f t="shared" si="66"/>
        <v>0.10985267850572115</v>
      </c>
      <c r="AQ66">
        <f t="shared" si="66"/>
        <v>0</v>
      </c>
      <c r="AR66">
        <f t="shared" si="66"/>
        <v>0</v>
      </c>
      <c r="AS66">
        <f t="shared" ref="AS66:AS71" si="67">SUM(AO66:AR66)</f>
        <v>0.11435361646857944</v>
      </c>
      <c r="AU66">
        <f t="shared" ref="AU66:AX71" si="68">AI66*AU$10</f>
        <v>5.5758988907549462E-2</v>
      </c>
      <c r="AV66">
        <f t="shared" si="68"/>
        <v>0.87241661627491751</v>
      </c>
      <c r="AW66">
        <f t="shared" si="68"/>
        <v>0</v>
      </c>
      <c r="AX66">
        <f t="shared" si="68"/>
        <v>0</v>
      </c>
      <c r="AY66">
        <f t="shared" ref="AY66:AY71" si="69">SUM(AU66:AX66)</f>
        <v>0.928175605182467</v>
      </c>
    </row>
    <row r="67" spans="1:51" ht="15" x14ac:dyDescent="0.25">
      <c r="A67" s="3"/>
      <c r="B67" s="11"/>
      <c r="C67" s="3" t="s">
        <v>9</v>
      </c>
      <c r="D67" s="285">
        <v>0</v>
      </c>
      <c r="E67" s="286">
        <v>0</v>
      </c>
      <c r="F67" s="286">
        <v>0</v>
      </c>
      <c r="G67" s="286">
        <v>0</v>
      </c>
      <c r="H67" s="287">
        <v>0</v>
      </c>
      <c r="J67">
        <v>0</v>
      </c>
      <c r="K67">
        <v>0</v>
      </c>
      <c r="L67">
        <v>0</v>
      </c>
      <c r="M67">
        <v>0</v>
      </c>
      <c r="N67">
        <v>0</v>
      </c>
      <c r="O67" s="20"/>
      <c r="P67" s="20"/>
      <c r="Q67" s="147"/>
      <c r="R67" s="197">
        <v>0.15</v>
      </c>
      <c r="S67" s="197">
        <v>1.18</v>
      </c>
      <c r="T67" s="197">
        <v>0.46666666666666673</v>
      </c>
      <c r="U67" s="197">
        <v>0.6566321730950142</v>
      </c>
      <c r="V67" s="20">
        <f t="shared" si="60"/>
        <v>0</v>
      </c>
      <c r="W67" s="20">
        <f t="shared" si="60"/>
        <v>0</v>
      </c>
      <c r="X67" s="20">
        <f t="shared" si="60"/>
        <v>0</v>
      </c>
      <c r="Y67" s="20">
        <f t="shared" si="60"/>
        <v>0</v>
      </c>
      <c r="Z67" s="20">
        <f t="shared" si="61"/>
        <v>0</v>
      </c>
      <c r="AA67" s="20">
        <f t="shared" si="61"/>
        <v>0</v>
      </c>
      <c r="AB67" s="20">
        <f t="shared" si="61"/>
        <v>0</v>
      </c>
      <c r="AC67" s="20">
        <f t="shared" si="61"/>
        <v>0</v>
      </c>
      <c r="AD67" s="20">
        <f t="shared" si="62"/>
        <v>0</v>
      </c>
      <c r="AE67" s="20">
        <f t="shared" si="63"/>
        <v>0</v>
      </c>
      <c r="AF67" s="20">
        <f t="shared" si="63"/>
        <v>0</v>
      </c>
      <c r="AG67" s="20">
        <f t="shared" si="63"/>
        <v>0</v>
      </c>
      <c r="AH67" s="20">
        <f t="shared" si="63"/>
        <v>0</v>
      </c>
      <c r="AI67" s="20">
        <f t="shared" si="64"/>
        <v>0</v>
      </c>
      <c r="AJ67" s="20">
        <f t="shared" si="64"/>
        <v>0</v>
      </c>
      <c r="AK67" s="20">
        <f t="shared" si="64"/>
        <v>0</v>
      </c>
      <c r="AL67" s="20">
        <f t="shared" si="64"/>
        <v>0</v>
      </c>
      <c r="AM67" s="20">
        <f t="shared" si="65"/>
        <v>0</v>
      </c>
      <c r="AO67">
        <f t="shared" si="66"/>
        <v>0</v>
      </c>
      <c r="AP67">
        <f t="shared" si="66"/>
        <v>0</v>
      </c>
      <c r="AQ67">
        <f t="shared" si="66"/>
        <v>0</v>
      </c>
      <c r="AR67">
        <f t="shared" si="66"/>
        <v>0</v>
      </c>
      <c r="AS67">
        <f t="shared" si="67"/>
        <v>0</v>
      </c>
      <c r="AU67">
        <f t="shared" si="68"/>
        <v>0</v>
      </c>
      <c r="AV67">
        <f t="shared" si="68"/>
        <v>0</v>
      </c>
      <c r="AW67">
        <f t="shared" si="68"/>
        <v>0</v>
      </c>
      <c r="AX67">
        <f t="shared" si="68"/>
        <v>0</v>
      </c>
      <c r="AY67">
        <f t="shared" si="69"/>
        <v>0</v>
      </c>
    </row>
    <row r="68" spans="1:51" ht="15" x14ac:dyDescent="0.25">
      <c r="A68" s="3"/>
      <c r="B68" s="11"/>
      <c r="C68" s="3" t="s">
        <v>10</v>
      </c>
      <c r="D68" s="285">
        <v>0</v>
      </c>
      <c r="E68" s="286">
        <v>0</v>
      </c>
      <c r="F68" s="286">
        <v>0</v>
      </c>
      <c r="G68" s="286">
        <v>0</v>
      </c>
      <c r="H68" s="287">
        <v>0</v>
      </c>
      <c r="J68">
        <v>0</v>
      </c>
      <c r="K68">
        <v>0</v>
      </c>
      <c r="L68">
        <v>0</v>
      </c>
      <c r="M68">
        <v>0</v>
      </c>
      <c r="N68">
        <v>0</v>
      </c>
      <c r="O68" s="20"/>
      <c r="P68" s="20"/>
      <c r="Q68" s="147"/>
      <c r="R68" s="197">
        <v>0.15</v>
      </c>
      <c r="S68" s="197">
        <v>1.18</v>
      </c>
      <c r="T68" s="197">
        <v>0.46666666666666673</v>
      </c>
      <c r="U68" s="197">
        <v>0.6566321730950142</v>
      </c>
      <c r="V68" s="20">
        <f t="shared" si="60"/>
        <v>0</v>
      </c>
      <c r="W68" s="20">
        <f t="shared" si="60"/>
        <v>0</v>
      </c>
      <c r="X68" s="20">
        <f t="shared" si="60"/>
        <v>0</v>
      </c>
      <c r="Y68" s="20">
        <f t="shared" si="60"/>
        <v>0</v>
      </c>
      <c r="Z68" s="20">
        <f t="shared" si="61"/>
        <v>0</v>
      </c>
      <c r="AA68" s="20">
        <f t="shared" si="61"/>
        <v>0</v>
      </c>
      <c r="AB68" s="20">
        <f t="shared" si="61"/>
        <v>0</v>
      </c>
      <c r="AC68" s="20">
        <f t="shared" si="61"/>
        <v>0</v>
      </c>
      <c r="AD68" s="20">
        <f t="shared" si="62"/>
        <v>0</v>
      </c>
      <c r="AE68" s="20">
        <f t="shared" si="63"/>
        <v>0</v>
      </c>
      <c r="AF68" s="20">
        <f t="shared" si="63"/>
        <v>0</v>
      </c>
      <c r="AG68" s="20">
        <f t="shared" si="63"/>
        <v>0</v>
      </c>
      <c r="AH68" s="20">
        <f t="shared" si="63"/>
        <v>0</v>
      </c>
      <c r="AI68" s="20">
        <f t="shared" si="64"/>
        <v>0</v>
      </c>
      <c r="AJ68" s="20">
        <f t="shared" si="64"/>
        <v>0</v>
      </c>
      <c r="AK68" s="20">
        <f t="shared" si="64"/>
        <v>0</v>
      </c>
      <c r="AL68" s="20">
        <f t="shared" si="64"/>
        <v>0</v>
      </c>
      <c r="AM68" s="20">
        <f t="shared" si="65"/>
        <v>0</v>
      </c>
      <c r="AO68">
        <f t="shared" si="66"/>
        <v>0</v>
      </c>
      <c r="AP68">
        <f t="shared" si="66"/>
        <v>0</v>
      </c>
      <c r="AQ68">
        <f t="shared" si="66"/>
        <v>0</v>
      </c>
      <c r="AR68">
        <f t="shared" si="66"/>
        <v>0</v>
      </c>
      <c r="AS68">
        <f t="shared" si="67"/>
        <v>0</v>
      </c>
      <c r="AU68">
        <f t="shared" si="68"/>
        <v>0</v>
      </c>
      <c r="AV68">
        <f t="shared" si="68"/>
        <v>0</v>
      </c>
      <c r="AW68">
        <f t="shared" si="68"/>
        <v>0</v>
      </c>
      <c r="AX68">
        <f t="shared" si="68"/>
        <v>0</v>
      </c>
      <c r="AY68">
        <f t="shared" si="69"/>
        <v>0</v>
      </c>
    </row>
    <row r="69" spans="1:51" ht="15" x14ac:dyDescent="0.25">
      <c r="A69" s="3"/>
      <c r="B69" s="11"/>
      <c r="C69" s="3" t="s">
        <v>11</v>
      </c>
      <c r="D69" s="285">
        <v>0</v>
      </c>
      <c r="E69" s="286">
        <v>0</v>
      </c>
      <c r="F69" s="286">
        <v>0</v>
      </c>
      <c r="G69" s="286">
        <v>0</v>
      </c>
      <c r="H69" s="287">
        <v>0</v>
      </c>
      <c r="J69">
        <v>0</v>
      </c>
      <c r="K69">
        <v>0</v>
      </c>
      <c r="L69">
        <v>0</v>
      </c>
      <c r="M69">
        <v>0</v>
      </c>
      <c r="N69">
        <v>0</v>
      </c>
      <c r="O69" s="20"/>
      <c r="P69" s="20"/>
      <c r="Q69" s="147"/>
      <c r="R69" s="197">
        <v>0.15</v>
      </c>
      <c r="S69" s="197">
        <v>1.18</v>
      </c>
      <c r="T69" s="197">
        <v>0.46666666666666673</v>
      </c>
      <c r="U69" s="197">
        <v>0.6566321730950142</v>
      </c>
      <c r="V69" s="20">
        <f t="shared" si="60"/>
        <v>0</v>
      </c>
      <c r="W69" s="20">
        <f t="shared" si="60"/>
        <v>0</v>
      </c>
      <c r="X69" s="20">
        <f t="shared" si="60"/>
        <v>0</v>
      </c>
      <c r="Y69" s="20">
        <f t="shared" si="60"/>
        <v>0</v>
      </c>
      <c r="Z69" s="20">
        <f t="shared" si="61"/>
        <v>0</v>
      </c>
      <c r="AA69" s="20">
        <f t="shared" si="61"/>
        <v>0</v>
      </c>
      <c r="AB69" s="20">
        <f t="shared" si="61"/>
        <v>0</v>
      </c>
      <c r="AC69" s="20">
        <f t="shared" si="61"/>
        <v>0</v>
      </c>
      <c r="AD69" s="20">
        <f t="shared" si="62"/>
        <v>0</v>
      </c>
      <c r="AE69" s="20">
        <f t="shared" si="63"/>
        <v>0</v>
      </c>
      <c r="AF69" s="20">
        <f t="shared" si="63"/>
        <v>0</v>
      </c>
      <c r="AG69" s="20">
        <f t="shared" si="63"/>
        <v>0</v>
      </c>
      <c r="AH69" s="20">
        <f t="shared" si="63"/>
        <v>0</v>
      </c>
      <c r="AI69" s="20">
        <f t="shared" si="64"/>
        <v>0</v>
      </c>
      <c r="AJ69" s="20">
        <f t="shared" si="64"/>
        <v>0</v>
      </c>
      <c r="AK69" s="20">
        <f t="shared" si="64"/>
        <v>0</v>
      </c>
      <c r="AL69" s="20">
        <f t="shared" si="64"/>
        <v>0</v>
      </c>
      <c r="AM69" s="20">
        <f t="shared" si="65"/>
        <v>0</v>
      </c>
      <c r="AO69">
        <f t="shared" si="66"/>
        <v>0</v>
      </c>
      <c r="AP69">
        <f t="shared" si="66"/>
        <v>0</v>
      </c>
      <c r="AQ69">
        <f t="shared" si="66"/>
        <v>0</v>
      </c>
      <c r="AR69">
        <f t="shared" si="66"/>
        <v>0</v>
      </c>
      <c r="AS69">
        <f t="shared" si="67"/>
        <v>0</v>
      </c>
      <c r="AU69">
        <f t="shared" si="68"/>
        <v>0</v>
      </c>
      <c r="AV69">
        <f t="shared" si="68"/>
        <v>0</v>
      </c>
      <c r="AW69">
        <f t="shared" si="68"/>
        <v>0</v>
      </c>
      <c r="AX69">
        <f t="shared" si="68"/>
        <v>0</v>
      </c>
      <c r="AY69">
        <f t="shared" si="69"/>
        <v>0</v>
      </c>
    </row>
    <row r="70" spans="1:51" ht="15" x14ac:dyDescent="0.25">
      <c r="A70" s="3"/>
      <c r="B70" s="12"/>
      <c r="C70" s="3" t="s">
        <v>12</v>
      </c>
      <c r="D70" s="285">
        <v>0</v>
      </c>
      <c r="E70" s="286">
        <v>0</v>
      </c>
      <c r="F70" s="286">
        <v>0</v>
      </c>
      <c r="G70" s="286">
        <v>0</v>
      </c>
      <c r="H70" s="287">
        <v>0</v>
      </c>
      <c r="J70">
        <v>0</v>
      </c>
      <c r="K70">
        <v>0</v>
      </c>
      <c r="L70">
        <v>0</v>
      </c>
      <c r="M70">
        <v>0</v>
      </c>
      <c r="N70">
        <v>0</v>
      </c>
      <c r="O70" s="20"/>
      <c r="P70" s="20"/>
      <c r="Q70" s="147"/>
      <c r="R70" s="197">
        <v>0.15</v>
      </c>
      <c r="S70" s="197">
        <v>1.18</v>
      </c>
      <c r="T70" s="197">
        <v>0.46666666666666673</v>
      </c>
      <c r="U70" s="197">
        <v>0.6566321730950142</v>
      </c>
      <c r="V70" s="20">
        <f t="shared" si="60"/>
        <v>0</v>
      </c>
      <c r="W70" s="20">
        <f t="shared" si="60"/>
        <v>0</v>
      </c>
      <c r="X70" s="20">
        <f t="shared" si="60"/>
        <v>0</v>
      </c>
      <c r="Y70" s="20">
        <f t="shared" si="60"/>
        <v>0</v>
      </c>
      <c r="Z70" s="20">
        <f t="shared" si="61"/>
        <v>0</v>
      </c>
      <c r="AA70" s="20">
        <f t="shared" si="61"/>
        <v>0</v>
      </c>
      <c r="AB70" s="20">
        <f t="shared" si="61"/>
        <v>0</v>
      </c>
      <c r="AC70" s="20">
        <f t="shared" si="61"/>
        <v>0</v>
      </c>
      <c r="AD70" s="20">
        <f t="shared" si="62"/>
        <v>0</v>
      </c>
      <c r="AE70" s="20">
        <f t="shared" si="63"/>
        <v>0</v>
      </c>
      <c r="AF70" s="20">
        <f t="shared" si="63"/>
        <v>0</v>
      </c>
      <c r="AG70" s="20">
        <f t="shared" si="63"/>
        <v>0</v>
      </c>
      <c r="AH70" s="20">
        <f t="shared" si="63"/>
        <v>0</v>
      </c>
      <c r="AI70" s="20">
        <f t="shared" si="64"/>
        <v>0</v>
      </c>
      <c r="AJ70" s="20">
        <f t="shared" si="64"/>
        <v>0</v>
      </c>
      <c r="AK70" s="20">
        <f t="shared" si="64"/>
        <v>0</v>
      </c>
      <c r="AL70" s="20">
        <f t="shared" si="64"/>
        <v>0</v>
      </c>
      <c r="AM70" s="20">
        <f t="shared" si="65"/>
        <v>0</v>
      </c>
      <c r="AO70">
        <f t="shared" si="66"/>
        <v>0</v>
      </c>
      <c r="AP70">
        <f t="shared" si="66"/>
        <v>0</v>
      </c>
      <c r="AQ70">
        <f t="shared" si="66"/>
        <v>0</v>
      </c>
      <c r="AR70">
        <f t="shared" si="66"/>
        <v>0</v>
      </c>
      <c r="AS70">
        <f t="shared" si="67"/>
        <v>0</v>
      </c>
      <c r="AU70">
        <f t="shared" si="68"/>
        <v>0</v>
      </c>
      <c r="AV70">
        <f t="shared" si="68"/>
        <v>0</v>
      </c>
      <c r="AW70">
        <f t="shared" si="68"/>
        <v>0</v>
      </c>
      <c r="AX70">
        <f t="shared" si="68"/>
        <v>0</v>
      </c>
      <c r="AY70">
        <f t="shared" si="69"/>
        <v>0</v>
      </c>
    </row>
    <row r="71" spans="1:51" ht="15" x14ac:dyDescent="0.25">
      <c r="A71" s="3"/>
      <c r="B71" s="12"/>
      <c r="C71" s="3" t="s">
        <v>13</v>
      </c>
      <c r="D71" s="285">
        <v>0</v>
      </c>
      <c r="E71" s="286">
        <v>0</v>
      </c>
      <c r="F71" s="286">
        <v>0</v>
      </c>
      <c r="G71" s="286">
        <v>0</v>
      </c>
      <c r="H71" s="287">
        <v>0</v>
      </c>
      <c r="J71">
        <v>0</v>
      </c>
      <c r="K71">
        <v>0</v>
      </c>
      <c r="L71">
        <v>0</v>
      </c>
      <c r="M71">
        <v>0</v>
      </c>
      <c r="N71">
        <v>0</v>
      </c>
      <c r="O71" s="20"/>
      <c r="P71" s="20"/>
      <c r="Q71" s="147"/>
      <c r="R71" s="197">
        <v>0.15</v>
      </c>
      <c r="S71" s="197">
        <v>1.18</v>
      </c>
      <c r="T71" s="197">
        <v>0.46666666666666673</v>
      </c>
      <c r="U71" s="197">
        <v>0.6566321730950142</v>
      </c>
      <c r="V71" s="20">
        <f t="shared" si="60"/>
        <v>0</v>
      </c>
      <c r="W71" s="20">
        <f t="shared" si="60"/>
        <v>0</v>
      </c>
      <c r="X71" s="20">
        <f t="shared" si="60"/>
        <v>0</v>
      </c>
      <c r="Y71" s="20">
        <f t="shared" si="60"/>
        <v>0</v>
      </c>
      <c r="Z71" s="20">
        <f t="shared" si="61"/>
        <v>0</v>
      </c>
      <c r="AA71" s="20">
        <f t="shared" si="61"/>
        <v>0</v>
      </c>
      <c r="AB71" s="20">
        <f t="shared" si="61"/>
        <v>0</v>
      </c>
      <c r="AC71" s="20">
        <f t="shared" si="61"/>
        <v>0</v>
      </c>
      <c r="AD71" s="20">
        <f t="shared" si="62"/>
        <v>0</v>
      </c>
      <c r="AE71" s="20">
        <f t="shared" si="63"/>
        <v>0</v>
      </c>
      <c r="AF71" s="20">
        <f t="shared" si="63"/>
        <v>0</v>
      </c>
      <c r="AG71" s="20">
        <f t="shared" si="63"/>
        <v>0</v>
      </c>
      <c r="AH71" s="20">
        <f t="shared" si="63"/>
        <v>0</v>
      </c>
      <c r="AI71" s="20">
        <f t="shared" si="64"/>
        <v>0</v>
      </c>
      <c r="AJ71" s="20">
        <f t="shared" si="64"/>
        <v>0</v>
      </c>
      <c r="AK71" s="20">
        <f t="shared" si="64"/>
        <v>0</v>
      </c>
      <c r="AL71" s="20">
        <f t="shared" si="64"/>
        <v>0</v>
      </c>
      <c r="AM71" s="20">
        <f t="shared" si="65"/>
        <v>0</v>
      </c>
      <c r="AO71">
        <f t="shared" si="66"/>
        <v>0</v>
      </c>
      <c r="AP71">
        <f t="shared" si="66"/>
        <v>0</v>
      </c>
      <c r="AQ71">
        <f t="shared" si="66"/>
        <v>0</v>
      </c>
      <c r="AR71">
        <f t="shared" si="66"/>
        <v>0</v>
      </c>
      <c r="AS71">
        <f t="shared" si="67"/>
        <v>0</v>
      </c>
      <c r="AU71">
        <f t="shared" si="68"/>
        <v>0</v>
      </c>
      <c r="AV71">
        <f t="shared" si="68"/>
        <v>0</v>
      </c>
      <c r="AW71">
        <f t="shared" si="68"/>
        <v>0</v>
      </c>
      <c r="AX71">
        <f t="shared" si="68"/>
        <v>0</v>
      </c>
      <c r="AY71">
        <f t="shared" si="69"/>
        <v>0</v>
      </c>
    </row>
    <row r="72" spans="1:51" ht="15" x14ac:dyDescent="0.25">
      <c r="A72" s="7"/>
      <c r="B72" s="8" t="s">
        <v>14</v>
      </c>
      <c r="C72" s="7"/>
      <c r="D72" s="288">
        <f>SUM(D66:D71)</f>
        <v>0</v>
      </c>
      <c r="E72" s="289">
        <f>SUM(E66:E71)</f>
        <v>1.0983453700000001</v>
      </c>
      <c r="F72" s="289">
        <f>SUM(F66:F71)</f>
        <v>9.7564670400000004</v>
      </c>
      <c r="G72" s="289">
        <f>SUM(G66:G71)</f>
        <v>0</v>
      </c>
      <c r="H72" s="290">
        <f>SUM(H66:H71)</f>
        <v>0</v>
      </c>
      <c r="J72">
        <v>0</v>
      </c>
      <c r="K72">
        <v>1.0983453700000001</v>
      </c>
      <c r="L72">
        <v>0.42801480557000104</v>
      </c>
      <c r="M72">
        <v>0</v>
      </c>
      <c r="N72">
        <v>0</v>
      </c>
      <c r="O72" s="20"/>
      <c r="P72" s="20"/>
      <c r="Q72" s="147"/>
      <c r="R72" s="197"/>
      <c r="S72" s="197"/>
      <c r="T72" s="197"/>
      <c r="U72" s="197"/>
    </row>
    <row r="73" spans="1:51" ht="15" x14ac:dyDescent="0.25">
      <c r="A73" s="10"/>
      <c r="B73" s="9" t="s">
        <v>15</v>
      </c>
      <c r="C73" s="5"/>
      <c r="D73" s="291"/>
      <c r="E73" s="292"/>
      <c r="F73" s="292"/>
      <c r="G73" s="292"/>
      <c r="H73" s="293">
        <f>SUM(D72:H72)</f>
        <v>10.854812410000001</v>
      </c>
      <c r="N73">
        <v>1.5263601755700011</v>
      </c>
      <c r="O73" s="20"/>
      <c r="P73" s="20"/>
      <c r="Q73" s="147"/>
      <c r="R73" s="197"/>
      <c r="S73" s="197"/>
      <c r="T73" s="197"/>
      <c r="U73" s="197"/>
    </row>
    <row r="74" spans="1:51" ht="15.75" thickBot="1" x14ac:dyDescent="0.3">
      <c r="A74" s="1"/>
      <c r="B74" s="2"/>
      <c r="C74" s="1"/>
      <c r="D74" s="294"/>
      <c r="E74" s="295"/>
      <c r="F74" s="295"/>
      <c r="G74" s="295"/>
      <c r="H74" s="296"/>
      <c r="O74" s="20"/>
      <c r="P74" s="20"/>
      <c r="Q74" s="147"/>
      <c r="R74" s="197"/>
      <c r="S74" s="197"/>
      <c r="T74" s="197"/>
      <c r="U74" s="197"/>
    </row>
    <row r="75" spans="1:51" ht="15" x14ac:dyDescent="0.25">
      <c r="A75" s="1">
        <v>8</v>
      </c>
      <c r="B75" s="2" t="s">
        <v>22</v>
      </c>
      <c r="C75" s="1" t="s">
        <v>8</v>
      </c>
      <c r="D75" s="285">
        <v>0</v>
      </c>
      <c r="E75" s="286">
        <v>210.79454375</v>
      </c>
      <c r="F75" s="286">
        <v>6.1400194600000004</v>
      </c>
      <c r="G75" s="286">
        <v>3.3235228299999999</v>
      </c>
      <c r="H75" s="287">
        <v>14.408158459999999</v>
      </c>
      <c r="J75">
        <v>0</v>
      </c>
      <c r="K75">
        <v>-27.968910759576005</v>
      </c>
      <c r="L75">
        <v>-6.9476869898047999</v>
      </c>
      <c r="M75">
        <v>-0.23227662802500015</v>
      </c>
      <c r="N75">
        <v>-3.1744190109850017</v>
      </c>
      <c r="O75" s="20"/>
      <c r="P75" s="20"/>
      <c r="Q75" s="147">
        <v>1.0128080952687468E-2</v>
      </c>
      <c r="R75" s="197">
        <v>5.6499999999999995E-2</v>
      </c>
      <c r="S75" s="197">
        <v>1.25</v>
      </c>
      <c r="T75" s="197">
        <v>0.50078889239507718</v>
      </c>
      <c r="U75" s="197">
        <v>0.75268470790377973</v>
      </c>
      <c r="V75" s="20">
        <f t="shared" ref="V75:Y80" si="70">IF(K75&gt;0,((E75-K75)*$Q75*$R75*10)+(K75*$O$12*$Q75*$R75*10),(E75*$Q75*$R75*10))</f>
        <v>1.2062434749689233</v>
      </c>
      <c r="W75" s="20">
        <f t="shared" si="70"/>
        <v>3.5135436990205361E-2</v>
      </c>
      <c r="X75" s="20">
        <f t="shared" si="70"/>
        <v>1.9018413172744896E-2</v>
      </c>
      <c r="Y75" s="20">
        <f t="shared" si="70"/>
        <v>8.2448752323046257E-2</v>
      </c>
      <c r="Z75" s="20">
        <f t="shared" ref="Z75:AC80" si="71">V75*(EXP(1.01-0.34*LN(Z$8))*(1-$T75)+(1*$T75))</f>
        <v>0.78717301552131935</v>
      </c>
      <c r="AA75" s="20">
        <f t="shared" si="71"/>
        <v>2.3279620454111347E-2</v>
      </c>
      <c r="AB75" s="20">
        <f t="shared" si="71"/>
        <v>1.2670962926311083E-2</v>
      </c>
      <c r="AC75" s="20">
        <f t="shared" si="71"/>
        <v>5.200099661709004E-2</v>
      </c>
      <c r="AD75" s="20">
        <f t="shared" ref="AD75:AD80" si="72">SUM(Z75:AC75)</f>
        <v>0.87512459551883182</v>
      </c>
      <c r="AE75" s="20">
        <f t="shared" ref="AE75:AH80" si="73">IF(K75&gt;0,((E75-K75)*$Q75*$S75*10)+(K75*$P$12*$Q75*$S75)*10,(E75*$Q75*$S75*10))</f>
        <v>26.686802543560255</v>
      </c>
      <c r="AF75" s="20">
        <f t="shared" si="73"/>
        <v>0.77733267677445494</v>
      </c>
      <c r="AG75" s="20">
        <f t="shared" si="73"/>
        <v>0.42076135337931192</v>
      </c>
      <c r="AH75" s="20">
        <f t="shared" si="73"/>
        <v>1.8240874407753598</v>
      </c>
      <c r="AI75" s="20">
        <f t="shared" ref="AI75:AL80" si="74">AE75*(EXP(1.01-0.34*LN(AI$8))*(1-$T75)+(1*$T75))</f>
        <v>17.415332201799103</v>
      </c>
      <c r="AJ75" s="20">
        <f t="shared" si="74"/>
        <v>0.51503585075467584</v>
      </c>
      <c r="AK75" s="20">
        <f t="shared" si="74"/>
        <v>0.28033103819272309</v>
      </c>
      <c r="AL75" s="20">
        <f t="shared" si="74"/>
        <v>1.1504645269267708</v>
      </c>
      <c r="AM75" s="20">
        <f t="shared" ref="AM75:AM80" si="75">SUM(AI75:AL75)</f>
        <v>19.361163617673274</v>
      </c>
      <c r="AO75">
        <f t="shared" ref="AO75:AR80" si="76">Z75*AO$10</f>
        <v>0.91817149501937345</v>
      </c>
      <c r="AP75">
        <f t="shared" si="76"/>
        <v>2.7749070118552183E-2</v>
      </c>
      <c r="AQ75">
        <f t="shared" si="76"/>
        <v>1.5160625706788203E-2</v>
      </c>
      <c r="AR75">
        <f t="shared" si="76"/>
        <v>6.2104306350169239E-2</v>
      </c>
      <c r="AS75">
        <f t="shared" ref="AS75:AS80" si="77">SUM(AO75:AR75)</f>
        <v>1.0231854971948831</v>
      </c>
      <c r="AU75">
        <f t="shared" ref="AU75:AX80" si="78">AI75*AU$10</f>
        <v>20.313528650871095</v>
      </c>
      <c r="AV75">
        <f t="shared" si="78"/>
        <v>0.61391748049894213</v>
      </c>
      <c r="AW75">
        <f t="shared" si="78"/>
        <v>0.33541207315903104</v>
      </c>
      <c r="AX75">
        <f t="shared" si="78"/>
        <v>1.3739890785435673</v>
      </c>
      <c r="AY75">
        <f t="shared" ref="AY75:AY80" si="79">SUM(AU75:AX75)</f>
        <v>22.636847283072633</v>
      </c>
    </row>
    <row r="76" spans="1:51" ht="15" x14ac:dyDescent="0.25">
      <c r="A76" s="1"/>
      <c r="B76" s="2"/>
      <c r="C76" s="1" t="s">
        <v>9</v>
      </c>
      <c r="D76" s="285">
        <v>0</v>
      </c>
      <c r="E76" s="286">
        <v>7.7057743299999997</v>
      </c>
      <c r="F76" s="286">
        <v>2.5756169799999999</v>
      </c>
      <c r="G76" s="286">
        <v>0</v>
      </c>
      <c r="H76" s="287">
        <v>0</v>
      </c>
      <c r="J76">
        <v>0</v>
      </c>
      <c r="K76">
        <v>-19.951962900589997</v>
      </c>
      <c r="L76">
        <v>2.3364730311413999</v>
      </c>
      <c r="M76">
        <v>0</v>
      </c>
      <c r="N76">
        <v>-0.94717243048599997</v>
      </c>
      <c r="O76" s="20"/>
      <c r="P76" s="20"/>
      <c r="Q76" s="147">
        <v>1.1256161905374937E-2</v>
      </c>
      <c r="R76" s="197">
        <v>5.6499999999999995E-2</v>
      </c>
      <c r="S76" s="197">
        <v>1.25</v>
      </c>
      <c r="T76" s="197">
        <v>0.50078889239507718</v>
      </c>
      <c r="U76" s="197">
        <v>0.75268470790377973</v>
      </c>
      <c r="V76" s="20">
        <f t="shared" si="70"/>
        <v>4.9006655557590567E-2</v>
      </c>
      <c r="W76" s="20">
        <f t="shared" si="70"/>
        <v>6.9854443715640412E-3</v>
      </c>
      <c r="X76" s="20">
        <f t="shared" si="70"/>
        <v>0</v>
      </c>
      <c r="Y76" s="20">
        <f t="shared" si="70"/>
        <v>0</v>
      </c>
      <c r="Z76" s="20">
        <f t="shared" si="71"/>
        <v>3.1980870890826622E-2</v>
      </c>
      <c r="AA76" s="20">
        <f t="shared" si="71"/>
        <v>4.628332749032041E-3</v>
      </c>
      <c r="AB76" s="20">
        <f t="shared" si="71"/>
        <v>0</v>
      </c>
      <c r="AC76" s="20">
        <f t="shared" si="71"/>
        <v>0</v>
      </c>
      <c r="AD76" s="20">
        <f t="shared" si="72"/>
        <v>3.6609203639858666E-2</v>
      </c>
      <c r="AE76" s="20">
        <f t="shared" si="73"/>
        <v>1.0842180433095259</v>
      </c>
      <c r="AF76" s="20">
        <f t="shared" si="73"/>
        <v>0.22403505405791335</v>
      </c>
      <c r="AG76" s="20">
        <f t="shared" si="73"/>
        <v>0</v>
      </c>
      <c r="AH76" s="20">
        <f t="shared" si="73"/>
        <v>0</v>
      </c>
      <c r="AI76" s="20">
        <f t="shared" si="74"/>
        <v>0.70754139138996952</v>
      </c>
      <c r="AJ76" s="20">
        <f t="shared" si="74"/>
        <v>0.14843848472237423</v>
      </c>
      <c r="AK76" s="20">
        <f t="shared" si="74"/>
        <v>0</v>
      </c>
      <c r="AL76" s="20">
        <f t="shared" si="74"/>
        <v>0</v>
      </c>
      <c r="AM76" s="20">
        <f t="shared" si="75"/>
        <v>0.85597987611234372</v>
      </c>
      <c r="AO76">
        <f t="shared" si="76"/>
        <v>3.7303011483955734E-2</v>
      </c>
      <c r="AP76">
        <f t="shared" si="76"/>
        <v>5.5169254257407575E-3</v>
      </c>
      <c r="AQ76">
        <f t="shared" si="76"/>
        <v>0</v>
      </c>
      <c r="AR76">
        <f t="shared" si="76"/>
        <v>0</v>
      </c>
      <c r="AS76">
        <f t="shared" si="77"/>
        <v>4.2819936909696488E-2</v>
      </c>
      <c r="AU76">
        <f t="shared" si="78"/>
        <v>0.82528786468928617</v>
      </c>
      <c r="AV76">
        <f t="shared" si="78"/>
        <v>0.17693715964880988</v>
      </c>
      <c r="AW76">
        <f t="shared" si="78"/>
        <v>0</v>
      </c>
      <c r="AX76">
        <f t="shared" si="78"/>
        <v>0</v>
      </c>
      <c r="AY76">
        <f t="shared" si="79"/>
        <v>1.0022250243380961</v>
      </c>
    </row>
    <row r="77" spans="1:51" ht="15" x14ac:dyDescent="0.25">
      <c r="A77" s="1"/>
      <c r="B77" s="2"/>
      <c r="C77" s="1" t="s">
        <v>10</v>
      </c>
      <c r="D77" s="285">
        <v>0</v>
      </c>
      <c r="E77" s="286">
        <v>11.647192410000001</v>
      </c>
      <c r="F77" s="286">
        <v>0</v>
      </c>
      <c r="G77" s="286">
        <v>0</v>
      </c>
      <c r="H77" s="287">
        <v>0</v>
      </c>
      <c r="J77">
        <v>0</v>
      </c>
      <c r="K77">
        <v>-3.6175834833550002</v>
      </c>
      <c r="L77">
        <v>0</v>
      </c>
      <c r="M77">
        <v>-3.4364205122290001</v>
      </c>
      <c r="N77">
        <v>-0.68537294772299995</v>
      </c>
      <c r="O77" s="20"/>
      <c r="P77" s="20"/>
      <c r="Q77" s="147">
        <v>1.2384242858062404E-2</v>
      </c>
      <c r="R77" s="197">
        <v>5.6499999999999995E-2</v>
      </c>
      <c r="S77" s="197">
        <v>1.25</v>
      </c>
      <c r="T77" s="197">
        <v>0.50078889239507718</v>
      </c>
      <c r="U77" s="197">
        <v>0.75268470790377973</v>
      </c>
      <c r="V77" s="20">
        <f t="shared" si="70"/>
        <v>8.1496537572311942E-2</v>
      </c>
      <c r="W77" s="20">
        <f t="shared" si="70"/>
        <v>0</v>
      </c>
      <c r="X77" s="20">
        <f t="shared" si="70"/>
        <v>0</v>
      </c>
      <c r="Y77" s="20">
        <f t="shared" si="70"/>
        <v>0</v>
      </c>
      <c r="Z77" s="20">
        <f t="shared" si="71"/>
        <v>5.3183189436109529E-2</v>
      </c>
      <c r="AA77" s="20">
        <f t="shared" si="71"/>
        <v>0</v>
      </c>
      <c r="AB77" s="20">
        <f t="shared" si="71"/>
        <v>0</v>
      </c>
      <c r="AC77" s="20">
        <f t="shared" si="71"/>
        <v>0</v>
      </c>
      <c r="AD77" s="20">
        <f t="shared" si="72"/>
        <v>5.3183189436109529E-2</v>
      </c>
      <c r="AE77" s="20">
        <f t="shared" si="73"/>
        <v>1.8030207427502642</v>
      </c>
      <c r="AF77" s="20">
        <f t="shared" si="73"/>
        <v>0</v>
      </c>
      <c r="AG77" s="20">
        <f t="shared" si="73"/>
        <v>0</v>
      </c>
      <c r="AH77" s="20">
        <f t="shared" si="73"/>
        <v>0</v>
      </c>
      <c r="AI77" s="20">
        <f t="shared" si="74"/>
        <v>1.1766192353121578</v>
      </c>
      <c r="AJ77" s="20">
        <f t="shared" si="74"/>
        <v>0</v>
      </c>
      <c r="AK77" s="20">
        <f t="shared" si="74"/>
        <v>0</v>
      </c>
      <c r="AL77" s="20">
        <f t="shared" si="74"/>
        <v>0</v>
      </c>
      <c r="AM77" s="20">
        <f t="shared" si="75"/>
        <v>1.1766192353121578</v>
      </c>
      <c r="AO77">
        <f t="shared" si="76"/>
        <v>6.2033743016599523E-2</v>
      </c>
      <c r="AP77">
        <f t="shared" si="76"/>
        <v>0</v>
      </c>
      <c r="AQ77">
        <f t="shared" si="76"/>
        <v>0</v>
      </c>
      <c r="AR77">
        <f t="shared" si="76"/>
        <v>0</v>
      </c>
      <c r="AS77">
        <f t="shared" si="77"/>
        <v>6.2033743016599523E-2</v>
      </c>
      <c r="AU77">
        <f t="shared" si="78"/>
        <v>1.3724279428451223</v>
      </c>
      <c r="AV77">
        <f t="shared" si="78"/>
        <v>0</v>
      </c>
      <c r="AW77">
        <f t="shared" si="78"/>
        <v>0</v>
      </c>
      <c r="AX77">
        <f t="shared" si="78"/>
        <v>0</v>
      </c>
      <c r="AY77">
        <f t="shared" si="79"/>
        <v>1.3724279428451223</v>
      </c>
    </row>
    <row r="78" spans="1:51" ht="15" x14ac:dyDescent="0.25">
      <c r="A78" s="1"/>
      <c r="B78" s="2"/>
      <c r="C78" s="1" t="s">
        <v>11</v>
      </c>
      <c r="D78" s="285">
        <v>0</v>
      </c>
      <c r="E78" s="286">
        <v>0.78291162000000003</v>
      </c>
      <c r="F78" s="286">
        <v>0</v>
      </c>
      <c r="G78" s="286">
        <v>0</v>
      </c>
      <c r="H78" s="287">
        <v>0</v>
      </c>
      <c r="J78">
        <v>0</v>
      </c>
      <c r="K78">
        <v>-11.959299697982999</v>
      </c>
      <c r="L78">
        <v>0</v>
      </c>
      <c r="M78">
        <v>0</v>
      </c>
      <c r="N78">
        <v>-1.32979537788E-2</v>
      </c>
      <c r="O78" s="20"/>
      <c r="P78" s="20"/>
      <c r="Q78" s="147">
        <v>1.3512323810749871E-2</v>
      </c>
      <c r="R78" s="197">
        <v>5.6499999999999995E-2</v>
      </c>
      <c r="S78" s="197">
        <v>1.25</v>
      </c>
      <c r="T78" s="197">
        <v>0.50078889239507718</v>
      </c>
      <c r="U78" s="197">
        <v>0.75268470790377973</v>
      </c>
      <c r="V78" s="20">
        <f t="shared" si="70"/>
        <v>5.9771097584208968E-3</v>
      </c>
      <c r="W78" s="20">
        <f t="shared" si="70"/>
        <v>0</v>
      </c>
      <c r="X78" s="20">
        <f t="shared" si="70"/>
        <v>0</v>
      </c>
      <c r="Y78" s="20">
        <f t="shared" si="70"/>
        <v>0</v>
      </c>
      <c r="Z78" s="20">
        <f t="shared" si="71"/>
        <v>3.9005554104732448E-3</v>
      </c>
      <c r="AA78" s="20">
        <f t="shared" si="71"/>
        <v>0</v>
      </c>
      <c r="AB78" s="20">
        <f t="shared" si="71"/>
        <v>0</v>
      </c>
      <c r="AC78" s="20">
        <f t="shared" si="71"/>
        <v>0</v>
      </c>
      <c r="AD78" s="20">
        <f t="shared" si="72"/>
        <v>3.9005554104732448E-3</v>
      </c>
      <c r="AE78" s="20">
        <f t="shared" si="73"/>
        <v>0.13223694155798443</v>
      </c>
      <c r="AF78" s="20">
        <f t="shared" si="73"/>
        <v>0</v>
      </c>
      <c r="AG78" s="20">
        <f t="shared" si="73"/>
        <v>0</v>
      </c>
      <c r="AH78" s="20">
        <f t="shared" si="73"/>
        <v>0</v>
      </c>
      <c r="AI78" s="20">
        <f t="shared" si="74"/>
        <v>8.6295473683036389E-2</v>
      </c>
      <c r="AJ78" s="20">
        <f t="shared" si="74"/>
        <v>0</v>
      </c>
      <c r="AK78" s="20">
        <f t="shared" si="74"/>
        <v>0</v>
      </c>
      <c r="AL78" s="20">
        <f t="shared" si="74"/>
        <v>0</v>
      </c>
      <c r="AM78" s="20">
        <f t="shared" si="75"/>
        <v>8.6295473683036389E-2</v>
      </c>
      <c r="AO78">
        <f t="shared" si="76"/>
        <v>4.5496717011676178E-3</v>
      </c>
      <c r="AP78">
        <f t="shared" si="76"/>
        <v>0</v>
      </c>
      <c r="AQ78">
        <f t="shared" si="76"/>
        <v>0</v>
      </c>
      <c r="AR78">
        <f t="shared" si="76"/>
        <v>0</v>
      </c>
      <c r="AS78">
        <f t="shared" si="77"/>
        <v>4.5496717011676178E-3</v>
      </c>
      <c r="AU78">
        <f t="shared" si="78"/>
        <v>0.10065645356565527</v>
      </c>
      <c r="AV78">
        <f t="shared" si="78"/>
        <v>0</v>
      </c>
      <c r="AW78">
        <f t="shared" si="78"/>
        <v>0</v>
      </c>
      <c r="AX78">
        <f t="shared" si="78"/>
        <v>0</v>
      </c>
      <c r="AY78">
        <f t="shared" si="79"/>
        <v>0.10065645356565527</v>
      </c>
    </row>
    <row r="79" spans="1:51" ht="15" x14ac:dyDescent="0.25">
      <c r="A79" s="1"/>
      <c r="B79" s="13"/>
      <c r="C79" s="1" t="s">
        <v>12</v>
      </c>
      <c r="D79" s="285">
        <v>0</v>
      </c>
      <c r="E79" s="286">
        <v>1.4651121499999999</v>
      </c>
      <c r="F79" s="286">
        <v>0</v>
      </c>
      <c r="G79" s="286">
        <v>0</v>
      </c>
      <c r="H79" s="287">
        <v>0</v>
      </c>
      <c r="J79">
        <v>0</v>
      </c>
      <c r="K79">
        <v>-6.392958635158001</v>
      </c>
      <c r="L79">
        <v>-0.86004761266899998</v>
      </c>
      <c r="M79">
        <v>-3.3812473861979999</v>
      </c>
      <c r="N79">
        <v>-2.0042868427891758</v>
      </c>
      <c r="O79" s="20"/>
      <c r="P79" s="20"/>
      <c r="Q79" s="147">
        <v>1.3512323810749873E-2</v>
      </c>
      <c r="R79" s="197">
        <v>5.6499999999999995E-2</v>
      </c>
      <c r="S79" s="197">
        <v>1.25</v>
      </c>
      <c r="T79" s="197">
        <v>0.50078889239507718</v>
      </c>
      <c r="U79" s="197">
        <v>0.75268470790377973</v>
      </c>
      <c r="V79" s="20">
        <f t="shared" si="70"/>
        <v>1.1185344431273125E-2</v>
      </c>
      <c r="W79" s="20">
        <f t="shared" si="70"/>
        <v>0</v>
      </c>
      <c r="X79" s="20">
        <f t="shared" si="70"/>
        <v>0</v>
      </c>
      <c r="Y79" s="20">
        <f t="shared" si="70"/>
        <v>0</v>
      </c>
      <c r="Z79" s="20">
        <f t="shared" si="71"/>
        <v>7.2993566293377892E-3</v>
      </c>
      <c r="AA79" s="20">
        <f t="shared" si="71"/>
        <v>0</v>
      </c>
      <c r="AB79" s="20">
        <f t="shared" si="71"/>
        <v>0</v>
      </c>
      <c r="AC79" s="20">
        <f t="shared" si="71"/>
        <v>0</v>
      </c>
      <c r="AD79" s="20">
        <f t="shared" si="72"/>
        <v>7.2993566293377892E-3</v>
      </c>
      <c r="AE79" s="20">
        <f t="shared" si="73"/>
        <v>0.24746337237329924</v>
      </c>
      <c r="AF79" s="20">
        <f t="shared" si="73"/>
        <v>0</v>
      </c>
      <c r="AG79" s="20">
        <f t="shared" si="73"/>
        <v>0</v>
      </c>
      <c r="AH79" s="20">
        <f t="shared" si="73"/>
        <v>0</v>
      </c>
      <c r="AI79" s="20">
        <f t="shared" si="74"/>
        <v>0.16149019091455288</v>
      </c>
      <c r="AJ79" s="20">
        <f t="shared" si="74"/>
        <v>0</v>
      </c>
      <c r="AK79" s="20">
        <f t="shared" si="74"/>
        <v>0</v>
      </c>
      <c r="AL79" s="20">
        <f t="shared" si="74"/>
        <v>0</v>
      </c>
      <c r="AM79" s="20">
        <f t="shared" si="75"/>
        <v>0.16149019091455288</v>
      </c>
      <c r="AO79">
        <f t="shared" si="76"/>
        <v>8.5140890971727393E-3</v>
      </c>
      <c r="AP79">
        <f t="shared" si="76"/>
        <v>0</v>
      </c>
      <c r="AQ79">
        <f t="shared" si="76"/>
        <v>0</v>
      </c>
      <c r="AR79">
        <f t="shared" si="76"/>
        <v>0</v>
      </c>
      <c r="AS79">
        <f t="shared" si="77"/>
        <v>8.5140890971727393E-3</v>
      </c>
      <c r="AU79">
        <f t="shared" si="78"/>
        <v>0.18836480303479514</v>
      </c>
      <c r="AV79">
        <f t="shared" si="78"/>
        <v>0</v>
      </c>
      <c r="AW79">
        <f t="shared" si="78"/>
        <v>0</v>
      </c>
      <c r="AX79">
        <f t="shared" si="78"/>
        <v>0</v>
      </c>
      <c r="AY79">
        <f t="shared" si="79"/>
        <v>0.18836480303479514</v>
      </c>
    </row>
    <row r="80" spans="1:51" ht="15" x14ac:dyDescent="0.25">
      <c r="A80" s="1"/>
      <c r="B80" s="13"/>
      <c r="C80" s="1" t="s">
        <v>13</v>
      </c>
      <c r="D80" s="285">
        <v>0</v>
      </c>
      <c r="E80" s="286">
        <v>0</v>
      </c>
      <c r="F80" s="286">
        <v>0</v>
      </c>
      <c r="G80" s="286">
        <v>0</v>
      </c>
      <c r="H80" s="287">
        <v>0</v>
      </c>
      <c r="J80">
        <v>0</v>
      </c>
      <c r="K80">
        <v>0</v>
      </c>
      <c r="L80">
        <v>0</v>
      </c>
      <c r="M80">
        <v>0</v>
      </c>
      <c r="N80">
        <v>0</v>
      </c>
      <c r="O80" s="20"/>
      <c r="P80" s="20"/>
      <c r="Q80" s="147"/>
      <c r="R80" s="197">
        <v>5.6499999999999995E-2</v>
      </c>
      <c r="S80" s="197">
        <v>1.25</v>
      </c>
      <c r="T80" s="197">
        <v>0.50078889239507718</v>
      </c>
      <c r="U80" s="197">
        <v>0.75268470790377973</v>
      </c>
      <c r="V80" s="20">
        <f t="shared" si="70"/>
        <v>0</v>
      </c>
      <c r="W80" s="20">
        <f t="shared" si="70"/>
        <v>0</v>
      </c>
      <c r="X80" s="20">
        <f t="shared" si="70"/>
        <v>0</v>
      </c>
      <c r="Y80" s="20">
        <f t="shared" si="70"/>
        <v>0</v>
      </c>
      <c r="Z80" s="20">
        <f t="shared" si="71"/>
        <v>0</v>
      </c>
      <c r="AA80" s="20">
        <f t="shared" si="71"/>
        <v>0</v>
      </c>
      <c r="AB80" s="20">
        <f t="shared" si="71"/>
        <v>0</v>
      </c>
      <c r="AC80" s="20">
        <f t="shared" si="71"/>
        <v>0</v>
      </c>
      <c r="AD80" s="20">
        <f t="shared" si="72"/>
        <v>0</v>
      </c>
      <c r="AE80" s="20">
        <f t="shared" si="73"/>
        <v>0</v>
      </c>
      <c r="AF80" s="20">
        <f t="shared" si="73"/>
        <v>0</v>
      </c>
      <c r="AG80" s="20">
        <f t="shared" si="73"/>
        <v>0</v>
      </c>
      <c r="AH80" s="20">
        <f t="shared" si="73"/>
        <v>0</v>
      </c>
      <c r="AI80" s="20">
        <f t="shared" si="74"/>
        <v>0</v>
      </c>
      <c r="AJ80" s="20">
        <f t="shared" si="74"/>
        <v>0</v>
      </c>
      <c r="AK80" s="20">
        <f t="shared" si="74"/>
        <v>0</v>
      </c>
      <c r="AL80" s="20">
        <f t="shared" si="74"/>
        <v>0</v>
      </c>
      <c r="AM80" s="20">
        <f t="shared" si="75"/>
        <v>0</v>
      </c>
      <c r="AO80">
        <f t="shared" si="76"/>
        <v>0</v>
      </c>
      <c r="AP80">
        <f t="shared" si="76"/>
        <v>0</v>
      </c>
      <c r="AQ80">
        <f t="shared" si="76"/>
        <v>0</v>
      </c>
      <c r="AR80">
        <f t="shared" si="76"/>
        <v>0</v>
      </c>
      <c r="AS80">
        <f t="shared" si="77"/>
        <v>0</v>
      </c>
      <c r="AU80">
        <f t="shared" si="78"/>
        <v>0</v>
      </c>
      <c r="AV80">
        <f t="shared" si="78"/>
        <v>0</v>
      </c>
      <c r="AW80">
        <f t="shared" si="78"/>
        <v>0</v>
      </c>
      <c r="AX80">
        <f t="shared" si="78"/>
        <v>0</v>
      </c>
      <c r="AY80">
        <f t="shared" si="79"/>
        <v>0</v>
      </c>
    </row>
    <row r="81" spans="1:51" ht="15" x14ac:dyDescent="0.25">
      <c r="A81" s="7"/>
      <c r="B81" s="8" t="s">
        <v>14</v>
      </c>
      <c r="C81" s="7"/>
      <c r="D81" s="288">
        <f>SUM(D75:D80)</f>
        <v>0</v>
      </c>
      <c r="E81" s="289">
        <f>SUM(E75:E80)</f>
        <v>232.39553426000001</v>
      </c>
      <c r="F81" s="289">
        <f>SUM(F75:F80)</f>
        <v>8.7156364400000008</v>
      </c>
      <c r="G81" s="289">
        <f>SUM(G75:G80)</f>
        <v>3.3235228299999999</v>
      </c>
      <c r="H81" s="290">
        <f>SUM(H75:H80)</f>
        <v>14.408158459999999</v>
      </c>
      <c r="J81">
        <v>0</v>
      </c>
      <c r="K81">
        <v>-69.890715476661995</v>
      </c>
      <c r="L81">
        <v>-5.4712615713324002</v>
      </c>
      <c r="M81">
        <v>-7.0499445264520002</v>
      </c>
      <c r="N81">
        <v>-6.8245491857619767</v>
      </c>
      <c r="O81" s="20"/>
      <c r="P81" s="20"/>
      <c r="Q81" s="147"/>
      <c r="R81" s="197"/>
      <c r="S81" s="197"/>
      <c r="T81" s="197"/>
      <c r="U81" s="197"/>
    </row>
    <row r="82" spans="1:51" ht="15" x14ac:dyDescent="0.25">
      <c r="A82" s="10"/>
      <c r="B82" s="9" t="s">
        <v>15</v>
      </c>
      <c r="C82" s="5"/>
      <c r="D82" s="291"/>
      <c r="E82" s="292"/>
      <c r="F82" s="292"/>
      <c r="G82" s="292"/>
      <c r="H82" s="293">
        <f>SUM(D81:H81)</f>
        <v>258.84285198999999</v>
      </c>
      <c r="N82">
        <v>-89.236470760208377</v>
      </c>
      <c r="O82" s="20"/>
      <c r="P82" s="20"/>
      <c r="Q82" s="147"/>
      <c r="R82" s="197"/>
      <c r="S82" s="197"/>
      <c r="T82" s="197"/>
      <c r="U82" s="197"/>
    </row>
    <row r="83" spans="1:51" ht="15.75" thickBot="1" x14ac:dyDescent="0.3">
      <c r="A83" s="1"/>
      <c r="B83" s="2"/>
      <c r="C83" s="1"/>
      <c r="D83" s="297"/>
      <c r="E83" s="298"/>
      <c r="F83" s="298"/>
      <c r="G83" s="298"/>
      <c r="H83" s="299"/>
      <c r="O83" s="20"/>
      <c r="P83" s="20"/>
      <c r="Q83" s="147"/>
      <c r="R83" s="197"/>
      <c r="S83" s="197"/>
      <c r="T83" s="197"/>
      <c r="U83" s="197"/>
    </row>
    <row r="84" spans="1:51" ht="15" x14ac:dyDescent="0.25">
      <c r="A84" s="1">
        <v>9</v>
      </c>
      <c r="B84" s="2" t="s">
        <v>23</v>
      </c>
      <c r="C84" s="1" t="s">
        <v>8</v>
      </c>
      <c r="D84" s="282">
        <v>0</v>
      </c>
      <c r="E84" s="283">
        <v>3.8081370899999998</v>
      </c>
      <c r="F84" s="283">
        <v>15.41136605</v>
      </c>
      <c r="G84" s="283">
        <v>90.138140440000001</v>
      </c>
      <c r="H84" s="284">
        <v>205.95822059</v>
      </c>
      <c r="J84">
        <v>0</v>
      </c>
      <c r="K84">
        <v>-78.691164906149993</v>
      </c>
      <c r="L84">
        <v>9.349220743410001</v>
      </c>
      <c r="M84">
        <v>61.25684696551</v>
      </c>
      <c r="N84">
        <v>144.1368872389626</v>
      </c>
      <c r="O84" s="20"/>
      <c r="P84" s="20"/>
      <c r="Q84" s="147">
        <v>1.012808095268747E-2</v>
      </c>
      <c r="R84" s="197">
        <v>0.38700000000000001</v>
      </c>
      <c r="S84" s="197">
        <v>2.48</v>
      </c>
      <c r="T84" s="197">
        <v>0.72182006204756977</v>
      </c>
      <c r="U84" s="197">
        <v>0.90789473684210531</v>
      </c>
      <c r="V84" s="20">
        <f t="shared" ref="V84:Y89" si="80">IF(K84&gt;0,((E84-K84)*$Q84*$R84*10)+(K84*$O$12*$Q84*$R84*10),(E84*$Q84*$R84*10))</f>
        <v>0.14926249721136803</v>
      </c>
      <c r="W84" s="20">
        <f t="shared" si="80"/>
        <v>0.37237223670848613</v>
      </c>
      <c r="X84" s="20">
        <f t="shared" si="80"/>
        <v>2.0149956393926254</v>
      </c>
      <c r="Y84" s="20">
        <f t="shared" si="80"/>
        <v>4.5007595344666669</v>
      </c>
      <c r="Z84" s="20">
        <f t="shared" ref="Z84:AC89" si="81">V84*(EXP(1.01-0.34*LN(Z$8))*(1-$T84)+(1*$T84))</f>
        <v>0.12036605729747835</v>
      </c>
      <c r="AA84" s="20">
        <f t="shared" si="81"/>
        <v>0.30235499948048106</v>
      </c>
      <c r="AB84" s="20">
        <f t="shared" si="81"/>
        <v>1.6402464485242454</v>
      </c>
      <c r="AC84" s="20">
        <f t="shared" si="81"/>
        <v>3.5745727611965172</v>
      </c>
      <c r="AD84" s="20">
        <f t="shared" ref="AD84:AD89" si="82">SUM(Z84:AC84)</f>
        <v>5.6375402664987222</v>
      </c>
      <c r="AE84" s="20">
        <f t="shared" ref="AE84:AH89" si="83">IF(K84&gt;0,((E84-K84)*$Q84*$S84*10)+(K84*$P$12*$Q84*$S84)*10,(E84*$Q84*$S84*10))</f>
        <v>0.9565141940160018</v>
      </c>
      <c r="AF84" s="20">
        <f t="shared" si="83"/>
        <v>2.8826414564307594</v>
      </c>
      <c r="AG84" s="20">
        <f t="shared" si="83"/>
        <v>16.164955895288411</v>
      </c>
      <c r="AH84" s="20">
        <f t="shared" si="83"/>
        <v>36.494765921848966</v>
      </c>
      <c r="AI84" s="20">
        <f t="shared" ref="AI84:AL89" si="84">AE84*(EXP(1.01-0.34*LN(AI$8))*(1-$T84)+(1*$T84))</f>
        <v>0.77133804159624364</v>
      </c>
      <c r="AJ84" s="20">
        <f t="shared" si="84"/>
        <v>2.3406177210355725</v>
      </c>
      <c r="AK84" s="20">
        <f t="shared" si="84"/>
        <v>13.158594976309764</v>
      </c>
      <c r="AL84" s="20">
        <f t="shared" si="84"/>
        <v>28.984706957009806</v>
      </c>
      <c r="AM84" s="20">
        <f t="shared" ref="AM84:AM89" si="85">SUM(AI84:AL84)</f>
        <v>45.255257695951386</v>
      </c>
      <c r="AO84">
        <f t="shared" ref="AO84:AR89" si="86">Z84*AO$10</f>
        <v>0.14039694018883717</v>
      </c>
      <c r="AP84">
        <f t="shared" si="86"/>
        <v>0.36040407522180767</v>
      </c>
      <c r="AQ84">
        <f t="shared" si="86"/>
        <v>1.9625313890965936</v>
      </c>
      <c r="AR84">
        <f t="shared" si="86"/>
        <v>4.2690789845239259</v>
      </c>
      <c r="AS84">
        <f t="shared" ref="AS84:AS89" si="87">SUM(AO84:AR84)</f>
        <v>6.7324113890311645</v>
      </c>
      <c r="AU84">
        <f t="shared" ref="AU84:AX89" si="88">AI84*AU$10</f>
        <v>0.89970132214035181</v>
      </c>
      <c r="AV84">
        <f t="shared" si="88"/>
        <v>2.7899924481058838</v>
      </c>
      <c r="AW84">
        <f t="shared" si="88"/>
        <v>15.744070472245829</v>
      </c>
      <c r="AX84">
        <f t="shared" si="88"/>
        <v>34.616165793569174</v>
      </c>
      <c r="AY84">
        <f t="shared" ref="AY84:AY89" si="89">SUM(AU84:AX84)</f>
        <v>54.049930036061241</v>
      </c>
    </row>
    <row r="85" spans="1:51" ht="15" x14ac:dyDescent="0.25">
      <c r="A85" s="1"/>
      <c r="B85" s="2"/>
      <c r="C85" s="1" t="s">
        <v>9</v>
      </c>
      <c r="D85" s="285">
        <v>0</v>
      </c>
      <c r="E85" s="286">
        <v>0</v>
      </c>
      <c r="F85" s="286">
        <v>0</v>
      </c>
      <c r="G85" s="286">
        <v>1.17883128</v>
      </c>
      <c r="H85" s="287">
        <v>10.10015729</v>
      </c>
      <c r="J85">
        <v>0</v>
      </c>
      <c r="K85">
        <v>-2.1227532942499998</v>
      </c>
      <c r="L85">
        <v>0</v>
      </c>
      <c r="M85">
        <v>1.1549124489154001</v>
      </c>
      <c r="N85">
        <v>-2.2202391601000002</v>
      </c>
      <c r="O85" s="20"/>
      <c r="P85" s="20"/>
      <c r="Q85" s="147">
        <v>1.1256161905374937E-2</v>
      </c>
      <c r="R85" s="197">
        <v>0.38700000000000001</v>
      </c>
      <c r="S85" s="197">
        <v>2.48</v>
      </c>
      <c r="T85" s="197">
        <v>0.72182006204756977</v>
      </c>
      <c r="U85" s="197">
        <v>0.90789473684210531</v>
      </c>
      <c r="V85" s="20">
        <f t="shared" si="80"/>
        <v>0</v>
      </c>
      <c r="W85" s="20">
        <f t="shared" si="80"/>
        <v>0</v>
      </c>
      <c r="X85" s="20">
        <f t="shared" si="80"/>
        <v>1.9543373251701537E-2</v>
      </c>
      <c r="Y85" s="20">
        <f t="shared" si="80"/>
        <v>0.4399764521595928</v>
      </c>
      <c r="Z85" s="20">
        <f t="shared" si="81"/>
        <v>0</v>
      </c>
      <c r="AA85" s="20">
        <f t="shared" si="81"/>
        <v>0</v>
      </c>
      <c r="AB85" s="20">
        <f t="shared" si="81"/>
        <v>1.5908693766677192E-2</v>
      </c>
      <c r="AC85" s="20">
        <f t="shared" si="81"/>
        <v>0.34943609615525234</v>
      </c>
      <c r="AD85" s="20">
        <f t="shared" si="82"/>
        <v>0.36534478992192954</v>
      </c>
      <c r="AE85" s="20">
        <f t="shared" si="83"/>
        <v>0</v>
      </c>
      <c r="AF85" s="20">
        <f t="shared" si="83"/>
        <v>0</v>
      </c>
      <c r="AG85" s="20">
        <f t="shared" si="83"/>
        <v>0.19338688314187724</v>
      </c>
      <c r="AH85" s="20">
        <f t="shared" si="83"/>
        <v>2.8194873420046256</v>
      </c>
      <c r="AI85" s="20">
        <f t="shared" si="84"/>
        <v>0</v>
      </c>
      <c r="AJ85" s="20">
        <f t="shared" si="84"/>
        <v>0</v>
      </c>
      <c r="AK85" s="20">
        <f t="shared" si="84"/>
        <v>0.15742076164504792</v>
      </c>
      <c r="AL85" s="20">
        <f t="shared" si="84"/>
        <v>2.2392804094703509</v>
      </c>
      <c r="AM85" s="20">
        <f t="shared" si="85"/>
        <v>2.3967011711153989</v>
      </c>
      <c r="AO85">
        <f t="shared" si="86"/>
        <v>0</v>
      </c>
      <c r="AP85">
        <f t="shared" si="86"/>
        <v>0</v>
      </c>
      <c r="AQ85">
        <f t="shared" si="86"/>
        <v>1.9034524296467518E-2</v>
      </c>
      <c r="AR85">
        <f t="shared" si="86"/>
        <v>0.41732827786421367</v>
      </c>
      <c r="AS85">
        <f t="shared" si="87"/>
        <v>0.43636280216068118</v>
      </c>
      <c r="AU85">
        <f t="shared" si="88"/>
        <v>0</v>
      </c>
      <c r="AV85">
        <f t="shared" si="88"/>
        <v>0</v>
      </c>
      <c r="AW85">
        <f t="shared" si="88"/>
        <v>0.18835168721252865</v>
      </c>
      <c r="AX85">
        <f t="shared" si="88"/>
        <v>2.6743517547887596</v>
      </c>
      <c r="AY85">
        <f t="shared" si="89"/>
        <v>2.8627034420012882</v>
      </c>
    </row>
    <row r="86" spans="1:51" ht="15" x14ac:dyDescent="0.25">
      <c r="A86" s="1"/>
      <c r="B86" s="2"/>
      <c r="C86" s="1" t="s">
        <v>10</v>
      </c>
      <c r="D86" s="285">
        <v>0</v>
      </c>
      <c r="E86" s="286">
        <v>3.1382823200000001</v>
      </c>
      <c r="F86" s="286">
        <v>0</v>
      </c>
      <c r="G86" s="286">
        <v>8.2785517199999994</v>
      </c>
      <c r="H86" s="287">
        <v>5.4227730599999999</v>
      </c>
      <c r="J86">
        <v>0</v>
      </c>
      <c r="K86">
        <v>-2.4850799520499995</v>
      </c>
      <c r="L86">
        <v>0</v>
      </c>
      <c r="M86">
        <v>6.8875442954699997</v>
      </c>
      <c r="N86">
        <v>5.4227730599999999</v>
      </c>
      <c r="O86" s="20"/>
      <c r="P86" s="20"/>
      <c r="Q86" s="147">
        <v>1.2384242858062406E-2</v>
      </c>
      <c r="R86" s="197">
        <v>0.38700000000000001</v>
      </c>
      <c r="S86" s="197">
        <v>2.48</v>
      </c>
      <c r="T86" s="197">
        <v>0.72182006204756977</v>
      </c>
      <c r="U86" s="197">
        <v>0.90789473684210531</v>
      </c>
      <c r="V86" s="20">
        <f t="shared" si="80"/>
        <v>0.15040851907912844</v>
      </c>
      <c r="W86" s="20">
        <f t="shared" si="80"/>
        <v>0</v>
      </c>
      <c r="X86" s="20">
        <f t="shared" si="80"/>
        <v>0.18806159649783155</v>
      </c>
      <c r="Y86" s="20">
        <f t="shared" si="80"/>
        <v>9.5577782794116495E-2</v>
      </c>
      <c r="Z86" s="20">
        <f t="shared" si="81"/>
        <v>0.1212902153169149</v>
      </c>
      <c r="AA86" s="20">
        <f t="shared" si="81"/>
        <v>0</v>
      </c>
      <c r="AB86" s="20">
        <f t="shared" si="81"/>
        <v>0.15308587260881037</v>
      </c>
      <c r="AC86" s="20">
        <f t="shared" si="81"/>
        <v>7.590935181830169E-2</v>
      </c>
      <c r="AD86" s="20">
        <f t="shared" si="82"/>
        <v>0.35028543974402693</v>
      </c>
      <c r="AE86" s="20">
        <f t="shared" si="83"/>
        <v>0.96385821011947925</v>
      </c>
      <c r="AF86" s="20">
        <f t="shared" si="83"/>
        <v>0</v>
      </c>
      <c r="AG86" s="20">
        <f t="shared" si="83"/>
        <v>1.652291433654359</v>
      </c>
      <c r="AH86" s="20">
        <f t="shared" si="83"/>
        <v>0.9645367558890463</v>
      </c>
      <c r="AI86" s="20">
        <f t="shared" si="84"/>
        <v>0.77726029453733569</v>
      </c>
      <c r="AJ86" s="20">
        <f t="shared" si="84"/>
        <v>0</v>
      </c>
      <c r="AK86" s="20">
        <f t="shared" si="84"/>
        <v>1.3449980253036746</v>
      </c>
      <c r="AL86" s="20">
        <f t="shared" si="84"/>
        <v>0.76604999408891972</v>
      </c>
      <c r="AM86" s="20">
        <f t="shared" si="85"/>
        <v>2.8883083139299299</v>
      </c>
      <c r="AO86">
        <f t="shared" si="86"/>
        <v>0.14147489323551043</v>
      </c>
      <c r="AP86">
        <f t="shared" si="86"/>
        <v>0</v>
      </c>
      <c r="AQ86">
        <f t="shared" si="86"/>
        <v>0.18316505455161294</v>
      </c>
      <c r="AR86">
        <f t="shared" si="86"/>
        <v>9.0657832481180534E-2</v>
      </c>
      <c r="AS86">
        <f t="shared" si="87"/>
        <v>0.41529778026830388</v>
      </c>
      <c r="AU86">
        <f t="shared" si="88"/>
        <v>0.90660913494590656</v>
      </c>
      <c r="AV86">
        <f t="shared" si="88"/>
        <v>0</v>
      </c>
      <c r="AW86">
        <f t="shared" si="88"/>
        <v>1.6092708783526311</v>
      </c>
      <c r="AX86">
        <f t="shared" si="88"/>
        <v>0.91488637925081928</v>
      </c>
      <c r="AY86">
        <f t="shared" si="89"/>
        <v>3.4307663925493568</v>
      </c>
    </row>
    <row r="87" spans="1:51" ht="15" x14ac:dyDescent="0.25">
      <c r="A87" s="1"/>
      <c r="B87" s="2"/>
      <c r="C87" s="1" t="s">
        <v>11</v>
      </c>
      <c r="D87" s="285">
        <v>0</v>
      </c>
      <c r="E87" s="286">
        <v>0</v>
      </c>
      <c r="F87" s="286">
        <v>0</v>
      </c>
      <c r="G87" s="286">
        <v>3.9220495400000002</v>
      </c>
      <c r="H87" s="287">
        <v>0</v>
      </c>
      <c r="J87">
        <v>0</v>
      </c>
      <c r="K87">
        <v>-0.26721763230700002</v>
      </c>
      <c r="L87">
        <v>0</v>
      </c>
      <c r="M87">
        <v>3.9220495400000002</v>
      </c>
      <c r="N87">
        <v>0</v>
      </c>
      <c r="O87" s="20"/>
      <c r="P87" s="20"/>
      <c r="Q87" s="147">
        <v>1.3512323810749873E-2</v>
      </c>
      <c r="R87" s="197">
        <v>0.38700000000000001</v>
      </c>
      <c r="S87" s="197">
        <v>2.48</v>
      </c>
      <c r="T87" s="197">
        <v>0.72182006204756977</v>
      </c>
      <c r="U87" s="197">
        <v>0.90789473684210531</v>
      </c>
      <c r="V87" s="20">
        <f t="shared" si="80"/>
        <v>0</v>
      </c>
      <c r="W87" s="20">
        <f t="shared" si="80"/>
        <v>0</v>
      </c>
      <c r="X87" s="20">
        <f t="shared" si="80"/>
        <v>7.5423934008753177E-2</v>
      </c>
      <c r="Y87" s="20">
        <f t="shared" si="80"/>
        <v>0</v>
      </c>
      <c r="Z87" s="20">
        <f t="shared" si="81"/>
        <v>0</v>
      </c>
      <c r="AA87" s="20">
        <f t="shared" si="81"/>
        <v>0</v>
      </c>
      <c r="AB87" s="20">
        <f t="shared" si="81"/>
        <v>6.1396579463008256E-2</v>
      </c>
      <c r="AC87" s="20">
        <f t="shared" si="81"/>
        <v>0</v>
      </c>
      <c r="AD87" s="20">
        <f t="shared" si="82"/>
        <v>6.1396579463008256E-2</v>
      </c>
      <c r="AE87" s="20">
        <f t="shared" si="83"/>
        <v>0</v>
      </c>
      <c r="AF87" s="20">
        <f t="shared" si="83"/>
        <v>0</v>
      </c>
      <c r="AG87" s="20">
        <f t="shared" si="83"/>
        <v>0.76115133139153091</v>
      </c>
      <c r="AH87" s="20">
        <f t="shared" si="83"/>
        <v>0</v>
      </c>
      <c r="AI87" s="20">
        <f t="shared" si="84"/>
        <v>0</v>
      </c>
      <c r="AJ87" s="20">
        <f t="shared" si="84"/>
        <v>0</v>
      </c>
      <c r="AK87" s="20">
        <f t="shared" si="84"/>
        <v>0.61959229275592087</v>
      </c>
      <c r="AL87" s="20">
        <f t="shared" si="84"/>
        <v>0</v>
      </c>
      <c r="AM87" s="20">
        <f t="shared" si="85"/>
        <v>0.61959229275592087</v>
      </c>
      <c r="AO87">
        <f t="shared" si="86"/>
        <v>0</v>
      </c>
      <c r="AP87">
        <f t="shared" si="86"/>
        <v>0</v>
      </c>
      <c r="AQ87">
        <f t="shared" si="86"/>
        <v>7.3460128194593022E-2</v>
      </c>
      <c r="AR87">
        <f t="shared" si="86"/>
        <v>0</v>
      </c>
      <c r="AS87">
        <f t="shared" si="87"/>
        <v>7.3460128194593022E-2</v>
      </c>
      <c r="AU87">
        <f t="shared" si="88"/>
        <v>0</v>
      </c>
      <c r="AV87">
        <f t="shared" si="88"/>
        <v>0</v>
      </c>
      <c r="AW87">
        <f t="shared" si="88"/>
        <v>0.74133330638810202</v>
      </c>
      <c r="AX87">
        <f t="shared" si="88"/>
        <v>0</v>
      </c>
      <c r="AY87">
        <f t="shared" si="89"/>
        <v>0.74133330638810202</v>
      </c>
    </row>
    <row r="88" spans="1:51" ht="15" x14ac:dyDescent="0.25">
      <c r="A88" s="1"/>
      <c r="B88" s="2"/>
      <c r="C88" s="1" t="s">
        <v>12</v>
      </c>
      <c r="D88" s="285">
        <v>0</v>
      </c>
      <c r="E88" s="286">
        <v>0</v>
      </c>
      <c r="F88" s="286">
        <v>0</v>
      </c>
      <c r="G88" s="286">
        <v>0</v>
      </c>
      <c r="H88" s="287">
        <v>8.4744599999999996E-3</v>
      </c>
      <c r="J88">
        <v>0</v>
      </c>
      <c r="K88">
        <v>0</v>
      </c>
      <c r="L88">
        <v>0</v>
      </c>
      <c r="M88">
        <v>0</v>
      </c>
      <c r="N88">
        <v>-0.937410731971</v>
      </c>
      <c r="O88" s="20"/>
      <c r="P88" s="20"/>
      <c r="Q88" s="147">
        <v>1.3512323810749875E-2</v>
      </c>
      <c r="R88" s="197">
        <v>0.38700000000000001</v>
      </c>
      <c r="S88" s="197">
        <v>2.48</v>
      </c>
      <c r="T88" s="197">
        <v>0.72182006204756977</v>
      </c>
      <c r="U88" s="197">
        <v>0.90789473684210531</v>
      </c>
      <c r="V88" s="20">
        <f t="shared" si="80"/>
        <v>0</v>
      </c>
      <c r="W88" s="20">
        <f t="shared" si="80"/>
        <v>0</v>
      </c>
      <c r="X88" s="20">
        <f t="shared" si="80"/>
        <v>0</v>
      </c>
      <c r="Y88" s="20">
        <f t="shared" si="80"/>
        <v>4.4315233637162737E-4</v>
      </c>
      <c r="Z88" s="20">
        <f t="shared" si="81"/>
        <v>0</v>
      </c>
      <c r="AA88" s="20">
        <f t="shared" si="81"/>
        <v>0</v>
      </c>
      <c r="AB88" s="20">
        <f t="shared" si="81"/>
        <v>0</v>
      </c>
      <c r="AC88" s="20">
        <f t="shared" si="81"/>
        <v>3.5195843246540543E-4</v>
      </c>
      <c r="AD88" s="20">
        <f t="shared" si="82"/>
        <v>3.5195843246540543E-4</v>
      </c>
      <c r="AE88" s="20">
        <f t="shared" si="83"/>
        <v>0</v>
      </c>
      <c r="AF88" s="20">
        <f t="shared" si="83"/>
        <v>0</v>
      </c>
      <c r="AG88" s="20">
        <f t="shared" si="83"/>
        <v>0</v>
      </c>
      <c r="AH88" s="20">
        <f t="shared" si="83"/>
        <v>2.8398392615029346E-3</v>
      </c>
      <c r="AI88" s="20">
        <f t="shared" si="84"/>
        <v>0</v>
      </c>
      <c r="AJ88" s="20">
        <f t="shared" si="84"/>
        <v>0</v>
      </c>
      <c r="AK88" s="20">
        <f t="shared" si="84"/>
        <v>0</v>
      </c>
      <c r="AL88" s="20">
        <f t="shared" si="84"/>
        <v>2.2554442183829594E-3</v>
      </c>
      <c r="AM88" s="20">
        <f t="shared" si="85"/>
        <v>2.2554442183829594E-3</v>
      </c>
      <c r="AO88">
        <f t="shared" si="86"/>
        <v>0</v>
      </c>
      <c r="AP88">
        <f t="shared" si="86"/>
        <v>0</v>
      </c>
      <c r="AQ88">
        <f t="shared" si="86"/>
        <v>0</v>
      </c>
      <c r="AR88">
        <f t="shared" si="86"/>
        <v>4.2034068064713306E-4</v>
      </c>
      <c r="AS88">
        <f t="shared" si="87"/>
        <v>4.2034068064713306E-4</v>
      </c>
      <c r="AU88">
        <f t="shared" si="88"/>
        <v>0</v>
      </c>
      <c r="AV88">
        <f t="shared" si="88"/>
        <v>0</v>
      </c>
      <c r="AW88">
        <f t="shared" si="88"/>
        <v>0</v>
      </c>
      <c r="AX88">
        <f t="shared" si="88"/>
        <v>2.6936560413563042E-3</v>
      </c>
      <c r="AY88">
        <f t="shared" si="89"/>
        <v>2.6936560413563042E-3</v>
      </c>
    </row>
    <row r="89" spans="1:51" ht="15" x14ac:dyDescent="0.25">
      <c r="A89" s="1"/>
      <c r="B89" s="2"/>
      <c r="C89" s="1" t="s">
        <v>13</v>
      </c>
      <c r="D89" s="285">
        <v>0</v>
      </c>
      <c r="E89" s="286">
        <v>0</v>
      </c>
      <c r="F89" s="286">
        <v>0</v>
      </c>
      <c r="G89" s="286">
        <v>0</v>
      </c>
      <c r="H89" s="287">
        <v>0</v>
      </c>
      <c r="J89">
        <v>0</v>
      </c>
      <c r="K89">
        <v>0</v>
      </c>
      <c r="L89">
        <v>0</v>
      </c>
      <c r="M89">
        <v>0</v>
      </c>
      <c r="N89">
        <v>0</v>
      </c>
      <c r="O89" s="20"/>
      <c r="P89" s="20"/>
      <c r="Q89" s="147"/>
      <c r="R89" s="197">
        <v>0.38700000000000001</v>
      </c>
      <c r="S89" s="197">
        <v>2.48</v>
      </c>
      <c r="T89" s="197">
        <v>0.72182006204756977</v>
      </c>
      <c r="U89" s="197">
        <v>0.90789473684210531</v>
      </c>
      <c r="V89" s="20">
        <f t="shared" si="80"/>
        <v>0</v>
      </c>
      <c r="W89" s="20">
        <f t="shared" si="80"/>
        <v>0</v>
      </c>
      <c r="X89" s="20">
        <f t="shared" si="80"/>
        <v>0</v>
      </c>
      <c r="Y89" s="20">
        <f t="shared" si="80"/>
        <v>0</v>
      </c>
      <c r="Z89" s="20">
        <f t="shared" si="81"/>
        <v>0</v>
      </c>
      <c r="AA89" s="20">
        <f t="shared" si="81"/>
        <v>0</v>
      </c>
      <c r="AB89" s="20">
        <f t="shared" si="81"/>
        <v>0</v>
      </c>
      <c r="AC89" s="20">
        <f t="shared" si="81"/>
        <v>0</v>
      </c>
      <c r="AD89" s="20">
        <f t="shared" si="82"/>
        <v>0</v>
      </c>
      <c r="AE89" s="20">
        <f t="shared" si="83"/>
        <v>0</v>
      </c>
      <c r="AF89" s="20">
        <f t="shared" si="83"/>
        <v>0</v>
      </c>
      <c r="AG89" s="20">
        <f t="shared" si="83"/>
        <v>0</v>
      </c>
      <c r="AH89" s="20">
        <f t="shared" si="83"/>
        <v>0</v>
      </c>
      <c r="AI89" s="20">
        <f t="shared" si="84"/>
        <v>0</v>
      </c>
      <c r="AJ89" s="20">
        <f t="shared" si="84"/>
        <v>0</v>
      </c>
      <c r="AK89" s="20">
        <f t="shared" si="84"/>
        <v>0</v>
      </c>
      <c r="AL89" s="20">
        <f t="shared" si="84"/>
        <v>0</v>
      </c>
      <c r="AM89" s="20">
        <f t="shared" si="85"/>
        <v>0</v>
      </c>
      <c r="AO89">
        <f t="shared" si="86"/>
        <v>0</v>
      </c>
      <c r="AP89">
        <f t="shared" si="86"/>
        <v>0</v>
      </c>
      <c r="AQ89">
        <f t="shared" si="86"/>
        <v>0</v>
      </c>
      <c r="AR89">
        <f t="shared" si="86"/>
        <v>0</v>
      </c>
      <c r="AS89">
        <f t="shared" si="87"/>
        <v>0</v>
      </c>
      <c r="AU89">
        <f t="shared" si="88"/>
        <v>0</v>
      </c>
      <c r="AV89">
        <f t="shared" si="88"/>
        <v>0</v>
      </c>
      <c r="AW89">
        <f t="shared" si="88"/>
        <v>0</v>
      </c>
      <c r="AX89">
        <f t="shared" si="88"/>
        <v>0</v>
      </c>
      <c r="AY89">
        <f t="shared" si="89"/>
        <v>0</v>
      </c>
    </row>
    <row r="90" spans="1:51" ht="15" x14ac:dyDescent="0.25">
      <c r="A90" s="7"/>
      <c r="B90" s="8" t="s">
        <v>14</v>
      </c>
      <c r="C90" s="7"/>
      <c r="D90" s="288">
        <f>SUM(D84:D89)</f>
        <v>0</v>
      </c>
      <c r="E90" s="289">
        <f>SUM(E84:E89)</f>
        <v>6.9464194099999998</v>
      </c>
      <c r="F90" s="289">
        <f>SUM(F84:F89)</f>
        <v>15.41136605</v>
      </c>
      <c r="G90" s="289">
        <f>SUM(G84:G89)</f>
        <v>103.51757298</v>
      </c>
      <c r="H90" s="290">
        <f>SUM(H84:H89)</f>
        <v>221.48962539999999</v>
      </c>
      <c r="J90">
        <v>0</v>
      </c>
      <c r="K90">
        <v>-83.566215784756992</v>
      </c>
      <c r="L90">
        <v>9.349220743410001</v>
      </c>
      <c r="M90">
        <v>73.221353249895401</v>
      </c>
      <c r="N90">
        <v>146.40201040689161</v>
      </c>
      <c r="O90" s="20"/>
      <c r="P90" s="20"/>
      <c r="Q90" s="147"/>
      <c r="R90" s="197"/>
      <c r="S90" s="197"/>
      <c r="T90" s="197"/>
      <c r="U90" s="197"/>
    </row>
    <row r="91" spans="1:51" ht="15" x14ac:dyDescent="0.25">
      <c r="A91" s="10"/>
      <c r="B91" s="9" t="s">
        <v>15</v>
      </c>
      <c r="C91" s="5"/>
      <c r="D91" s="291"/>
      <c r="E91" s="292"/>
      <c r="F91" s="292"/>
      <c r="G91" s="292"/>
      <c r="H91" s="293">
        <f>SUM(D90:H90)</f>
        <v>347.36498383999998</v>
      </c>
      <c r="N91">
        <v>145.40636861544002</v>
      </c>
      <c r="O91" s="20"/>
      <c r="P91" s="20"/>
      <c r="Q91" s="147"/>
      <c r="R91" s="197"/>
      <c r="S91" s="197"/>
      <c r="T91" s="197"/>
      <c r="U91" s="197"/>
    </row>
    <row r="92" spans="1:51" ht="15.75" thickBot="1" x14ac:dyDescent="0.3">
      <c r="A92" s="1"/>
      <c r="B92" s="2"/>
      <c r="C92" s="1"/>
      <c r="D92" s="294"/>
      <c r="E92" s="295"/>
      <c r="F92" s="295"/>
      <c r="G92" s="295"/>
      <c r="H92" s="296"/>
      <c r="O92" s="20"/>
      <c r="P92" s="20"/>
      <c r="Q92" s="147"/>
      <c r="R92" s="197"/>
      <c r="S92" s="197"/>
      <c r="T92" s="197"/>
      <c r="U92" s="197"/>
    </row>
    <row r="93" spans="1:51" ht="15" x14ac:dyDescent="0.25">
      <c r="A93" s="1">
        <v>10</v>
      </c>
      <c r="B93" s="2" t="s">
        <v>24</v>
      </c>
      <c r="C93" s="1" t="s">
        <v>8</v>
      </c>
      <c r="D93" s="285">
        <v>0</v>
      </c>
      <c r="E93" s="286">
        <v>5.7486316000000004</v>
      </c>
      <c r="F93" s="286">
        <v>0</v>
      </c>
      <c r="G93" s="286">
        <v>16.1388277</v>
      </c>
      <c r="H93" s="287">
        <v>1.9431316199999999</v>
      </c>
      <c r="J93">
        <v>0</v>
      </c>
      <c r="K93">
        <v>-56.989754534049993</v>
      </c>
      <c r="L93">
        <v>-27.516994168144002</v>
      </c>
      <c r="M93">
        <v>-48.931417991979991</v>
      </c>
      <c r="N93">
        <v>-149.73163242408003</v>
      </c>
      <c r="O93" s="20"/>
      <c r="P93" s="20"/>
      <c r="Q93" s="147">
        <v>1.0128080952687468E-2</v>
      </c>
      <c r="R93" s="197">
        <v>0.66599999999999993</v>
      </c>
      <c r="S93" s="197">
        <v>4.5549999999999997</v>
      </c>
      <c r="T93" s="197">
        <v>0.60039794540960334</v>
      </c>
      <c r="U93" s="197">
        <v>0.90789473684210531</v>
      </c>
      <c r="V93" s="20">
        <f t="shared" ref="V93:Y98" si="90">IF(K93&gt;0,((E93-K93)*$Q93*$R93*10)+(K93*$O$12*$Q93*$R93*10),(E93*$Q93*$R93*10))</f>
        <v>0.38776255737176868</v>
      </c>
      <c r="W93" s="20">
        <f t="shared" si="90"/>
        <v>0</v>
      </c>
      <c r="X93" s="20">
        <f t="shared" si="90"/>
        <v>1.0886126538243188</v>
      </c>
      <c r="Y93" s="20">
        <f t="shared" si="90"/>
        <v>0.13107009436491768</v>
      </c>
      <c r="Z93" s="20">
        <f t="shared" ref="Z93:AC98" si="91">V93*(EXP(1.01-0.34*LN(Z$8))*(1-$T93)+(1*$T93))</f>
        <v>0.27992714221847209</v>
      </c>
      <c r="AA93" s="20">
        <f t="shared" si="91"/>
        <v>0</v>
      </c>
      <c r="AB93" s="20">
        <f t="shared" si="91"/>
        <v>0.79778086269856008</v>
      </c>
      <c r="AC93" s="20">
        <f t="shared" si="91"/>
        <v>9.2324860810427511E-2</v>
      </c>
      <c r="AD93" s="20">
        <f t="shared" ref="AD93:AD98" si="92">SUM(Z93:AC93)</f>
        <v>1.1700328657274597</v>
      </c>
      <c r="AE93" s="20">
        <f t="shared" ref="AE93:AH98" si="93">IF(K93&gt;0,((E93-K93)*$Q93*$S93*10)+(K93*$P$12*$Q93*$S93)*10,(E93*$Q93*$S93*10))</f>
        <v>2.6520397129555651</v>
      </c>
      <c r="AF93" s="20">
        <f t="shared" si="93"/>
        <v>0</v>
      </c>
      <c r="AG93" s="20">
        <f t="shared" si="93"/>
        <v>7.4453913486032608</v>
      </c>
      <c r="AH93" s="20">
        <f t="shared" si="93"/>
        <v>0.89643285260090111</v>
      </c>
      <c r="AI93" s="20">
        <f t="shared" ref="AI93:AL98" si="94">AE93*(EXP(1.01-0.34*LN(AI$8))*(1-$T93)+(1*$T93))</f>
        <v>1.9145167159236343</v>
      </c>
      <c r="AJ93" s="20">
        <f t="shared" si="94"/>
        <v>0</v>
      </c>
      <c r="AK93" s="20">
        <f t="shared" si="94"/>
        <v>5.4562940384263374</v>
      </c>
      <c r="AL93" s="20">
        <f t="shared" si="94"/>
        <v>0.63144105253978589</v>
      </c>
      <c r="AM93" s="20">
        <f t="shared" ref="AM93:AM98" si="95">SUM(AI93:AL93)</f>
        <v>8.0022518068897579</v>
      </c>
      <c r="AO93">
        <f t="shared" ref="AO93:AR98" si="96">Z93*AO$10</f>
        <v>0.32651160240422933</v>
      </c>
      <c r="AP93">
        <f t="shared" si="96"/>
        <v>0</v>
      </c>
      <c r="AQ93">
        <f t="shared" si="96"/>
        <v>0.95453337885604994</v>
      </c>
      <c r="AR93">
        <f t="shared" si="96"/>
        <v>0.11026272211142835</v>
      </c>
      <c r="AS93">
        <f t="shared" ref="AS93:AS98" si="97">SUM(AO93:AR93)</f>
        <v>1.3913077033717076</v>
      </c>
      <c r="AU93">
        <f t="shared" ref="AU93:AX98" si="98">AI93*AU$10</f>
        <v>2.2331236470739713</v>
      </c>
      <c r="AV93">
        <f t="shared" si="98"/>
        <v>0</v>
      </c>
      <c r="AW93">
        <f t="shared" si="98"/>
        <v>6.5283776887226832</v>
      </c>
      <c r="AX93">
        <f t="shared" si="98"/>
        <v>0.75412417299933365</v>
      </c>
      <c r="AY93">
        <f t="shared" ref="AY93:AY98" si="99">SUM(AU93:AX93)</f>
        <v>9.5156255087959885</v>
      </c>
    </row>
    <row r="94" spans="1:51" ht="15" x14ac:dyDescent="0.25">
      <c r="A94" s="1"/>
      <c r="B94" s="2"/>
      <c r="C94" s="1" t="s">
        <v>9</v>
      </c>
      <c r="D94" s="285">
        <v>0</v>
      </c>
      <c r="E94" s="286">
        <v>0</v>
      </c>
      <c r="F94" s="286">
        <v>0</v>
      </c>
      <c r="G94" s="286">
        <v>0</v>
      </c>
      <c r="H94" s="287">
        <v>0</v>
      </c>
      <c r="J94">
        <v>0</v>
      </c>
      <c r="K94">
        <v>0</v>
      </c>
      <c r="L94">
        <v>-9.3874204262299997E-3</v>
      </c>
      <c r="M94">
        <v>-3.0016664161599999E-2</v>
      </c>
      <c r="N94">
        <v>-2.2121547666349999</v>
      </c>
      <c r="O94" s="20"/>
      <c r="P94" s="20"/>
      <c r="Q94" s="147"/>
      <c r="R94" s="197">
        <v>0.66599999999999993</v>
      </c>
      <c r="S94" s="197">
        <v>4.5549999999999997</v>
      </c>
      <c r="T94" s="197">
        <v>0.60039794540960334</v>
      </c>
      <c r="U94" s="197">
        <v>0.90789473684210531</v>
      </c>
      <c r="V94" s="20">
        <f t="shared" si="90"/>
        <v>0</v>
      </c>
      <c r="W94" s="20">
        <f t="shared" si="90"/>
        <v>0</v>
      </c>
      <c r="X94" s="20">
        <f t="shared" si="90"/>
        <v>0</v>
      </c>
      <c r="Y94" s="20">
        <f t="shared" si="90"/>
        <v>0</v>
      </c>
      <c r="Z94" s="20">
        <f t="shared" si="91"/>
        <v>0</v>
      </c>
      <c r="AA94" s="20">
        <f t="shared" si="91"/>
        <v>0</v>
      </c>
      <c r="AB94" s="20">
        <f t="shared" si="91"/>
        <v>0</v>
      </c>
      <c r="AC94" s="20">
        <f t="shared" si="91"/>
        <v>0</v>
      </c>
      <c r="AD94" s="20">
        <f t="shared" si="92"/>
        <v>0</v>
      </c>
      <c r="AE94" s="20">
        <f t="shared" si="93"/>
        <v>0</v>
      </c>
      <c r="AF94" s="20">
        <f t="shared" si="93"/>
        <v>0</v>
      </c>
      <c r="AG94" s="20">
        <f t="shared" si="93"/>
        <v>0</v>
      </c>
      <c r="AH94" s="20">
        <f t="shared" si="93"/>
        <v>0</v>
      </c>
      <c r="AI94" s="20">
        <f t="shared" si="94"/>
        <v>0</v>
      </c>
      <c r="AJ94" s="20">
        <f t="shared" si="94"/>
        <v>0</v>
      </c>
      <c r="AK94" s="20">
        <f t="shared" si="94"/>
        <v>0</v>
      </c>
      <c r="AL94" s="20">
        <f t="shared" si="94"/>
        <v>0</v>
      </c>
      <c r="AM94" s="20">
        <f t="shared" si="95"/>
        <v>0</v>
      </c>
      <c r="AO94">
        <f t="shared" si="96"/>
        <v>0</v>
      </c>
      <c r="AP94">
        <f t="shared" si="96"/>
        <v>0</v>
      </c>
      <c r="AQ94">
        <f t="shared" si="96"/>
        <v>0</v>
      </c>
      <c r="AR94">
        <f t="shared" si="96"/>
        <v>0</v>
      </c>
      <c r="AS94">
        <f t="shared" si="97"/>
        <v>0</v>
      </c>
      <c r="AU94">
        <f t="shared" si="98"/>
        <v>0</v>
      </c>
      <c r="AV94">
        <f t="shared" si="98"/>
        <v>0</v>
      </c>
      <c r="AW94">
        <f t="shared" si="98"/>
        <v>0</v>
      </c>
      <c r="AX94">
        <f t="shared" si="98"/>
        <v>0</v>
      </c>
      <c r="AY94">
        <f t="shared" si="99"/>
        <v>0</v>
      </c>
    </row>
    <row r="95" spans="1:51" ht="15" x14ac:dyDescent="0.25">
      <c r="A95" s="1"/>
      <c r="B95" s="2"/>
      <c r="C95" s="1" t="s">
        <v>10</v>
      </c>
      <c r="D95" s="285">
        <v>0</v>
      </c>
      <c r="E95" s="286">
        <v>0</v>
      </c>
      <c r="F95" s="286">
        <v>0</v>
      </c>
      <c r="G95" s="286">
        <v>0.15779884</v>
      </c>
      <c r="H95" s="287">
        <v>0</v>
      </c>
      <c r="J95">
        <v>0</v>
      </c>
      <c r="K95">
        <v>-3.25819994069</v>
      </c>
      <c r="L95">
        <v>0</v>
      </c>
      <c r="M95">
        <v>-0.39056961641400001</v>
      </c>
      <c r="N95">
        <v>-6.3553800042879995</v>
      </c>
      <c r="O95" s="20"/>
      <c r="P95" s="20"/>
      <c r="Q95" s="147">
        <v>1.2384242858062404E-2</v>
      </c>
      <c r="R95" s="197">
        <v>0.66599999999999993</v>
      </c>
      <c r="S95" s="197">
        <v>4.5549999999999997</v>
      </c>
      <c r="T95" s="197">
        <v>0.60039794540960334</v>
      </c>
      <c r="U95" s="197">
        <v>0.90789473684210531</v>
      </c>
      <c r="V95" s="20">
        <f t="shared" si="90"/>
        <v>0</v>
      </c>
      <c r="W95" s="20">
        <f t="shared" si="90"/>
        <v>0</v>
      </c>
      <c r="X95" s="20">
        <f t="shared" si="90"/>
        <v>1.3015099587488341E-2</v>
      </c>
      <c r="Y95" s="20">
        <f t="shared" si="90"/>
        <v>0</v>
      </c>
      <c r="Z95" s="20">
        <f t="shared" si="91"/>
        <v>0</v>
      </c>
      <c r="AA95" s="20">
        <f t="shared" si="91"/>
        <v>0</v>
      </c>
      <c r="AB95" s="20">
        <f t="shared" si="91"/>
        <v>9.5380090802157542E-3</v>
      </c>
      <c r="AC95" s="20">
        <f t="shared" si="91"/>
        <v>0</v>
      </c>
      <c r="AD95" s="20">
        <f t="shared" si="92"/>
        <v>9.5380090802157542E-3</v>
      </c>
      <c r="AE95" s="20">
        <f t="shared" si="93"/>
        <v>0</v>
      </c>
      <c r="AF95" s="20">
        <f t="shared" si="93"/>
        <v>0</v>
      </c>
      <c r="AG95" s="20">
        <f t="shared" si="93"/>
        <v>8.9014682614128232E-2</v>
      </c>
      <c r="AH95" s="20">
        <f t="shared" si="93"/>
        <v>0</v>
      </c>
      <c r="AI95" s="20">
        <f t="shared" si="94"/>
        <v>0</v>
      </c>
      <c r="AJ95" s="20">
        <f t="shared" si="94"/>
        <v>0</v>
      </c>
      <c r="AK95" s="20">
        <f t="shared" si="94"/>
        <v>6.5233680721295442E-2</v>
      </c>
      <c r="AL95" s="20">
        <f t="shared" si="94"/>
        <v>0</v>
      </c>
      <c r="AM95" s="20">
        <f t="shared" si="95"/>
        <v>6.5233680721295442E-2</v>
      </c>
      <c r="AO95">
        <f t="shared" si="96"/>
        <v>0</v>
      </c>
      <c r="AP95">
        <f t="shared" si="96"/>
        <v>0</v>
      </c>
      <c r="AQ95">
        <f t="shared" si="96"/>
        <v>1.1412091290460159E-2</v>
      </c>
      <c r="AR95">
        <f t="shared" si="96"/>
        <v>0</v>
      </c>
      <c r="AS95">
        <f t="shared" si="97"/>
        <v>1.1412091290460159E-2</v>
      </c>
      <c r="AU95">
        <f t="shared" si="98"/>
        <v>0</v>
      </c>
      <c r="AV95">
        <f t="shared" si="98"/>
        <v>0</v>
      </c>
      <c r="AW95">
        <f t="shared" si="98"/>
        <v>7.8051164906976014E-2</v>
      </c>
      <c r="AX95">
        <f t="shared" si="98"/>
        <v>0</v>
      </c>
      <c r="AY95">
        <f t="shared" si="99"/>
        <v>7.8051164906976014E-2</v>
      </c>
    </row>
    <row r="96" spans="1:51" ht="15" x14ac:dyDescent="0.25">
      <c r="A96" s="1"/>
      <c r="B96" s="2"/>
      <c r="C96" s="1" t="s">
        <v>11</v>
      </c>
      <c r="D96" s="285">
        <v>0</v>
      </c>
      <c r="E96" s="286">
        <v>0</v>
      </c>
      <c r="F96" s="286">
        <v>0</v>
      </c>
      <c r="G96" s="286">
        <v>0</v>
      </c>
      <c r="H96" s="287">
        <v>0</v>
      </c>
      <c r="J96">
        <v>0</v>
      </c>
      <c r="K96">
        <v>0</v>
      </c>
      <c r="L96">
        <v>0</v>
      </c>
      <c r="M96">
        <v>-1.52974340484</v>
      </c>
      <c r="N96">
        <v>-0.49902798576060003</v>
      </c>
      <c r="O96" s="20"/>
      <c r="P96" s="20"/>
      <c r="Q96" s="147"/>
      <c r="R96" s="197">
        <v>0.66599999999999993</v>
      </c>
      <c r="S96" s="197">
        <v>4.5549999999999997</v>
      </c>
      <c r="T96" s="197">
        <v>0.60039794540960334</v>
      </c>
      <c r="U96" s="197">
        <v>0.90789473684210531</v>
      </c>
      <c r="V96" s="20">
        <f t="shared" si="90"/>
        <v>0</v>
      </c>
      <c r="W96" s="20">
        <f t="shared" si="90"/>
        <v>0</v>
      </c>
      <c r="X96" s="20">
        <f t="shared" si="90"/>
        <v>0</v>
      </c>
      <c r="Y96" s="20">
        <f t="shared" si="90"/>
        <v>0</v>
      </c>
      <c r="Z96" s="20">
        <f t="shared" si="91"/>
        <v>0</v>
      </c>
      <c r="AA96" s="20">
        <f t="shared" si="91"/>
        <v>0</v>
      </c>
      <c r="AB96" s="20">
        <f t="shared" si="91"/>
        <v>0</v>
      </c>
      <c r="AC96" s="20">
        <f t="shared" si="91"/>
        <v>0</v>
      </c>
      <c r="AD96" s="20">
        <f t="shared" si="92"/>
        <v>0</v>
      </c>
      <c r="AE96" s="20">
        <f t="shared" si="93"/>
        <v>0</v>
      </c>
      <c r="AF96" s="20">
        <f t="shared" si="93"/>
        <v>0</v>
      </c>
      <c r="AG96" s="20">
        <f t="shared" si="93"/>
        <v>0</v>
      </c>
      <c r="AH96" s="20">
        <f t="shared" si="93"/>
        <v>0</v>
      </c>
      <c r="AI96" s="20">
        <f t="shared" si="94"/>
        <v>0</v>
      </c>
      <c r="AJ96" s="20">
        <f t="shared" si="94"/>
        <v>0</v>
      </c>
      <c r="AK96" s="20">
        <f t="shared" si="94"/>
        <v>0</v>
      </c>
      <c r="AL96" s="20">
        <f t="shared" si="94"/>
        <v>0</v>
      </c>
      <c r="AM96" s="20">
        <f t="shared" si="95"/>
        <v>0</v>
      </c>
      <c r="AO96">
        <f t="shared" si="96"/>
        <v>0</v>
      </c>
      <c r="AP96">
        <f t="shared" si="96"/>
        <v>0</v>
      </c>
      <c r="AQ96">
        <f t="shared" si="96"/>
        <v>0</v>
      </c>
      <c r="AR96">
        <f t="shared" si="96"/>
        <v>0</v>
      </c>
      <c r="AS96">
        <f t="shared" si="97"/>
        <v>0</v>
      </c>
      <c r="AU96">
        <f t="shared" si="98"/>
        <v>0</v>
      </c>
      <c r="AV96">
        <f t="shared" si="98"/>
        <v>0</v>
      </c>
      <c r="AW96">
        <f t="shared" si="98"/>
        <v>0</v>
      </c>
      <c r="AX96">
        <f t="shared" si="98"/>
        <v>0</v>
      </c>
      <c r="AY96">
        <f t="shared" si="99"/>
        <v>0</v>
      </c>
    </row>
    <row r="97" spans="1:51" ht="15" x14ac:dyDescent="0.25">
      <c r="A97" s="1"/>
      <c r="B97" s="2"/>
      <c r="C97" s="1" t="s">
        <v>12</v>
      </c>
      <c r="D97" s="285">
        <v>0</v>
      </c>
      <c r="E97" s="286">
        <v>0</v>
      </c>
      <c r="F97" s="286">
        <v>0</v>
      </c>
      <c r="G97" s="286">
        <v>0</v>
      </c>
      <c r="H97" s="287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20"/>
      <c r="P97" s="20"/>
      <c r="Q97" s="147"/>
      <c r="R97" s="197">
        <v>0.66599999999999993</v>
      </c>
      <c r="S97" s="197">
        <v>4.5549999999999997</v>
      </c>
      <c r="T97" s="197">
        <v>0.60039794540960334</v>
      </c>
      <c r="U97" s="197">
        <v>0.90789473684210531</v>
      </c>
      <c r="V97" s="20">
        <f t="shared" si="90"/>
        <v>0</v>
      </c>
      <c r="W97" s="20">
        <f t="shared" si="90"/>
        <v>0</v>
      </c>
      <c r="X97" s="20">
        <f t="shared" si="90"/>
        <v>0</v>
      </c>
      <c r="Y97" s="20">
        <f t="shared" si="90"/>
        <v>0</v>
      </c>
      <c r="Z97" s="20">
        <f t="shared" si="91"/>
        <v>0</v>
      </c>
      <c r="AA97" s="20">
        <f t="shared" si="91"/>
        <v>0</v>
      </c>
      <c r="AB97" s="20">
        <f t="shared" si="91"/>
        <v>0</v>
      </c>
      <c r="AC97" s="20">
        <f t="shared" si="91"/>
        <v>0</v>
      </c>
      <c r="AD97" s="20">
        <f t="shared" si="92"/>
        <v>0</v>
      </c>
      <c r="AE97" s="20">
        <f t="shared" si="93"/>
        <v>0</v>
      </c>
      <c r="AF97" s="20">
        <f t="shared" si="93"/>
        <v>0</v>
      </c>
      <c r="AG97" s="20">
        <f t="shared" si="93"/>
        <v>0</v>
      </c>
      <c r="AH97" s="20">
        <f t="shared" si="93"/>
        <v>0</v>
      </c>
      <c r="AI97" s="20">
        <f t="shared" si="94"/>
        <v>0</v>
      </c>
      <c r="AJ97" s="20">
        <f t="shared" si="94"/>
        <v>0</v>
      </c>
      <c r="AK97" s="20">
        <f t="shared" si="94"/>
        <v>0</v>
      </c>
      <c r="AL97" s="20">
        <f t="shared" si="94"/>
        <v>0</v>
      </c>
      <c r="AM97" s="20">
        <f t="shared" si="95"/>
        <v>0</v>
      </c>
      <c r="AO97">
        <f t="shared" si="96"/>
        <v>0</v>
      </c>
      <c r="AP97">
        <f t="shared" si="96"/>
        <v>0</v>
      </c>
      <c r="AQ97">
        <f t="shared" si="96"/>
        <v>0</v>
      </c>
      <c r="AR97">
        <f t="shared" si="96"/>
        <v>0</v>
      </c>
      <c r="AS97">
        <f t="shared" si="97"/>
        <v>0</v>
      </c>
      <c r="AU97">
        <f t="shared" si="98"/>
        <v>0</v>
      </c>
      <c r="AV97">
        <f t="shared" si="98"/>
        <v>0</v>
      </c>
      <c r="AW97">
        <f t="shared" si="98"/>
        <v>0</v>
      </c>
      <c r="AX97">
        <f t="shared" si="98"/>
        <v>0</v>
      </c>
      <c r="AY97">
        <f t="shared" si="99"/>
        <v>0</v>
      </c>
    </row>
    <row r="98" spans="1:51" ht="15" x14ac:dyDescent="0.25">
      <c r="A98" s="1"/>
      <c r="B98" s="2"/>
      <c r="C98" s="1" t="s">
        <v>13</v>
      </c>
      <c r="D98" s="285">
        <v>0</v>
      </c>
      <c r="E98" s="286">
        <v>0</v>
      </c>
      <c r="F98" s="286">
        <v>0</v>
      </c>
      <c r="G98" s="286">
        <v>0</v>
      </c>
      <c r="H98" s="287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20"/>
      <c r="P98" s="20"/>
      <c r="Q98" s="147"/>
      <c r="R98" s="197">
        <v>0.66599999999999993</v>
      </c>
      <c r="S98" s="197">
        <v>4.5549999999999997</v>
      </c>
      <c r="T98" s="197">
        <v>0.60039794540960334</v>
      </c>
      <c r="U98" s="197">
        <v>0.90789473684210531</v>
      </c>
      <c r="V98" s="20">
        <f t="shared" si="90"/>
        <v>0</v>
      </c>
      <c r="W98" s="20">
        <f t="shared" si="90"/>
        <v>0</v>
      </c>
      <c r="X98" s="20">
        <f t="shared" si="90"/>
        <v>0</v>
      </c>
      <c r="Y98" s="20">
        <f t="shared" si="90"/>
        <v>0</v>
      </c>
      <c r="Z98" s="20">
        <f t="shared" si="91"/>
        <v>0</v>
      </c>
      <c r="AA98" s="20">
        <f t="shared" si="91"/>
        <v>0</v>
      </c>
      <c r="AB98" s="20">
        <f t="shared" si="91"/>
        <v>0</v>
      </c>
      <c r="AC98" s="20">
        <f t="shared" si="91"/>
        <v>0</v>
      </c>
      <c r="AD98" s="20">
        <f t="shared" si="92"/>
        <v>0</v>
      </c>
      <c r="AE98" s="20">
        <f t="shared" si="93"/>
        <v>0</v>
      </c>
      <c r="AF98" s="20">
        <f t="shared" si="93"/>
        <v>0</v>
      </c>
      <c r="AG98" s="20">
        <f t="shared" si="93"/>
        <v>0</v>
      </c>
      <c r="AH98" s="20">
        <f t="shared" si="93"/>
        <v>0</v>
      </c>
      <c r="AI98" s="20">
        <f t="shared" si="94"/>
        <v>0</v>
      </c>
      <c r="AJ98" s="20">
        <f t="shared" si="94"/>
        <v>0</v>
      </c>
      <c r="AK98" s="20">
        <f t="shared" si="94"/>
        <v>0</v>
      </c>
      <c r="AL98" s="20">
        <f t="shared" si="94"/>
        <v>0</v>
      </c>
      <c r="AM98" s="20">
        <f t="shared" si="95"/>
        <v>0</v>
      </c>
      <c r="AO98">
        <f t="shared" si="96"/>
        <v>0</v>
      </c>
      <c r="AP98">
        <f t="shared" si="96"/>
        <v>0</v>
      </c>
      <c r="AQ98">
        <f t="shared" si="96"/>
        <v>0</v>
      </c>
      <c r="AR98">
        <f t="shared" si="96"/>
        <v>0</v>
      </c>
      <c r="AS98">
        <f t="shared" si="97"/>
        <v>0</v>
      </c>
      <c r="AU98">
        <f t="shared" si="98"/>
        <v>0</v>
      </c>
      <c r="AV98">
        <f t="shared" si="98"/>
        <v>0</v>
      </c>
      <c r="AW98">
        <f t="shared" si="98"/>
        <v>0</v>
      </c>
      <c r="AX98">
        <f t="shared" si="98"/>
        <v>0</v>
      </c>
      <c r="AY98">
        <f t="shared" si="99"/>
        <v>0</v>
      </c>
    </row>
    <row r="99" spans="1:51" ht="15" x14ac:dyDescent="0.25">
      <c r="A99" s="7"/>
      <c r="B99" s="8" t="s">
        <v>14</v>
      </c>
      <c r="C99" s="7"/>
      <c r="D99" s="288">
        <f>SUM(D93:D98)</f>
        <v>0</v>
      </c>
      <c r="E99" s="289">
        <f>SUM(E93:E98)</f>
        <v>5.7486316000000004</v>
      </c>
      <c r="F99" s="289">
        <f>SUM(F93:F98)</f>
        <v>0</v>
      </c>
      <c r="G99" s="289">
        <f>SUM(G93:G98)</f>
        <v>16.296626540000002</v>
      </c>
      <c r="H99" s="290">
        <f>SUM(H93:H98)</f>
        <v>1.9431316199999999</v>
      </c>
      <c r="J99">
        <v>0</v>
      </c>
      <c r="K99">
        <v>-60.247954474739991</v>
      </c>
      <c r="L99">
        <v>-27.526381588570231</v>
      </c>
      <c r="M99">
        <v>-50.881747677395587</v>
      </c>
      <c r="N99">
        <v>-158.79819518076363</v>
      </c>
      <c r="O99" s="20"/>
      <c r="P99" s="20"/>
      <c r="Q99" s="147"/>
      <c r="R99" s="197"/>
      <c r="S99" s="197"/>
      <c r="T99" s="197"/>
      <c r="U99" s="197"/>
    </row>
    <row r="100" spans="1:51" ht="15" x14ac:dyDescent="0.25">
      <c r="A100" s="10"/>
      <c r="B100" s="9" t="s">
        <v>15</v>
      </c>
      <c r="C100" s="5"/>
      <c r="D100" s="291"/>
      <c r="E100" s="292"/>
      <c r="F100" s="292"/>
      <c r="G100" s="292"/>
      <c r="H100" s="293">
        <f>SUM(D99:H99)</f>
        <v>23.98838976</v>
      </c>
      <c r="N100">
        <v>-297.45427892146944</v>
      </c>
      <c r="O100" s="20"/>
      <c r="P100" s="20"/>
      <c r="Q100" s="147"/>
      <c r="R100" s="197"/>
      <c r="S100" s="197"/>
      <c r="T100" s="197"/>
      <c r="U100" s="197"/>
    </row>
    <row r="101" spans="1:51" ht="15.75" thickBot="1" x14ac:dyDescent="0.3">
      <c r="A101" s="1"/>
      <c r="B101" s="2"/>
      <c r="C101" s="1"/>
      <c r="D101" s="297"/>
      <c r="E101" s="298"/>
      <c r="F101" s="298"/>
      <c r="G101" s="298"/>
      <c r="H101" s="299"/>
      <c r="O101" s="20"/>
      <c r="P101" s="20"/>
      <c r="Q101" s="147"/>
      <c r="R101" s="197"/>
      <c r="S101" s="197"/>
      <c r="T101" s="197"/>
      <c r="U101" s="197"/>
    </row>
    <row r="102" spans="1:51" ht="15" x14ac:dyDescent="0.25">
      <c r="A102" s="1">
        <v>11</v>
      </c>
      <c r="B102" s="2" t="s">
        <v>25</v>
      </c>
      <c r="C102" s="1" t="s">
        <v>8</v>
      </c>
      <c r="D102" s="282">
        <v>0</v>
      </c>
      <c r="E102" s="283">
        <v>9.2207803199999994</v>
      </c>
      <c r="F102" s="283">
        <v>31.275141869999999</v>
      </c>
      <c r="G102" s="283">
        <v>74.482870239999997</v>
      </c>
      <c r="H102" s="284">
        <v>51.986484949999998</v>
      </c>
      <c r="J102">
        <v>0</v>
      </c>
      <c r="K102">
        <v>-41.170489095640008</v>
      </c>
      <c r="L102">
        <v>-34.5437547306</v>
      </c>
      <c r="M102">
        <v>-51.238298047768993</v>
      </c>
      <c r="N102">
        <v>-71.698947157092022</v>
      </c>
      <c r="O102" s="20"/>
      <c r="P102" s="20"/>
      <c r="Q102" s="147">
        <v>1.0128080952687468E-2</v>
      </c>
      <c r="R102" s="197">
        <v>0.14000000000000001</v>
      </c>
      <c r="S102" s="197">
        <v>2.0499999999999998</v>
      </c>
      <c r="T102" s="197">
        <v>0.62857142857142845</v>
      </c>
      <c r="U102" s="197">
        <v>0.90789473684210531</v>
      </c>
      <c r="V102" s="20">
        <f t="shared" ref="V102:Y107" si="100">IF(K102&gt;0,((E102-K102)*$Q102*$R102*10)+(K102*$O$12*$Q102*$R102*10),(E102*$Q102*$R102*10))</f>
        <v>0.13074433333907046</v>
      </c>
      <c r="W102" s="20">
        <f t="shared" si="100"/>
        <v>0.44346003613260354</v>
      </c>
      <c r="X102" s="20">
        <f t="shared" si="100"/>
        <v>1.0561159551309309</v>
      </c>
      <c r="Y102" s="20">
        <f t="shared" si="100"/>
        <v>0.73713265922697624</v>
      </c>
      <c r="Z102" s="20">
        <f t="shared" ref="Z102:AC107" si="101">V102*(EXP(1.01-0.34*LN(Z$8))*(1-$T102)+(1*$T102))</f>
        <v>9.6948277884559661E-2</v>
      </c>
      <c r="AA102" s="20">
        <f t="shared" si="101"/>
        <v>0.33212504808580995</v>
      </c>
      <c r="AB102" s="20">
        <f t="shared" si="101"/>
        <v>0.79385858676443666</v>
      </c>
      <c r="AC102" s="20">
        <f t="shared" si="101"/>
        <v>0.53459400505771359</v>
      </c>
      <c r="AD102" s="20">
        <f t="shared" ref="AD102:AD107" si="102">SUM(Z102:AC102)</f>
        <v>1.75752591779252</v>
      </c>
      <c r="AE102" s="20">
        <f t="shared" ref="AE102:AH107" si="103">IF(K102&gt;0,((E102-K102)*$Q102*$S102*10)+(K102*$P$12*$Q102*$S102)*10,(E102*$Q102*$S102*10))</f>
        <v>1.9144705953221028</v>
      </c>
      <c r="AF102" s="20">
        <f t="shared" si="103"/>
        <v>6.4935219576559788</v>
      </c>
      <c r="AG102" s="20">
        <f t="shared" si="103"/>
        <v>15.464555057274341</v>
      </c>
      <c r="AH102" s="20">
        <f t="shared" si="103"/>
        <v>10.793728224395007</v>
      </c>
      <c r="AI102" s="20">
        <f t="shared" ref="AI102:AL107" si="104">AE102*(EXP(1.01-0.34*LN(AI$8))*(1-$T102)+(1*$T102))</f>
        <v>1.4195997833096234</v>
      </c>
      <c r="AJ102" s="20">
        <f t="shared" si="104"/>
        <v>4.8632596326850734</v>
      </c>
      <c r="AK102" s="20">
        <f t="shared" si="104"/>
        <v>11.624357877622103</v>
      </c>
      <c r="AL102" s="20">
        <f t="shared" si="104"/>
        <v>7.8279836454879481</v>
      </c>
      <c r="AM102" s="20">
        <f t="shared" ref="AM102:AM107" si="105">SUM(AI102:AL102)</f>
        <v>25.735200939104747</v>
      </c>
      <c r="AO102">
        <f t="shared" ref="AO102:AR107" si="106">Z102*AO$10</f>
        <v>0.1130820588226947</v>
      </c>
      <c r="AP102">
        <f t="shared" si="106"/>
        <v>0.39588966949128318</v>
      </c>
      <c r="AQ102">
        <f t="shared" si="106"/>
        <v>0.94984043186363853</v>
      </c>
      <c r="AR102">
        <f t="shared" si="106"/>
        <v>0.63846064542841574</v>
      </c>
      <c r="AS102">
        <f t="shared" ref="AS102:AS107" si="107">SUM(AO102:AR102)</f>
        <v>2.0972728056060324</v>
      </c>
      <c r="AU102">
        <f t="shared" ref="AU102:AX107" si="108">AI102*AU$10</f>
        <v>1.6558444327608863</v>
      </c>
      <c r="AV102">
        <f t="shared" si="108"/>
        <v>5.7969558746937881</v>
      </c>
      <c r="AW102">
        <f t="shared" si="108"/>
        <v>13.908377752288986</v>
      </c>
      <c r="AX102">
        <f t="shared" si="108"/>
        <v>9.3488880223446582</v>
      </c>
      <c r="AY102">
        <f t="shared" ref="AY102:AY107" si="109">SUM(AU102:AX102)</f>
        <v>30.710066082088318</v>
      </c>
    </row>
    <row r="103" spans="1:51" ht="15" x14ac:dyDescent="0.25">
      <c r="A103" s="1"/>
      <c r="B103" s="2"/>
      <c r="C103" s="1" t="s">
        <v>9</v>
      </c>
      <c r="D103" s="285">
        <v>0</v>
      </c>
      <c r="E103" s="286">
        <v>0</v>
      </c>
      <c r="F103" s="286">
        <v>0</v>
      </c>
      <c r="G103" s="286">
        <v>0</v>
      </c>
      <c r="H103" s="287">
        <v>3.3619200000000002E-2</v>
      </c>
      <c r="J103">
        <v>0</v>
      </c>
      <c r="K103">
        <v>0</v>
      </c>
      <c r="L103">
        <v>-1.0335454985200001</v>
      </c>
      <c r="M103">
        <v>-1.1748921289900001</v>
      </c>
      <c r="N103">
        <v>-2.7248169904819997</v>
      </c>
      <c r="O103" s="20"/>
      <c r="P103" s="20"/>
      <c r="Q103" s="147">
        <v>1.1256161905374937E-2</v>
      </c>
      <c r="R103" s="197">
        <v>0.14000000000000001</v>
      </c>
      <c r="S103" s="197">
        <v>2.0499999999999998</v>
      </c>
      <c r="T103" s="197">
        <v>0.62857142857142845</v>
      </c>
      <c r="U103" s="197">
        <v>0.90789473684210531</v>
      </c>
      <c r="V103" s="20">
        <f t="shared" si="100"/>
        <v>0</v>
      </c>
      <c r="W103" s="20">
        <f t="shared" si="100"/>
        <v>0</v>
      </c>
      <c r="X103" s="20">
        <f t="shared" si="100"/>
        <v>0</v>
      </c>
      <c r="Y103" s="20">
        <f t="shared" si="100"/>
        <v>5.2979242166085365E-4</v>
      </c>
      <c r="Z103" s="20">
        <f t="shared" si="101"/>
        <v>0</v>
      </c>
      <c r="AA103" s="20">
        <f t="shared" si="101"/>
        <v>0</v>
      </c>
      <c r="AB103" s="20">
        <f t="shared" si="101"/>
        <v>0</v>
      </c>
      <c r="AC103" s="20">
        <f t="shared" si="101"/>
        <v>3.8422372011289639E-4</v>
      </c>
      <c r="AD103" s="20">
        <f t="shared" si="102"/>
        <v>3.8422372011289639E-4</v>
      </c>
      <c r="AE103" s="20">
        <f t="shared" si="103"/>
        <v>0</v>
      </c>
      <c r="AF103" s="20">
        <f t="shared" si="103"/>
        <v>0</v>
      </c>
      <c r="AG103" s="20">
        <f t="shared" si="103"/>
        <v>0</v>
      </c>
      <c r="AH103" s="20">
        <f t="shared" si="103"/>
        <v>7.7576747457482123E-3</v>
      </c>
      <c r="AI103" s="20">
        <f t="shared" si="104"/>
        <v>0</v>
      </c>
      <c r="AJ103" s="20">
        <f t="shared" si="104"/>
        <v>0</v>
      </c>
      <c r="AK103" s="20">
        <f t="shared" si="104"/>
        <v>0</v>
      </c>
      <c r="AL103" s="20">
        <f t="shared" si="104"/>
        <v>5.6261330445102672E-3</v>
      </c>
      <c r="AM103" s="20">
        <f t="shared" si="105"/>
        <v>5.6261330445102672E-3</v>
      </c>
      <c r="AO103">
        <f t="shared" si="106"/>
        <v>0</v>
      </c>
      <c r="AP103">
        <f t="shared" si="106"/>
        <v>0</v>
      </c>
      <c r="AQ103">
        <f t="shared" si="106"/>
        <v>0</v>
      </c>
      <c r="AR103">
        <f t="shared" si="106"/>
        <v>4.5887481343099515E-4</v>
      </c>
      <c r="AS103">
        <f t="shared" si="107"/>
        <v>4.5887481343099515E-4</v>
      </c>
      <c r="AU103">
        <f t="shared" si="108"/>
        <v>0</v>
      </c>
      <c r="AV103">
        <f t="shared" si="108"/>
        <v>0</v>
      </c>
      <c r="AW103">
        <f t="shared" si="108"/>
        <v>0</v>
      </c>
      <c r="AX103">
        <f t="shared" si="108"/>
        <v>6.7192383395252844E-3</v>
      </c>
      <c r="AY103">
        <f t="shared" si="109"/>
        <v>6.7192383395252844E-3</v>
      </c>
    </row>
    <row r="104" spans="1:51" ht="15" x14ac:dyDescent="0.25">
      <c r="A104" s="1"/>
      <c r="B104" s="2"/>
      <c r="C104" s="1" t="s">
        <v>10</v>
      </c>
      <c r="D104" s="285">
        <v>0</v>
      </c>
      <c r="E104" s="286">
        <v>1.44915974</v>
      </c>
      <c r="F104" s="286">
        <v>0</v>
      </c>
      <c r="G104" s="286">
        <v>5.3939721399999998</v>
      </c>
      <c r="H104" s="287">
        <v>3.2603515299999999</v>
      </c>
      <c r="J104">
        <v>0</v>
      </c>
      <c r="K104">
        <v>1.44915974</v>
      </c>
      <c r="L104">
        <v>0</v>
      </c>
      <c r="M104">
        <v>-2.5238044438285199</v>
      </c>
      <c r="N104">
        <v>-5.7941604503700024</v>
      </c>
      <c r="O104" s="20"/>
      <c r="P104" s="20"/>
      <c r="Q104" s="147">
        <v>1.2384242858062404E-2</v>
      </c>
      <c r="R104" s="197">
        <v>0.14000000000000001</v>
      </c>
      <c r="S104" s="197">
        <v>2.0499999999999998</v>
      </c>
      <c r="T104" s="197">
        <v>0.62857142857142845</v>
      </c>
      <c r="U104" s="197">
        <v>0.90789473684210531</v>
      </c>
      <c r="V104" s="20">
        <f t="shared" si="100"/>
        <v>9.2399336471929421E-3</v>
      </c>
      <c r="W104" s="20">
        <f t="shared" si="100"/>
        <v>0</v>
      </c>
      <c r="X104" s="20">
        <f t="shared" si="100"/>
        <v>9.352036533193564E-2</v>
      </c>
      <c r="Y104" s="20">
        <f t="shared" si="100"/>
        <v>5.6527779210245474E-2</v>
      </c>
      <c r="Z104" s="20">
        <f t="shared" si="101"/>
        <v>6.8515065394062682E-3</v>
      </c>
      <c r="AA104" s="20">
        <f t="shared" si="101"/>
        <v>0</v>
      </c>
      <c r="AB104" s="20">
        <f t="shared" si="101"/>
        <v>7.0297153163357107E-2</v>
      </c>
      <c r="AC104" s="20">
        <f t="shared" si="101"/>
        <v>4.0995893353462438E-2</v>
      </c>
      <c r="AD104" s="20">
        <f t="shared" si="102"/>
        <v>0.11814455305622582</v>
      </c>
      <c r="AE104" s="20">
        <f t="shared" si="103"/>
        <v>0.21306680453566942</v>
      </c>
      <c r="AF104" s="20">
        <f t="shared" si="103"/>
        <v>0</v>
      </c>
      <c r="AG104" s="20">
        <f t="shared" si="103"/>
        <v>1.3694053495033429</v>
      </c>
      <c r="AH104" s="20">
        <f t="shared" si="103"/>
        <v>0.82772819557859423</v>
      </c>
      <c r="AI104" s="20">
        <f t="shared" si="104"/>
        <v>0.15799124326504518</v>
      </c>
      <c r="AJ104" s="20">
        <f t="shared" si="104"/>
        <v>0</v>
      </c>
      <c r="AK104" s="20">
        <f t="shared" si="104"/>
        <v>1.0293511713205861</v>
      </c>
      <c r="AL104" s="20">
        <f t="shared" si="104"/>
        <v>0.60029700981855694</v>
      </c>
      <c r="AM104" s="20">
        <f t="shared" si="105"/>
        <v>1.7876394244041882</v>
      </c>
      <c r="AO104">
        <f t="shared" si="106"/>
        <v>7.9917094188695411E-3</v>
      </c>
      <c r="AP104">
        <f t="shared" si="106"/>
        <v>0</v>
      </c>
      <c r="AQ104">
        <f t="shared" si="106"/>
        <v>8.4109537180430571E-2</v>
      </c>
      <c r="AR104">
        <f t="shared" si="106"/>
        <v>4.8961013933443591E-2</v>
      </c>
      <c r="AS104">
        <f t="shared" si="107"/>
        <v>0.14106226053274371</v>
      </c>
      <c r="AU104">
        <f t="shared" si="108"/>
        <v>0.18428357320222094</v>
      </c>
      <c r="AV104">
        <f t="shared" si="108"/>
        <v>0</v>
      </c>
      <c r="AW104">
        <f t="shared" si="108"/>
        <v>1.2316039372848762</v>
      </c>
      <c r="AX104">
        <f t="shared" si="108"/>
        <v>0.71692913259685231</v>
      </c>
      <c r="AY104">
        <f t="shared" si="109"/>
        <v>2.1328166430839497</v>
      </c>
    </row>
    <row r="105" spans="1:51" ht="15" x14ac:dyDescent="0.25">
      <c r="A105" s="1"/>
      <c r="B105" s="2"/>
      <c r="C105" s="1" t="s">
        <v>11</v>
      </c>
      <c r="D105" s="285">
        <v>0</v>
      </c>
      <c r="E105" s="286">
        <v>0</v>
      </c>
      <c r="F105" s="286">
        <v>0</v>
      </c>
      <c r="G105" s="286">
        <v>1.7548434500000001</v>
      </c>
      <c r="H105" s="287">
        <v>0</v>
      </c>
      <c r="J105">
        <v>0</v>
      </c>
      <c r="K105">
        <v>-0.73104295607799996</v>
      </c>
      <c r="L105">
        <v>0</v>
      </c>
      <c r="M105">
        <v>-0.88823641849249979</v>
      </c>
      <c r="N105">
        <v>-0.520974599426</v>
      </c>
      <c r="O105" s="20"/>
      <c r="P105" s="20"/>
      <c r="Q105" s="147">
        <v>1.3512323810749875E-2</v>
      </c>
      <c r="R105" s="197">
        <v>0.14000000000000001</v>
      </c>
      <c r="S105" s="197">
        <v>2.0499999999999998</v>
      </c>
      <c r="T105" s="197">
        <v>0.62857142857142845</v>
      </c>
      <c r="U105" s="197">
        <v>0.90789473684210531</v>
      </c>
      <c r="V105" s="20">
        <f t="shared" si="100"/>
        <v>0</v>
      </c>
      <c r="W105" s="20">
        <f t="shared" si="100"/>
        <v>0</v>
      </c>
      <c r="X105" s="20">
        <f t="shared" si="100"/>
        <v>3.3196818107002847E-2</v>
      </c>
      <c r="Y105" s="20">
        <f t="shared" si="100"/>
        <v>0</v>
      </c>
      <c r="Z105" s="20">
        <f t="shared" si="101"/>
        <v>0</v>
      </c>
      <c r="AA105" s="20">
        <f t="shared" si="101"/>
        <v>0</v>
      </c>
      <c r="AB105" s="20">
        <f t="shared" si="101"/>
        <v>2.4953300799469676E-2</v>
      </c>
      <c r="AC105" s="20">
        <f t="shared" si="101"/>
        <v>0</v>
      </c>
      <c r="AD105" s="20">
        <f t="shared" si="102"/>
        <v>2.4953300799469676E-2</v>
      </c>
      <c r="AE105" s="20">
        <f t="shared" si="103"/>
        <v>0</v>
      </c>
      <c r="AF105" s="20">
        <f t="shared" si="103"/>
        <v>0</v>
      </c>
      <c r="AG105" s="20">
        <f t="shared" si="103"/>
        <v>0.48609626513825588</v>
      </c>
      <c r="AH105" s="20">
        <f t="shared" si="103"/>
        <v>0</v>
      </c>
      <c r="AI105" s="20">
        <f t="shared" si="104"/>
        <v>0</v>
      </c>
      <c r="AJ105" s="20">
        <f t="shared" si="104"/>
        <v>0</v>
      </c>
      <c r="AK105" s="20">
        <f t="shared" si="104"/>
        <v>0.36538761884937732</v>
      </c>
      <c r="AL105" s="20">
        <f t="shared" si="104"/>
        <v>0</v>
      </c>
      <c r="AM105" s="20">
        <f t="shared" si="105"/>
        <v>0.36538761884937732</v>
      </c>
      <c r="AO105">
        <f t="shared" si="106"/>
        <v>0</v>
      </c>
      <c r="AP105">
        <f t="shared" si="106"/>
        <v>0</v>
      </c>
      <c r="AQ105">
        <f t="shared" si="106"/>
        <v>2.985626710217168E-2</v>
      </c>
      <c r="AR105">
        <f t="shared" si="106"/>
        <v>0</v>
      </c>
      <c r="AS105">
        <f t="shared" si="107"/>
        <v>2.985626710217168E-2</v>
      </c>
      <c r="AU105">
        <f t="shared" si="108"/>
        <v>0</v>
      </c>
      <c r="AV105">
        <f t="shared" si="108"/>
        <v>0</v>
      </c>
      <c r="AW105">
        <f t="shared" si="108"/>
        <v>0.4371810539960852</v>
      </c>
      <c r="AX105">
        <f t="shared" si="108"/>
        <v>0</v>
      </c>
      <c r="AY105">
        <f t="shared" si="109"/>
        <v>0.4371810539960852</v>
      </c>
    </row>
    <row r="106" spans="1:51" ht="15" x14ac:dyDescent="0.25">
      <c r="A106" s="1"/>
      <c r="B106" s="2"/>
      <c r="C106" s="1" t="s">
        <v>12</v>
      </c>
      <c r="D106" s="285">
        <v>0</v>
      </c>
      <c r="E106" s="286">
        <v>0</v>
      </c>
      <c r="F106" s="286">
        <v>8.2555900000000002E-3</v>
      </c>
      <c r="G106" s="286">
        <v>0</v>
      </c>
      <c r="H106" s="287">
        <v>0</v>
      </c>
      <c r="J106">
        <v>0</v>
      </c>
      <c r="K106">
        <v>0</v>
      </c>
      <c r="L106">
        <v>-0.153616287957</v>
      </c>
      <c r="M106">
        <v>0</v>
      </c>
      <c r="N106">
        <v>0</v>
      </c>
      <c r="O106" s="20"/>
      <c r="P106" s="20"/>
      <c r="Q106" s="147">
        <v>1.3512323810749875E-2</v>
      </c>
      <c r="R106" s="197">
        <v>0.14000000000000001</v>
      </c>
      <c r="S106" s="197">
        <v>2.0499999999999998</v>
      </c>
      <c r="T106" s="197">
        <v>0.62857142857142845</v>
      </c>
      <c r="U106" s="197">
        <v>0.90789473684210531</v>
      </c>
      <c r="V106" s="20">
        <f t="shared" si="100"/>
        <v>0</v>
      </c>
      <c r="W106" s="20">
        <f t="shared" si="100"/>
        <v>1.5617308746030398E-4</v>
      </c>
      <c r="X106" s="20">
        <f t="shared" si="100"/>
        <v>0</v>
      </c>
      <c r="Y106" s="20">
        <f t="shared" si="100"/>
        <v>0</v>
      </c>
      <c r="Z106" s="20">
        <f t="shared" si="101"/>
        <v>0</v>
      </c>
      <c r="AA106" s="20">
        <f t="shared" si="101"/>
        <v>1.1696430333341916E-4</v>
      </c>
      <c r="AB106" s="20">
        <f t="shared" si="101"/>
        <v>0</v>
      </c>
      <c r="AC106" s="20">
        <f t="shared" si="101"/>
        <v>0</v>
      </c>
      <c r="AD106" s="20">
        <f t="shared" si="102"/>
        <v>1.1696430333341916E-4</v>
      </c>
      <c r="AE106" s="20">
        <f t="shared" si="103"/>
        <v>0</v>
      </c>
      <c r="AF106" s="20">
        <f t="shared" si="103"/>
        <v>2.2868202092401653E-3</v>
      </c>
      <c r="AG106" s="20">
        <f t="shared" si="103"/>
        <v>0</v>
      </c>
      <c r="AH106" s="20">
        <f t="shared" si="103"/>
        <v>0</v>
      </c>
      <c r="AI106" s="20">
        <f t="shared" si="104"/>
        <v>0</v>
      </c>
      <c r="AJ106" s="20">
        <f t="shared" si="104"/>
        <v>1.7126915845250663E-3</v>
      </c>
      <c r="AK106" s="20">
        <f t="shared" si="104"/>
        <v>0</v>
      </c>
      <c r="AL106" s="20">
        <f t="shared" si="104"/>
        <v>0</v>
      </c>
      <c r="AM106" s="20">
        <f t="shared" si="105"/>
        <v>1.7126915845250663E-3</v>
      </c>
      <c r="AO106">
        <f t="shared" si="106"/>
        <v>0</v>
      </c>
      <c r="AP106">
        <f t="shared" si="106"/>
        <v>1.3942025648418379E-4</v>
      </c>
      <c r="AQ106">
        <f t="shared" si="106"/>
        <v>0</v>
      </c>
      <c r="AR106">
        <f t="shared" si="106"/>
        <v>0</v>
      </c>
      <c r="AS106">
        <f t="shared" si="107"/>
        <v>1.3942025648418379E-4</v>
      </c>
      <c r="AU106">
        <f t="shared" si="108"/>
        <v>0</v>
      </c>
      <c r="AV106">
        <f t="shared" si="108"/>
        <v>2.0415108985184058E-3</v>
      </c>
      <c r="AW106">
        <f t="shared" si="108"/>
        <v>0</v>
      </c>
      <c r="AX106">
        <f t="shared" si="108"/>
        <v>0</v>
      </c>
      <c r="AY106">
        <f t="shared" si="109"/>
        <v>2.0415108985184058E-3</v>
      </c>
    </row>
    <row r="107" spans="1:51" ht="15" x14ac:dyDescent="0.25">
      <c r="A107" s="1"/>
      <c r="B107" s="2"/>
      <c r="C107" s="1" t="s">
        <v>13</v>
      </c>
      <c r="D107" s="285">
        <v>0</v>
      </c>
      <c r="E107" s="286">
        <v>0</v>
      </c>
      <c r="F107" s="286">
        <v>0</v>
      </c>
      <c r="G107" s="286">
        <v>0</v>
      </c>
      <c r="H107" s="28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0"/>
      <c r="P107" s="20"/>
      <c r="Q107" s="147"/>
      <c r="R107" s="197">
        <v>0.14000000000000001</v>
      </c>
      <c r="S107" s="197">
        <v>2.0499999999999998</v>
      </c>
      <c r="T107" s="197">
        <v>0.62857142857142845</v>
      </c>
      <c r="U107" s="197">
        <v>0.90789473684210531</v>
      </c>
      <c r="V107" s="20">
        <f t="shared" si="100"/>
        <v>0</v>
      </c>
      <c r="W107" s="20">
        <f t="shared" si="100"/>
        <v>0</v>
      </c>
      <c r="X107" s="20">
        <f t="shared" si="100"/>
        <v>0</v>
      </c>
      <c r="Y107" s="20">
        <f t="shared" si="100"/>
        <v>0</v>
      </c>
      <c r="Z107" s="20">
        <f t="shared" si="101"/>
        <v>0</v>
      </c>
      <c r="AA107" s="20">
        <f t="shared" si="101"/>
        <v>0</v>
      </c>
      <c r="AB107" s="20">
        <f t="shared" si="101"/>
        <v>0</v>
      </c>
      <c r="AC107" s="20">
        <f t="shared" si="101"/>
        <v>0</v>
      </c>
      <c r="AD107" s="20">
        <f t="shared" si="102"/>
        <v>0</v>
      </c>
      <c r="AE107" s="20">
        <f t="shared" si="103"/>
        <v>0</v>
      </c>
      <c r="AF107" s="20">
        <f t="shared" si="103"/>
        <v>0</v>
      </c>
      <c r="AG107" s="20">
        <f t="shared" si="103"/>
        <v>0</v>
      </c>
      <c r="AH107" s="20">
        <f t="shared" si="103"/>
        <v>0</v>
      </c>
      <c r="AI107" s="20">
        <f t="shared" si="104"/>
        <v>0</v>
      </c>
      <c r="AJ107" s="20">
        <f t="shared" si="104"/>
        <v>0</v>
      </c>
      <c r="AK107" s="20">
        <f t="shared" si="104"/>
        <v>0</v>
      </c>
      <c r="AL107" s="20">
        <f t="shared" si="104"/>
        <v>0</v>
      </c>
      <c r="AM107" s="20">
        <f t="shared" si="105"/>
        <v>0</v>
      </c>
      <c r="AO107">
        <f t="shared" si="106"/>
        <v>0</v>
      </c>
      <c r="AP107">
        <f t="shared" si="106"/>
        <v>0</v>
      </c>
      <c r="AQ107">
        <f t="shared" si="106"/>
        <v>0</v>
      </c>
      <c r="AR107">
        <f t="shared" si="106"/>
        <v>0</v>
      </c>
      <c r="AS107">
        <f t="shared" si="107"/>
        <v>0</v>
      </c>
      <c r="AU107">
        <f t="shared" si="108"/>
        <v>0</v>
      </c>
      <c r="AV107">
        <f t="shared" si="108"/>
        <v>0</v>
      </c>
      <c r="AW107">
        <f t="shared" si="108"/>
        <v>0</v>
      </c>
      <c r="AX107">
        <f t="shared" si="108"/>
        <v>0</v>
      </c>
      <c r="AY107">
        <f t="shared" si="109"/>
        <v>0</v>
      </c>
    </row>
    <row r="108" spans="1:51" ht="15" x14ac:dyDescent="0.25">
      <c r="A108" s="7"/>
      <c r="B108" s="8" t="s">
        <v>14</v>
      </c>
      <c r="C108" s="7"/>
      <c r="D108" s="288">
        <f>SUM(D102:D107)</f>
        <v>0</v>
      </c>
      <c r="E108" s="289">
        <f>SUM(E102:E107)</f>
        <v>10.66994006</v>
      </c>
      <c r="F108" s="289">
        <f>SUM(F102:F107)</f>
        <v>31.28339746</v>
      </c>
      <c r="G108" s="289">
        <f>SUM(G102:G107)</f>
        <v>81.631685829999995</v>
      </c>
      <c r="H108" s="290">
        <f>SUM(H102:H107)</f>
        <v>55.280455679999996</v>
      </c>
      <c r="J108">
        <v>0</v>
      </c>
      <c r="K108">
        <v>-40.452372311718008</v>
      </c>
      <c r="L108">
        <v>-35.730916517076999</v>
      </c>
      <c r="M108">
        <v>-55.825231039080009</v>
      </c>
      <c r="N108">
        <v>-80.738899197370017</v>
      </c>
      <c r="O108" s="20"/>
      <c r="P108" s="20"/>
      <c r="Q108" s="147"/>
      <c r="R108" s="197"/>
      <c r="S108" s="197"/>
      <c r="T108" s="197"/>
      <c r="U108" s="197"/>
    </row>
    <row r="109" spans="1:51" ht="15" x14ac:dyDescent="0.25">
      <c r="A109" s="10"/>
      <c r="B109" s="9" t="s">
        <v>15</v>
      </c>
      <c r="C109" s="5"/>
      <c r="D109" s="291"/>
      <c r="E109" s="292"/>
      <c r="F109" s="292"/>
      <c r="G109" s="292"/>
      <c r="H109" s="293">
        <f>SUM(D108:H108)</f>
        <v>178.86547902999999</v>
      </c>
      <c r="N109">
        <v>-212.74741906524503</v>
      </c>
      <c r="O109" s="20"/>
      <c r="P109" s="20"/>
      <c r="Q109" s="147"/>
      <c r="R109" s="197"/>
      <c r="S109" s="197"/>
      <c r="T109" s="197"/>
      <c r="U109" s="197"/>
    </row>
    <row r="110" spans="1:51" ht="15.75" thickBot="1" x14ac:dyDescent="0.3">
      <c r="A110" s="1"/>
      <c r="B110" s="2"/>
      <c r="C110" s="1"/>
      <c r="D110" s="294"/>
      <c r="E110" s="295"/>
      <c r="F110" s="295"/>
      <c r="G110" s="295"/>
      <c r="H110" s="296"/>
      <c r="O110" s="20"/>
      <c r="P110" s="20"/>
      <c r="Q110" s="147"/>
      <c r="R110" s="197"/>
      <c r="S110" s="197"/>
      <c r="T110" s="197"/>
      <c r="U110" s="197"/>
    </row>
    <row r="111" spans="1:51" ht="15" x14ac:dyDescent="0.25">
      <c r="A111" s="1">
        <v>12</v>
      </c>
      <c r="B111" s="2" t="s">
        <v>26</v>
      </c>
      <c r="C111" s="1" t="s">
        <v>8</v>
      </c>
      <c r="D111" s="285">
        <v>0</v>
      </c>
      <c r="E111" s="286">
        <v>0</v>
      </c>
      <c r="F111" s="286">
        <v>0</v>
      </c>
      <c r="G111" s="286">
        <v>0</v>
      </c>
      <c r="H111" s="287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 s="20"/>
      <c r="P111" s="20"/>
      <c r="Q111" s="147"/>
      <c r="R111" s="197">
        <v>6.531704360902256</v>
      </c>
      <c r="S111" s="197">
        <v>78.227142857142866</v>
      </c>
      <c r="T111" s="197">
        <v>0.5825685654008439</v>
      </c>
      <c r="U111" s="197">
        <v>0.90789473684210531</v>
      </c>
      <c r="V111" s="20">
        <f t="shared" ref="V111:Y116" si="110">IF(K111&gt;0,((E111-K111)*$Q111*$R111*10)+(K111*$O$12*$Q111*$R111*10),(E111*$Q111*$R111*10))</f>
        <v>0</v>
      </c>
      <c r="W111" s="20">
        <f t="shared" si="110"/>
        <v>0</v>
      </c>
      <c r="X111" s="20">
        <f t="shared" si="110"/>
        <v>0</v>
      </c>
      <c r="Y111" s="20">
        <f t="shared" si="110"/>
        <v>0</v>
      </c>
      <c r="Z111" s="20">
        <f t="shared" ref="Z111:AC116" si="111">V111*(EXP(1.01-0.34*LN(Z$8))*(1-$T111)+(1*$T111))</f>
        <v>0</v>
      </c>
      <c r="AA111" s="20">
        <f t="shared" si="111"/>
        <v>0</v>
      </c>
      <c r="AB111" s="20">
        <f t="shared" si="111"/>
        <v>0</v>
      </c>
      <c r="AC111" s="20">
        <f t="shared" si="111"/>
        <v>0</v>
      </c>
      <c r="AD111" s="20">
        <f t="shared" ref="AD111:AD116" si="112">SUM(Z111:AC111)</f>
        <v>0</v>
      </c>
      <c r="AE111" s="20">
        <f t="shared" ref="AE111:AH116" si="113">IF(K111&gt;0,((E111-K111)*$Q111*$S111*10)+(K111*$P$12*$Q111*$S111)*10,(E111*$Q111*$S111*10))</f>
        <v>0</v>
      </c>
      <c r="AF111" s="20">
        <f t="shared" si="113"/>
        <v>0</v>
      </c>
      <c r="AG111" s="20">
        <f t="shared" si="113"/>
        <v>0</v>
      </c>
      <c r="AH111" s="20">
        <f t="shared" si="113"/>
        <v>0</v>
      </c>
      <c r="AI111" s="20">
        <f t="shared" ref="AI111:AL116" si="114">AE111*(EXP(1.01-0.34*LN(AI$8))*(1-$T111)+(1*$T111))</f>
        <v>0</v>
      </c>
      <c r="AJ111" s="20">
        <f t="shared" si="114"/>
        <v>0</v>
      </c>
      <c r="AK111" s="20">
        <f t="shared" si="114"/>
        <v>0</v>
      </c>
      <c r="AL111" s="20">
        <f t="shared" si="114"/>
        <v>0</v>
      </c>
      <c r="AM111" s="20">
        <f t="shared" ref="AM111:AM116" si="115">SUM(AI111:AL111)</f>
        <v>0</v>
      </c>
      <c r="AO111">
        <f t="shared" ref="AO111:AR116" si="116">Z111*AO$10</f>
        <v>0</v>
      </c>
      <c r="AP111">
        <f t="shared" si="116"/>
        <v>0</v>
      </c>
      <c r="AQ111">
        <f t="shared" si="116"/>
        <v>0</v>
      </c>
      <c r="AR111">
        <f t="shared" si="116"/>
        <v>0</v>
      </c>
      <c r="AS111">
        <f t="shared" ref="AS111:AS116" si="117">SUM(AO111:AR111)</f>
        <v>0</v>
      </c>
      <c r="AU111">
        <f t="shared" ref="AU111:AX116" si="118">AI111*AU$10</f>
        <v>0</v>
      </c>
      <c r="AV111">
        <f t="shared" si="118"/>
        <v>0</v>
      </c>
      <c r="AW111">
        <f t="shared" si="118"/>
        <v>0</v>
      </c>
      <c r="AX111">
        <f t="shared" si="118"/>
        <v>0</v>
      </c>
      <c r="AY111">
        <f t="shared" ref="AY111:AY116" si="119">SUM(AU111:AX111)</f>
        <v>0</v>
      </c>
    </row>
    <row r="112" spans="1:51" ht="15" x14ac:dyDescent="0.25">
      <c r="A112" s="1"/>
      <c r="B112" s="2"/>
      <c r="C112" s="1" t="s">
        <v>9</v>
      </c>
      <c r="D112" s="285">
        <v>0</v>
      </c>
      <c r="E112" s="286">
        <v>0</v>
      </c>
      <c r="F112" s="286">
        <v>0</v>
      </c>
      <c r="G112" s="286">
        <v>0</v>
      </c>
      <c r="H112" s="287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 s="20"/>
      <c r="P112" s="20"/>
      <c r="Q112" s="147"/>
      <c r="R112" s="197">
        <v>6.531704360902256</v>
      </c>
      <c r="S112" s="197">
        <v>78.227142857142866</v>
      </c>
      <c r="T112" s="197">
        <v>0.5825685654008439</v>
      </c>
      <c r="U112" s="197">
        <v>0.90789473684210531</v>
      </c>
      <c r="V112" s="20">
        <f t="shared" si="110"/>
        <v>0</v>
      </c>
      <c r="W112" s="20">
        <f t="shared" si="110"/>
        <v>0</v>
      </c>
      <c r="X112" s="20">
        <f t="shared" si="110"/>
        <v>0</v>
      </c>
      <c r="Y112" s="20">
        <f t="shared" si="110"/>
        <v>0</v>
      </c>
      <c r="Z112" s="20">
        <f t="shared" si="111"/>
        <v>0</v>
      </c>
      <c r="AA112" s="20">
        <f t="shared" si="111"/>
        <v>0</v>
      </c>
      <c r="AB112" s="20">
        <f t="shared" si="111"/>
        <v>0</v>
      </c>
      <c r="AC112" s="20">
        <f t="shared" si="111"/>
        <v>0</v>
      </c>
      <c r="AD112" s="20">
        <f t="shared" si="112"/>
        <v>0</v>
      </c>
      <c r="AE112" s="20">
        <f t="shared" si="113"/>
        <v>0</v>
      </c>
      <c r="AF112" s="20">
        <f t="shared" si="113"/>
        <v>0</v>
      </c>
      <c r="AG112" s="20">
        <f t="shared" si="113"/>
        <v>0</v>
      </c>
      <c r="AH112" s="20">
        <f t="shared" si="113"/>
        <v>0</v>
      </c>
      <c r="AI112" s="20">
        <f t="shared" si="114"/>
        <v>0</v>
      </c>
      <c r="AJ112" s="20">
        <f t="shared" si="114"/>
        <v>0</v>
      </c>
      <c r="AK112" s="20">
        <f t="shared" si="114"/>
        <v>0</v>
      </c>
      <c r="AL112" s="20">
        <f t="shared" si="114"/>
        <v>0</v>
      </c>
      <c r="AM112" s="20">
        <f t="shared" si="115"/>
        <v>0</v>
      </c>
      <c r="AO112">
        <f t="shared" si="116"/>
        <v>0</v>
      </c>
      <c r="AP112">
        <f t="shared" si="116"/>
        <v>0</v>
      </c>
      <c r="AQ112">
        <f t="shared" si="116"/>
        <v>0</v>
      </c>
      <c r="AR112">
        <f t="shared" si="116"/>
        <v>0</v>
      </c>
      <c r="AS112">
        <f t="shared" si="117"/>
        <v>0</v>
      </c>
      <c r="AU112">
        <f t="shared" si="118"/>
        <v>0</v>
      </c>
      <c r="AV112">
        <f t="shared" si="118"/>
        <v>0</v>
      </c>
      <c r="AW112">
        <f t="shared" si="118"/>
        <v>0</v>
      </c>
      <c r="AX112">
        <f t="shared" si="118"/>
        <v>0</v>
      </c>
      <c r="AY112">
        <f t="shared" si="119"/>
        <v>0</v>
      </c>
    </row>
    <row r="113" spans="1:51" ht="15" x14ac:dyDescent="0.25">
      <c r="A113" s="1"/>
      <c r="B113" s="2"/>
      <c r="C113" s="1" t="s">
        <v>10</v>
      </c>
      <c r="D113" s="285">
        <v>0</v>
      </c>
      <c r="E113" s="286">
        <v>0</v>
      </c>
      <c r="F113" s="286">
        <v>0</v>
      </c>
      <c r="G113" s="286">
        <v>0</v>
      </c>
      <c r="H113" s="287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 s="20"/>
      <c r="P113" s="20"/>
      <c r="Q113" s="147"/>
      <c r="R113" s="197">
        <v>6.531704360902256</v>
      </c>
      <c r="S113" s="197">
        <v>78.227142857142866</v>
      </c>
      <c r="T113" s="197">
        <v>0.5825685654008439</v>
      </c>
      <c r="U113" s="197">
        <v>0.90789473684210531</v>
      </c>
      <c r="V113" s="20">
        <f t="shared" si="110"/>
        <v>0</v>
      </c>
      <c r="W113" s="20">
        <f t="shared" si="110"/>
        <v>0</v>
      </c>
      <c r="X113" s="20">
        <f t="shared" si="110"/>
        <v>0</v>
      </c>
      <c r="Y113" s="20">
        <f t="shared" si="110"/>
        <v>0</v>
      </c>
      <c r="Z113" s="20">
        <f t="shared" si="111"/>
        <v>0</v>
      </c>
      <c r="AA113" s="20">
        <f t="shared" si="111"/>
        <v>0</v>
      </c>
      <c r="AB113" s="20">
        <f t="shared" si="111"/>
        <v>0</v>
      </c>
      <c r="AC113" s="20">
        <f t="shared" si="111"/>
        <v>0</v>
      </c>
      <c r="AD113" s="20">
        <f t="shared" si="112"/>
        <v>0</v>
      </c>
      <c r="AE113" s="20">
        <f t="shared" si="113"/>
        <v>0</v>
      </c>
      <c r="AF113" s="20">
        <f t="shared" si="113"/>
        <v>0</v>
      </c>
      <c r="AG113" s="20">
        <f t="shared" si="113"/>
        <v>0</v>
      </c>
      <c r="AH113" s="20">
        <f t="shared" si="113"/>
        <v>0</v>
      </c>
      <c r="AI113" s="20">
        <f t="shared" si="114"/>
        <v>0</v>
      </c>
      <c r="AJ113" s="20">
        <f t="shared" si="114"/>
        <v>0</v>
      </c>
      <c r="AK113" s="20">
        <f t="shared" si="114"/>
        <v>0</v>
      </c>
      <c r="AL113" s="20">
        <f t="shared" si="114"/>
        <v>0</v>
      </c>
      <c r="AM113" s="20">
        <f t="shared" si="115"/>
        <v>0</v>
      </c>
      <c r="AO113">
        <f t="shared" si="116"/>
        <v>0</v>
      </c>
      <c r="AP113">
        <f t="shared" si="116"/>
        <v>0</v>
      </c>
      <c r="AQ113">
        <f t="shared" si="116"/>
        <v>0</v>
      </c>
      <c r="AR113">
        <f t="shared" si="116"/>
        <v>0</v>
      </c>
      <c r="AS113">
        <f t="shared" si="117"/>
        <v>0</v>
      </c>
      <c r="AU113">
        <f t="shared" si="118"/>
        <v>0</v>
      </c>
      <c r="AV113">
        <f t="shared" si="118"/>
        <v>0</v>
      </c>
      <c r="AW113">
        <f t="shared" si="118"/>
        <v>0</v>
      </c>
      <c r="AX113">
        <f t="shared" si="118"/>
        <v>0</v>
      </c>
      <c r="AY113">
        <f t="shared" si="119"/>
        <v>0</v>
      </c>
    </row>
    <row r="114" spans="1:51" ht="15" x14ac:dyDescent="0.25">
      <c r="A114" s="1"/>
      <c r="B114" s="2"/>
      <c r="C114" s="1" t="s">
        <v>11</v>
      </c>
      <c r="D114" s="285">
        <v>0</v>
      </c>
      <c r="E114" s="286">
        <v>0</v>
      </c>
      <c r="F114" s="286">
        <v>0</v>
      </c>
      <c r="G114" s="286">
        <v>0</v>
      </c>
      <c r="H114" s="287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 s="20"/>
      <c r="P114" s="20"/>
      <c r="Q114" s="147"/>
      <c r="R114" s="197">
        <v>6.531704360902256</v>
      </c>
      <c r="S114" s="197">
        <v>78.227142857142866</v>
      </c>
      <c r="T114" s="197">
        <v>0.5825685654008439</v>
      </c>
      <c r="U114" s="197">
        <v>0.90789473684210531</v>
      </c>
      <c r="V114" s="20">
        <f t="shared" si="110"/>
        <v>0</v>
      </c>
      <c r="W114" s="20">
        <f t="shared" si="110"/>
        <v>0</v>
      </c>
      <c r="X114" s="20">
        <f t="shared" si="110"/>
        <v>0</v>
      </c>
      <c r="Y114" s="20">
        <f t="shared" si="110"/>
        <v>0</v>
      </c>
      <c r="Z114" s="20">
        <f t="shared" si="111"/>
        <v>0</v>
      </c>
      <c r="AA114" s="20">
        <f t="shared" si="111"/>
        <v>0</v>
      </c>
      <c r="AB114" s="20">
        <f t="shared" si="111"/>
        <v>0</v>
      </c>
      <c r="AC114" s="20">
        <f t="shared" si="111"/>
        <v>0</v>
      </c>
      <c r="AD114" s="20">
        <f t="shared" si="112"/>
        <v>0</v>
      </c>
      <c r="AE114" s="20">
        <f t="shared" si="113"/>
        <v>0</v>
      </c>
      <c r="AF114" s="20">
        <f t="shared" si="113"/>
        <v>0</v>
      </c>
      <c r="AG114" s="20">
        <f t="shared" si="113"/>
        <v>0</v>
      </c>
      <c r="AH114" s="20">
        <f t="shared" si="113"/>
        <v>0</v>
      </c>
      <c r="AI114" s="20">
        <f t="shared" si="114"/>
        <v>0</v>
      </c>
      <c r="AJ114" s="20">
        <f t="shared" si="114"/>
        <v>0</v>
      </c>
      <c r="AK114" s="20">
        <f t="shared" si="114"/>
        <v>0</v>
      </c>
      <c r="AL114" s="20">
        <f t="shared" si="114"/>
        <v>0</v>
      </c>
      <c r="AM114" s="20">
        <f t="shared" si="115"/>
        <v>0</v>
      </c>
      <c r="AO114">
        <f t="shared" si="116"/>
        <v>0</v>
      </c>
      <c r="AP114">
        <f t="shared" si="116"/>
        <v>0</v>
      </c>
      <c r="AQ114">
        <f t="shared" si="116"/>
        <v>0</v>
      </c>
      <c r="AR114">
        <f t="shared" si="116"/>
        <v>0</v>
      </c>
      <c r="AS114">
        <f t="shared" si="117"/>
        <v>0</v>
      </c>
      <c r="AU114">
        <f t="shared" si="118"/>
        <v>0</v>
      </c>
      <c r="AV114">
        <f t="shared" si="118"/>
        <v>0</v>
      </c>
      <c r="AW114">
        <f t="shared" si="118"/>
        <v>0</v>
      </c>
      <c r="AX114">
        <f t="shared" si="118"/>
        <v>0</v>
      </c>
      <c r="AY114">
        <f t="shared" si="119"/>
        <v>0</v>
      </c>
    </row>
    <row r="115" spans="1:51" ht="15" x14ac:dyDescent="0.25">
      <c r="A115" s="1"/>
      <c r="B115" s="2"/>
      <c r="C115" s="1" t="s">
        <v>12</v>
      </c>
      <c r="D115" s="285">
        <v>0</v>
      </c>
      <c r="E115" s="286">
        <v>0</v>
      </c>
      <c r="F115" s="286">
        <v>0</v>
      </c>
      <c r="G115" s="286">
        <v>0</v>
      </c>
      <c r="H115" s="287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 s="20"/>
      <c r="P115" s="20"/>
      <c r="Q115" s="147"/>
      <c r="R115" s="197">
        <v>6.531704360902256</v>
      </c>
      <c r="S115" s="197">
        <v>78.227142857142866</v>
      </c>
      <c r="T115" s="197">
        <v>0.5825685654008439</v>
      </c>
      <c r="U115" s="197">
        <v>0.90789473684210531</v>
      </c>
      <c r="V115" s="20">
        <f t="shared" si="110"/>
        <v>0</v>
      </c>
      <c r="W115" s="20">
        <f t="shared" si="110"/>
        <v>0</v>
      </c>
      <c r="X115" s="20">
        <f t="shared" si="110"/>
        <v>0</v>
      </c>
      <c r="Y115" s="20">
        <f t="shared" si="110"/>
        <v>0</v>
      </c>
      <c r="Z115" s="20">
        <f t="shared" si="111"/>
        <v>0</v>
      </c>
      <c r="AA115" s="20">
        <f t="shared" si="111"/>
        <v>0</v>
      </c>
      <c r="AB115" s="20">
        <f t="shared" si="111"/>
        <v>0</v>
      </c>
      <c r="AC115" s="20">
        <f t="shared" si="111"/>
        <v>0</v>
      </c>
      <c r="AD115" s="20">
        <f t="shared" si="112"/>
        <v>0</v>
      </c>
      <c r="AE115" s="20">
        <f t="shared" si="113"/>
        <v>0</v>
      </c>
      <c r="AF115" s="20">
        <f t="shared" si="113"/>
        <v>0</v>
      </c>
      <c r="AG115" s="20">
        <f t="shared" si="113"/>
        <v>0</v>
      </c>
      <c r="AH115" s="20">
        <f t="shared" si="113"/>
        <v>0</v>
      </c>
      <c r="AI115" s="20">
        <f t="shared" si="114"/>
        <v>0</v>
      </c>
      <c r="AJ115" s="20">
        <f t="shared" si="114"/>
        <v>0</v>
      </c>
      <c r="AK115" s="20">
        <f t="shared" si="114"/>
        <v>0</v>
      </c>
      <c r="AL115" s="20">
        <f t="shared" si="114"/>
        <v>0</v>
      </c>
      <c r="AM115" s="20">
        <f t="shared" si="115"/>
        <v>0</v>
      </c>
      <c r="AO115">
        <f t="shared" si="116"/>
        <v>0</v>
      </c>
      <c r="AP115">
        <f t="shared" si="116"/>
        <v>0</v>
      </c>
      <c r="AQ115">
        <f t="shared" si="116"/>
        <v>0</v>
      </c>
      <c r="AR115">
        <f t="shared" si="116"/>
        <v>0</v>
      </c>
      <c r="AS115">
        <f t="shared" si="117"/>
        <v>0</v>
      </c>
      <c r="AU115">
        <f t="shared" si="118"/>
        <v>0</v>
      </c>
      <c r="AV115">
        <f t="shared" si="118"/>
        <v>0</v>
      </c>
      <c r="AW115">
        <f t="shared" si="118"/>
        <v>0</v>
      </c>
      <c r="AX115">
        <f t="shared" si="118"/>
        <v>0</v>
      </c>
      <c r="AY115">
        <f t="shared" si="119"/>
        <v>0</v>
      </c>
    </row>
    <row r="116" spans="1:51" ht="15" x14ac:dyDescent="0.25">
      <c r="A116" s="1"/>
      <c r="B116" s="2"/>
      <c r="C116" s="1" t="s">
        <v>13</v>
      </c>
      <c r="D116" s="285">
        <v>0</v>
      </c>
      <c r="E116" s="286">
        <v>0</v>
      </c>
      <c r="F116" s="286">
        <v>0</v>
      </c>
      <c r="G116" s="286">
        <v>0</v>
      </c>
      <c r="H116" s="287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 s="20"/>
      <c r="P116" s="20"/>
      <c r="Q116" s="147"/>
      <c r="R116" s="197">
        <v>6.531704360902256</v>
      </c>
      <c r="S116" s="197">
        <v>78.227142857142866</v>
      </c>
      <c r="T116" s="197">
        <v>0.5825685654008439</v>
      </c>
      <c r="U116" s="197">
        <v>0.90789473684210531</v>
      </c>
      <c r="V116" s="20">
        <f t="shared" si="110"/>
        <v>0</v>
      </c>
      <c r="W116" s="20">
        <f t="shared" si="110"/>
        <v>0</v>
      </c>
      <c r="X116" s="20">
        <f t="shared" si="110"/>
        <v>0</v>
      </c>
      <c r="Y116" s="20">
        <f t="shared" si="110"/>
        <v>0</v>
      </c>
      <c r="Z116" s="20">
        <f t="shared" si="111"/>
        <v>0</v>
      </c>
      <c r="AA116" s="20">
        <f t="shared" si="111"/>
        <v>0</v>
      </c>
      <c r="AB116" s="20">
        <f t="shared" si="111"/>
        <v>0</v>
      </c>
      <c r="AC116" s="20">
        <f t="shared" si="111"/>
        <v>0</v>
      </c>
      <c r="AD116" s="20">
        <f t="shared" si="112"/>
        <v>0</v>
      </c>
      <c r="AE116" s="20">
        <f t="shared" si="113"/>
        <v>0</v>
      </c>
      <c r="AF116" s="20">
        <f t="shared" si="113"/>
        <v>0</v>
      </c>
      <c r="AG116" s="20">
        <f t="shared" si="113"/>
        <v>0</v>
      </c>
      <c r="AH116" s="20">
        <f t="shared" si="113"/>
        <v>0</v>
      </c>
      <c r="AI116" s="20">
        <f t="shared" si="114"/>
        <v>0</v>
      </c>
      <c r="AJ116" s="20">
        <f t="shared" si="114"/>
        <v>0</v>
      </c>
      <c r="AK116" s="20">
        <f t="shared" si="114"/>
        <v>0</v>
      </c>
      <c r="AL116" s="20">
        <f t="shared" si="114"/>
        <v>0</v>
      </c>
      <c r="AM116" s="20">
        <f t="shared" si="115"/>
        <v>0</v>
      </c>
      <c r="AO116">
        <f t="shared" si="116"/>
        <v>0</v>
      </c>
      <c r="AP116">
        <f t="shared" si="116"/>
        <v>0</v>
      </c>
      <c r="AQ116">
        <f t="shared" si="116"/>
        <v>0</v>
      </c>
      <c r="AR116">
        <f t="shared" si="116"/>
        <v>0</v>
      </c>
      <c r="AS116">
        <f t="shared" si="117"/>
        <v>0</v>
      </c>
      <c r="AU116">
        <f t="shared" si="118"/>
        <v>0</v>
      </c>
      <c r="AV116">
        <f t="shared" si="118"/>
        <v>0</v>
      </c>
      <c r="AW116">
        <f t="shared" si="118"/>
        <v>0</v>
      </c>
      <c r="AX116">
        <f t="shared" si="118"/>
        <v>0</v>
      </c>
      <c r="AY116">
        <f t="shared" si="119"/>
        <v>0</v>
      </c>
    </row>
    <row r="117" spans="1:51" ht="15" x14ac:dyDescent="0.25">
      <c r="A117" s="7"/>
      <c r="B117" s="8" t="s">
        <v>14</v>
      </c>
      <c r="C117" s="7"/>
      <c r="D117" s="288">
        <f>SUM(D111:D116)</f>
        <v>0</v>
      </c>
      <c r="E117" s="289">
        <f>SUM(E111:E116)</f>
        <v>0</v>
      </c>
      <c r="F117" s="289">
        <f>SUM(F111:F116)</f>
        <v>0</v>
      </c>
      <c r="G117" s="289">
        <f>SUM(G111:G116)</f>
        <v>0</v>
      </c>
      <c r="H117" s="290">
        <f>SUM(H111:H116)</f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 s="20"/>
      <c r="P117" s="20"/>
      <c r="Q117" s="147"/>
      <c r="R117" s="197"/>
      <c r="S117" s="197"/>
      <c r="T117" s="197"/>
      <c r="U117" s="197"/>
    </row>
    <row r="118" spans="1:51" ht="15" x14ac:dyDescent="0.25">
      <c r="A118" s="10"/>
      <c r="B118" s="9" t="s">
        <v>15</v>
      </c>
      <c r="C118" s="5"/>
      <c r="D118" s="291"/>
      <c r="E118" s="292"/>
      <c r="F118" s="292"/>
      <c r="G118" s="292"/>
      <c r="H118" s="293">
        <f>SUM(D117:H117)</f>
        <v>0</v>
      </c>
      <c r="N118">
        <v>0</v>
      </c>
      <c r="O118" s="20"/>
      <c r="P118" s="20"/>
      <c r="Q118" s="147"/>
      <c r="R118" s="197"/>
      <c r="S118" s="197"/>
      <c r="T118" s="197"/>
      <c r="U118" s="197"/>
    </row>
    <row r="119" spans="1:51" ht="15.75" thickBot="1" x14ac:dyDescent="0.3">
      <c r="A119" s="1"/>
      <c r="B119" s="2"/>
      <c r="C119" s="1"/>
      <c r="D119" s="297"/>
      <c r="E119" s="298"/>
      <c r="F119" s="298"/>
      <c r="G119" s="298"/>
      <c r="H119" s="299"/>
      <c r="O119" s="20"/>
      <c r="P119" s="20"/>
      <c r="Q119" s="147"/>
      <c r="R119" s="197"/>
      <c r="S119" s="197"/>
      <c r="T119" s="197"/>
      <c r="U119" s="197"/>
    </row>
    <row r="120" spans="1:51" ht="15" x14ac:dyDescent="0.25">
      <c r="A120" s="1">
        <v>13</v>
      </c>
      <c r="B120" s="2" t="s">
        <v>27</v>
      </c>
      <c r="C120" s="1" t="s">
        <v>8</v>
      </c>
      <c r="D120" s="282">
        <v>0</v>
      </c>
      <c r="E120" s="283">
        <v>0</v>
      </c>
      <c r="F120" s="283">
        <v>0</v>
      </c>
      <c r="G120" s="283">
        <v>0.85633649999999994</v>
      </c>
      <c r="H120" s="284">
        <v>3.2119332100000002</v>
      </c>
      <c r="J120">
        <v>0</v>
      </c>
      <c r="K120">
        <v>0</v>
      </c>
      <c r="L120">
        <v>0</v>
      </c>
      <c r="M120">
        <v>0.85633649999999994</v>
      </c>
      <c r="N120">
        <v>1.8145753216600002</v>
      </c>
      <c r="O120" s="20"/>
      <c r="P120" s="20"/>
      <c r="Q120" s="147">
        <v>1.0128080952687468E-2</v>
      </c>
      <c r="R120" s="197">
        <v>0.49226666666666663</v>
      </c>
      <c r="S120" s="197">
        <v>2.8337500000000002</v>
      </c>
      <c r="T120" s="197">
        <v>0.68718466195761863</v>
      </c>
      <c r="U120" s="197">
        <v>0.90789473684210531</v>
      </c>
      <c r="V120" s="20">
        <f t="shared" ref="V120:Y125" si="120">IF(K120&gt;0,((E120-K120)*$Q120*$R120*10)+(K120*$O$12*$Q120*$R120*10),(E120*$Q120*$R120*10))</f>
        <v>0</v>
      </c>
      <c r="W120" s="20">
        <f t="shared" si="120"/>
        <v>0</v>
      </c>
      <c r="X120" s="20">
        <f t="shared" si="120"/>
        <v>1.5700993909415865E-2</v>
      </c>
      <c r="Y120" s="20">
        <f t="shared" si="120"/>
        <v>0.10293867942736902</v>
      </c>
      <c r="Z120" s="20">
        <f t="shared" ref="Z120:AC125" si="121">V120*(EXP(1.01-0.34*LN(Z$8))*(1-$T120)+(1*$T120))</f>
        <v>0</v>
      </c>
      <c r="AA120" s="20">
        <f t="shared" si="121"/>
        <v>0</v>
      </c>
      <c r="AB120" s="20">
        <f t="shared" si="121"/>
        <v>1.2417350625560115E-2</v>
      </c>
      <c r="AC120" s="20">
        <f t="shared" si="121"/>
        <v>7.9118030394984704E-2</v>
      </c>
      <c r="AD120" s="20">
        <f t="shared" ref="AD120:AD125" si="122">SUM(Z120:AC120)</f>
        <v>9.1535381020544815E-2</v>
      </c>
      <c r="AE120" s="20">
        <f t="shared" ref="AE120:AH125" si="123">IF(K120&gt;0,((E120-K120)*$Q120*$S120*10)+(K120*$P$12*$Q120*$S120)*10,(E120*$Q120*$S120*10))</f>
        <v>0</v>
      </c>
      <c r="AF120" s="20">
        <f t="shared" si="123"/>
        <v>0</v>
      </c>
      <c r="AG120" s="20">
        <f t="shared" si="123"/>
        <v>0.14233423254206135</v>
      </c>
      <c r="AH120" s="20">
        <f t="shared" si="123"/>
        <v>0.70265394623992106</v>
      </c>
      <c r="AI120" s="20">
        <f t="shared" ref="AI120:AL125" si="124">AE120*(EXP(1.01-0.34*LN(AI$8))*(1-$T120)+(1*$T120))</f>
        <v>0</v>
      </c>
      <c r="AJ120" s="20">
        <f t="shared" si="124"/>
        <v>0</v>
      </c>
      <c r="AK120" s="20">
        <f t="shared" si="124"/>
        <v>0.1125670184761277</v>
      </c>
      <c r="AL120" s="20">
        <f t="shared" si="124"/>
        <v>0.54005546394240245</v>
      </c>
      <c r="AM120" s="20">
        <f t="shared" ref="AM120:AM125" si="125">SUM(AI120:AL120)</f>
        <v>0.65262248241853016</v>
      </c>
      <c r="AO120">
        <f t="shared" ref="AO120:AR125" si="126">Z120*AO$10</f>
        <v>0</v>
      </c>
      <c r="AP120">
        <f t="shared" si="126"/>
        <v>0</v>
      </c>
      <c r="AQ120">
        <f t="shared" si="126"/>
        <v>1.4857182220394687E-2</v>
      </c>
      <c r="AR120">
        <f t="shared" si="126"/>
        <v>9.448992744606928E-2</v>
      </c>
      <c r="AS120">
        <f t="shared" ref="AS120:AS125" si="127">SUM(AO120:AR120)</f>
        <v>0.10934710966646397</v>
      </c>
      <c r="AU120">
        <f t="shared" ref="AU120:AX125" si="128">AI120*AU$10</f>
        <v>0</v>
      </c>
      <c r="AV120">
        <f t="shared" si="128"/>
        <v>0</v>
      </c>
      <c r="AW120">
        <f t="shared" si="128"/>
        <v>0.1346848257682122</v>
      </c>
      <c r="AX120">
        <f t="shared" si="128"/>
        <v>0.64498321495128719</v>
      </c>
      <c r="AY120">
        <f t="shared" ref="AY120:AY125" si="129">SUM(AU120:AX120)</f>
        <v>0.77966804071949936</v>
      </c>
    </row>
    <row r="121" spans="1:51" ht="15" x14ac:dyDescent="0.25">
      <c r="A121" s="1"/>
      <c r="B121" s="2"/>
      <c r="C121" s="1" t="s">
        <v>9</v>
      </c>
      <c r="D121" s="285">
        <v>0</v>
      </c>
      <c r="E121" s="286">
        <v>0</v>
      </c>
      <c r="F121" s="286">
        <v>0</v>
      </c>
      <c r="G121" s="286">
        <v>0</v>
      </c>
      <c r="H121" s="287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 s="20"/>
      <c r="P121" s="20"/>
      <c r="Q121" s="147"/>
      <c r="R121" s="197">
        <v>0.49226666666666663</v>
      </c>
      <c r="S121" s="197">
        <v>2.8337500000000002</v>
      </c>
      <c r="T121" s="197">
        <v>0.68718466195761863</v>
      </c>
      <c r="U121" s="197">
        <v>0.90789473684210531</v>
      </c>
      <c r="V121" s="20">
        <f t="shared" si="120"/>
        <v>0</v>
      </c>
      <c r="W121" s="20">
        <f t="shared" si="120"/>
        <v>0</v>
      </c>
      <c r="X121" s="20">
        <f t="shared" si="120"/>
        <v>0</v>
      </c>
      <c r="Y121" s="20">
        <f t="shared" si="120"/>
        <v>0</v>
      </c>
      <c r="Z121" s="20">
        <f t="shared" si="121"/>
        <v>0</v>
      </c>
      <c r="AA121" s="20">
        <f t="shared" si="121"/>
        <v>0</v>
      </c>
      <c r="AB121" s="20">
        <f t="shared" si="121"/>
        <v>0</v>
      </c>
      <c r="AC121" s="20">
        <f t="shared" si="121"/>
        <v>0</v>
      </c>
      <c r="AD121" s="20">
        <f t="shared" si="122"/>
        <v>0</v>
      </c>
      <c r="AE121" s="20">
        <f t="shared" si="123"/>
        <v>0</v>
      </c>
      <c r="AF121" s="20">
        <f t="shared" si="123"/>
        <v>0</v>
      </c>
      <c r="AG121" s="20">
        <f t="shared" si="123"/>
        <v>0</v>
      </c>
      <c r="AH121" s="20">
        <f t="shared" si="123"/>
        <v>0</v>
      </c>
      <c r="AI121" s="20">
        <f t="shared" si="124"/>
        <v>0</v>
      </c>
      <c r="AJ121" s="20">
        <f t="shared" si="124"/>
        <v>0</v>
      </c>
      <c r="AK121" s="20">
        <f t="shared" si="124"/>
        <v>0</v>
      </c>
      <c r="AL121" s="20">
        <f t="shared" si="124"/>
        <v>0</v>
      </c>
      <c r="AM121" s="20">
        <f t="shared" si="125"/>
        <v>0</v>
      </c>
      <c r="AO121">
        <f t="shared" si="126"/>
        <v>0</v>
      </c>
      <c r="AP121">
        <f t="shared" si="126"/>
        <v>0</v>
      </c>
      <c r="AQ121">
        <f t="shared" si="126"/>
        <v>0</v>
      </c>
      <c r="AR121">
        <f t="shared" si="126"/>
        <v>0</v>
      </c>
      <c r="AS121">
        <f t="shared" si="127"/>
        <v>0</v>
      </c>
      <c r="AU121">
        <f t="shared" si="128"/>
        <v>0</v>
      </c>
      <c r="AV121">
        <f t="shared" si="128"/>
        <v>0</v>
      </c>
      <c r="AW121">
        <f t="shared" si="128"/>
        <v>0</v>
      </c>
      <c r="AX121">
        <f t="shared" si="128"/>
        <v>0</v>
      </c>
      <c r="AY121">
        <f t="shared" si="129"/>
        <v>0</v>
      </c>
    </row>
    <row r="122" spans="1:51" ht="15" x14ac:dyDescent="0.25">
      <c r="A122" s="1"/>
      <c r="B122" s="2"/>
      <c r="C122" s="1" t="s">
        <v>10</v>
      </c>
      <c r="D122" s="285">
        <v>0</v>
      </c>
      <c r="E122" s="286">
        <v>0</v>
      </c>
      <c r="F122" s="286">
        <v>0</v>
      </c>
      <c r="G122" s="286">
        <v>0</v>
      </c>
      <c r="H122" s="287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 s="20"/>
      <c r="P122" s="20"/>
      <c r="Q122" s="147"/>
      <c r="R122" s="197">
        <v>0.49226666666666663</v>
      </c>
      <c r="S122" s="197">
        <v>2.8337500000000002</v>
      </c>
      <c r="T122" s="197">
        <v>0.68718466195761863</v>
      </c>
      <c r="U122" s="197">
        <v>0.90789473684210531</v>
      </c>
      <c r="V122" s="20">
        <f t="shared" si="120"/>
        <v>0</v>
      </c>
      <c r="W122" s="20">
        <f t="shared" si="120"/>
        <v>0</v>
      </c>
      <c r="X122" s="20">
        <f t="shared" si="120"/>
        <v>0</v>
      </c>
      <c r="Y122" s="20">
        <f t="shared" si="120"/>
        <v>0</v>
      </c>
      <c r="Z122" s="20">
        <f t="shared" si="121"/>
        <v>0</v>
      </c>
      <c r="AA122" s="20">
        <f t="shared" si="121"/>
        <v>0</v>
      </c>
      <c r="AB122" s="20">
        <f t="shared" si="121"/>
        <v>0</v>
      </c>
      <c r="AC122" s="20">
        <f t="shared" si="121"/>
        <v>0</v>
      </c>
      <c r="AD122" s="20">
        <f t="shared" si="122"/>
        <v>0</v>
      </c>
      <c r="AE122" s="20">
        <f t="shared" si="123"/>
        <v>0</v>
      </c>
      <c r="AF122" s="20">
        <f t="shared" si="123"/>
        <v>0</v>
      </c>
      <c r="AG122" s="20">
        <f t="shared" si="123"/>
        <v>0</v>
      </c>
      <c r="AH122" s="20">
        <f t="shared" si="123"/>
        <v>0</v>
      </c>
      <c r="AI122" s="20">
        <f t="shared" si="124"/>
        <v>0</v>
      </c>
      <c r="AJ122" s="20">
        <f t="shared" si="124"/>
        <v>0</v>
      </c>
      <c r="AK122" s="20">
        <f t="shared" si="124"/>
        <v>0</v>
      </c>
      <c r="AL122" s="20">
        <f t="shared" si="124"/>
        <v>0</v>
      </c>
      <c r="AM122" s="20">
        <f t="shared" si="125"/>
        <v>0</v>
      </c>
      <c r="AO122">
        <f t="shared" si="126"/>
        <v>0</v>
      </c>
      <c r="AP122">
        <f t="shared" si="126"/>
        <v>0</v>
      </c>
      <c r="AQ122">
        <f t="shared" si="126"/>
        <v>0</v>
      </c>
      <c r="AR122">
        <f t="shared" si="126"/>
        <v>0</v>
      </c>
      <c r="AS122">
        <f t="shared" si="127"/>
        <v>0</v>
      </c>
      <c r="AU122">
        <f t="shared" si="128"/>
        <v>0</v>
      </c>
      <c r="AV122">
        <f t="shared" si="128"/>
        <v>0</v>
      </c>
      <c r="AW122">
        <f t="shared" si="128"/>
        <v>0</v>
      </c>
      <c r="AX122">
        <f t="shared" si="128"/>
        <v>0</v>
      </c>
      <c r="AY122">
        <f t="shared" si="129"/>
        <v>0</v>
      </c>
    </row>
    <row r="123" spans="1:51" ht="15" x14ac:dyDescent="0.25">
      <c r="A123" s="1"/>
      <c r="B123" s="2"/>
      <c r="C123" s="1" t="s">
        <v>11</v>
      </c>
      <c r="D123" s="285">
        <v>0</v>
      </c>
      <c r="E123" s="286">
        <v>0</v>
      </c>
      <c r="F123" s="286">
        <v>0</v>
      </c>
      <c r="G123" s="286">
        <v>0</v>
      </c>
      <c r="H123" s="287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 s="20"/>
      <c r="P123" s="20"/>
      <c r="Q123" s="147"/>
      <c r="R123" s="197">
        <v>0.49226666666666663</v>
      </c>
      <c r="S123" s="197">
        <v>2.8337500000000002</v>
      </c>
      <c r="T123" s="197">
        <v>0.68718466195761863</v>
      </c>
      <c r="U123" s="197">
        <v>0.90789473684210531</v>
      </c>
      <c r="V123" s="20">
        <f t="shared" si="120"/>
        <v>0</v>
      </c>
      <c r="W123" s="20">
        <f t="shared" si="120"/>
        <v>0</v>
      </c>
      <c r="X123" s="20">
        <f t="shared" si="120"/>
        <v>0</v>
      </c>
      <c r="Y123" s="20">
        <f t="shared" si="120"/>
        <v>0</v>
      </c>
      <c r="Z123" s="20">
        <f t="shared" si="121"/>
        <v>0</v>
      </c>
      <c r="AA123" s="20">
        <f t="shared" si="121"/>
        <v>0</v>
      </c>
      <c r="AB123" s="20">
        <f t="shared" si="121"/>
        <v>0</v>
      </c>
      <c r="AC123" s="20">
        <f t="shared" si="121"/>
        <v>0</v>
      </c>
      <c r="AD123" s="20">
        <f t="shared" si="122"/>
        <v>0</v>
      </c>
      <c r="AE123" s="20">
        <f t="shared" si="123"/>
        <v>0</v>
      </c>
      <c r="AF123" s="20">
        <f t="shared" si="123"/>
        <v>0</v>
      </c>
      <c r="AG123" s="20">
        <f t="shared" si="123"/>
        <v>0</v>
      </c>
      <c r="AH123" s="20">
        <f t="shared" si="123"/>
        <v>0</v>
      </c>
      <c r="AI123" s="20">
        <f t="shared" si="124"/>
        <v>0</v>
      </c>
      <c r="AJ123" s="20">
        <f t="shared" si="124"/>
        <v>0</v>
      </c>
      <c r="AK123" s="20">
        <f t="shared" si="124"/>
        <v>0</v>
      </c>
      <c r="AL123" s="20">
        <f t="shared" si="124"/>
        <v>0</v>
      </c>
      <c r="AM123" s="20">
        <f t="shared" si="125"/>
        <v>0</v>
      </c>
      <c r="AO123">
        <f t="shared" si="126"/>
        <v>0</v>
      </c>
      <c r="AP123">
        <f t="shared" si="126"/>
        <v>0</v>
      </c>
      <c r="AQ123">
        <f t="shared" si="126"/>
        <v>0</v>
      </c>
      <c r="AR123">
        <f t="shared" si="126"/>
        <v>0</v>
      </c>
      <c r="AS123">
        <f t="shared" si="127"/>
        <v>0</v>
      </c>
      <c r="AU123">
        <f t="shared" si="128"/>
        <v>0</v>
      </c>
      <c r="AV123">
        <f t="shared" si="128"/>
        <v>0</v>
      </c>
      <c r="AW123">
        <f t="shared" si="128"/>
        <v>0</v>
      </c>
      <c r="AX123">
        <f t="shared" si="128"/>
        <v>0</v>
      </c>
      <c r="AY123">
        <f t="shared" si="129"/>
        <v>0</v>
      </c>
    </row>
    <row r="124" spans="1:51" ht="15" x14ac:dyDescent="0.25">
      <c r="A124" s="1"/>
      <c r="B124" s="2"/>
      <c r="C124" s="1" t="s">
        <v>12</v>
      </c>
      <c r="D124" s="285">
        <v>0</v>
      </c>
      <c r="E124" s="286">
        <v>0</v>
      </c>
      <c r="F124" s="286">
        <v>0</v>
      </c>
      <c r="G124" s="286">
        <v>0</v>
      </c>
      <c r="H124" s="287">
        <v>0</v>
      </c>
      <c r="J124">
        <v>0</v>
      </c>
      <c r="K124">
        <v>0</v>
      </c>
      <c r="L124">
        <v>0</v>
      </c>
      <c r="M124">
        <v>0</v>
      </c>
      <c r="N124">
        <v>0</v>
      </c>
      <c r="O124" s="20"/>
      <c r="P124" s="20"/>
      <c r="Q124" s="147"/>
      <c r="R124" s="197">
        <v>0.49226666666666663</v>
      </c>
      <c r="S124" s="197">
        <v>2.8337500000000002</v>
      </c>
      <c r="T124" s="197">
        <v>0.68718466195761863</v>
      </c>
      <c r="U124" s="197">
        <v>0.90789473684210531</v>
      </c>
      <c r="V124" s="20">
        <f t="shared" si="120"/>
        <v>0</v>
      </c>
      <c r="W124" s="20">
        <f t="shared" si="120"/>
        <v>0</v>
      </c>
      <c r="X124" s="20">
        <f t="shared" si="120"/>
        <v>0</v>
      </c>
      <c r="Y124" s="20">
        <f t="shared" si="120"/>
        <v>0</v>
      </c>
      <c r="Z124" s="20">
        <f t="shared" si="121"/>
        <v>0</v>
      </c>
      <c r="AA124" s="20">
        <f t="shared" si="121"/>
        <v>0</v>
      </c>
      <c r="AB124" s="20">
        <f t="shared" si="121"/>
        <v>0</v>
      </c>
      <c r="AC124" s="20">
        <f t="shared" si="121"/>
        <v>0</v>
      </c>
      <c r="AD124" s="20">
        <f t="shared" si="122"/>
        <v>0</v>
      </c>
      <c r="AE124" s="20">
        <f t="shared" si="123"/>
        <v>0</v>
      </c>
      <c r="AF124" s="20">
        <f t="shared" si="123"/>
        <v>0</v>
      </c>
      <c r="AG124" s="20">
        <f t="shared" si="123"/>
        <v>0</v>
      </c>
      <c r="AH124" s="20">
        <f t="shared" si="123"/>
        <v>0</v>
      </c>
      <c r="AI124" s="20">
        <f t="shared" si="124"/>
        <v>0</v>
      </c>
      <c r="AJ124" s="20">
        <f t="shared" si="124"/>
        <v>0</v>
      </c>
      <c r="AK124" s="20">
        <f t="shared" si="124"/>
        <v>0</v>
      </c>
      <c r="AL124" s="20">
        <f t="shared" si="124"/>
        <v>0</v>
      </c>
      <c r="AM124" s="20">
        <f t="shared" si="125"/>
        <v>0</v>
      </c>
      <c r="AO124">
        <f t="shared" si="126"/>
        <v>0</v>
      </c>
      <c r="AP124">
        <f t="shared" si="126"/>
        <v>0</v>
      </c>
      <c r="AQ124">
        <f t="shared" si="126"/>
        <v>0</v>
      </c>
      <c r="AR124">
        <f t="shared" si="126"/>
        <v>0</v>
      </c>
      <c r="AS124">
        <f t="shared" si="127"/>
        <v>0</v>
      </c>
      <c r="AU124">
        <f t="shared" si="128"/>
        <v>0</v>
      </c>
      <c r="AV124">
        <f t="shared" si="128"/>
        <v>0</v>
      </c>
      <c r="AW124">
        <f t="shared" si="128"/>
        <v>0</v>
      </c>
      <c r="AX124">
        <f t="shared" si="128"/>
        <v>0</v>
      </c>
      <c r="AY124">
        <f t="shared" si="129"/>
        <v>0</v>
      </c>
    </row>
    <row r="125" spans="1:51" ht="15" x14ac:dyDescent="0.25">
      <c r="A125" s="1"/>
      <c r="B125" s="2"/>
      <c r="C125" s="1" t="s">
        <v>13</v>
      </c>
      <c r="D125" s="285">
        <v>0</v>
      </c>
      <c r="E125" s="286">
        <v>0</v>
      </c>
      <c r="F125" s="286">
        <v>0</v>
      </c>
      <c r="G125" s="286">
        <v>0</v>
      </c>
      <c r="H125" s="287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 s="20"/>
      <c r="P125" s="20"/>
      <c r="Q125" s="147"/>
      <c r="R125" s="197">
        <v>0.49226666666666663</v>
      </c>
      <c r="S125" s="197">
        <v>2.8337500000000002</v>
      </c>
      <c r="T125" s="197">
        <v>0.68718466195761863</v>
      </c>
      <c r="U125" s="197">
        <v>0.90789473684210531</v>
      </c>
      <c r="V125" s="20">
        <f t="shared" si="120"/>
        <v>0</v>
      </c>
      <c r="W125" s="20">
        <f t="shared" si="120"/>
        <v>0</v>
      </c>
      <c r="X125" s="20">
        <f t="shared" si="120"/>
        <v>0</v>
      </c>
      <c r="Y125" s="20">
        <f t="shared" si="120"/>
        <v>0</v>
      </c>
      <c r="Z125" s="20">
        <f t="shared" si="121"/>
        <v>0</v>
      </c>
      <c r="AA125" s="20">
        <f t="shared" si="121"/>
        <v>0</v>
      </c>
      <c r="AB125" s="20">
        <f t="shared" si="121"/>
        <v>0</v>
      </c>
      <c r="AC125" s="20">
        <f t="shared" si="121"/>
        <v>0</v>
      </c>
      <c r="AD125" s="20">
        <f t="shared" si="122"/>
        <v>0</v>
      </c>
      <c r="AE125" s="20">
        <f t="shared" si="123"/>
        <v>0</v>
      </c>
      <c r="AF125" s="20">
        <f t="shared" si="123"/>
        <v>0</v>
      </c>
      <c r="AG125" s="20">
        <f t="shared" si="123"/>
        <v>0</v>
      </c>
      <c r="AH125" s="20">
        <f t="shared" si="123"/>
        <v>0</v>
      </c>
      <c r="AI125" s="20">
        <f t="shared" si="124"/>
        <v>0</v>
      </c>
      <c r="AJ125" s="20">
        <f t="shared" si="124"/>
        <v>0</v>
      </c>
      <c r="AK125" s="20">
        <f t="shared" si="124"/>
        <v>0</v>
      </c>
      <c r="AL125" s="20">
        <f t="shared" si="124"/>
        <v>0</v>
      </c>
      <c r="AM125" s="20">
        <f t="shared" si="125"/>
        <v>0</v>
      </c>
      <c r="AO125">
        <f t="shared" si="126"/>
        <v>0</v>
      </c>
      <c r="AP125">
        <f t="shared" si="126"/>
        <v>0</v>
      </c>
      <c r="AQ125">
        <f t="shared" si="126"/>
        <v>0</v>
      </c>
      <c r="AR125">
        <f t="shared" si="126"/>
        <v>0</v>
      </c>
      <c r="AS125">
        <f t="shared" si="127"/>
        <v>0</v>
      </c>
      <c r="AU125">
        <f t="shared" si="128"/>
        <v>0</v>
      </c>
      <c r="AV125">
        <f t="shared" si="128"/>
        <v>0</v>
      </c>
      <c r="AW125">
        <f t="shared" si="128"/>
        <v>0</v>
      </c>
      <c r="AX125">
        <f t="shared" si="128"/>
        <v>0</v>
      </c>
      <c r="AY125">
        <f t="shared" si="129"/>
        <v>0</v>
      </c>
    </row>
    <row r="126" spans="1:51" ht="15" x14ac:dyDescent="0.25">
      <c r="A126" s="7"/>
      <c r="B126" s="8" t="s">
        <v>14</v>
      </c>
      <c r="C126" s="7"/>
      <c r="D126" s="288">
        <f>SUM(D120:D125)</f>
        <v>0</v>
      </c>
      <c r="E126" s="289">
        <f>SUM(E120:E125)</f>
        <v>0</v>
      </c>
      <c r="F126" s="289">
        <f>SUM(F120:F125)</f>
        <v>0</v>
      </c>
      <c r="G126" s="289">
        <f>SUM(G120:G125)</f>
        <v>0.85633649999999994</v>
      </c>
      <c r="H126" s="290">
        <f>SUM(H120:H125)</f>
        <v>3.2119332100000002</v>
      </c>
      <c r="J126">
        <v>0</v>
      </c>
      <c r="K126">
        <v>0</v>
      </c>
      <c r="L126">
        <v>0</v>
      </c>
      <c r="M126">
        <v>0.85633649999999994</v>
      </c>
      <c r="N126">
        <v>1.8145753216600002</v>
      </c>
      <c r="O126" s="20"/>
      <c r="P126" s="20"/>
      <c r="Q126" s="147"/>
      <c r="R126" s="197"/>
      <c r="S126" s="197"/>
      <c r="T126" s="197"/>
      <c r="U126" s="197"/>
    </row>
    <row r="127" spans="1:51" ht="15" x14ac:dyDescent="0.25">
      <c r="A127" s="10"/>
      <c r="B127" s="9" t="s">
        <v>15</v>
      </c>
      <c r="C127" s="5"/>
      <c r="D127" s="291"/>
      <c r="E127" s="292"/>
      <c r="F127" s="292"/>
      <c r="G127" s="292"/>
      <c r="H127" s="293">
        <f>SUM(D126:H126)</f>
        <v>4.06826971</v>
      </c>
      <c r="N127">
        <v>2.6709118216600003</v>
      </c>
      <c r="O127" s="20"/>
      <c r="P127" s="20"/>
      <c r="Q127" s="147"/>
      <c r="R127" s="197"/>
      <c r="S127" s="197"/>
      <c r="T127" s="197"/>
      <c r="U127" s="197"/>
    </row>
    <row r="128" spans="1:51" ht="15.75" thickBot="1" x14ac:dyDescent="0.3">
      <c r="A128" s="1"/>
      <c r="B128" s="2"/>
      <c r="C128" s="1"/>
      <c r="D128" s="294"/>
      <c r="E128" s="295"/>
      <c r="F128" s="295"/>
      <c r="G128" s="295"/>
      <c r="H128" s="296"/>
      <c r="O128" s="20"/>
      <c r="P128" s="20"/>
      <c r="Q128" s="147"/>
      <c r="R128" s="197"/>
      <c r="S128" s="197"/>
      <c r="T128" s="197"/>
      <c r="U128" s="197"/>
    </row>
    <row r="129" spans="1:51" ht="15" x14ac:dyDescent="0.25">
      <c r="A129" s="1">
        <v>14</v>
      </c>
      <c r="B129" s="2" t="s">
        <v>28</v>
      </c>
      <c r="C129" s="1" t="s">
        <v>8</v>
      </c>
      <c r="D129" s="285">
        <v>0</v>
      </c>
      <c r="E129" s="286">
        <v>205.75650567</v>
      </c>
      <c r="F129" s="286">
        <v>125.23605369000001</v>
      </c>
      <c r="G129" s="286">
        <v>88.385856290000007</v>
      </c>
      <c r="H129" s="287">
        <v>151.35131722</v>
      </c>
      <c r="J129">
        <v>0</v>
      </c>
      <c r="K129">
        <v>203.79153314417979</v>
      </c>
      <c r="L129">
        <v>65.246735951449409</v>
      </c>
      <c r="M129">
        <v>-27.193078708682066</v>
      </c>
      <c r="N129">
        <v>-33.440094379870033</v>
      </c>
      <c r="O129" s="20"/>
      <c r="P129" s="20"/>
      <c r="Q129" s="147">
        <v>1.012808095268747E-2</v>
      </c>
      <c r="R129" s="197">
        <v>5.6499999999999995E-2</v>
      </c>
      <c r="S129" s="197">
        <v>1.25</v>
      </c>
      <c r="T129" s="197">
        <v>0.50078889239507718</v>
      </c>
      <c r="U129" s="197">
        <v>0.75268470790377973</v>
      </c>
      <c r="V129" s="20">
        <f t="shared" ref="V129:Y134" si="130">E129*$Q129*$R129*10</f>
        <v>1.1774139784718398</v>
      </c>
      <c r="W129" s="20">
        <f t="shared" si="130"/>
        <v>0.71664650283160036</v>
      </c>
      <c r="X129" s="20">
        <f t="shared" si="130"/>
        <v>0.50577619578141242</v>
      </c>
      <c r="Y129" s="20">
        <f t="shared" si="130"/>
        <v>0.86608759210152308</v>
      </c>
      <c r="Z129" s="20">
        <f t="shared" ref="Z129:AC134" si="131">V129*(EXP(1.01-0.34*LN(Z$8))*(1-$T129)+(1*$T129))</f>
        <v>0.76835939939447961</v>
      </c>
      <c r="AA129" s="20">
        <f t="shared" si="131"/>
        <v>0.47482712653713827</v>
      </c>
      <c r="AB129" s="20">
        <f t="shared" si="131"/>
        <v>0.33697193175617501</v>
      </c>
      <c r="AC129" s="20">
        <f t="shared" si="131"/>
        <v>0.54624741646194686</v>
      </c>
      <c r="AD129" s="20">
        <f t="shared" ref="AD129:AD134" si="132">SUM(Z129:AC129)</f>
        <v>2.1264058741497398</v>
      </c>
      <c r="AE129" s="20">
        <f t="shared" ref="AE129:AH134" si="133">E129*$Q129*$S129*10</f>
        <v>26.048981824598229</v>
      </c>
      <c r="AF129" s="20">
        <f t="shared" si="133"/>
        <v>15.855011124592931</v>
      </c>
      <c r="AG129" s="20">
        <f t="shared" si="133"/>
        <v>11.189738844721514</v>
      </c>
      <c r="AH129" s="20">
        <f t="shared" si="133"/>
        <v>19.161229913750514</v>
      </c>
      <c r="AI129" s="20">
        <f t="shared" ref="AI129:AL134" si="134">AE129*(EXP(1.01-0.34*LN(AI$8))*(1-$T129)+(1*$T129))</f>
        <v>16.999101756515039</v>
      </c>
      <c r="AJ129" s="20">
        <f t="shared" si="134"/>
        <v>10.505024923388016</v>
      </c>
      <c r="AK129" s="20">
        <f t="shared" si="134"/>
        <v>7.4551312335436952</v>
      </c>
      <c r="AL129" s="20">
        <f t="shared" si="134"/>
        <v>12.085119833228916</v>
      </c>
      <c r="AM129" s="20">
        <f t="shared" ref="AM129:AM134" si="135">SUM(AI129:AL129)</f>
        <v>47.044377746675664</v>
      </c>
      <c r="AO129">
        <f t="shared" ref="AO129:AR134" si="136">Z129*AO$10</f>
        <v>0.89622698510186694</v>
      </c>
      <c r="AP129">
        <f t="shared" si="136"/>
        <v>0.56598909137896714</v>
      </c>
      <c r="AQ129">
        <f t="shared" si="136"/>
        <v>0.40318209127110533</v>
      </c>
      <c r="AR129">
        <f t="shared" si="136"/>
        <v>0.65237820622445641</v>
      </c>
      <c r="AS129">
        <f t="shared" ref="AS129:AS134" si="137">SUM(AO129:AR129)</f>
        <v>2.5177763739763956</v>
      </c>
      <c r="AU129">
        <f t="shared" ref="AU129:AX134" si="138">AI129*AU$10</f>
        <v>19.828030643846617</v>
      </c>
      <c r="AV129">
        <f t="shared" si="138"/>
        <v>12.521882552632018</v>
      </c>
      <c r="AW129">
        <f t="shared" si="138"/>
        <v>8.919957771484631</v>
      </c>
      <c r="AX129">
        <f t="shared" si="138"/>
        <v>14.433146155408332</v>
      </c>
      <c r="AY129">
        <f t="shared" ref="AY129:AY134" si="139">SUM(AU129:AX129)</f>
        <v>55.703017123371602</v>
      </c>
    </row>
    <row r="130" spans="1:51" ht="15" x14ac:dyDescent="0.25">
      <c r="A130" s="1"/>
      <c r="B130" s="2"/>
      <c r="C130" s="1" t="s">
        <v>9</v>
      </c>
      <c r="D130" s="285">
        <v>0</v>
      </c>
      <c r="E130" s="286">
        <v>12.3301552</v>
      </c>
      <c r="F130" s="286">
        <v>3.0073229399999999</v>
      </c>
      <c r="G130" s="286">
        <v>5.9471532500000004</v>
      </c>
      <c r="H130" s="287">
        <v>16.722947560000001</v>
      </c>
      <c r="J130">
        <v>0</v>
      </c>
      <c r="K130">
        <v>9.17773939892</v>
      </c>
      <c r="L130">
        <v>-1.2248109612200002</v>
      </c>
      <c r="M130">
        <v>-1.7604358408086993</v>
      </c>
      <c r="N130">
        <v>11.570974827964051</v>
      </c>
      <c r="O130" s="20"/>
      <c r="P130" s="20"/>
      <c r="Q130" s="147">
        <v>1.1256161905374937E-2</v>
      </c>
      <c r="R130" s="197">
        <v>5.6499999999999995E-2</v>
      </c>
      <c r="S130" s="197">
        <v>1.25</v>
      </c>
      <c r="T130" s="197">
        <v>0.50078889239507718</v>
      </c>
      <c r="U130" s="197">
        <v>0.75268470790377973</v>
      </c>
      <c r="V130" s="20">
        <f t="shared" si="130"/>
        <v>7.8416476136024385E-2</v>
      </c>
      <c r="W130" s="20">
        <f t="shared" si="130"/>
        <v>1.9125766361629309E-2</v>
      </c>
      <c r="X130" s="20">
        <f t="shared" si="130"/>
        <v>3.7822297719813366E-2</v>
      </c>
      <c r="Y130" s="20">
        <f t="shared" si="130"/>
        <v>0.10635345597780692</v>
      </c>
      <c r="Z130" s="20">
        <f t="shared" si="131"/>
        <v>5.1173196180928714E-2</v>
      </c>
      <c r="AA130" s="20">
        <f t="shared" si="131"/>
        <v>1.2672123073831677E-2</v>
      </c>
      <c r="AB130" s="20">
        <f t="shared" si="131"/>
        <v>2.5198996774476255E-2</v>
      </c>
      <c r="AC130" s="20">
        <f t="shared" si="131"/>
        <v>6.707785804748774E-2</v>
      </c>
      <c r="AD130" s="20">
        <f t="shared" si="132"/>
        <v>0.15612217407672441</v>
      </c>
      <c r="AE130" s="20">
        <f t="shared" si="133"/>
        <v>1.7348777906200086</v>
      </c>
      <c r="AF130" s="20">
        <f t="shared" si="133"/>
        <v>0.42313642392985196</v>
      </c>
      <c r="AG130" s="20">
        <f t="shared" si="133"/>
        <v>0.83677649822595945</v>
      </c>
      <c r="AH130" s="20">
        <f t="shared" si="133"/>
        <v>2.3529525658806842</v>
      </c>
      <c r="AI130" s="20">
        <f t="shared" si="134"/>
        <v>1.1321503579851486</v>
      </c>
      <c r="AJ130" s="20">
        <f t="shared" si="134"/>
        <v>0.28035670517326722</v>
      </c>
      <c r="AK130" s="20">
        <f t="shared" si="134"/>
        <v>0.55749992863885522</v>
      </c>
      <c r="AL130" s="20">
        <f t="shared" si="134"/>
        <v>1.4840234081302599</v>
      </c>
      <c r="AM130" s="20">
        <f t="shared" si="135"/>
        <v>3.454030399927531</v>
      </c>
      <c r="AO130">
        <f t="shared" si="136"/>
        <v>5.9689253970737099E-2</v>
      </c>
      <c r="AP130">
        <f t="shared" si="136"/>
        <v>1.5105041442571122E-2</v>
      </c>
      <c r="AQ130">
        <f t="shared" si="136"/>
        <v>3.0150238818165295E-2</v>
      </c>
      <c r="AR130">
        <f t="shared" si="136"/>
        <v>8.0110461654599383E-2</v>
      </c>
      <c r="AS130">
        <f t="shared" si="137"/>
        <v>0.18505499588607288</v>
      </c>
      <c r="AU130">
        <f t="shared" si="138"/>
        <v>1.32055871616675</v>
      </c>
      <c r="AV130">
        <f t="shared" si="138"/>
        <v>0.33418233280024606</v>
      </c>
      <c r="AW130">
        <f t="shared" si="138"/>
        <v>0.66704068181781628</v>
      </c>
      <c r="AX130">
        <f t="shared" si="138"/>
        <v>1.7723553463406945</v>
      </c>
      <c r="AY130">
        <f t="shared" si="139"/>
        <v>4.0941370771255068</v>
      </c>
    </row>
    <row r="131" spans="1:51" ht="15" x14ac:dyDescent="0.25">
      <c r="A131" s="1"/>
      <c r="B131" s="2"/>
      <c r="C131" s="1" t="s">
        <v>10</v>
      </c>
      <c r="D131" s="285">
        <v>0</v>
      </c>
      <c r="E131" s="286">
        <v>13.047018769999999</v>
      </c>
      <c r="F131" s="286">
        <v>0</v>
      </c>
      <c r="G131" s="286">
        <v>9.8751932300000007</v>
      </c>
      <c r="H131" s="287">
        <v>20.371878110000001</v>
      </c>
      <c r="J131">
        <v>0</v>
      </c>
      <c r="K131">
        <v>10.92853275565</v>
      </c>
      <c r="L131">
        <v>0</v>
      </c>
      <c r="M131">
        <v>-6.000383137154703</v>
      </c>
      <c r="N131">
        <v>4.4073456085640021</v>
      </c>
      <c r="O131" s="20"/>
      <c r="P131" s="20"/>
      <c r="Q131" s="147">
        <v>1.2384242858062404E-2</v>
      </c>
      <c r="R131" s="197">
        <v>5.6499999999999995E-2</v>
      </c>
      <c r="S131" s="197">
        <v>1.25</v>
      </c>
      <c r="T131" s="197">
        <v>0.50078889239507718</v>
      </c>
      <c r="U131" s="197">
        <v>0.75268470790377973</v>
      </c>
      <c r="V131" s="20">
        <f t="shared" si="130"/>
        <v>9.1291258697078922E-2</v>
      </c>
      <c r="W131" s="20">
        <f t="shared" si="130"/>
        <v>0</v>
      </c>
      <c r="X131" s="20">
        <f t="shared" si="130"/>
        <v>6.9097687045296743E-2</v>
      </c>
      <c r="Y131" s="20">
        <f t="shared" si="130"/>
        <v>0.14254401158383317</v>
      </c>
      <c r="Z131" s="20">
        <f t="shared" si="131"/>
        <v>5.957505005460683E-2</v>
      </c>
      <c r="AA131" s="20">
        <f t="shared" si="131"/>
        <v>0</v>
      </c>
      <c r="AB131" s="20">
        <f t="shared" si="131"/>
        <v>4.6036134712832945E-2</v>
      </c>
      <c r="AC131" s="20">
        <f t="shared" si="131"/>
        <v>8.9903491020875193E-2</v>
      </c>
      <c r="AD131" s="20">
        <f t="shared" si="132"/>
        <v>0.19551467578831497</v>
      </c>
      <c r="AE131" s="20">
        <f t="shared" si="133"/>
        <v>2.019718112767233</v>
      </c>
      <c r="AF131" s="20">
        <f t="shared" si="133"/>
        <v>0</v>
      </c>
      <c r="AG131" s="20">
        <f t="shared" si="133"/>
        <v>1.5287098903826712</v>
      </c>
      <c r="AH131" s="20">
        <f t="shared" si="133"/>
        <v>3.153628574863566</v>
      </c>
      <c r="AI131" s="20">
        <f t="shared" si="134"/>
        <v>1.3180320808541335</v>
      </c>
      <c r="AJ131" s="20">
        <f t="shared" si="134"/>
        <v>0</v>
      </c>
      <c r="AK131" s="20">
        <f t="shared" si="134"/>
        <v>1.0184985555936492</v>
      </c>
      <c r="AL131" s="20">
        <f t="shared" si="134"/>
        <v>1.9890152880724603</v>
      </c>
      <c r="AM131" s="20">
        <f t="shared" si="135"/>
        <v>4.3255459245202434</v>
      </c>
      <c r="AO131">
        <f t="shared" si="136"/>
        <v>6.9489313906760677E-2</v>
      </c>
      <c r="AP131">
        <f t="shared" si="136"/>
        <v>0</v>
      </c>
      <c r="AQ131">
        <f t="shared" si="136"/>
        <v>5.5081575996034519E-2</v>
      </c>
      <c r="AR131">
        <f t="shared" si="136"/>
        <v>0.10737090270449066</v>
      </c>
      <c r="AS131">
        <f t="shared" si="137"/>
        <v>0.23194179260728587</v>
      </c>
      <c r="AU131">
        <f t="shared" si="138"/>
        <v>1.5373742014770062</v>
      </c>
      <c r="AV131">
        <f t="shared" si="138"/>
        <v>0</v>
      </c>
      <c r="AW131">
        <f t="shared" si="138"/>
        <v>1.2186189379653656</v>
      </c>
      <c r="AX131">
        <f t="shared" si="138"/>
        <v>2.3754624492143956</v>
      </c>
      <c r="AY131">
        <f t="shared" si="139"/>
        <v>5.1314555886567668</v>
      </c>
    </row>
    <row r="132" spans="1:51" ht="15" x14ac:dyDescent="0.25">
      <c r="A132" s="1"/>
      <c r="B132" s="2"/>
      <c r="C132" s="1" t="s">
        <v>11</v>
      </c>
      <c r="D132" s="285">
        <v>0</v>
      </c>
      <c r="E132" s="286">
        <v>3.6542285300000001</v>
      </c>
      <c r="F132" s="286">
        <v>0</v>
      </c>
      <c r="G132" s="286">
        <v>0.52885936</v>
      </c>
      <c r="H132" s="287">
        <v>1.53279024</v>
      </c>
      <c r="J132">
        <v>0</v>
      </c>
      <c r="K132">
        <v>3.6106651612824003</v>
      </c>
      <c r="L132">
        <v>0</v>
      </c>
      <c r="M132">
        <v>-0.93481941024640114</v>
      </c>
      <c r="N132">
        <v>0.52758528633285007</v>
      </c>
      <c r="O132" s="20"/>
      <c r="P132" s="20"/>
      <c r="Q132" s="147">
        <v>1.3512323810749875E-2</v>
      </c>
      <c r="R132" s="197">
        <v>5.6499999999999995E-2</v>
      </c>
      <c r="S132" s="197">
        <v>1.25</v>
      </c>
      <c r="T132" s="197">
        <v>0.50078889239507718</v>
      </c>
      <c r="U132" s="197">
        <v>0.75268470790377973</v>
      </c>
      <c r="V132" s="20">
        <f t="shared" si="130"/>
        <v>2.7898072334349888E-2</v>
      </c>
      <c r="W132" s="20">
        <f t="shared" si="130"/>
        <v>0</v>
      </c>
      <c r="X132" s="20">
        <f t="shared" si="130"/>
        <v>4.0375571913062562E-3</v>
      </c>
      <c r="Y132" s="20">
        <f t="shared" si="130"/>
        <v>1.1702030302112913E-2</v>
      </c>
      <c r="Z132" s="20">
        <f t="shared" si="131"/>
        <v>1.8205785301535306E-2</v>
      </c>
      <c r="AA132" s="20">
        <f t="shared" si="131"/>
        <v>0</v>
      </c>
      <c r="AB132" s="20">
        <f t="shared" si="131"/>
        <v>2.6900108341961358E-3</v>
      </c>
      <c r="AC132" s="20">
        <f t="shared" si="131"/>
        <v>7.3805512031158375E-3</v>
      </c>
      <c r="AD132" s="20">
        <f t="shared" si="132"/>
        <v>2.8276347338847277E-2</v>
      </c>
      <c r="AE132" s="20">
        <f t="shared" si="133"/>
        <v>0.61721398969800645</v>
      </c>
      <c r="AF132" s="20">
        <f t="shared" si="133"/>
        <v>0</v>
      </c>
      <c r="AG132" s="20">
        <f t="shared" si="133"/>
        <v>8.9326486533324242E-2</v>
      </c>
      <c r="AH132" s="20">
        <f t="shared" si="133"/>
        <v>0.2588944757104627</v>
      </c>
      <c r="AI132" s="20">
        <f t="shared" si="134"/>
        <v>0.40278286065343599</v>
      </c>
      <c r="AJ132" s="20">
        <f t="shared" si="134"/>
        <v>0</v>
      </c>
      <c r="AK132" s="20">
        <f t="shared" si="134"/>
        <v>5.9513514030887955E-2</v>
      </c>
      <c r="AL132" s="20">
        <f t="shared" si="134"/>
        <v>0.1632865310423858</v>
      </c>
      <c r="AM132" s="20">
        <f t="shared" si="135"/>
        <v>0.62558290572670971</v>
      </c>
      <c r="AO132">
        <f t="shared" si="136"/>
        <v>2.1235526089829076E-2</v>
      </c>
      <c r="AP132">
        <f t="shared" si="136"/>
        <v>0</v>
      </c>
      <c r="AQ132">
        <f t="shared" si="136"/>
        <v>3.21855944505756E-3</v>
      </c>
      <c r="AR132">
        <f t="shared" si="136"/>
        <v>8.8145236201256881E-3</v>
      </c>
      <c r="AS132">
        <f t="shared" si="137"/>
        <v>3.3268609155012327E-2</v>
      </c>
      <c r="AU132">
        <f t="shared" si="138"/>
        <v>0.46981252411126279</v>
      </c>
      <c r="AV132">
        <f t="shared" si="138"/>
        <v>0</v>
      </c>
      <c r="AW132">
        <f t="shared" si="138"/>
        <v>7.120706736853008E-2</v>
      </c>
      <c r="AX132">
        <f t="shared" si="138"/>
        <v>0.19501158451605505</v>
      </c>
      <c r="AY132">
        <f t="shared" si="139"/>
        <v>0.73603117599584789</v>
      </c>
    </row>
    <row r="133" spans="1:51" ht="15" x14ac:dyDescent="0.25">
      <c r="A133" s="1"/>
      <c r="B133" s="2"/>
      <c r="C133" s="1" t="s">
        <v>12</v>
      </c>
      <c r="D133" s="285">
        <v>0</v>
      </c>
      <c r="E133" s="286">
        <v>0</v>
      </c>
      <c r="F133" s="286">
        <v>6.1662000000000002E-4</v>
      </c>
      <c r="G133" s="286">
        <v>3.8841319999999999E-2</v>
      </c>
      <c r="H133" s="287">
        <v>0.95121202999999999</v>
      </c>
      <c r="J133">
        <v>0</v>
      </c>
      <c r="K133">
        <v>-6.23391774727E-2</v>
      </c>
      <c r="L133">
        <v>1.5121812209100002E-4</v>
      </c>
      <c r="M133">
        <v>3.7657015823829999E-2</v>
      </c>
      <c r="N133">
        <v>0.93438461692219998</v>
      </c>
      <c r="O133" s="20"/>
      <c r="P133" s="20"/>
      <c r="Q133" s="147">
        <v>1.3512323810749873E-2</v>
      </c>
      <c r="R133" s="197">
        <v>5.6499999999999995E-2</v>
      </c>
      <c r="S133" s="197">
        <v>1.25</v>
      </c>
      <c r="T133" s="197">
        <v>0.50078889239507718</v>
      </c>
      <c r="U133" s="197">
        <v>0.75268470790377973</v>
      </c>
      <c r="V133" s="20">
        <f t="shared" si="130"/>
        <v>0</v>
      </c>
      <c r="W133" s="20">
        <f t="shared" si="130"/>
        <v>4.7075625461242918E-6</v>
      </c>
      <c r="X133" s="20">
        <f t="shared" si="130"/>
        <v>2.9653261858847966E-4</v>
      </c>
      <c r="Y133" s="20">
        <f t="shared" si="130"/>
        <v>7.2619930035530073E-3</v>
      </c>
      <c r="Z133" s="20">
        <f t="shared" si="131"/>
        <v>0</v>
      </c>
      <c r="AA133" s="20">
        <f t="shared" si="131"/>
        <v>3.119080868933374E-6</v>
      </c>
      <c r="AB133" s="20">
        <f t="shared" si="131"/>
        <v>1.9756400192005492E-4</v>
      </c>
      <c r="AC133" s="20">
        <f t="shared" si="131"/>
        <v>4.5801890625521962E-3</v>
      </c>
      <c r="AD133" s="20">
        <f t="shared" si="132"/>
        <v>4.7808721453411846E-3</v>
      </c>
      <c r="AE133" s="20">
        <f t="shared" si="133"/>
        <v>0</v>
      </c>
      <c r="AF133" s="20">
        <f t="shared" si="133"/>
        <v>1.0414961385230735E-4</v>
      </c>
      <c r="AG133" s="20">
        <f t="shared" si="133"/>
        <v>6.5604561634619394E-3</v>
      </c>
      <c r="AH133" s="20">
        <f t="shared" si="133"/>
        <v>0.16066356202550902</v>
      </c>
      <c r="AI133" s="20">
        <f t="shared" si="134"/>
        <v>0</v>
      </c>
      <c r="AJ133" s="20">
        <f t="shared" si="134"/>
        <v>6.9006213914455183E-5</v>
      </c>
      <c r="AK133" s="20">
        <f t="shared" si="134"/>
        <v>4.3708849982313034E-3</v>
      </c>
      <c r="AL133" s="20">
        <f t="shared" si="134"/>
        <v>0.10133161642814595</v>
      </c>
      <c r="AM133" s="20">
        <f t="shared" si="135"/>
        <v>0.10577150764029171</v>
      </c>
      <c r="AO133">
        <f t="shared" si="136"/>
        <v>0</v>
      </c>
      <c r="AP133">
        <f t="shared" si="136"/>
        <v>3.717912579720828E-6</v>
      </c>
      <c r="AQ133">
        <f t="shared" si="136"/>
        <v>2.3638249939360637E-4</v>
      </c>
      <c r="AR133">
        <f t="shared" si="136"/>
        <v>5.4700771751930661E-3</v>
      </c>
      <c r="AS133">
        <f t="shared" si="137"/>
        <v>5.7101775871663931E-3</v>
      </c>
      <c r="AU133">
        <f t="shared" si="138"/>
        <v>0</v>
      </c>
      <c r="AV133">
        <f t="shared" si="138"/>
        <v>8.225470309116877E-5</v>
      </c>
      <c r="AW133">
        <f t="shared" si="138"/>
        <v>5.2297013140178402E-3</v>
      </c>
      <c r="AX133">
        <f t="shared" si="138"/>
        <v>0.12101940653082006</v>
      </c>
      <c r="AY133">
        <f t="shared" si="139"/>
        <v>0.12633136254792907</v>
      </c>
    </row>
    <row r="134" spans="1:51" ht="15" x14ac:dyDescent="0.25">
      <c r="A134" s="1"/>
      <c r="B134" s="2"/>
      <c r="C134" s="1" t="s">
        <v>13</v>
      </c>
      <c r="D134" s="285">
        <v>0</v>
      </c>
      <c r="E134" s="286">
        <v>0</v>
      </c>
      <c r="F134" s="286">
        <v>0</v>
      </c>
      <c r="G134" s="286">
        <v>0</v>
      </c>
      <c r="H134" s="287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20"/>
      <c r="P134" s="20"/>
      <c r="Q134" s="147"/>
      <c r="R134" s="197">
        <v>5.6499999999999995E-2</v>
      </c>
      <c r="S134" s="197">
        <v>1.25</v>
      </c>
      <c r="T134" s="197">
        <v>0.50078889239507718</v>
      </c>
      <c r="U134" s="197">
        <v>0.75268470790377973</v>
      </c>
      <c r="V134" s="20">
        <f t="shared" si="130"/>
        <v>0</v>
      </c>
      <c r="W134" s="20">
        <f t="shared" si="130"/>
        <v>0</v>
      </c>
      <c r="X134" s="20">
        <f t="shared" si="130"/>
        <v>0</v>
      </c>
      <c r="Y134" s="20">
        <f t="shared" si="130"/>
        <v>0</v>
      </c>
      <c r="Z134" s="20">
        <f t="shared" si="131"/>
        <v>0</v>
      </c>
      <c r="AA134" s="20">
        <f t="shared" si="131"/>
        <v>0</v>
      </c>
      <c r="AB134" s="20">
        <f t="shared" si="131"/>
        <v>0</v>
      </c>
      <c r="AC134" s="20">
        <f t="shared" si="131"/>
        <v>0</v>
      </c>
      <c r="AD134" s="20">
        <f t="shared" si="132"/>
        <v>0</v>
      </c>
      <c r="AE134" s="20">
        <f t="shared" si="133"/>
        <v>0</v>
      </c>
      <c r="AF134" s="20">
        <f t="shared" si="133"/>
        <v>0</v>
      </c>
      <c r="AG134" s="20">
        <f t="shared" si="133"/>
        <v>0</v>
      </c>
      <c r="AH134" s="20">
        <f t="shared" si="133"/>
        <v>0</v>
      </c>
      <c r="AI134" s="20">
        <f t="shared" si="134"/>
        <v>0</v>
      </c>
      <c r="AJ134" s="20">
        <f t="shared" si="134"/>
        <v>0</v>
      </c>
      <c r="AK134" s="20">
        <f t="shared" si="134"/>
        <v>0</v>
      </c>
      <c r="AL134" s="20">
        <f t="shared" si="134"/>
        <v>0</v>
      </c>
      <c r="AM134" s="20">
        <f t="shared" si="135"/>
        <v>0</v>
      </c>
      <c r="AO134">
        <f t="shared" si="136"/>
        <v>0</v>
      </c>
      <c r="AP134">
        <f t="shared" si="136"/>
        <v>0</v>
      </c>
      <c r="AQ134">
        <f t="shared" si="136"/>
        <v>0</v>
      </c>
      <c r="AR134">
        <f t="shared" si="136"/>
        <v>0</v>
      </c>
      <c r="AS134">
        <f t="shared" si="137"/>
        <v>0</v>
      </c>
      <c r="AU134">
        <f t="shared" si="138"/>
        <v>0</v>
      </c>
      <c r="AV134">
        <f t="shared" si="138"/>
        <v>0</v>
      </c>
      <c r="AW134">
        <f t="shared" si="138"/>
        <v>0</v>
      </c>
      <c r="AX134">
        <f t="shared" si="138"/>
        <v>0</v>
      </c>
      <c r="AY134">
        <f t="shared" si="139"/>
        <v>0</v>
      </c>
    </row>
    <row r="135" spans="1:51" ht="15" x14ac:dyDescent="0.25">
      <c r="A135" s="7"/>
      <c r="B135" s="8" t="s">
        <v>14</v>
      </c>
      <c r="C135" s="7"/>
      <c r="D135" s="288">
        <f>SUM(D129:D134)</f>
        <v>0</v>
      </c>
      <c r="E135" s="289">
        <f>SUM(E129:E134)</f>
        <v>234.78790817000001</v>
      </c>
      <c r="F135" s="289">
        <f>SUM(F129:F134)</f>
        <v>128.24399324999999</v>
      </c>
      <c r="G135" s="289">
        <f>SUM(G129:G134)</f>
        <v>104.77590345000002</v>
      </c>
      <c r="H135" s="290">
        <f>SUM(H129:H134)</f>
        <v>190.93014516</v>
      </c>
      <c r="J135">
        <v>0</v>
      </c>
      <c r="K135">
        <v>227.44613128255952</v>
      </c>
      <c r="L135">
        <v>64.022076208351493</v>
      </c>
      <c r="M135">
        <v>-35.851060081068034</v>
      </c>
      <c r="N135">
        <v>-15.99980404008693</v>
      </c>
      <c r="O135" s="20"/>
      <c r="P135" s="20"/>
      <c r="Q135" s="147"/>
      <c r="R135" s="197"/>
      <c r="S135" s="197"/>
      <c r="T135" s="197"/>
      <c r="U135" s="197"/>
    </row>
    <row r="136" spans="1:51" ht="15" x14ac:dyDescent="0.25">
      <c r="A136" s="10"/>
      <c r="B136" s="9" t="s">
        <v>15</v>
      </c>
      <c r="C136" s="5"/>
      <c r="D136" s="291"/>
      <c r="E136" s="292"/>
      <c r="F136" s="292"/>
      <c r="G136" s="292"/>
      <c r="H136" s="293">
        <f>SUM(D135:H135)</f>
        <v>658.73795003000009</v>
      </c>
      <c r="N136">
        <v>239.61734336975607</v>
      </c>
      <c r="O136" s="20"/>
      <c r="P136" s="20"/>
      <c r="Q136" s="147"/>
      <c r="R136" s="197"/>
      <c r="S136" s="197"/>
      <c r="T136" s="197"/>
      <c r="U136" s="197"/>
    </row>
    <row r="137" spans="1:51" ht="15.75" thickBot="1" x14ac:dyDescent="0.3">
      <c r="A137" s="1"/>
      <c r="B137" s="2"/>
      <c r="C137" s="1"/>
      <c r="D137" s="297"/>
      <c r="E137" s="298"/>
      <c r="F137" s="298"/>
      <c r="G137" s="298"/>
      <c r="H137" s="299"/>
      <c r="O137" s="20"/>
      <c r="P137" s="20"/>
      <c r="Q137" s="147"/>
      <c r="R137" s="197"/>
      <c r="S137" s="197"/>
      <c r="T137" s="197"/>
      <c r="U137" s="197"/>
    </row>
    <row r="138" spans="1:51" ht="15" x14ac:dyDescent="0.25">
      <c r="A138" s="1">
        <v>15</v>
      </c>
      <c r="B138" s="2" t="s">
        <v>29</v>
      </c>
      <c r="C138" s="1" t="s">
        <v>8</v>
      </c>
      <c r="D138" s="282">
        <v>2.8999999999999998E-7</v>
      </c>
      <c r="E138" s="283">
        <v>0.74276288000000001</v>
      </c>
      <c r="F138" s="283">
        <v>2.1326700700000001</v>
      </c>
      <c r="G138" s="283">
        <v>2.1078223500000002</v>
      </c>
      <c r="H138" s="284">
        <v>2.7190599600000001</v>
      </c>
      <c r="J138">
        <v>2.8999999999999998E-7</v>
      </c>
      <c r="K138">
        <v>-1.3670043037932302</v>
      </c>
      <c r="L138">
        <v>0.11639199987680016</v>
      </c>
      <c r="M138">
        <v>1.7483973642800001</v>
      </c>
      <c r="N138">
        <v>-1.1583838125034203</v>
      </c>
      <c r="O138" s="20"/>
      <c r="P138" s="20"/>
      <c r="Q138" s="147">
        <v>0.7651709213564678</v>
      </c>
      <c r="R138" s="197">
        <v>1.2861473139312608E-2</v>
      </c>
      <c r="S138" s="197">
        <v>0.49282807343291918</v>
      </c>
      <c r="T138" s="197">
        <v>0.11808671869809276</v>
      </c>
      <c r="U138" s="197">
        <v>0.41263016220713056</v>
      </c>
      <c r="V138" s="20">
        <f t="shared" ref="V138:Y143" si="140">E138*$Q138*$R138*10</f>
        <v>7.3096968109111468E-2</v>
      </c>
      <c r="W138" s="20">
        <f t="shared" si="140"/>
        <v>0.20988086547088422</v>
      </c>
      <c r="X138" s="20">
        <f t="shared" si="140"/>
        <v>0.20743554537569567</v>
      </c>
      <c r="Y138" s="20">
        <f t="shared" si="140"/>
        <v>0.26758881540079371</v>
      </c>
      <c r="Z138" s="20">
        <f t="shared" ref="Z138:AC143" si="141">V138*(EXP(1.01-0.34*LN(Z$8))*(1-$T138)+(1*$T138))</f>
        <v>2.8233475739985081E-2</v>
      </c>
      <c r="AA138" s="20">
        <f t="shared" si="141"/>
        <v>8.4768394872224428E-2</v>
      </c>
      <c r="AB138" s="20">
        <f t="shared" si="141"/>
        <v>8.5128958230056936E-2</v>
      </c>
      <c r="AC138" s="20">
        <f t="shared" si="141"/>
        <v>9.301431877642885E-2</v>
      </c>
      <c r="AD138" s="20">
        <f t="shared" ref="AD138:AD143" si="142">SUM(Z138:AC138)</f>
        <v>0.29114514761869531</v>
      </c>
      <c r="AE138" s="20">
        <f t="shared" ref="AE138:AH143" si="143">E138*$Q138*$S138*10</f>
        <v>2.8009418187787998</v>
      </c>
      <c r="AF138" s="20">
        <f t="shared" si="143"/>
        <v>8.0422500175573006</v>
      </c>
      <c r="AG138" s="20">
        <f t="shared" si="143"/>
        <v>7.9485498341968892</v>
      </c>
      <c r="AH138" s="20">
        <f t="shared" si="143"/>
        <v>10.253512870394131</v>
      </c>
      <c r="AI138" s="20">
        <f t="shared" ref="AI138:AL143" si="144">AE138*(EXP(1.01-0.34*LN(AI$8))*(1-$T138)+(1*$T138))</f>
        <v>1.081855033598085</v>
      </c>
      <c r="AJ138" s="20">
        <f t="shared" si="144"/>
        <v>3.2481694966329555</v>
      </c>
      <c r="AK138" s="20">
        <f t="shared" si="144"/>
        <v>3.2619856235311993</v>
      </c>
      <c r="AL138" s="20">
        <f t="shared" si="144"/>
        <v>3.5641381844624989</v>
      </c>
      <c r="AM138" s="20">
        <f t="shared" ref="AM138:AM143" si="145">SUM(AI138:AL138)</f>
        <v>11.156148338224739</v>
      </c>
      <c r="AO138">
        <f t="shared" ref="AO138:AR143" si="146">Z138*AO$10</f>
        <v>3.293198841757454E-2</v>
      </c>
      <c r="AP138">
        <f t="shared" si="146"/>
        <v>0.1010430620113934</v>
      </c>
      <c r="AQ138">
        <f t="shared" si="146"/>
        <v>0.1018555795672616</v>
      </c>
      <c r="AR138">
        <f t="shared" si="146"/>
        <v>0.11108613534428242</v>
      </c>
      <c r="AS138">
        <f t="shared" ref="AS138:AS143" si="147">SUM(AO138:AR138)</f>
        <v>0.34691676534051197</v>
      </c>
      <c r="AU138">
        <f t="shared" ref="AU138:AX143" si="148">AI138*AU$10</f>
        <v>1.2618934262312571</v>
      </c>
      <c r="AV138">
        <f t="shared" si="148"/>
        <v>3.8717849071758379</v>
      </c>
      <c r="AW138">
        <f t="shared" si="148"/>
        <v>3.902919090433973</v>
      </c>
      <c r="AX138">
        <f t="shared" si="148"/>
        <v>4.2566170666323204</v>
      </c>
      <c r="AY138">
        <f t="shared" ref="AY138:AY143" si="149">SUM(AU138:AX138)</f>
        <v>13.293214490473389</v>
      </c>
    </row>
    <row r="139" spans="1:51" ht="15" x14ac:dyDescent="0.25">
      <c r="A139" s="1"/>
      <c r="B139" s="2"/>
      <c r="C139" s="1" t="s">
        <v>9</v>
      </c>
      <c r="D139" s="285">
        <v>0</v>
      </c>
      <c r="E139" s="286">
        <v>0.99528508000000004</v>
      </c>
      <c r="F139" s="286">
        <v>8.0709839999999993</v>
      </c>
      <c r="G139" s="286">
        <v>0</v>
      </c>
      <c r="H139" s="287">
        <v>4.0279706199999996</v>
      </c>
      <c r="J139">
        <v>0</v>
      </c>
      <c r="K139">
        <v>0.67071804207000008</v>
      </c>
      <c r="L139">
        <v>5.5814322178129991</v>
      </c>
      <c r="M139">
        <v>0</v>
      </c>
      <c r="N139">
        <v>0.24564055415049957</v>
      </c>
      <c r="O139" s="20"/>
      <c r="P139" s="20"/>
      <c r="Q139" s="147">
        <v>0.76534184271293559</v>
      </c>
      <c r="R139" s="197">
        <v>1.2861473139312608E-2</v>
      </c>
      <c r="S139" s="197">
        <v>0.49282807343291918</v>
      </c>
      <c r="T139" s="197">
        <v>0.11808671869809276</v>
      </c>
      <c r="U139" s="197">
        <v>0.41263016220713056</v>
      </c>
      <c r="V139" s="20">
        <f t="shared" si="140"/>
        <v>9.7970125978685457E-2</v>
      </c>
      <c r="W139" s="20">
        <f t="shared" si="140"/>
        <v>0.79446113997002199</v>
      </c>
      <c r="X139" s="20">
        <f t="shared" si="140"/>
        <v>0</v>
      </c>
      <c r="Y139" s="20">
        <f t="shared" si="140"/>
        <v>0.39649020869462215</v>
      </c>
      <c r="Z139" s="20">
        <f t="shared" si="141"/>
        <v>3.7840655318749319E-2</v>
      </c>
      <c r="AA139" s="20">
        <f t="shared" si="141"/>
        <v>0.32087344157135117</v>
      </c>
      <c r="AB139" s="20">
        <f t="shared" si="141"/>
        <v>0</v>
      </c>
      <c r="AC139" s="20">
        <f t="shared" si="141"/>
        <v>0.13782065819162409</v>
      </c>
      <c r="AD139" s="20">
        <f t="shared" si="142"/>
        <v>0.49653475508172457</v>
      </c>
      <c r="AE139" s="20">
        <f t="shared" si="143"/>
        <v>3.7540356316163352</v>
      </c>
      <c r="AF139" s="20">
        <f t="shared" si="143"/>
        <v>30.442294501395853</v>
      </c>
      <c r="AG139" s="20">
        <f t="shared" si="143"/>
        <v>0</v>
      </c>
      <c r="AH139" s="20">
        <f t="shared" si="143"/>
        <v>15.192777963258266</v>
      </c>
      <c r="AI139" s="20">
        <f t="shared" si="144"/>
        <v>1.4499845434638197</v>
      </c>
      <c r="AJ139" s="20">
        <f t="shared" si="144"/>
        <v>12.295282065476602</v>
      </c>
      <c r="AK139" s="20">
        <f t="shared" si="144"/>
        <v>0</v>
      </c>
      <c r="AL139" s="20">
        <f t="shared" si="144"/>
        <v>5.2810349732196471</v>
      </c>
      <c r="AM139" s="20">
        <f t="shared" si="145"/>
        <v>19.02630158216007</v>
      </c>
      <c r="AO139">
        <f t="shared" si="146"/>
        <v>4.4137959992847184E-2</v>
      </c>
      <c r="AP139">
        <f t="shared" si="146"/>
        <v>0.38247786929756761</v>
      </c>
      <c r="AQ139">
        <f t="shared" si="146"/>
        <v>0</v>
      </c>
      <c r="AR139">
        <f t="shared" si="146"/>
        <v>0.16459792955009633</v>
      </c>
      <c r="AS139">
        <f t="shared" si="147"/>
        <v>0.59121375884051108</v>
      </c>
      <c r="AU139">
        <f t="shared" si="148"/>
        <v>1.6912857145458156</v>
      </c>
      <c r="AV139">
        <f t="shared" si="148"/>
        <v>14.655850804562068</v>
      </c>
      <c r="AW139">
        <f t="shared" si="148"/>
        <v>0</v>
      </c>
      <c r="AX139">
        <f t="shared" si="148"/>
        <v>6.3070909243882136</v>
      </c>
      <c r="AY139">
        <f t="shared" si="149"/>
        <v>22.654227443496097</v>
      </c>
    </row>
    <row r="140" spans="1:51" ht="15" x14ac:dyDescent="0.25">
      <c r="A140" s="1"/>
      <c r="B140" s="2"/>
      <c r="C140" s="1" t="s">
        <v>10</v>
      </c>
      <c r="D140" s="285">
        <v>0</v>
      </c>
      <c r="E140" s="286">
        <v>0.88419579000000004</v>
      </c>
      <c r="F140" s="286">
        <v>0.2260906</v>
      </c>
      <c r="G140" s="286">
        <v>2.8523884399999999</v>
      </c>
      <c r="H140" s="287">
        <v>1.2091729099999999</v>
      </c>
      <c r="J140">
        <v>0</v>
      </c>
      <c r="K140">
        <v>-3.3081961745840993E-2</v>
      </c>
      <c r="L140">
        <v>-9.0744787999999993E-2</v>
      </c>
      <c r="M140">
        <v>2.8523884399999999</v>
      </c>
      <c r="N140">
        <v>-0.60437976020900019</v>
      </c>
      <c r="O140" s="20"/>
      <c r="P140" s="20"/>
      <c r="Q140" s="147">
        <v>0.76551276406940327</v>
      </c>
      <c r="R140" s="197">
        <v>1.2861473139312608E-2</v>
      </c>
      <c r="S140" s="197">
        <v>0.49282807343291918</v>
      </c>
      <c r="T140" s="197">
        <v>0.11808671869809276</v>
      </c>
      <c r="U140" s="197">
        <v>0.41263016220713056</v>
      </c>
      <c r="V140" s="20">
        <f t="shared" si="140"/>
        <v>8.705457392248124E-2</v>
      </c>
      <c r="W140" s="20">
        <f t="shared" si="140"/>
        <v>2.226002552090656E-2</v>
      </c>
      <c r="X140" s="20">
        <f t="shared" si="140"/>
        <v>0.28083537957765092</v>
      </c>
      <c r="Y140" s="20">
        <f t="shared" si="140"/>
        <v>0.11905059226605993</v>
      </c>
      <c r="Z140" s="20">
        <f t="shared" si="141"/>
        <v>3.3624557412918782E-2</v>
      </c>
      <c r="AA140" s="20">
        <f t="shared" si="141"/>
        <v>8.9905605686754122E-3</v>
      </c>
      <c r="AB140" s="20">
        <f t="shared" si="141"/>
        <v>0.11525133387476387</v>
      </c>
      <c r="AC140" s="20">
        <f t="shared" si="141"/>
        <v>4.1382184539261228E-2</v>
      </c>
      <c r="AD140" s="20">
        <f t="shared" si="142"/>
        <v>0.19924863639561929</v>
      </c>
      <c r="AE140" s="20">
        <f t="shared" si="143"/>
        <v>3.335771686884156</v>
      </c>
      <c r="AF140" s="20">
        <f t="shared" si="143"/>
        <v>0.85296337155218871</v>
      </c>
      <c r="AG140" s="20">
        <f t="shared" si="143"/>
        <v>10.761096926448456</v>
      </c>
      <c r="AH140" s="20">
        <f t="shared" si="143"/>
        <v>4.5618004556720662</v>
      </c>
      <c r="AI140" s="20">
        <f t="shared" si="144"/>
        <v>1.2884314005362068</v>
      </c>
      <c r="AJ140" s="20">
        <f t="shared" si="144"/>
        <v>0.34450179976654544</v>
      </c>
      <c r="AK140" s="20">
        <f t="shared" si="144"/>
        <v>4.4162198388037597</v>
      </c>
      <c r="AL140" s="20">
        <f t="shared" si="144"/>
        <v>1.5856894509690382</v>
      </c>
      <c r="AM140" s="20">
        <f t="shared" si="145"/>
        <v>7.6348424900755507</v>
      </c>
      <c r="AO140">
        <f t="shared" si="146"/>
        <v>3.9220234358183795E-2</v>
      </c>
      <c r="AP140">
        <f t="shared" si="146"/>
        <v>1.0716656490041896E-2</v>
      </c>
      <c r="AQ140">
        <f t="shared" si="146"/>
        <v>0.13789657070617475</v>
      </c>
      <c r="AR140">
        <f t="shared" si="146"/>
        <v>4.9422357901903871E-2</v>
      </c>
      <c r="AS140">
        <f t="shared" si="147"/>
        <v>0.23725581945630431</v>
      </c>
      <c r="AU140">
        <f t="shared" si="148"/>
        <v>1.5028474832521674</v>
      </c>
      <c r="AV140">
        <f t="shared" si="148"/>
        <v>0.41064263124620659</v>
      </c>
      <c r="AW140">
        <f t="shared" si="148"/>
        <v>5.2839438016166911</v>
      </c>
      <c r="AX140">
        <f t="shared" si="148"/>
        <v>1.8937741552216356</v>
      </c>
      <c r="AY140">
        <f t="shared" si="149"/>
        <v>9.0912080713367001</v>
      </c>
    </row>
    <row r="141" spans="1:51" ht="15" x14ac:dyDescent="0.25">
      <c r="A141" s="1"/>
      <c r="B141" s="2"/>
      <c r="C141" s="1" t="s">
        <v>11</v>
      </c>
      <c r="D141" s="285">
        <v>0</v>
      </c>
      <c r="E141" s="286">
        <v>0.43953955</v>
      </c>
      <c r="F141" s="286">
        <v>0</v>
      </c>
      <c r="G141" s="286">
        <v>1.73005024</v>
      </c>
      <c r="H141" s="287">
        <v>0.12323297</v>
      </c>
      <c r="J141">
        <v>0</v>
      </c>
      <c r="K141">
        <v>0.17753138272800001</v>
      </c>
      <c r="L141">
        <v>0</v>
      </c>
      <c r="M141">
        <v>0.59518854873799998</v>
      </c>
      <c r="N141">
        <v>-2.8028399382600017E-2</v>
      </c>
      <c r="O141" s="20"/>
      <c r="P141" s="20"/>
      <c r="Q141" s="147">
        <v>0.76568368542587129</v>
      </c>
      <c r="R141" s="197">
        <v>1.2861473139312608E-2</v>
      </c>
      <c r="S141" s="197">
        <v>0.49282807343291918</v>
      </c>
      <c r="T141" s="197">
        <v>0.11808671869809276</v>
      </c>
      <c r="U141" s="197">
        <v>0.41263016220713056</v>
      </c>
      <c r="V141" s="20">
        <f t="shared" si="140"/>
        <v>4.3285064386688873E-2</v>
      </c>
      <c r="W141" s="20">
        <f t="shared" si="140"/>
        <v>0</v>
      </c>
      <c r="X141" s="20">
        <f t="shared" si="140"/>
        <v>0.17037223619718983</v>
      </c>
      <c r="Y141" s="20">
        <f t="shared" si="140"/>
        <v>1.2135761255188291E-2</v>
      </c>
      <c r="Z141" s="20">
        <f t="shared" si="141"/>
        <v>1.6718720993202731E-2</v>
      </c>
      <c r="AA141" s="20">
        <f t="shared" si="141"/>
        <v>0</v>
      </c>
      <c r="AB141" s="20">
        <f t="shared" si="141"/>
        <v>6.9918638835614402E-2</v>
      </c>
      <c r="AC141" s="20">
        <f t="shared" si="141"/>
        <v>4.2184108640490273E-3</v>
      </c>
      <c r="AD141" s="20">
        <f t="shared" si="142"/>
        <v>9.085577069286617E-2</v>
      </c>
      <c r="AE141" s="20">
        <f t="shared" si="143"/>
        <v>1.6586043184203896</v>
      </c>
      <c r="AF141" s="20">
        <f t="shared" si="143"/>
        <v>0</v>
      </c>
      <c r="AG141" s="20">
        <f t="shared" si="143"/>
        <v>6.5283517698196469</v>
      </c>
      <c r="AH141" s="20">
        <f t="shared" si="143"/>
        <v>0.46502012438646373</v>
      </c>
      <c r="AI141" s="20">
        <f t="shared" si="144"/>
        <v>0.64063074020329269</v>
      </c>
      <c r="AJ141" s="20">
        <f t="shared" si="144"/>
        <v>0</v>
      </c>
      <c r="AK141" s="20">
        <f t="shared" si="144"/>
        <v>2.6791540674359759</v>
      </c>
      <c r="AL141" s="20">
        <f t="shared" si="144"/>
        <v>0.16164177124650045</v>
      </c>
      <c r="AM141" s="20">
        <f t="shared" si="145"/>
        <v>3.481426578885769</v>
      </c>
      <c r="AO141">
        <f t="shared" si="146"/>
        <v>1.9500989930370635E-2</v>
      </c>
      <c r="AP141">
        <f t="shared" si="146"/>
        <v>0</v>
      </c>
      <c r="AQ141">
        <f t="shared" si="146"/>
        <v>8.3656650207203961E-2</v>
      </c>
      <c r="AR141">
        <f t="shared" si="146"/>
        <v>5.0380088393475742E-3</v>
      </c>
      <c r="AS141">
        <f t="shared" si="147"/>
        <v>0.10819564897692217</v>
      </c>
      <c r="AU141">
        <f t="shared" si="148"/>
        <v>0.74724218550387334</v>
      </c>
      <c r="AV141">
        <f t="shared" si="148"/>
        <v>0</v>
      </c>
      <c r="AW141">
        <f t="shared" si="148"/>
        <v>3.2055694790862366</v>
      </c>
      <c r="AX141">
        <f t="shared" si="148"/>
        <v>0.19304726319759527</v>
      </c>
      <c r="AY141">
        <f t="shared" si="149"/>
        <v>4.1458589277877049</v>
      </c>
    </row>
    <row r="142" spans="1:51" ht="15" x14ac:dyDescent="0.25">
      <c r="A142" s="1"/>
      <c r="B142" s="2"/>
      <c r="C142" s="1" t="s">
        <v>12</v>
      </c>
      <c r="D142" s="285">
        <v>0</v>
      </c>
      <c r="E142" s="286">
        <v>6.0469334300000002</v>
      </c>
      <c r="F142" s="286">
        <v>123.17674611</v>
      </c>
      <c r="G142" s="286">
        <v>3.4736843799999999</v>
      </c>
      <c r="H142" s="287">
        <v>18.900544279999998</v>
      </c>
      <c r="J142">
        <v>-1.5613202036099999E-5</v>
      </c>
      <c r="K142">
        <v>2.4036797743580003</v>
      </c>
      <c r="L142">
        <v>5.9536632966499923</v>
      </c>
      <c r="M142">
        <v>3.333351149836</v>
      </c>
      <c r="N142">
        <v>0.22494520368259785</v>
      </c>
      <c r="O142" s="20"/>
      <c r="P142" s="20"/>
      <c r="Q142" s="147">
        <v>0.76568368542587106</v>
      </c>
      <c r="R142" s="197">
        <v>1.2861473139312608E-2</v>
      </c>
      <c r="S142" s="197">
        <v>0.49282807343291918</v>
      </c>
      <c r="T142" s="197">
        <v>0.11808671869809276</v>
      </c>
      <c r="U142" s="197">
        <v>0.41263016220713056</v>
      </c>
      <c r="V142" s="20">
        <f t="shared" si="140"/>
        <v>0.59549112897706546</v>
      </c>
      <c r="W142" s="20">
        <f t="shared" si="140"/>
        <v>12.13022442761789</v>
      </c>
      <c r="X142" s="20">
        <f t="shared" si="140"/>
        <v>0.34208219043618565</v>
      </c>
      <c r="Y142" s="20">
        <f t="shared" si="140"/>
        <v>1.8612916086920133</v>
      </c>
      <c r="Z142" s="20">
        <f t="shared" si="141"/>
        <v>0.23000658957911838</v>
      </c>
      <c r="AA142" s="20">
        <f t="shared" si="141"/>
        <v>4.8992539260881856</v>
      </c>
      <c r="AB142" s="20">
        <f t="shared" si="141"/>
        <v>0.14038626045572816</v>
      </c>
      <c r="AC142" s="20">
        <f t="shared" si="141"/>
        <v>0.64698806924146746</v>
      </c>
      <c r="AD142" s="20">
        <f t="shared" si="142"/>
        <v>5.9166348453644995</v>
      </c>
      <c r="AE142" s="20">
        <f t="shared" si="143"/>
        <v>22.818128425982636</v>
      </c>
      <c r="AF142" s="20">
        <f t="shared" si="143"/>
        <v>464.80796330391166</v>
      </c>
      <c r="AG142" s="20">
        <f t="shared" si="143"/>
        <v>13.10796244273684</v>
      </c>
      <c r="AH142" s="20">
        <f t="shared" si="143"/>
        <v>71.321282381309658</v>
      </c>
      <c r="AI142" s="20">
        <f t="shared" si="144"/>
        <v>8.8134308715130061</v>
      </c>
      <c r="AJ142" s="20">
        <f t="shared" si="144"/>
        <v>187.73042928282712</v>
      </c>
      <c r="AK142" s="20">
        <f t="shared" si="144"/>
        <v>5.3793441487952478</v>
      </c>
      <c r="AL142" s="20">
        <f t="shared" si="144"/>
        <v>24.791396774273242</v>
      </c>
      <c r="AM142" s="20">
        <f t="shared" si="145"/>
        <v>226.71460107740859</v>
      </c>
      <c r="AO142">
        <f t="shared" si="146"/>
        <v>0.26828345237203693</v>
      </c>
      <c r="AP142">
        <f t="shared" si="146"/>
        <v>5.839860705272085</v>
      </c>
      <c r="AQ142">
        <f t="shared" si="146"/>
        <v>0.16797015045521915</v>
      </c>
      <c r="AR142">
        <f t="shared" si="146"/>
        <v>0.7726918303690985</v>
      </c>
      <c r="AS142">
        <f t="shared" si="147"/>
        <v>7.0488061384684402</v>
      </c>
      <c r="AU142">
        <f t="shared" si="148"/>
        <v>10.280130085744574</v>
      </c>
      <c r="AV142">
        <f t="shared" si="148"/>
        <v>223.77275676911066</v>
      </c>
      <c r="AW142">
        <f t="shared" si="148"/>
        <v>6.4363082476186317</v>
      </c>
      <c r="AX142">
        <f t="shared" si="148"/>
        <v>29.608134464331762</v>
      </c>
      <c r="AY142">
        <f t="shared" si="149"/>
        <v>270.09732956680563</v>
      </c>
    </row>
    <row r="143" spans="1:51" ht="15" x14ac:dyDescent="0.25">
      <c r="A143" s="1"/>
      <c r="B143" s="2"/>
      <c r="C143" s="1" t="s">
        <v>13</v>
      </c>
      <c r="D143" s="285">
        <v>0</v>
      </c>
      <c r="E143" s="286">
        <v>0</v>
      </c>
      <c r="F143" s="286">
        <v>0</v>
      </c>
      <c r="G143" s="286">
        <v>0</v>
      </c>
      <c r="H143" s="287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20"/>
      <c r="P143" s="20"/>
      <c r="Q143" s="147"/>
      <c r="R143" s="197">
        <v>1.2861473139312608E-2</v>
      </c>
      <c r="S143" s="197">
        <v>0.49282807343291918</v>
      </c>
      <c r="T143" s="197">
        <v>0.11808671869809276</v>
      </c>
      <c r="U143" s="197">
        <v>0.41263016220713056</v>
      </c>
      <c r="V143" s="20">
        <f t="shared" si="140"/>
        <v>0</v>
      </c>
      <c r="W143" s="20">
        <f t="shared" si="140"/>
        <v>0</v>
      </c>
      <c r="X143" s="20">
        <f t="shared" si="140"/>
        <v>0</v>
      </c>
      <c r="Y143" s="20">
        <f t="shared" si="140"/>
        <v>0</v>
      </c>
      <c r="Z143" s="20">
        <f t="shared" si="141"/>
        <v>0</v>
      </c>
      <c r="AA143" s="20">
        <f t="shared" si="141"/>
        <v>0</v>
      </c>
      <c r="AB143" s="20">
        <f t="shared" si="141"/>
        <v>0</v>
      </c>
      <c r="AC143" s="20">
        <f t="shared" si="141"/>
        <v>0</v>
      </c>
      <c r="AD143" s="20">
        <f t="shared" si="142"/>
        <v>0</v>
      </c>
      <c r="AE143" s="20">
        <f t="shared" si="143"/>
        <v>0</v>
      </c>
      <c r="AF143" s="20">
        <f t="shared" si="143"/>
        <v>0</v>
      </c>
      <c r="AG143" s="20">
        <f t="shared" si="143"/>
        <v>0</v>
      </c>
      <c r="AH143" s="20">
        <f t="shared" si="143"/>
        <v>0</v>
      </c>
      <c r="AI143" s="20">
        <f t="shared" si="144"/>
        <v>0</v>
      </c>
      <c r="AJ143" s="20">
        <f t="shared" si="144"/>
        <v>0</v>
      </c>
      <c r="AK143" s="20">
        <f t="shared" si="144"/>
        <v>0</v>
      </c>
      <c r="AL143" s="20">
        <f t="shared" si="144"/>
        <v>0</v>
      </c>
      <c r="AM143" s="20">
        <f t="shared" si="145"/>
        <v>0</v>
      </c>
      <c r="AO143">
        <f t="shared" si="146"/>
        <v>0</v>
      </c>
      <c r="AP143">
        <f t="shared" si="146"/>
        <v>0</v>
      </c>
      <c r="AQ143">
        <f t="shared" si="146"/>
        <v>0</v>
      </c>
      <c r="AR143">
        <f t="shared" si="146"/>
        <v>0</v>
      </c>
      <c r="AS143">
        <f t="shared" si="147"/>
        <v>0</v>
      </c>
      <c r="AU143">
        <f t="shared" si="148"/>
        <v>0</v>
      </c>
      <c r="AV143">
        <f t="shared" si="148"/>
        <v>0</v>
      </c>
      <c r="AW143">
        <f t="shared" si="148"/>
        <v>0</v>
      </c>
      <c r="AX143">
        <f t="shared" si="148"/>
        <v>0</v>
      </c>
      <c r="AY143">
        <f t="shared" si="149"/>
        <v>0</v>
      </c>
    </row>
    <row r="144" spans="1:51" ht="15" x14ac:dyDescent="0.25">
      <c r="A144" s="7"/>
      <c r="B144" s="8" t="s">
        <v>14</v>
      </c>
      <c r="C144" s="7"/>
      <c r="D144" s="288">
        <f>SUM(D138:D143)</f>
        <v>2.8999999999999998E-7</v>
      </c>
      <c r="E144" s="289">
        <f>SUM(E138:E143)</f>
        <v>9.1087167300000011</v>
      </c>
      <c r="F144" s="289">
        <f>SUM(F138:F143)</f>
        <v>133.60649078</v>
      </c>
      <c r="G144" s="289">
        <f>SUM(G138:G143)</f>
        <v>10.16394541</v>
      </c>
      <c r="H144" s="290">
        <f>SUM(H138:H143)</f>
        <v>26.979980739999998</v>
      </c>
      <c r="J144">
        <v>-1.53232020361E-5</v>
      </c>
      <c r="K144">
        <v>1.8518429336169291</v>
      </c>
      <c r="L144">
        <v>11.560742726339791</v>
      </c>
      <c r="M144">
        <v>8.5293255028540003</v>
      </c>
      <c r="N144">
        <v>-1.3202062142619231</v>
      </c>
      <c r="O144" s="20"/>
      <c r="P144" s="20"/>
      <c r="Q144" s="147"/>
      <c r="R144" s="197"/>
      <c r="S144" s="197"/>
      <c r="T144" s="197"/>
      <c r="U144" s="197"/>
    </row>
    <row r="145" spans="1:51" ht="15" x14ac:dyDescent="0.25">
      <c r="A145" s="10"/>
      <c r="B145" s="9" t="s">
        <v>15</v>
      </c>
      <c r="C145" s="5"/>
      <c r="D145" s="291"/>
      <c r="E145" s="292"/>
      <c r="F145" s="292"/>
      <c r="G145" s="292"/>
      <c r="H145" s="293">
        <f>SUM(D144:H144)</f>
        <v>179.85913395</v>
      </c>
      <c r="N145">
        <v>20.621689625346761</v>
      </c>
      <c r="O145" s="20"/>
      <c r="P145" s="20"/>
      <c r="Q145" s="147"/>
      <c r="R145" s="197"/>
      <c r="S145" s="197"/>
      <c r="T145" s="197"/>
      <c r="U145" s="197"/>
    </row>
    <row r="146" spans="1:51" ht="15.75" thickBot="1" x14ac:dyDescent="0.3">
      <c r="A146" s="1"/>
      <c r="B146" s="2"/>
      <c r="C146" s="1"/>
      <c r="D146" s="294"/>
      <c r="E146" s="295"/>
      <c r="F146" s="295"/>
      <c r="G146" s="295"/>
      <c r="H146" s="296"/>
      <c r="O146" s="20"/>
      <c r="P146" s="20"/>
      <c r="Q146" s="147"/>
      <c r="R146" s="197"/>
      <c r="S146" s="197"/>
      <c r="T146" s="197"/>
      <c r="U146" s="197"/>
    </row>
    <row r="147" spans="1:51" ht="15" x14ac:dyDescent="0.25">
      <c r="A147" s="1">
        <v>16</v>
      </c>
      <c r="B147" s="2" t="s">
        <v>30</v>
      </c>
      <c r="C147" s="1" t="s">
        <v>8</v>
      </c>
      <c r="D147" s="285">
        <v>2.2000000000000001E-7</v>
      </c>
      <c r="E147" s="286">
        <v>5.45373777</v>
      </c>
      <c r="F147" s="286">
        <v>4.9587283800000002</v>
      </c>
      <c r="G147" s="286">
        <v>7.9732721599999996</v>
      </c>
      <c r="H147" s="287">
        <v>6.0085408899999999</v>
      </c>
      <c r="J147">
        <v>2.2000000000000001E-7</v>
      </c>
      <c r="K147">
        <v>2.6633107807999998</v>
      </c>
      <c r="L147">
        <v>-1.0630718480597299</v>
      </c>
      <c r="M147">
        <v>1.4502093472370987</v>
      </c>
      <c r="N147">
        <v>-3.6833894152023179</v>
      </c>
      <c r="O147" s="20"/>
      <c r="P147" s="20"/>
      <c r="Q147" s="147">
        <v>0.67528486892744632</v>
      </c>
      <c r="R147" s="197">
        <v>5.6499999999999995E-2</v>
      </c>
      <c r="S147" s="197">
        <v>1.25</v>
      </c>
      <c r="T147" s="197">
        <v>0.50650413159351704</v>
      </c>
      <c r="U147" s="197">
        <v>0.77519673403474398</v>
      </c>
      <c r="V147" s="20">
        <f t="shared" ref="V147:Y152" si="150">E147*$Q147*$R147*10</f>
        <v>2.080797026276199</v>
      </c>
      <c r="W147" s="20">
        <f t="shared" si="150"/>
        <v>1.8919331479363359</v>
      </c>
      <c r="X147" s="20">
        <f t="shared" si="150"/>
        <v>3.0420899757009772</v>
      </c>
      <c r="Y147" s="20">
        <f t="shared" si="150"/>
        <v>2.2924743622521011</v>
      </c>
      <c r="Z147" s="20">
        <f t="shared" ref="Z147:AC152" si="151">V147*(EXP(1.01-0.34*LN(Z$8))*(1-$T147)+(1*$T147))</f>
        <v>1.3661673110995247</v>
      </c>
      <c r="AA147" s="20">
        <f t="shared" si="151"/>
        <v>1.2608433227156166</v>
      </c>
      <c r="AB147" s="20">
        <f t="shared" si="151"/>
        <v>2.0384074493547715</v>
      </c>
      <c r="AC147" s="20">
        <f t="shared" si="151"/>
        <v>1.4555716659650053</v>
      </c>
      <c r="AD147" s="20">
        <f t="shared" ref="AD147:AD152" si="152">SUM(Z147:AC147)</f>
        <v>6.1209897491349174</v>
      </c>
      <c r="AE147" s="20">
        <f t="shared" ref="AE147:AH152" si="153">E147*$Q147*$S147*10</f>
        <v>46.035332439738923</v>
      </c>
      <c r="AF147" s="20">
        <f t="shared" si="153"/>
        <v>41.856928051688847</v>
      </c>
      <c r="AG147" s="20">
        <f t="shared" si="153"/>
        <v>67.302875568605714</v>
      </c>
      <c r="AH147" s="20">
        <f t="shared" si="153"/>
        <v>50.718459341860644</v>
      </c>
      <c r="AI147" s="20">
        <f t="shared" ref="AI147:AL152" si="154">AE147*(EXP(1.01-0.34*LN(AI$8))*(1-$T147)+(1*$T147))</f>
        <v>30.224940511051436</v>
      </c>
      <c r="AJ147" s="20">
        <f t="shared" si="154"/>
        <v>27.894763776894173</v>
      </c>
      <c r="AK147" s="20">
        <f t="shared" si="154"/>
        <v>45.097509941477263</v>
      </c>
      <c r="AL147" s="20">
        <f t="shared" si="154"/>
        <v>32.202912963827551</v>
      </c>
      <c r="AM147" s="20">
        <f t="shared" ref="AM147:AM152" si="155">SUM(AI147:AL147)</f>
        <v>135.42012719325041</v>
      </c>
      <c r="AO147">
        <f t="shared" ref="AO147:AR152" si="156">Z147*AO$10</f>
        <v>1.5935199222347773</v>
      </c>
      <c r="AP147">
        <f t="shared" si="156"/>
        <v>1.5029123794999404</v>
      </c>
      <c r="AQ147">
        <f t="shared" si="156"/>
        <v>2.4389253253535887</v>
      </c>
      <c r="AR147">
        <f t="shared" si="156"/>
        <v>1.7383756954382676</v>
      </c>
      <c r="AS147">
        <f t="shared" ref="AS147:AS152" si="157">SUM(AO147:AR147)</f>
        <v>7.2737333225265735</v>
      </c>
      <c r="AU147">
        <f t="shared" ref="AU147:AX152" si="158">AI147*AU$10</f>
        <v>35.25486553616765</v>
      </c>
      <c r="AV147">
        <f t="shared" si="158"/>
        <v>33.250273882742043</v>
      </c>
      <c r="AW147">
        <f t="shared" si="158"/>
        <v>53.958524897203318</v>
      </c>
      <c r="AX147">
        <f t="shared" si="158"/>
        <v>38.459639279607693</v>
      </c>
      <c r="AY147">
        <f t="shared" ref="AY147:AY152" si="159">SUM(AU147:AX147)</f>
        <v>160.92330359572071</v>
      </c>
    </row>
    <row r="148" spans="1:51" ht="15" x14ac:dyDescent="0.25">
      <c r="A148" s="1"/>
      <c r="B148" s="2"/>
      <c r="C148" s="1" t="s">
        <v>9</v>
      </c>
      <c r="D148" s="285">
        <v>0</v>
      </c>
      <c r="E148" s="286">
        <v>41.935854540000001</v>
      </c>
      <c r="F148" s="286">
        <v>14.96406541</v>
      </c>
      <c r="G148" s="286">
        <v>2.8986047899999998</v>
      </c>
      <c r="H148" s="287">
        <v>126.15924793000001</v>
      </c>
      <c r="J148">
        <v>0</v>
      </c>
      <c r="K148">
        <v>4.5738231290820011</v>
      </c>
      <c r="L148">
        <v>-6.2654238883294013</v>
      </c>
      <c r="M148">
        <v>0.97063325629679964</v>
      </c>
      <c r="N148">
        <v>-5.1351474589921651</v>
      </c>
      <c r="O148" s="20"/>
      <c r="P148" s="20"/>
      <c r="Q148" s="147">
        <v>0.67556973785489272</v>
      </c>
      <c r="R148" s="197">
        <v>5.6499999999999995E-2</v>
      </c>
      <c r="S148" s="197">
        <v>1.25</v>
      </c>
      <c r="T148" s="197">
        <v>0.50650413159351704</v>
      </c>
      <c r="U148" s="197">
        <v>0.77519673403474398</v>
      </c>
      <c r="V148" s="20">
        <f t="shared" si="150"/>
        <v>16.006785755944421</v>
      </c>
      <c r="W148" s="20">
        <f t="shared" si="150"/>
        <v>5.7117374066465985</v>
      </c>
      <c r="X148" s="20">
        <f t="shared" si="150"/>
        <v>1.1063884681407583</v>
      </c>
      <c r="Y148" s="20">
        <f t="shared" si="150"/>
        <v>48.154594079402891</v>
      </c>
      <c r="Z148" s="20">
        <f t="shared" si="151"/>
        <v>10.509409221273115</v>
      </c>
      <c r="AA148" s="20">
        <f t="shared" si="151"/>
        <v>3.8064801486937703</v>
      </c>
      <c r="AB148" s="20">
        <f t="shared" si="151"/>
        <v>0.74135561845722953</v>
      </c>
      <c r="AC148" s="20">
        <f t="shared" si="151"/>
        <v>30.575025780950064</v>
      </c>
      <c r="AD148" s="20">
        <f t="shared" si="152"/>
        <v>45.63227076937418</v>
      </c>
      <c r="AE148" s="20">
        <f t="shared" si="153"/>
        <v>354.13242822885888</v>
      </c>
      <c r="AF148" s="20">
        <f t="shared" si="153"/>
        <v>126.36587182846458</v>
      </c>
      <c r="AG148" s="20">
        <f t="shared" si="153"/>
        <v>24.477620976565454</v>
      </c>
      <c r="AH148" s="20">
        <f t="shared" si="153"/>
        <v>1065.3671256505065</v>
      </c>
      <c r="AI148" s="20">
        <f t="shared" si="154"/>
        <v>232.50905356798927</v>
      </c>
      <c r="AJ148" s="20">
        <f t="shared" si="154"/>
        <v>84.214162581720586</v>
      </c>
      <c r="AK148" s="20">
        <f t="shared" si="154"/>
        <v>16.401672974717471</v>
      </c>
      <c r="AL148" s="20">
        <f t="shared" si="154"/>
        <v>676.43862347234665</v>
      </c>
      <c r="AM148" s="20">
        <f t="shared" si="155"/>
        <v>1009.563512596774</v>
      </c>
      <c r="AO148">
        <f t="shared" si="156"/>
        <v>12.258347004027078</v>
      </c>
      <c r="AP148">
        <f t="shared" si="156"/>
        <v>4.5372855094089823</v>
      </c>
      <c r="AQ148">
        <f t="shared" si="156"/>
        <v>0.88702138207002779</v>
      </c>
      <c r="AR148">
        <f t="shared" si="156"/>
        <v>36.515468765850436</v>
      </c>
      <c r="AS148">
        <f t="shared" si="157"/>
        <v>54.198122661356521</v>
      </c>
      <c r="AU148">
        <f t="shared" si="158"/>
        <v>271.20236734573177</v>
      </c>
      <c r="AV148">
        <f t="shared" si="158"/>
        <v>100.38242277453502</v>
      </c>
      <c r="AW148">
        <f t="shared" si="158"/>
        <v>19.624366859956371</v>
      </c>
      <c r="AX148">
        <f t="shared" si="158"/>
        <v>807.8643532267796</v>
      </c>
      <c r="AY148">
        <f t="shared" si="159"/>
        <v>1199.0735102070028</v>
      </c>
    </row>
    <row r="149" spans="1:51" ht="15" x14ac:dyDescent="0.25">
      <c r="A149" s="1"/>
      <c r="B149" s="2"/>
      <c r="C149" s="1" t="s">
        <v>10</v>
      </c>
      <c r="D149" s="285">
        <v>0</v>
      </c>
      <c r="E149" s="286">
        <v>5.2743174799999997</v>
      </c>
      <c r="F149" s="286">
        <v>1.365359E-2</v>
      </c>
      <c r="G149" s="286">
        <v>4.8973834099999998</v>
      </c>
      <c r="H149" s="287">
        <v>5.7491299800000002</v>
      </c>
      <c r="J149">
        <v>0</v>
      </c>
      <c r="K149">
        <v>-0.8971836360248</v>
      </c>
      <c r="L149">
        <v>-1.1367706362200001E-2</v>
      </c>
      <c r="M149">
        <v>0.49997130005349977</v>
      </c>
      <c r="N149">
        <v>-1.6893558908485096</v>
      </c>
      <c r="O149" s="20"/>
      <c r="P149" s="20"/>
      <c r="Q149" s="147">
        <v>0.67585460678233911</v>
      </c>
      <c r="R149" s="197">
        <v>5.6499999999999995E-2</v>
      </c>
      <c r="S149" s="197">
        <v>1.25</v>
      </c>
      <c r="T149" s="197">
        <v>0.50650413159351704</v>
      </c>
      <c r="U149" s="197">
        <v>0.77519673403474398</v>
      </c>
      <c r="V149" s="20">
        <f t="shared" si="150"/>
        <v>2.0140395480671986</v>
      </c>
      <c r="W149" s="20">
        <f t="shared" si="150"/>
        <v>5.2137305608487622E-3</v>
      </c>
      <c r="X149" s="20">
        <f t="shared" si="150"/>
        <v>1.870104313437764</v>
      </c>
      <c r="Y149" s="20">
        <f t="shared" si="150"/>
        <v>2.1953504298150031</v>
      </c>
      <c r="Z149" s="20">
        <f t="shared" si="151"/>
        <v>1.3223370463745743</v>
      </c>
      <c r="AA149" s="20">
        <f t="shared" si="151"/>
        <v>3.4745928370962268E-3</v>
      </c>
      <c r="AB149" s="20">
        <f t="shared" si="151"/>
        <v>1.2530972436815042</v>
      </c>
      <c r="AC149" s="20">
        <f t="shared" si="151"/>
        <v>1.3939043049378319</v>
      </c>
      <c r="AD149" s="20">
        <f t="shared" si="152"/>
        <v>3.9728131878310067</v>
      </c>
      <c r="AE149" s="20">
        <f t="shared" si="153"/>
        <v>44.558397081132725</v>
      </c>
      <c r="AF149" s="20">
        <f t="shared" si="153"/>
        <v>0.11534802125771598</v>
      </c>
      <c r="AG149" s="20">
        <f t="shared" si="153"/>
        <v>41.373989235348759</v>
      </c>
      <c r="AH149" s="20">
        <f t="shared" si="153"/>
        <v>48.569699774668216</v>
      </c>
      <c r="AI149" s="20">
        <f t="shared" si="154"/>
        <v>29.255244388818024</v>
      </c>
      <c r="AJ149" s="20">
        <f t="shared" si="154"/>
        <v>7.6871522944606793E-2</v>
      </c>
      <c r="AK149" s="20">
        <f t="shared" si="154"/>
        <v>27.723390346935933</v>
      </c>
      <c r="AL149" s="20">
        <f t="shared" si="154"/>
        <v>30.838590817208676</v>
      </c>
      <c r="AM149" s="20">
        <f t="shared" si="155"/>
        <v>87.89409707590724</v>
      </c>
      <c r="AO149">
        <f t="shared" si="156"/>
        <v>1.5423955837525307</v>
      </c>
      <c r="AP149">
        <f t="shared" si="156"/>
        <v>4.1416792193866925E-3</v>
      </c>
      <c r="AQ149">
        <f t="shared" si="156"/>
        <v>1.4993129090619237</v>
      </c>
      <c r="AR149">
        <f t="shared" si="156"/>
        <v>1.6647269400261568</v>
      </c>
      <c r="AS149">
        <f t="shared" si="157"/>
        <v>4.7105771120599975</v>
      </c>
      <c r="AU149">
        <f t="shared" si="158"/>
        <v>34.123796100719723</v>
      </c>
      <c r="AV149">
        <f t="shared" si="158"/>
        <v>9.1630071225369314E-2</v>
      </c>
      <c r="AW149">
        <f t="shared" si="158"/>
        <v>33.170639581016005</v>
      </c>
      <c r="AX149">
        <f t="shared" si="158"/>
        <v>36.83024203597693</v>
      </c>
      <c r="AY149">
        <f t="shared" si="159"/>
        <v>104.21630778893802</v>
      </c>
    </row>
    <row r="150" spans="1:51" ht="15" x14ac:dyDescent="0.25">
      <c r="A150" s="1"/>
      <c r="B150" s="2"/>
      <c r="C150" s="1" t="s">
        <v>11</v>
      </c>
      <c r="D150" s="285">
        <v>0</v>
      </c>
      <c r="E150" s="286">
        <v>66.577786029999999</v>
      </c>
      <c r="F150" s="286">
        <v>0</v>
      </c>
      <c r="G150" s="286">
        <v>6.3816839099999996</v>
      </c>
      <c r="H150" s="287">
        <v>12.503161629999999</v>
      </c>
      <c r="J150">
        <v>0</v>
      </c>
      <c r="K150">
        <v>5.5479843179559936</v>
      </c>
      <c r="L150">
        <v>0</v>
      </c>
      <c r="M150">
        <v>-1.6756596079230004</v>
      </c>
      <c r="N150">
        <v>-1.0813139623608574</v>
      </c>
      <c r="O150" s="20"/>
      <c r="P150" s="20"/>
      <c r="Q150" s="147">
        <v>0.67613947570978528</v>
      </c>
      <c r="R150" s="197">
        <v>5.6499999999999995E-2</v>
      </c>
      <c r="S150" s="197">
        <v>1.25</v>
      </c>
      <c r="T150" s="197">
        <v>0.50650413159351704</v>
      </c>
      <c r="U150" s="197">
        <v>0.77519673403474398</v>
      </c>
      <c r="V150" s="20">
        <f t="shared" si="150"/>
        <v>25.433966177236993</v>
      </c>
      <c r="W150" s="20">
        <f t="shared" si="150"/>
        <v>0</v>
      </c>
      <c r="X150" s="20">
        <f t="shared" si="150"/>
        <v>2.4379232533749291</v>
      </c>
      <c r="Y150" s="20">
        <f t="shared" si="150"/>
        <v>4.7764428493109401</v>
      </c>
      <c r="Z150" s="20">
        <f t="shared" si="151"/>
        <v>16.698915244576042</v>
      </c>
      <c r="AA150" s="20">
        <f t="shared" si="151"/>
        <v>0</v>
      </c>
      <c r="AB150" s="20">
        <f t="shared" si="151"/>
        <v>1.6335746017800072</v>
      </c>
      <c r="AC150" s="20">
        <f t="shared" si="151"/>
        <v>3.0327296086871605</v>
      </c>
      <c r="AD150" s="20">
        <f t="shared" si="152"/>
        <v>21.36521945504321</v>
      </c>
      <c r="AE150" s="20">
        <f t="shared" si="153"/>
        <v>562.69836675303077</v>
      </c>
      <c r="AF150" s="20">
        <f t="shared" si="153"/>
        <v>0</v>
      </c>
      <c r="AG150" s="20">
        <f t="shared" si="153"/>
        <v>53.936355163162155</v>
      </c>
      <c r="AH150" s="20">
        <f t="shared" si="153"/>
        <v>105.67351436528628</v>
      </c>
      <c r="AI150" s="20">
        <f t="shared" si="154"/>
        <v>369.44502753486819</v>
      </c>
      <c r="AJ150" s="20">
        <f t="shared" si="154"/>
        <v>0</v>
      </c>
      <c r="AK150" s="20">
        <f t="shared" si="154"/>
        <v>36.141031012832023</v>
      </c>
      <c r="AL150" s="20">
        <f t="shared" si="154"/>
        <v>67.095787802813277</v>
      </c>
      <c r="AM150" s="20">
        <f t="shared" si="155"/>
        <v>472.68184635051347</v>
      </c>
      <c r="AO150">
        <f t="shared" si="156"/>
        <v>19.477888180859441</v>
      </c>
      <c r="AP150">
        <f t="shared" si="156"/>
        <v>0</v>
      </c>
      <c r="AQ150">
        <f t="shared" si="156"/>
        <v>1.9545486200007727</v>
      </c>
      <c r="AR150">
        <f t="shared" si="156"/>
        <v>3.6219607497529545</v>
      </c>
      <c r="AS150">
        <f t="shared" si="157"/>
        <v>25.054397550613167</v>
      </c>
      <c r="AU150">
        <f t="shared" si="158"/>
        <v>430.92672966503187</v>
      </c>
      <c r="AV150">
        <f t="shared" si="158"/>
        <v>0</v>
      </c>
      <c r="AW150">
        <f t="shared" si="158"/>
        <v>43.242226106211788</v>
      </c>
      <c r="AX150">
        <f t="shared" si="158"/>
        <v>80.131874994534385</v>
      </c>
      <c r="AY150">
        <f t="shared" si="159"/>
        <v>554.30083076577807</v>
      </c>
    </row>
    <row r="151" spans="1:51" ht="15" x14ac:dyDescent="0.25">
      <c r="A151" s="1"/>
      <c r="B151" s="2"/>
      <c r="C151" s="1" t="s">
        <v>12</v>
      </c>
      <c r="D151" s="285">
        <v>0</v>
      </c>
      <c r="E151" s="286">
        <v>4.1764414299999997</v>
      </c>
      <c r="F151" s="286">
        <v>4.6641048300000003</v>
      </c>
      <c r="G151" s="286">
        <v>1.17776418</v>
      </c>
      <c r="H151" s="287">
        <v>14.44994544</v>
      </c>
      <c r="J151">
        <v>0</v>
      </c>
      <c r="K151">
        <v>3.3621401326199996</v>
      </c>
      <c r="L151">
        <v>-5.8425427582538996</v>
      </c>
      <c r="M151">
        <v>-0.17859052863429992</v>
      </c>
      <c r="N151">
        <v>-0.16637524561381589</v>
      </c>
      <c r="O151" s="20"/>
      <c r="P151" s="20"/>
      <c r="Q151" s="147">
        <v>0.67613947570978539</v>
      </c>
      <c r="R151" s="197">
        <v>5.6499999999999995E-2</v>
      </c>
      <c r="S151" s="197">
        <v>1.25</v>
      </c>
      <c r="T151" s="197">
        <v>0.50650413159351704</v>
      </c>
      <c r="U151" s="197">
        <v>0.77519673403474398</v>
      </c>
      <c r="V151" s="20">
        <f t="shared" si="150"/>
        <v>1.5954791591292468</v>
      </c>
      <c r="W151" s="20">
        <f t="shared" si="150"/>
        <v>1.781775747842598</v>
      </c>
      <c r="X151" s="20">
        <f t="shared" si="150"/>
        <v>0.44992806317385536</v>
      </c>
      <c r="Y151" s="20">
        <f t="shared" si="150"/>
        <v>5.5201508716176821</v>
      </c>
      <c r="Z151" s="20">
        <f t="shared" si="151"/>
        <v>1.0475271952131326</v>
      </c>
      <c r="AA151" s="20">
        <f t="shared" si="151"/>
        <v>1.1874309917844732</v>
      </c>
      <c r="AB151" s="20">
        <f t="shared" si="151"/>
        <v>0.30148244232520399</v>
      </c>
      <c r="AC151" s="20">
        <f t="shared" si="151"/>
        <v>3.50493568559923</v>
      </c>
      <c r="AD151" s="20">
        <f t="shared" si="152"/>
        <v>6.0413763149220401</v>
      </c>
      <c r="AE151" s="20">
        <f t="shared" si="153"/>
        <v>35.298211485160323</v>
      </c>
      <c r="AF151" s="20">
        <f t="shared" si="153"/>
        <v>39.419817430145976</v>
      </c>
      <c r="AG151" s="20">
        <f t="shared" si="153"/>
        <v>9.9541606896870665</v>
      </c>
      <c r="AH151" s="20">
        <f t="shared" si="153"/>
        <v>122.12723167295756</v>
      </c>
      <c r="AI151" s="20">
        <f t="shared" si="154"/>
        <v>23.175380425069303</v>
      </c>
      <c r="AJ151" s="20">
        <f t="shared" si="154"/>
        <v>26.270597163373306</v>
      </c>
      <c r="AK151" s="20">
        <f t="shared" si="154"/>
        <v>6.6699655381682303</v>
      </c>
      <c r="AL151" s="20">
        <f t="shared" si="154"/>
        <v>77.542824902637832</v>
      </c>
      <c r="AM151" s="20">
        <f t="shared" si="155"/>
        <v>133.65876802924868</v>
      </c>
      <c r="AO151">
        <f t="shared" si="156"/>
        <v>1.2218528734312843</v>
      </c>
      <c r="AP151">
        <f t="shared" si="156"/>
        <v>1.4154056298692828</v>
      </c>
      <c r="AQ151">
        <f t="shared" si="156"/>
        <v>0.36071942533821644</v>
      </c>
      <c r="AR151">
        <f t="shared" si="156"/>
        <v>4.1859120731651061</v>
      </c>
      <c r="AS151">
        <f t="shared" si="157"/>
        <v>7.1838900018038894</v>
      </c>
      <c r="AU151">
        <f t="shared" si="158"/>
        <v>27.032143217506285</v>
      </c>
      <c r="AV151">
        <f t="shared" si="158"/>
        <v>31.314283846665553</v>
      </c>
      <c r="AW151">
        <f t="shared" si="158"/>
        <v>7.9805182596950548</v>
      </c>
      <c r="AX151">
        <f t="shared" si="158"/>
        <v>92.608674185068722</v>
      </c>
      <c r="AY151">
        <f t="shared" si="159"/>
        <v>158.93561950893562</v>
      </c>
    </row>
    <row r="152" spans="1:51" ht="15" x14ac:dyDescent="0.25">
      <c r="A152" s="1"/>
      <c r="B152" s="2"/>
      <c r="C152" s="1" t="s">
        <v>13</v>
      </c>
      <c r="D152" s="285">
        <v>0</v>
      </c>
      <c r="E152" s="286">
        <v>0</v>
      </c>
      <c r="F152" s="286">
        <v>0</v>
      </c>
      <c r="G152" s="286">
        <v>0</v>
      </c>
      <c r="H152" s="287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 s="20"/>
      <c r="P152" s="20"/>
      <c r="Q152" s="147"/>
      <c r="R152" s="197">
        <v>5.6499999999999995E-2</v>
      </c>
      <c r="S152" s="197">
        <v>1.25</v>
      </c>
      <c r="T152" s="197">
        <v>0.50650413159351704</v>
      </c>
      <c r="U152" s="197">
        <v>0.77519673403474398</v>
      </c>
      <c r="V152" s="20">
        <f t="shared" si="150"/>
        <v>0</v>
      </c>
      <c r="W152" s="20">
        <f t="shared" si="150"/>
        <v>0</v>
      </c>
      <c r="X152" s="20">
        <f t="shared" si="150"/>
        <v>0</v>
      </c>
      <c r="Y152" s="20">
        <f t="shared" si="150"/>
        <v>0</v>
      </c>
      <c r="Z152" s="20">
        <f t="shared" si="151"/>
        <v>0</v>
      </c>
      <c r="AA152" s="20">
        <f t="shared" si="151"/>
        <v>0</v>
      </c>
      <c r="AB152" s="20">
        <f t="shared" si="151"/>
        <v>0</v>
      </c>
      <c r="AC152" s="20">
        <f t="shared" si="151"/>
        <v>0</v>
      </c>
      <c r="AD152" s="20">
        <f t="shared" si="152"/>
        <v>0</v>
      </c>
      <c r="AE152" s="20">
        <f t="shared" si="153"/>
        <v>0</v>
      </c>
      <c r="AF152" s="20">
        <f t="shared" si="153"/>
        <v>0</v>
      </c>
      <c r="AG152" s="20">
        <f t="shared" si="153"/>
        <v>0</v>
      </c>
      <c r="AH152" s="20">
        <f t="shared" si="153"/>
        <v>0</v>
      </c>
      <c r="AI152" s="20">
        <f t="shared" si="154"/>
        <v>0</v>
      </c>
      <c r="AJ152" s="20">
        <f t="shared" si="154"/>
        <v>0</v>
      </c>
      <c r="AK152" s="20">
        <f t="shared" si="154"/>
        <v>0</v>
      </c>
      <c r="AL152" s="20">
        <f t="shared" si="154"/>
        <v>0</v>
      </c>
      <c r="AM152" s="20">
        <f t="shared" si="155"/>
        <v>0</v>
      </c>
      <c r="AO152">
        <f t="shared" si="156"/>
        <v>0</v>
      </c>
      <c r="AP152">
        <f t="shared" si="156"/>
        <v>0</v>
      </c>
      <c r="AQ152">
        <f t="shared" si="156"/>
        <v>0</v>
      </c>
      <c r="AR152">
        <f t="shared" si="156"/>
        <v>0</v>
      </c>
      <c r="AS152">
        <f t="shared" si="157"/>
        <v>0</v>
      </c>
      <c r="AU152">
        <f t="shared" si="158"/>
        <v>0</v>
      </c>
      <c r="AV152">
        <f t="shared" si="158"/>
        <v>0</v>
      </c>
      <c r="AW152">
        <f t="shared" si="158"/>
        <v>0</v>
      </c>
      <c r="AX152">
        <f t="shared" si="158"/>
        <v>0</v>
      </c>
      <c r="AY152">
        <f t="shared" si="159"/>
        <v>0</v>
      </c>
    </row>
    <row r="153" spans="1:51" ht="15" x14ac:dyDescent="0.25">
      <c r="A153" s="7"/>
      <c r="B153" s="8" t="s">
        <v>14</v>
      </c>
      <c r="C153" s="7"/>
      <c r="D153" s="288">
        <f>SUM(D147:D152)</f>
        <v>2.2000000000000001E-7</v>
      </c>
      <c r="E153" s="289">
        <f>SUM(E147:E152)</f>
        <v>123.41813724999999</v>
      </c>
      <c r="F153" s="289">
        <f>SUM(F147:F152)</f>
        <v>24.60055221</v>
      </c>
      <c r="G153" s="289">
        <f>SUM(G147:G152)</f>
        <v>23.328708449999997</v>
      </c>
      <c r="H153" s="290">
        <f>SUM(H147:H152)</f>
        <v>164.87002586999998</v>
      </c>
      <c r="J153">
        <v>2.2000000000000001E-7</v>
      </c>
      <c r="K153">
        <v>15.250074724433194</v>
      </c>
      <c r="L153">
        <v>-13.182406201005231</v>
      </c>
      <c r="M153">
        <v>1.0665637670300978</v>
      </c>
      <c r="N153">
        <v>-11.755581973017666</v>
      </c>
      <c r="O153" s="20"/>
      <c r="P153" s="20"/>
      <c r="Q153" s="147"/>
      <c r="R153" s="197"/>
      <c r="S153" s="197"/>
      <c r="T153" s="197"/>
      <c r="U153" s="197"/>
    </row>
    <row r="154" spans="1:51" ht="15" x14ac:dyDescent="0.25">
      <c r="A154" s="10"/>
      <c r="B154" s="9" t="s">
        <v>15</v>
      </c>
      <c r="C154" s="5"/>
      <c r="D154" s="291"/>
      <c r="E154" s="292"/>
      <c r="F154" s="292"/>
      <c r="G154" s="292"/>
      <c r="H154" s="293">
        <f>SUM(D153:H153)</f>
        <v>336.21742399999994</v>
      </c>
      <c r="N154">
        <v>-8.6213494625596034</v>
      </c>
      <c r="O154" s="20"/>
      <c r="P154" s="20"/>
      <c r="Q154" s="147"/>
      <c r="R154" s="197"/>
      <c r="S154" s="197"/>
      <c r="T154" s="197"/>
      <c r="U154" s="197"/>
    </row>
    <row r="155" spans="1:51" ht="15.75" thickBot="1" x14ac:dyDescent="0.3">
      <c r="A155" s="1"/>
      <c r="B155" s="2"/>
      <c r="C155" s="1"/>
      <c r="D155" s="297"/>
      <c r="E155" s="298"/>
      <c r="F155" s="298"/>
      <c r="G155" s="298"/>
      <c r="H155" s="299"/>
      <c r="O155" s="20"/>
      <c r="P155" s="20"/>
      <c r="Q155" s="147"/>
      <c r="R155" s="197"/>
      <c r="S155" s="197"/>
      <c r="T155" s="197"/>
      <c r="U155" s="197"/>
    </row>
    <row r="156" spans="1:51" ht="15" x14ac:dyDescent="0.25">
      <c r="A156" s="1">
        <v>17</v>
      </c>
      <c r="B156" s="2" t="s">
        <v>31</v>
      </c>
      <c r="C156" s="1" t="s">
        <v>8</v>
      </c>
      <c r="D156" s="282">
        <v>0</v>
      </c>
      <c r="E156" s="283">
        <v>0</v>
      </c>
      <c r="F156" s="283">
        <v>0</v>
      </c>
      <c r="G156" s="283">
        <v>0</v>
      </c>
      <c r="H156" s="284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 s="20"/>
      <c r="P156" s="20"/>
      <c r="Q156" s="147"/>
      <c r="R156" s="197"/>
      <c r="S156" s="197"/>
      <c r="T156" s="197"/>
      <c r="U156" s="197"/>
      <c r="V156" s="20">
        <f t="shared" ref="V156:Y161" si="160">IF(K156&gt;0,((E156-K156)*$Q156*$R156*10)+(K156*$O$12*$Q156*$R156*10),(E156*$Q156*$R156*10))</f>
        <v>0</v>
      </c>
      <c r="W156" s="20">
        <f t="shared" si="160"/>
        <v>0</v>
      </c>
      <c r="X156" s="20">
        <f t="shared" si="160"/>
        <v>0</v>
      </c>
      <c r="Y156" s="20">
        <f t="shared" si="160"/>
        <v>0</v>
      </c>
      <c r="Z156" s="20">
        <f t="shared" ref="Z156:AC161" si="161">V156*(EXP(1.01-0.34*LN(Z$8))*(1-$T156)+(1*$T156))</f>
        <v>0</v>
      </c>
      <c r="AA156" s="20">
        <f t="shared" si="161"/>
        <v>0</v>
      </c>
      <c r="AB156" s="20">
        <f t="shared" si="161"/>
        <v>0</v>
      </c>
      <c r="AC156" s="20">
        <f t="shared" si="161"/>
        <v>0</v>
      </c>
      <c r="AD156" s="20">
        <f t="shared" ref="AD156:AD161" si="162">SUM(Z156:AC156)</f>
        <v>0</v>
      </c>
      <c r="AE156" s="20">
        <f t="shared" ref="AE156:AH161" si="163">IF(K156&gt;0,((E156-K156)*$Q156*$S156*10)+(K156*$P$12*$Q156*$S156)*10,(E156*$Q156*$S156*10))</f>
        <v>0</v>
      </c>
      <c r="AF156" s="20">
        <f t="shared" si="163"/>
        <v>0</v>
      </c>
      <c r="AG156" s="20">
        <f t="shared" si="163"/>
        <v>0</v>
      </c>
      <c r="AH156" s="20">
        <f t="shared" si="163"/>
        <v>0</v>
      </c>
      <c r="AI156" s="20">
        <f t="shared" ref="AI156:AL161" si="164">AE156*(EXP(1.01-0.34*LN(AI$8))*(1-$T156)+(1*$T156))</f>
        <v>0</v>
      </c>
      <c r="AJ156" s="20">
        <f t="shared" si="164"/>
        <v>0</v>
      </c>
      <c r="AK156" s="20">
        <f t="shared" si="164"/>
        <v>0</v>
      </c>
      <c r="AL156" s="20">
        <f t="shared" si="164"/>
        <v>0</v>
      </c>
      <c r="AM156" s="20">
        <f t="shared" ref="AM156:AM161" si="165">SUM(AI156:AL156)</f>
        <v>0</v>
      </c>
      <c r="AO156">
        <f t="shared" ref="AO156:AR161" si="166">Z156*AO$10</f>
        <v>0</v>
      </c>
      <c r="AP156">
        <f t="shared" si="166"/>
        <v>0</v>
      </c>
      <c r="AQ156">
        <f t="shared" si="166"/>
        <v>0</v>
      </c>
      <c r="AR156">
        <f t="shared" si="166"/>
        <v>0</v>
      </c>
      <c r="AS156">
        <f t="shared" ref="AS156:AS161" si="167">SUM(AO156:AR156)</f>
        <v>0</v>
      </c>
      <c r="AU156">
        <f t="shared" ref="AU156:AX161" si="168">AI156*AU$10</f>
        <v>0</v>
      </c>
      <c r="AV156">
        <f t="shared" si="168"/>
        <v>0</v>
      </c>
      <c r="AW156">
        <f t="shared" si="168"/>
        <v>0</v>
      </c>
      <c r="AX156">
        <f t="shared" si="168"/>
        <v>0</v>
      </c>
      <c r="AY156">
        <f t="shared" ref="AY156:AY161" si="169">SUM(AU156:AX156)</f>
        <v>0</v>
      </c>
    </row>
    <row r="157" spans="1:51" ht="15" x14ac:dyDescent="0.25">
      <c r="A157" s="1"/>
      <c r="B157" s="2"/>
      <c r="C157" s="1" t="s">
        <v>9</v>
      </c>
      <c r="D157" s="285">
        <v>0</v>
      </c>
      <c r="E157" s="286">
        <v>0</v>
      </c>
      <c r="F157" s="286">
        <v>0</v>
      </c>
      <c r="G157" s="286">
        <v>0</v>
      </c>
      <c r="H157" s="28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 s="20"/>
      <c r="P157" s="20"/>
      <c r="Q157" s="147"/>
      <c r="R157" s="197"/>
      <c r="S157" s="197"/>
      <c r="T157" s="197"/>
      <c r="U157" s="197"/>
      <c r="V157" s="20">
        <f t="shared" si="160"/>
        <v>0</v>
      </c>
      <c r="W157" s="20">
        <f t="shared" si="160"/>
        <v>0</v>
      </c>
      <c r="X157" s="20">
        <f t="shared" si="160"/>
        <v>0</v>
      </c>
      <c r="Y157" s="20">
        <f t="shared" si="160"/>
        <v>0</v>
      </c>
      <c r="Z157" s="20">
        <f t="shared" si="161"/>
        <v>0</v>
      </c>
      <c r="AA157" s="20">
        <f t="shared" si="161"/>
        <v>0</v>
      </c>
      <c r="AB157" s="20">
        <f t="shared" si="161"/>
        <v>0</v>
      </c>
      <c r="AC157" s="20">
        <f t="shared" si="161"/>
        <v>0</v>
      </c>
      <c r="AD157" s="20">
        <f t="shared" si="162"/>
        <v>0</v>
      </c>
      <c r="AE157" s="20">
        <f t="shared" si="163"/>
        <v>0</v>
      </c>
      <c r="AF157" s="20">
        <f t="shared" si="163"/>
        <v>0</v>
      </c>
      <c r="AG157" s="20">
        <f t="shared" si="163"/>
        <v>0</v>
      </c>
      <c r="AH157" s="20">
        <f t="shared" si="163"/>
        <v>0</v>
      </c>
      <c r="AI157" s="20">
        <f t="shared" si="164"/>
        <v>0</v>
      </c>
      <c r="AJ157" s="20">
        <f t="shared" si="164"/>
        <v>0</v>
      </c>
      <c r="AK157" s="20">
        <f t="shared" si="164"/>
        <v>0</v>
      </c>
      <c r="AL157" s="20">
        <f t="shared" si="164"/>
        <v>0</v>
      </c>
      <c r="AM157" s="20">
        <f t="shared" si="165"/>
        <v>0</v>
      </c>
      <c r="AO157">
        <f t="shared" si="166"/>
        <v>0</v>
      </c>
      <c r="AP157">
        <f t="shared" si="166"/>
        <v>0</v>
      </c>
      <c r="AQ157">
        <f t="shared" si="166"/>
        <v>0</v>
      </c>
      <c r="AR157">
        <f t="shared" si="166"/>
        <v>0</v>
      </c>
      <c r="AS157">
        <f t="shared" si="167"/>
        <v>0</v>
      </c>
      <c r="AU157">
        <f t="shared" si="168"/>
        <v>0</v>
      </c>
      <c r="AV157">
        <f t="shared" si="168"/>
        <v>0</v>
      </c>
      <c r="AW157">
        <f t="shared" si="168"/>
        <v>0</v>
      </c>
      <c r="AX157">
        <f t="shared" si="168"/>
        <v>0</v>
      </c>
      <c r="AY157">
        <f t="shared" si="169"/>
        <v>0</v>
      </c>
    </row>
    <row r="158" spans="1:51" ht="15" x14ac:dyDescent="0.25">
      <c r="A158" s="1"/>
      <c r="B158" s="2"/>
      <c r="C158" s="1" t="s">
        <v>10</v>
      </c>
      <c r="D158" s="285">
        <v>0</v>
      </c>
      <c r="E158" s="286">
        <v>0</v>
      </c>
      <c r="F158" s="286">
        <v>0</v>
      </c>
      <c r="G158" s="286">
        <v>0</v>
      </c>
      <c r="H158" s="287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 s="20"/>
      <c r="P158" s="20"/>
      <c r="Q158" s="147"/>
      <c r="R158" s="197"/>
      <c r="S158" s="197"/>
      <c r="T158" s="197"/>
      <c r="U158" s="197"/>
      <c r="V158" s="20">
        <f t="shared" si="160"/>
        <v>0</v>
      </c>
      <c r="W158" s="20">
        <f t="shared" si="160"/>
        <v>0</v>
      </c>
      <c r="X158" s="20">
        <f t="shared" si="160"/>
        <v>0</v>
      </c>
      <c r="Y158" s="20">
        <f t="shared" si="160"/>
        <v>0</v>
      </c>
      <c r="Z158" s="20">
        <f t="shared" si="161"/>
        <v>0</v>
      </c>
      <c r="AA158" s="20">
        <f t="shared" si="161"/>
        <v>0</v>
      </c>
      <c r="AB158" s="20">
        <f t="shared" si="161"/>
        <v>0</v>
      </c>
      <c r="AC158" s="20">
        <f t="shared" si="161"/>
        <v>0</v>
      </c>
      <c r="AD158" s="20">
        <f t="shared" si="162"/>
        <v>0</v>
      </c>
      <c r="AE158" s="20">
        <f t="shared" si="163"/>
        <v>0</v>
      </c>
      <c r="AF158" s="20">
        <f t="shared" si="163"/>
        <v>0</v>
      </c>
      <c r="AG158" s="20">
        <f t="shared" si="163"/>
        <v>0</v>
      </c>
      <c r="AH158" s="20">
        <f t="shared" si="163"/>
        <v>0</v>
      </c>
      <c r="AI158" s="20">
        <f t="shared" si="164"/>
        <v>0</v>
      </c>
      <c r="AJ158" s="20">
        <f t="shared" si="164"/>
        <v>0</v>
      </c>
      <c r="AK158" s="20">
        <f t="shared" si="164"/>
        <v>0</v>
      </c>
      <c r="AL158" s="20">
        <f t="shared" si="164"/>
        <v>0</v>
      </c>
      <c r="AM158" s="20">
        <f t="shared" si="165"/>
        <v>0</v>
      </c>
      <c r="AO158">
        <f t="shared" si="166"/>
        <v>0</v>
      </c>
      <c r="AP158">
        <f t="shared" si="166"/>
        <v>0</v>
      </c>
      <c r="AQ158">
        <f t="shared" si="166"/>
        <v>0</v>
      </c>
      <c r="AR158">
        <f t="shared" si="166"/>
        <v>0</v>
      </c>
      <c r="AS158">
        <f t="shared" si="167"/>
        <v>0</v>
      </c>
      <c r="AU158">
        <f t="shared" si="168"/>
        <v>0</v>
      </c>
      <c r="AV158">
        <f t="shared" si="168"/>
        <v>0</v>
      </c>
      <c r="AW158">
        <f t="shared" si="168"/>
        <v>0</v>
      </c>
      <c r="AX158">
        <f t="shared" si="168"/>
        <v>0</v>
      </c>
      <c r="AY158">
        <f t="shared" si="169"/>
        <v>0</v>
      </c>
    </row>
    <row r="159" spans="1:51" ht="15" x14ac:dyDescent="0.25">
      <c r="A159" s="1"/>
      <c r="B159" s="2"/>
      <c r="C159" s="1" t="s">
        <v>11</v>
      </c>
      <c r="D159" s="285">
        <v>0</v>
      </c>
      <c r="E159" s="286">
        <v>0</v>
      </c>
      <c r="F159" s="286">
        <v>0</v>
      </c>
      <c r="G159" s="286">
        <v>0</v>
      </c>
      <c r="H159" s="287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 s="20"/>
      <c r="P159" s="20"/>
      <c r="Q159" s="147"/>
      <c r="R159" s="197"/>
      <c r="S159" s="197"/>
      <c r="T159" s="197"/>
      <c r="U159" s="197"/>
      <c r="V159" s="20">
        <f t="shared" si="160"/>
        <v>0</v>
      </c>
      <c r="W159" s="20">
        <f t="shared" si="160"/>
        <v>0</v>
      </c>
      <c r="X159" s="20">
        <f t="shared" si="160"/>
        <v>0</v>
      </c>
      <c r="Y159" s="20">
        <f t="shared" si="160"/>
        <v>0</v>
      </c>
      <c r="Z159" s="20">
        <f t="shared" si="161"/>
        <v>0</v>
      </c>
      <c r="AA159" s="20">
        <f t="shared" si="161"/>
        <v>0</v>
      </c>
      <c r="AB159" s="20">
        <f t="shared" si="161"/>
        <v>0</v>
      </c>
      <c r="AC159" s="20">
        <f t="shared" si="161"/>
        <v>0</v>
      </c>
      <c r="AD159" s="20">
        <f t="shared" si="162"/>
        <v>0</v>
      </c>
      <c r="AE159" s="20">
        <f t="shared" si="163"/>
        <v>0</v>
      </c>
      <c r="AF159" s="20">
        <f t="shared" si="163"/>
        <v>0</v>
      </c>
      <c r="AG159" s="20">
        <f t="shared" si="163"/>
        <v>0</v>
      </c>
      <c r="AH159" s="20">
        <f t="shared" si="163"/>
        <v>0</v>
      </c>
      <c r="AI159" s="20">
        <f t="shared" si="164"/>
        <v>0</v>
      </c>
      <c r="AJ159" s="20">
        <f t="shared" si="164"/>
        <v>0</v>
      </c>
      <c r="AK159" s="20">
        <f t="shared" si="164"/>
        <v>0</v>
      </c>
      <c r="AL159" s="20">
        <f t="shared" si="164"/>
        <v>0</v>
      </c>
      <c r="AM159" s="20">
        <f t="shared" si="165"/>
        <v>0</v>
      </c>
      <c r="AO159">
        <f t="shared" si="166"/>
        <v>0</v>
      </c>
      <c r="AP159">
        <f t="shared" si="166"/>
        <v>0</v>
      </c>
      <c r="AQ159">
        <f t="shared" si="166"/>
        <v>0</v>
      </c>
      <c r="AR159">
        <f t="shared" si="166"/>
        <v>0</v>
      </c>
      <c r="AS159">
        <f t="shared" si="167"/>
        <v>0</v>
      </c>
      <c r="AU159">
        <f t="shared" si="168"/>
        <v>0</v>
      </c>
      <c r="AV159">
        <f t="shared" si="168"/>
        <v>0</v>
      </c>
      <c r="AW159">
        <f t="shared" si="168"/>
        <v>0</v>
      </c>
      <c r="AX159">
        <f t="shared" si="168"/>
        <v>0</v>
      </c>
      <c r="AY159">
        <f t="shared" si="169"/>
        <v>0</v>
      </c>
    </row>
    <row r="160" spans="1:51" ht="15" x14ac:dyDescent="0.25">
      <c r="A160" s="1"/>
      <c r="B160" s="2"/>
      <c r="C160" s="1" t="s">
        <v>12</v>
      </c>
      <c r="D160" s="285">
        <v>0</v>
      </c>
      <c r="E160" s="286">
        <v>0</v>
      </c>
      <c r="F160" s="286">
        <v>0</v>
      </c>
      <c r="G160" s="286">
        <v>0</v>
      </c>
      <c r="H160" s="287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 s="20"/>
      <c r="P160" s="20"/>
      <c r="Q160" s="147"/>
      <c r="R160" s="197"/>
      <c r="S160" s="197"/>
      <c r="T160" s="197"/>
      <c r="U160" s="197"/>
      <c r="V160" s="20">
        <f t="shared" si="160"/>
        <v>0</v>
      </c>
      <c r="W160" s="20">
        <f t="shared" si="160"/>
        <v>0</v>
      </c>
      <c r="X160" s="20">
        <f t="shared" si="160"/>
        <v>0</v>
      </c>
      <c r="Y160" s="20">
        <f t="shared" si="160"/>
        <v>0</v>
      </c>
      <c r="Z160" s="20">
        <f t="shared" si="161"/>
        <v>0</v>
      </c>
      <c r="AA160" s="20">
        <f t="shared" si="161"/>
        <v>0</v>
      </c>
      <c r="AB160" s="20">
        <f t="shared" si="161"/>
        <v>0</v>
      </c>
      <c r="AC160" s="20">
        <f t="shared" si="161"/>
        <v>0</v>
      </c>
      <c r="AD160" s="20">
        <f t="shared" si="162"/>
        <v>0</v>
      </c>
      <c r="AE160" s="20">
        <f t="shared" si="163"/>
        <v>0</v>
      </c>
      <c r="AF160" s="20">
        <f t="shared" si="163"/>
        <v>0</v>
      </c>
      <c r="AG160" s="20">
        <f t="shared" si="163"/>
        <v>0</v>
      </c>
      <c r="AH160" s="20">
        <f t="shared" si="163"/>
        <v>0</v>
      </c>
      <c r="AI160" s="20">
        <f t="shared" si="164"/>
        <v>0</v>
      </c>
      <c r="AJ160" s="20">
        <f t="shared" si="164"/>
        <v>0</v>
      </c>
      <c r="AK160" s="20">
        <f t="shared" si="164"/>
        <v>0</v>
      </c>
      <c r="AL160" s="20">
        <f t="shared" si="164"/>
        <v>0</v>
      </c>
      <c r="AM160" s="20">
        <f t="shared" si="165"/>
        <v>0</v>
      </c>
      <c r="AO160">
        <f t="shared" si="166"/>
        <v>0</v>
      </c>
      <c r="AP160">
        <f t="shared" si="166"/>
        <v>0</v>
      </c>
      <c r="AQ160">
        <f t="shared" si="166"/>
        <v>0</v>
      </c>
      <c r="AR160">
        <f t="shared" si="166"/>
        <v>0</v>
      </c>
      <c r="AS160">
        <f t="shared" si="167"/>
        <v>0</v>
      </c>
      <c r="AU160">
        <f t="shared" si="168"/>
        <v>0</v>
      </c>
      <c r="AV160">
        <f t="shared" si="168"/>
        <v>0</v>
      </c>
      <c r="AW160">
        <f t="shared" si="168"/>
        <v>0</v>
      </c>
      <c r="AX160">
        <f t="shared" si="168"/>
        <v>0</v>
      </c>
      <c r="AY160">
        <f t="shared" si="169"/>
        <v>0</v>
      </c>
    </row>
    <row r="161" spans="1:51" ht="15" x14ac:dyDescent="0.25">
      <c r="A161" s="1"/>
      <c r="B161" s="2"/>
      <c r="C161" s="1" t="s">
        <v>13</v>
      </c>
      <c r="D161" s="285">
        <v>0</v>
      </c>
      <c r="E161" s="285">
        <v>0</v>
      </c>
      <c r="F161" s="285">
        <v>0</v>
      </c>
      <c r="G161" s="285">
        <v>0</v>
      </c>
      <c r="H161" s="285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 s="20"/>
      <c r="P161" s="20"/>
      <c r="Q161" s="147"/>
      <c r="R161" s="197"/>
      <c r="S161" s="197"/>
      <c r="T161" s="197"/>
      <c r="U161" s="197"/>
      <c r="V161" s="20">
        <f t="shared" si="160"/>
        <v>0</v>
      </c>
      <c r="W161" s="20">
        <f t="shared" si="160"/>
        <v>0</v>
      </c>
      <c r="X161" s="20">
        <f t="shared" si="160"/>
        <v>0</v>
      </c>
      <c r="Y161" s="20">
        <f t="shared" si="160"/>
        <v>0</v>
      </c>
      <c r="Z161" s="20">
        <f t="shared" si="161"/>
        <v>0</v>
      </c>
      <c r="AA161" s="20">
        <f t="shared" si="161"/>
        <v>0</v>
      </c>
      <c r="AB161" s="20">
        <f t="shared" si="161"/>
        <v>0</v>
      </c>
      <c r="AC161" s="20">
        <f t="shared" si="161"/>
        <v>0</v>
      </c>
      <c r="AD161" s="20">
        <f t="shared" si="162"/>
        <v>0</v>
      </c>
      <c r="AE161" s="20">
        <f t="shared" si="163"/>
        <v>0</v>
      </c>
      <c r="AF161" s="20">
        <f t="shared" si="163"/>
        <v>0</v>
      </c>
      <c r="AG161" s="20">
        <f t="shared" si="163"/>
        <v>0</v>
      </c>
      <c r="AH161" s="20">
        <f t="shared" si="163"/>
        <v>0</v>
      </c>
      <c r="AI161" s="20">
        <f t="shared" si="164"/>
        <v>0</v>
      </c>
      <c r="AJ161" s="20">
        <f t="shared" si="164"/>
        <v>0</v>
      </c>
      <c r="AK161" s="20">
        <f t="shared" si="164"/>
        <v>0</v>
      </c>
      <c r="AL161" s="20">
        <f t="shared" si="164"/>
        <v>0</v>
      </c>
      <c r="AM161" s="20">
        <f t="shared" si="165"/>
        <v>0</v>
      </c>
      <c r="AO161">
        <f t="shared" si="166"/>
        <v>0</v>
      </c>
      <c r="AP161">
        <f t="shared" si="166"/>
        <v>0</v>
      </c>
      <c r="AQ161">
        <f t="shared" si="166"/>
        <v>0</v>
      </c>
      <c r="AR161">
        <f t="shared" si="166"/>
        <v>0</v>
      </c>
      <c r="AS161">
        <f t="shared" si="167"/>
        <v>0</v>
      </c>
      <c r="AU161">
        <f t="shared" si="168"/>
        <v>0</v>
      </c>
      <c r="AV161">
        <f t="shared" si="168"/>
        <v>0</v>
      </c>
      <c r="AW161">
        <f t="shared" si="168"/>
        <v>0</v>
      </c>
      <c r="AX161">
        <f t="shared" si="168"/>
        <v>0</v>
      </c>
      <c r="AY161">
        <f t="shared" si="169"/>
        <v>0</v>
      </c>
    </row>
    <row r="162" spans="1:51" ht="15" x14ac:dyDescent="0.25">
      <c r="A162" s="7"/>
      <c r="B162" s="8" t="s">
        <v>14</v>
      </c>
      <c r="C162" s="7"/>
      <c r="D162" s="288">
        <f>SUM(D156:D161)</f>
        <v>0</v>
      </c>
      <c r="E162" s="289">
        <f>SUM(E156:E160)</f>
        <v>0</v>
      </c>
      <c r="F162" s="289">
        <f>SUM(F156:F160)</f>
        <v>0</v>
      </c>
      <c r="G162" s="289">
        <f>SUM(G156:G160)</f>
        <v>0</v>
      </c>
      <c r="H162" s="290">
        <f>SUM(H156:H160)</f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 s="20"/>
      <c r="P162" s="20"/>
      <c r="Q162" s="147"/>
      <c r="R162" s="197"/>
      <c r="S162" s="197"/>
      <c r="T162" s="197"/>
      <c r="U162" s="197"/>
    </row>
    <row r="163" spans="1:51" ht="15" x14ac:dyDescent="0.25">
      <c r="A163" s="10"/>
      <c r="B163" s="9" t="s">
        <v>15</v>
      </c>
      <c r="C163" s="5"/>
      <c r="D163" s="291"/>
      <c r="E163" s="292"/>
      <c r="F163" s="292"/>
      <c r="G163" s="292"/>
      <c r="H163" s="293">
        <f>SUM(D162:H162)</f>
        <v>0</v>
      </c>
      <c r="N163">
        <v>0</v>
      </c>
      <c r="O163" s="20"/>
      <c r="P163" s="20"/>
      <c r="Q163" s="147"/>
      <c r="R163" s="197"/>
      <c r="S163" s="197"/>
      <c r="T163" s="197"/>
      <c r="U163" s="197"/>
    </row>
    <row r="164" spans="1:51" ht="15.75" thickBot="1" x14ac:dyDescent="0.3">
      <c r="A164" s="1"/>
      <c r="B164" s="2"/>
      <c r="C164" s="1"/>
      <c r="D164" s="294"/>
      <c r="E164" s="295"/>
      <c r="F164" s="295"/>
      <c r="G164" s="295"/>
      <c r="H164" s="296"/>
      <c r="O164" s="20"/>
      <c r="P164" s="20"/>
      <c r="Q164" s="147"/>
      <c r="R164" s="197"/>
      <c r="S164" s="197"/>
      <c r="T164" s="197"/>
      <c r="U164" s="197"/>
    </row>
    <row r="165" spans="1:51" ht="15" x14ac:dyDescent="0.25">
      <c r="A165" s="1">
        <v>18</v>
      </c>
      <c r="B165" s="2" t="s">
        <v>709</v>
      </c>
      <c r="C165" s="1" t="s">
        <v>8</v>
      </c>
      <c r="D165" s="285">
        <v>0</v>
      </c>
      <c r="E165" s="286">
        <v>0</v>
      </c>
      <c r="F165" s="286">
        <v>0</v>
      </c>
      <c r="G165" s="286">
        <v>0</v>
      </c>
      <c r="H165" s="287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 s="20"/>
      <c r="P165" s="20"/>
      <c r="Q165" s="147"/>
      <c r="R165" s="197">
        <v>0.66599999999999993</v>
      </c>
      <c r="S165" s="197">
        <v>4.5549999999999997</v>
      </c>
      <c r="T165" s="197">
        <v>0.60039794540960334</v>
      </c>
      <c r="U165" s="197">
        <v>0.90789473684210531</v>
      </c>
      <c r="V165" s="20">
        <f t="shared" ref="V165:Y170" si="170">IF(K165&gt;0,((E165-K165)*$Q165*$R165*10)+(K165*$O$12*$Q165*$R165*10),(E165*$Q165*$R165*10))</f>
        <v>0</v>
      </c>
      <c r="W165" s="20">
        <f t="shared" si="170"/>
        <v>0</v>
      </c>
      <c r="X165" s="20">
        <f t="shared" si="170"/>
        <v>0</v>
      </c>
      <c r="Y165" s="20">
        <f t="shared" si="170"/>
        <v>0</v>
      </c>
      <c r="Z165" s="20">
        <f t="shared" ref="Z165:AC170" si="171">V165*(EXP(1.01-0.34*LN(Z$8))*(1-$T165)+(1*$T165))</f>
        <v>0</v>
      </c>
      <c r="AA165" s="20">
        <f t="shared" si="171"/>
        <v>0</v>
      </c>
      <c r="AB165" s="20">
        <f t="shared" si="171"/>
        <v>0</v>
      </c>
      <c r="AC165" s="20">
        <f t="shared" si="171"/>
        <v>0</v>
      </c>
      <c r="AD165" s="20">
        <f t="shared" ref="AD165:AD170" si="172">SUM(Z165:AC165)</f>
        <v>0</v>
      </c>
      <c r="AE165" s="20">
        <f t="shared" ref="AE165:AH170" si="173">IF(K165&gt;0,((E165-K165)*$Q165*$S165*10)+(K165*$P$12*$Q165*$S165)*10,(E165*$Q165*$S165*10))</f>
        <v>0</v>
      </c>
      <c r="AF165" s="20">
        <f t="shared" si="173"/>
        <v>0</v>
      </c>
      <c r="AG165" s="20">
        <f t="shared" si="173"/>
        <v>0</v>
      </c>
      <c r="AH165" s="20">
        <f t="shared" si="173"/>
        <v>0</v>
      </c>
      <c r="AI165" s="20">
        <f t="shared" ref="AI165:AL170" si="174">AE165*(EXP(1.01-0.34*LN(AI$8))*(1-$T165)+(1*$T165))</f>
        <v>0</v>
      </c>
      <c r="AJ165" s="20">
        <f t="shared" si="174"/>
        <v>0</v>
      </c>
      <c r="AK165" s="20">
        <f t="shared" si="174"/>
        <v>0</v>
      </c>
      <c r="AL165" s="20">
        <f t="shared" si="174"/>
        <v>0</v>
      </c>
      <c r="AM165" s="20">
        <f t="shared" ref="AM165:AM170" si="175">SUM(AI165:AL165)</f>
        <v>0</v>
      </c>
      <c r="AO165">
        <f t="shared" ref="AO165:AR170" si="176">Z165*AO$10</f>
        <v>0</v>
      </c>
      <c r="AP165">
        <f t="shared" si="176"/>
        <v>0</v>
      </c>
      <c r="AQ165">
        <f t="shared" si="176"/>
        <v>0</v>
      </c>
      <c r="AR165">
        <f t="shared" si="176"/>
        <v>0</v>
      </c>
      <c r="AS165">
        <f t="shared" ref="AS165:AS170" si="177">SUM(AO165:AR165)</f>
        <v>0</v>
      </c>
      <c r="AU165">
        <f t="shared" ref="AU165:AX170" si="178">AI165*AU$10</f>
        <v>0</v>
      </c>
      <c r="AV165">
        <f t="shared" si="178"/>
        <v>0</v>
      </c>
      <c r="AW165">
        <f t="shared" si="178"/>
        <v>0</v>
      </c>
      <c r="AX165">
        <f t="shared" si="178"/>
        <v>0</v>
      </c>
      <c r="AY165">
        <f t="shared" ref="AY165:AY170" si="179">SUM(AU165:AX165)</f>
        <v>0</v>
      </c>
    </row>
    <row r="166" spans="1:51" ht="15" x14ac:dyDescent="0.25">
      <c r="A166" s="1"/>
      <c r="B166" s="2"/>
      <c r="C166" s="1" t="s">
        <v>9</v>
      </c>
      <c r="D166" s="285">
        <v>0</v>
      </c>
      <c r="E166" s="286">
        <v>0</v>
      </c>
      <c r="F166" s="286">
        <v>0</v>
      </c>
      <c r="G166" s="286">
        <v>0</v>
      </c>
      <c r="H166" s="287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 s="20"/>
      <c r="P166" s="20"/>
      <c r="Q166" s="147"/>
      <c r="R166" s="197">
        <v>0.66599999999999993</v>
      </c>
      <c r="S166" s="197">
        <v>4.5549999999999997</v>
      </c>
      <c r="T166" s="197">
        <v>0.60039794540960334</v>
      </c>
      <c r="U166" s="197">
        <v>0.90789473684210531</v>
      </c>
      <c r="V166" s="20">
        <f t="shared" si="170"/>
        <v>0</v>
      </c>
      <c r="W166" s="20">
        <f t="shared" si="170"/>
        <v>0</v>
      </c>
      <c r="X166" s="20">
        <f t="shared" si="170"/>
        <v>0</v>
      </c>
      <c r="Y166" s="20">
        <f t="shared" si="170"/>
        <v>0</v>
      </c>
      <c r="Z166" s="20">
        <f t="shared" si="171"/>
        <v>0</v>
      </c>
      <c r="AA166" s="20">
        <f t="shared" si="171"/>
        <v>0</v>
      </c>
      <c r="AB166" s="20">
        <f t="shared" si="171"/>
        <v>0</v>
      </c>
      <c r="AC166" s="20">
        <f t="shared" si="171"/>
        <v>0</v>
      </c>
      <c r="AD166" s="20">
        <f t="shared" si="172"/>
        <v>0</v>
      </c>
      <c r="AE166" s="20">
        <f t="shared" si="173"/>
        <v>0</v>
      </c>
      <c r="AF166" s="20">
        <f t="shared" si="173"/>
        <v>0</v>
      </c>
      <c r="AG166" s="20">
        <f t="shared" si="173"/>
        <v>0</v>
      </c>
      <c r="AH166" s="20">
        <f t="shared" si="173"/>
        <v>0</v>
      </c>
      <c r="AI166" s="20">
        <f t="shared" si="174"/>
        <v>0</v>
      </c>
      <c r="AJ166" s="20">
        <f t="shared" si="174"/>
        <v>0</v>
      </c>
      <c r="AK166" s="20">
        <f t="shared" si="174"/>
        <v>0</v>
      </c>
      <c r="AL166" s="20">
        <f t="shared" si="174"/>
        <v>0</v>
      </c>
      <c r="AM166" s="20">
        <f t="shared" si="175"/>
        <v>0</v>
      </c>
      <c r="AO166">
        <f t="shared" si="176"/>
        <v>0</v>
      </c>
      <c r="AP166">
        <f t="shared" si="176"/>
        <v>0</v>
      </c>
      <c r="AQ166">
        <f t="shared" si="176"/>
        <v>0</v>
      </c>
      <c r="AR166">
        <f t="shared" si="176"/>
        <v>0</v>
      </c>
      <c r="AS166">
        <f t="shared" si="177"/>
        <v>0</v>
      </c>
      <c r="AU166">
        <f t="shared" si="178"/>
        <v>0</v>
      </c>
      <c r="AV166">
        <f t="shared" si="178"/>
        <v>0</v>
      </c>
      <c r="AW166">
        <f t="shared" si="178"/>
        <v>0</v>
      </c>
      <c r="AX166">
        <f t="shared" si="178"/>
        <v>0</v>
      </c>
      <c r="AY166">
        <f t="shared" si="179"/>
        <v>0</v>
      </c>
    </row>
    <row r="167" spans="1:51" ht="15" x14ac:dyDescent="0.25">
      <c r="A167" s="1"/>
      <c r="B167" s="2"/>
      <c r="C167" s="1" t="s">
        <v>10</v>
      </c>
      <c r="D167" s="285">
        <v>0</v>
      </c>
      <c r="E167" s="286">
        <v>0</v>
      </c>
      <c r="F167" s="286">
        <v>0</v>
      </c>
      <c r="G167" s="286">
        <v>0</v>
      </c>
      <c r="H167" s="287">
        <v>0</v>
      </c>
      <c r="J167">
        <v>0</v>
      </c>
      <c r="K167">
        <v>0</v>
      </c>
      <c r="L167">
        <v>0</v>
      </c>
      <c r="M167">
        <v>0</v>
      </c>
      <c r="N167">
        <v>0</v>
      </c>
      <c r="O167" s="20"/>
      <c r="P167" s="20"/>
      <c r="Q167" s="147"/>
      <c r="R167" s="197">
        <v>0.66599999999999993</v>
      </c>
      <c r="S167" s="197">
        <v>4.5549999999999997</v>
      </c>
      <c r="T167" s="197">
        <v>0.60039794540960334</v>
      </c>
      <c r="U167" s="197">
        <v>0.90789473684210531</v>
      </c>
      <c r="V167" s="20">
        <f t="shared" si="170"/>
        <v>0</v>
      </c>
      <c r="W167" s="20">
        <f t="shared" si="170"/>
        <v>0</v>
      </c>
      <c r="X167" s="20">
        <f t="shared" si="170"/>
        <v>0</v>
      </c>
      <c r="Y167" s="20">
        <f t="shared" si="170"/>
        <v>0</v>
      </c>
      <c r="Z167" s="20">
        <f t="shared" si="171"/>
        <v>0</v>
      </c>
      <c r="AA167" s="20">
        <f t="shared" si="171"/>
        <v>0</v>
      </c>
      <c r="AB167" s="20">
        <f t="shared" si="171"/>
        <v>0</v>
      </c>
      <c r="AC167" s="20">
        <f t="shared" si="171"/>
        <v>0</v>
      </c>
      <c r="AD167" s="20">
        <f t="shared" si="172"/>
        <v>0</v>
      </c>
      <c r="AE167" s="20">
        <f t="shared" si="173"/>
        <v>0</v>
      </c>
      <c r="AF167" s="20">
        <f t="shared" si="173"/>
        <v>0</v>
      </c>
      <c r="AG167" s="20">
        <f t="shared" si="173"/>
        <v>0</v>
      </c>
      <c r="AH167" s="20">
        <f t="shared" si="173"/>
        <v>0</v>
      </c>
      <c r="AI167" s="20">
        <f t="shared" si="174"/>
        <v>0</v>
      </c>
      <c r="AJ167" s="20">
        <f t="shared" si="174"/>
        <v>0</v>
      </c>
      <c r="AK167" s="20">
        <f t="shared" si="174"/>
        <v>0</v>
      </c>
      <c r="AL167" s="20">
        <f t="shared" si="174"/>
        <v>0</v>
      </c>
      <c r="AM167" s="20">
        <f t="shared" si="175"/>
        <v>0</v>
      </c>
      <c r="AO167">
        <f t="shared" si="176"/>
        <v>0</v>
      </c>
      <c r="AP167">
        <f t="shared" si="176"/>
        <v>0</v>
      </c>
      <c r="AQ167">
        <f t="shared" si="176"/>
        <v>0</v>
      </c>
      <c r="AR167">
        <f t="shared" si="176"/>
        <v>0</v>
      </c>
      <c r="AS167">
        <f t="shared" si="177"/>
        <v>0</v>
      </c>
      <c r="AU167">
        <f t="shared" si="178"/>
        <v>0</v>
      </c>
      <c r="AV167">
        <f t="shared" si="178"/>
        <v>0</v>
      </c>
      <c r="AW167">
        <f t="shared" si="178"/>
        <v>0</v>
      </c>
      <c r="AX167">
        <f t="shared" si="178"/>
        <v>0</v>
      </c>
      <c r="AY167">
        <f t="shared" si="179"/>
        <v>0</v>
      </c>
    </row>
    <row r="168" spans="1:51" ht="15" x14ac:dyDescent="0.25">
      <c r="A168" s="1"/>
      <c r="B168" s="2"/>
      <c r="C168" s="1" t="s">
        <v>11</v>
      </c>
      <c r="D168" s="285">
        <v>0</v>
      </c>
      <c r="E168" s="286">
        <v>0</v>
      </c>
      <c r="F168" s="286">
        <v>0</v>
      </c>
      <c r="G168" s="286">
        <v>0</v>
      </c>
      <c r="H168" s="287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 s="20"/>
      <c r="P168" s="20"/>
      <c r="Q168" s="147"/>
      <c r="R168" s="197">
        <v>0.66599999999999993</v>
      </c>
      <c r="S168" s="197">
        <v>4.5549999999999997</v>
      </c>
      <c r="T168" s="197">
        <v>0.60039794540960334</v>
      </c>
      <c r="U168" s="197">
        <v>0.90789473684210531</v>
      </c>
      <c r="V168" s="20">
        <f t="shared" si="170"/>
        <v>0</v>
      </c>
      <c r="W168" s="20">
        <f t="shared" si="170"/>
        <v>0</v>
      </c>
      <c r="X168" s="20">
        <f t="shared" si="170"/>
        <v>0</v>
      </c>
      <c r="Y168" s="20">
        <f t="shared" si="170"/>
        <v>0</v>
      </c>
      <c r="Z168" s="20">
        <f t="shared" si="171"/>
        <v>0</v>
      </c>
      <c r="AA168" s="20">
        <f t="shared" si="171"/>
        <v>0</v>
      </c>
      <c r="AB168" s="20">
        <f t="shared" si="171"/>
        <v>0</v>
      </c>
      <c r="AC168" s="20">
        <f t="shared" si="171"/>
        <v>0</v>
      </c>
      <c r="AD168" s="20">
        <f t="shared" si="172"/>
        <v>0</v>
      </c>
      <c r="AE168" s="20">
        <f t="shared" si="173"/>
        <v>0</v>
      </c>
      <c r="AF168" s="20">
        <f t="shared" si="173"/>
        <v>0</v>
      </c>
      <c r="AG168" s="20">
        <f t="shared" si="173"/>
        <v>0</v>
      </c>
      <c r="AH168" s="20">
        <f t="shared" si="173"/>
        <v>0</v>
      </c>
      <c r="AI168" s="20">
        <f t="shared" si="174"/>
        <v>0</v>
      </c>
      <c r="AJ168" s="20">
        <f t="shared" si="174"/>
        <v>0</v>
      </c>
      <c r="AK168" s="20">
        <f t="shared" si="174"/>
        <v>0</v>
      </c>
      <c r="AL168" s="20">
        <f t="shared" si="174"/>
        <v>0</v>
      </c>
      <c r="AM168" s="20">
        <f t="shared" si="175"/>
        <v>0</v>
      </c>
      <c r="AO168">
        <f t="shared" si="176"/>
        <v>0</v>
      </c>
      <c r="AP168">
        <f t="shared" si="176"/>
        <v>0</v>
      </c>
      <c r="AQ168">
        <f t="shared" si="176"/>
        <v>0</v>
      </c>
      <c r="AR168">
        <f t="shared" si="176"/>
        <v>0</v>
      </c>
      <c r="AS168">
        <f t="shared" si="177"/>
        <v>0</v>
      </c>
      <c r="AU168">
        <f t="shared" si="178"/>
        <v>0</v>
      </c>
      <c r="AV168">
        <f t="shared" si="178"/>
        <v>0</v>
      </c>
      <c r="AW168">
        <f t="shared" si="178"/>
        <v>0</v>
      </c>
      <c r="AX168">
        <f t="shared" si="178"/>
        <v>0</v>
      </c>
      <c r="AY168">
        <f t="shared" si="179"/>
        <v>0</v>
      </c>
    </row>
    <row r="169" spans="1:51" ht="15" x14ac:dyDescent="0.25">
      <c r="A169" s="1"/>
      <c r="B169" s="2"/>
      <c r="C169" s="1" t="s">
        <v>12</v>
      </c>
      <c r="D169" s="285">
        <v>0</v>
      </c>
      <c r="E169" s="286">
        <v>0</v>
      </c>
      <c r="F169" s="286">
        <v>0</v>
      </c>
      <c r="G169" s="286">
        <v>0</v>
      </c>
      <c r="H169" s="287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 s="20"/>
      <c r="P169" s="20"/>
      <c r="Q169" s="147"/>
      <c r="R169" s="197">
        <v>0.66599999999999993</v>
      </c>
      <c r="S169" s="197">
        <v>4.5549999999999997</v>
      </c>
      <c r="T169" s="197">
        <v>0.60039794540960334</v>
      </c>
      <c r="U169" s="197">
        <v>0.90789473684210531</v>
      </c>
      <c r="V169" s="20">
        <f t="shared" si="170"/>
        <v>0</v>
      </c>
      <c r="W169" s="20">
        <f t="shared" si="170"/>
        <v>0</v>
      </c>
      <c r="X169" s="20">
        <f t="shared" si="170"/>
        <v>0</v>
      </c>
      <c r="Y169" s="20">
        <f t="shared" si="170"/>
        <v>0</v>
      </c>
      <c r="Z169" s="20">
        <f t="shared" si="171"/>
        <v>0</v>
      </c>
      <c r="AA169" s="20">
        <f t="shared" si="171"/>
        <v>0</v>
      </c>
      <c r="AB169" s="20">
        <f t="shared" si="171"/>
        <v>0</v>
      </c>
      <c r="AC169" s="20">
        <f t="shared" si="171"/>
        <v>0</v>
      </c>
      <c r="AD169" s="20">
        <f t="shared" si="172"/>
        <v>0</v>
      </c>
      <c r="AE169" s="20">
        <f t="shared" si="173"/>
        <v>0</v>
      </c>
      <c r="AF169" s="20">
        <f t="shared" si="173"/>
        <v>0</v>
      </c>
      <c r="AG169" s="20">
        <f t="shared" si="173"/>
        <v>0</v>
      </c>
      <c r="AH169" s="20">
        <f t="shared" si="173"/>
        <v>0</v>
      </c>
      <c r="AI169" s="20">
        <f t="shared" si="174"/>
        <v>0</v>
      </c>
      <c r="AJ169" s="20">
        <f t="shared" si="174"/>
        <v>0</v>
      </c>
      <c r="AK169" s="20">
        <f t="shared" si="174"/>
        <v>0</v>
      </c>
      <c r="AL169" s="20">
        <f t="shared" si="174"/>
        <v>0</v>
      </c>
      <c r="AM169" s="20">
        <f t="shared" si="175"/>
        <v>0</v>
      </c>
      <c r="AO169">
        <f t="shared" si="176"/>
        <v>0</v>
      </c>
      <c r="AP169">
        <f t="shared" si="176"/>
        <v>0</v>
      </c>
      <c r="AQ169">
        <f t="shared" si="176"/>
        <v>0</v>
      </c>
      <c r="AR169">
        <f t="shared" si="176"/>
        <v>0</v>
      </c>
      <c r="AS169">
        <f t="shared" si="177"/>
        <v>0</v>
      </c>
      <c r="AU169">
        <f t="shared" si="178"/>
        <v>0</v>
      </c>
      <c r="AV169">
        <f t="shared" si="178"/>
        <v>0</v>
      </c>
      <c r="AW169">
        <f t="shared" si="178"/>
        <v>0</v>
      </c>
      <c r="AX169">
        <f t="shared" si="178"/>
        <v>0</v>
      </c>
      <c r="AY169">
        <f t="shared" si="179"/>
        <v>0</v>
      </c>
    </row>
    <row r="170" spans="1:51" ht="15" x14ac:dyDescent="0.25">
      <c r="A170" s="1"/>
      <c r="B170" s="2"/>
      <c r="C170" s="1" t="s">
        <v>13</v>
      </c>
      <c r="D170" s="285">
        <v>0</v>
      </c>
      <c r="E170" s="286">
        <v>0</v>
      </c>
      <c r="F170" s="286">
        <v>0</v>
      </c>
      <c r="G170" s="286">
        <v>0</v>
      </c>
      <c r="H170" s="287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 s="20"/>
      <c r="P170" s="20"/>
      <c r="Q170" s="147"/>
      <c r="R170" s="197">
        <v>0.66599999999999993</v>
      </c>
      <c r="S170" s="197">
        <v>4.5549999999999997</v>
      </c>
      <c r="T170" s="197">
        <v>0.60039794540960334</v>
      </c>
      <c r="U170" s="197">
        <v>0.90789473684210531</v>
      </c>
      <c r="V170" s="20">
        <f t="shared" si="170"/>
        <v>0</v>
      </c>
      <c r="W170" s="20">
        <f t="shared" si="170"/>
        <v>0</v>
      </c>
      <c r="X170" s="20">
        <f t="shared" si="170"/>
        <v>0</v>
      </c>
      <c r="Y170" s="20">
        <f t="shared" si="170"/>
        <v>0</v>
      </c>
      <c r="Z170" s="20">
        <f t="shared" si="171"/>
        <v>0</v>
      </c>
      <c r="AA170" s="20">
        <f t="shared" si="171"/>
        <v>0</v>
      </c>
      <c r="AB170" s="20">
        <f t="shared" si="171"/>
        <v>0</v>
      </c>
      <c r="AC170" s="20">
        <f t="shared" si="171"/>
        <v>0</v>
      </c>
      <c r="AD170" s="20">
        <f t="shared" si="172"/>
        <v>0</v>
      </c>
      <c r="AE170" s="20">
        <f t="shared" si="173"/>
        <v>0</v>
      </c>
      <c r="AF170" s="20">
        <f t="shared" si="173"/>
        <v>0</v>
      </c>
      <c r="AG170" s="20">
        <f t="shared" si="173"/>
        <v>0</v>
      </c>
      <c r="AH170" s="20">
        <f t="shared" si="173"/>
        <v>0</v>
      </c>
      <c r="AI170" s="20">
        <f t="shared" si="174"/>
        <v>0</v>
      </c>
      <c r="AJ170" s="20">
        <f t="shared" si="174"/>
        <v>0</v>
      </c>
      <c r="AK170" s="20">
        <f t="shared" si="174"/>
        <v>0</v>
      </c>
      <c r="AL170" s="20">
        <f t="shared" si="174"/>
        <v>0</v>
      </c>
      <c r="AM170" s="20">
        <f t="shared" si="175"/>
        <v>0</v>
      </c>
      <c r="AO170">
        <f t="shared" si="176"/>
        <v>0</v>
      </c>
      <c r="AP170">
        <f t="shared" si="176"/>
        <v>0</v>
      </c>
      <c r="AQ170">
        <f t="shared" si="176"/>
        <v>0</v>
      </c>
      <c r="AR170">
        <f t="shared" si="176"/>
        <v>0</v>
      </c>
      <c r="AS170">
        <f t="shared" si="177"/>
        <v>0</v>
      </c>
      <c r="AU170">
        <f t="shared" si="178"/>
        <v>0</v>
      </c>
      <c r="AV170">
        <f t="shared" si="178"/>
        <v>0</v>
      </c>
      <c r="AW170">
        <f t="shared" si="178"/>
        <v>0</v>
      </c>
      <c r="AX170">
        <f t="shared" si="178"/>
        <v>0</v>
      </c>
      <c r="AY170">
        <f t="shared" si="179"/>
        <v>0</v>
      </c>
    </row>
    <row r="171" spans="1:51" ht="15" x14ac:dyDescent="0.25">
      <c r="A171" s="7"/>
      <c r="B171" s="8" t="s">
        <v>14</v>
      </c>
      <c r="C171" s="7"/>
      <c r="D171" s="288">
        <f>SUM(D165:D170)</f>
        <v>0</v>
      </c>
      <c r="E171" s="289">
        <f>SUM(E165:E170)</f>
        <v>0</v>
      </c>
      <c r="F171" s="289">
        <f>SUM(F165:F170)</f>
        <v>0</v>
      </c>
      <c r="G171" s="289">
        <f>SUM(G165:G170)</f>
        <v>0</v>
      </c>
      <c r="H171" s="290">
        <f>SUM(H165:H170)</f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 s="20"/>
      <c r="P171" s="20"/>
      <c r="Q171" s="147"/>
      <c r="R171" s="20"/>
      <c r="S171" s="20"/>
      <c r="T171" s="20"/>
      <c r="U171" s="20"/>
    </row>
    <row r="172" spans="1:51" ht="15" x14ac:dyDescent="0.25">
      <c r="A172" s="1"/>
      <c r="B172" s="9" t="s">
        <v>15</v>
      </c>
      <c r="C172" s="5"/>
      <c r="D172" s="291"/>
      <c r="E172" s="292"/>
      <c r="F172" s="292"/>
      <c r="G172" s="292"/>
      <c r="H172" s="293">
        <f>SUM(D171:H171)</f>
        <v>0</v>
      </c>
      <c r="N172">
        <v>0</v>
      </c>
      <c r="O172" s="20"/>
      <c r="P172" s="20"/>
      <c r="Q172" s="147"/>
      <c r="R172" s="20"/>
      <c r="S172" s="20"/>
      <c r="T172" s="20"/>
      <c r="U172" s="20"/>
    </row>
    <row r="173" spans="1:51" ht="15.75" thickBot="1" x14ac:dyDescent="0.3">
      <c r="A173" s="1"/>
      <c r="B173" s="2"/>
      <c r="C173" s="1"/>
      <c r="D173" s="297"/>
      <c r="E173" s="298"/>
      <c r="F173" s="298"/>
      <c r="G173" s="298"/>
      <c r="H173" s="299"/>
      <c r="O173" s="20"/>
      <c r="P173" s="20"/>
      <c r="Q173" s="147"/>
      <c r="R173" s="20"/>
      <c r="S173" s="20"/>
      <c r="T173" s="20"/>
      <c r="U173" s="20"/>
    </row>
    <row r="174" spans="1:51" ht="15" x14ac:dyDescent="0.25">
      <c r="A174" s="1">
        <v>19</v>
      </c>
      <c r="B174" s="2" t="s">
        <v>526</v>
      </c>
      <c r="C174" s="1" t="s">
        <v>8</v>
      </c>
      <c r="D174" s="282">
        <v>10.362623149999999</v>
      </c>
      <c r="E174" s="283">
        <v>0</v>
      </c>
      <c r="F174" s="283">
        <v>0</v>
      </c>
      <c r="G174" s="283">
        <v>0</v>
      </c>
      <c r="H174" s="284">
        <v>0</v>
      </c>
      <c r="J174">
        <v>-1.1042644558756365E-6</v>
      </c>
      <c r="K174">
        <v>0</v>
      </c>
      <c r="L174">
        <v>0</v>
      </c>
      <c r="M174">
        <v>0</v>
      </c>
      <c r="N174">
        <v>-7.2965769813300004E-10</v>
      </c>
      <c r="O174" s="20"/>
      <c r="P174" s="20"/>
      <c r="Q174" s="146">
        <v>0.9</v>
      </c>
      <c r="R174" s="20"/>
      <c r="S174" s="20"/>
      <c r="T174" s="20"/>
      <c r="U174" s="20"/>
    </row>
    <row r="175" spans="1:51" ht="15" x14ac:dyDescent="0.25">
      <c r="A175" s="1"/>
      <c r="B175" s="2"/>
      <c r="C175" s="1" t="s">
        <v>9</v>
      </c>
      <c r="D175" s="285">
        <v>5.0702140199999999</v>
      </c>
      <c r="E175" s="286">
        <v>0</v>
      </c>
      <c r="F175" s="286">
        <v>0</v>
      </c>
      <c r="G175" s="286">
        <v>0</v>
      </c>
      <c r="H175" s="287">
        <v>0</v>
      </c>
      <c r="J175">
        <v>-5.9277974084892548E-7</v>
      </c>
      <c r="K175">
        <v>0</v>
      </c>
      <c r="L175">
        <v>0</v>
      </c>
      <c r="M175">
        <v>0</v>
      </c>
      <c r="N175">
        <v>0</v>
      </c>
      <c r="O175" s="20"/>
      <c r="P175" s="20"/>
      <c r="Q175" s="147">
        <v>0.90000000000000013</v>
      </c>
      <c r="R175" s="20"/>
      <c r="S175" s="20"/>
      <c r="T175" s="20"/>
      <c r="U175" s="20"/>
    </row>
    <row r="176" spans="1:51" ht="15" x14ac:dyDescent="0.25">
      <c r="A176" s="1"/>
      <c r="B176" s="2"/>
      <c r="C176" s="1" t="s">
        <v>10</v>
      </c>
      <c r="D176" s="285">
        <v>6.0503388200000003</v>
      </c>
      <c r="E176" s="286">
        <v>0</v>
      </c>
      <c r="F176" s="286">
        <v>0</v>
      </c>
      <c r="G176" s="286">
        <v>0</v>
      </c>
      <c r="H176" s="287">
        <v>0</v>
      </c>
      <c r="J176">
        <v>-1.5226914760191335E-6</v>
      </c>
      <c r="K176">
        <v>0</v>
      </c>
      <c r="L176">
        <v>0</v>
      </c>
      <c r="M176">
        <v>0</v>
      </c>
      <c r="N176">
        <v>0</v>
      </c>
      <c r="O176" s="20"/>
      <c r="P176" s="20"/>
      <c r="Q176" s="146">
        <v>0.9</v>
      </c>
      <c r="R176" s="20"/>
      <c r="S176" s="20"/>
      <c r="T176" s="20"/>
      <c r="U176" s="20"/>
    </row>
    <row r="177" spans="1:21" ht="15" x14ac:dyDescent="0.25">
      <c r="A177" s="1"/>
      <c r="B177" s="2"/>
      <c r="C177" s="1" t="s">
        <v>11</v>
      </c>
      <c r="D177" s="285">
        <v>1.9530215</v>
      </c>
      <c r="E177" s="286">
        <v>0</v>
      </c>
      <c r="F177" s="286">
        <v>0</v>
      </c>
      <c r="G177" s="286">
        <v>0</v>
      </c>
      <c r="H177" s="287">
        <v>0</v>
      </c>
      <c r="J177">
        <v>3.9409888019648065E-7</v>
      </c>
      <c r="K177">
        <v>0</v>
      </c>
      <c r="L177">
        <v>0</v>
      </c>
      <c r="M177">
        <v>0</v>
      </c>
      <c r="N177">
        <v>0</v>
      </c>
      <c r="O177" s="20"/>
      <c r="P177" s="20"/>
      <c r="Q177" s="146">
        <v>0.89999999999999991</v>
      </c>
      <c r="R177" s="20"/>
      <c r="S177" s="20"/>
      <c r="T177" s="20"/>
      <c r="U177" s="20"/>
    </row>
    <row r="178" spans="1:21" ht="15" x14ac:dyDescent="0.25">
      <c r="A178" s="1"/>
      <c r="B178" s="2"/>
      <c r="C178" s="1" t="s">
        <v>12</v>
      </c>
      <c r="D178" s="285">
        <v>2239.5971424999998</v>
      </c>
      <c r="E178" s="286">
        <v>0</v>
      </c>
      <c r="F178" s="286">
        <v>0</v>
      </c>
      <c r="G178" s="286">
        <v>0</v>
      </c>
      <c r="H178" s="287">
        <v>0</v>
      </c>
      <c r="J178">
        <v>2.0651242266467307E-5</v>
      </c>
      <c r="K178">
        <v>0</v>
      </c>
      <c r="L178">
        <v>0</v>
      </c>
      <c r="M178">
        <v>0</v>
      </c>
      <c r="N178">
        <v>-1.1895432099971E-6</v>
      </c>
      <c r="O178" s="20"/>
      <c r="P178" s="20"/>
      <c r="Q178" s="146">
        <v>0.9</v>
      </c>
      <c r="R178" s="20"/>
      <c r="S178" s="20"/>
      <c r="T178" s="20"/>
      <c r="U178" s="20"/>
    </row>
    <row r="179" spans="1:21" ht="15" x14ac:dyDescent="0.25">
      <c r="A179" s="1"/>
      <c r="B179" s="2"/>
      <c r="C179" s="1" t="s">
        <v>13</v>
      </c>
      <c r="D179" s="285">
        <v>0</v>
      </c>
      <c r="E179" s="286">
        <v>0</v>
      </c>
      <c r="F179" s="286">
        <v>0</v>
      </c>
      <c r="G179" s="286">
        <v>0</v>
      </c>
      <c r="H179" s="287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 s="20"/>
      <c r="P179" s="20"/>
      <c r="Q179" s="146"/>
      <c r="R179" s="20"/>
      <c r="S179" s="20"/>
      <c r="T179" s="20"/>
      <c r="U179" s="20"/>
    </row>
    <row r="180" spans="1:21" ht="15" x14ac:dyDescent="0.25">
      <c r="A180" s="7"/>
      <c r="B180" s="8" t="s">
        <v>14</v>
      </c>
      <c r="C180" s="7"/>
      <c r="D180" s="288">
        <f>SUM(D174:D179)</f>
        <v>2263.0333399899996</v>
      </c>
      <c r="E180" s="289">
        <f>SUM(E174:E179)</f>
        <v>0</v>
      </c>
      <c r="F180" s="289">
        <f>SUM(F174:F179)</f>
        <v>0</v>
      </c>
      <c r="G180" s="289">
        <f>SUM(G174:G179)</f>
        <v>0</v>
      </c>
      <c r="H180" s="290">
        <f>SUM(H174:H179)</f>
        <v>0</v>
      </c>
      <c r="J180">
        <v>1.7825605473920092E-5</v>
      </c>
      <c r="K180">
        <v>0</v>
      </c>
      <c r="L180">
        <v>0</v>
      </c>
      <c r="M180">
        <v>0</v>
      </c>
      <c r="N180">
        <v>-1.190272867695233E-6</v>
      </c>
    </row>
    <row r="181" spans="1:21" ht="15" x14ac:dyDescent="0.25">
      <c r="A181" s="5"/>
      <c r="B181" s="9" t="s">
        <v>15</v>
      </c>
      <c r="C181" s="5"/>
      <c r="D181" s="185"/>
      <c r="E181" s="185"/>
      <c r="F181" s="185"/>
      <c r="G181" s="185"/>
      <c r="H181" s="235">
        <f>SUM(D180:H180)</f>
        <v>2263.0333399899996</v>
      </c>
    </row>
    <row r="182" spans="1:21" s="79" customFormat="1" ht="15" x14ac:dyDescent="0.25">
      <c r="A182" s="199"/>
      <c r="B182" s="198" t="s">
        <v>661</v>
      </c>
      <c r="C182" s="199"/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28</vt:i4>
      </vt:variant>
      <vt:variant>
        <vt:lpstr>Charts</vt:lpstr>
      </vt:variant>
      <vt:variant>
        <vt:i4>14</vt:i4>
      </vt:variant>
      <vt:variant>
        <vt:lpstr>Named Ranges</vt:lpstr>
      </vt:variant>
      <vt:variant>
        <vt:i4>7</vt:i4>
      </vt:variant>
    </vt:vector>
  </HeadingPairs>
  <TitlesOfParts>
    <vt:vector size="49" baseType="lpstr">
      <vt:lpstr>Stormwater (future)</vt:lpstr>
      <vt:lpstr>Stormwater 2012 (2009 LU)</vt:lpstr>
      <vt:lpstr>Stormwater 2011 (2009 LU)</vt:lpstr>
      <vt:lpstr>Stormwater 2010 (2009 LU)</vt:lpstr>
      <vt:lpstr>Stormwater 2009 (2009 LU)</vt:lpstr>
      <vt:lpstr>Stormwater 2008 (2009 LU)</vt:lpstr>
      <vt:lpstr>Stormwater 2007 (2009 LU)</vt:lpstr>
      <vt:lpstr>Stormwater 2011</vt:lpstr>
      <vt:lpstr>Stormwater 2010</vt:lpstr>
      <vt:lpstr>Stormwater 2009</vt:lpstr>
      <vt:lpstr>Stormwater 2008</vt:lpstr>
      <vt:lpstr>Stormwater 2007</vt:lpstr>
      <vt:lpstr>Stormwater 2006 (2009 LU)</vt:lpstr>
      <vt:lpstr>Stormwater 2005</vt:lpstr>
      <vt:lpstr>Stormwater 2004</vt:lpstr>
      <vt:lpstr>Stormwater 2003</vt:lpstr>
      <vt:lpstr>Stormwater 2002</vt:lpstr>
      <vt:lpstr>Stormwater 2001</vt:lpstr>
      <vt:lpstr>Stormwater 2000</vt:lpstr>
      <vt:lpstr>Stormwater</vt:lpstr>
      <vt:lpstr>Eutromod</vt:lpstr>
      <vt:lpstr>Sedimentation</vt:lpstr>
      <vt:lpstr>Summary</vt:lpstr>
      <vt:lpstr>Waterfowl nutrient load</vt:lpstr>
      <vt:lpstr>CBC gull data</vt:lpstr>
      <vt:lpstr>Activity log</vt:lpstr>
      <vt:lpstr>load table</vt:lpstr>
      <vt:lpstr>Sheet1</vt:lpstr>
      <vt:lpstr>annual WQ</vt:lpstr>
      <vt:lpstr>TP load-DT</vt:lpstr>
      <vt:lpstr>TP load-conc</vt:lpstr>
      <vt:lpstr>DecadalN load</vt:lpstr>
      <vt:lpstr>Decadal P load</vt:lpstr>
      <vt:lpstr>annual N load</vt:lpstr>
      <vt:lpstr>annual P load (4)</vt:lpstr>
      <vt:lpstr>annual P load (3)</vt:lpstr>
      <vt:lpstr>annual P load (2)</vt:lpstr>
      <vt:lpstr>CBC gull figure</vt:lpstr>
      <vt:lpstr>Waterfowl TP excretion</vt:lpstr>
      <vt:lpstr>Waterfowl TN excretion</vt:lpstr>
      <vt:lpstr>TP load -birds</vt:lpstr>
      <vt:lpstr>TN load-birds</vt:lpstr>
      <vt:lpstr>\0</vt:lpstr>
      <vt:lpstr>\A</vt:lpstr>
      <vt:lpstr>\B</vt:lpstr>
      <vt:lpstr>\D</vt:lpstr>
      <vt:lpstr>\E</vt:lpstr>
      <vt:lpstr>\X</vt:lpstr>
      <vt:lpstr>ARAIN</vt:lpstr>
    </vt:vector>
  </TitlesOfParts>
  <Company>SJRWMD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RFULTON</dc:creator>
  <cp:lastModifiedBy>Rhew, Kyeongsik</cp:lastModifiedBy>
  <cp:lastPrinted>2014-01-07T14:25:37Z</cp:lastPrinted>
  <dcterms:created xsi:type="dcterms:W3CDTF">2002-05-29T18:52:58Z</dcterms:created>
  <dcterms:modified xsi:type="dcterms:W3CDTF">2022-11-14T14:37:32Z</dcterms:modified>
</cp:coreProperties>
</file>